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L 25 Authors Assignments." sheetId="1" r:id="rId4"/>
  </sheets>
  <definedNames>
    <definedName hidden="1" localSheetId="0" name="_xlnm._FilterDatabase">'ACL 25 Authors Assignments.'!$A$2:$Z$3428</definedName>
  </definedNames>
  <calcPr/>
</workbook>
</file>

<file path=xl/sharedStrings.xml><?xml version="1.0" encoding="utf-8"?>
<sst xmlns="http://schemas.openxmlformats.org/spreadsheetml/2006/main" count="2" uniqueCount="2">
  <si>
    <t>For any updates or changes, please fill out this form: acl2025-paper-author-update.paperform.co
Please note that changes might not be visible immediately. Thank you!</t>
  </si>
  <si>
    <t>For any other inquiries, please contact our support: acl2025@underline.io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</si>
</sst>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dd, mmmm d"/>
  </numFmts>
  <fonts count="6">
    <font>
      <sz val="10.0"/>
      <color rgb="FF000000"/>
      <name val="Arial"/>
      <scheme val="minor"/>
    </font>
    <font>
      <b/>
      <sz val="12.0"/>
      <color theme="1"/>
      <name val="Arial"/>
      <scheme val="minor"/>
    </font>
    <font>
      <color rgb="FFF3F3F3"/>
      <name val="Arial"/>
      <scheme val="minor"/>
    </font>
    <font>
      <color theme="1"/>
      <name val="Arial"/>
      <scheme val="minor"/>
    </font>
    <font>
      <b/>
      <sz val="12.0"/>
      <color rgb="FF000000"/>
      <name val="Arial"/>
      <scheme val="minor"/>
    </font>
    <font>
      <b/>
      <color theme="1"/>
      <name val="Arial"/>
      <scheme val="minor"/>
    </font>
  </fonts>
  <fills count="5">
    <fill>
      <patternFill patternType="none"/>
    </fill>
    <fill>
      <patternFill patternType="lightGray"/>
    </fill>
    <fill>
      <patternFill patternType="solid">
        <fgColor rgb="FFFCE5CD"/>
        <bgColor rgb="FFFCE5CD"/>
      </patternFill>
    </fill>
    <fill>
      <patternFill patternType="solid">
        <fgColor rgb="FFD9EAD3"/>
        <bgColor rgb="FFD9EAD3"/>
      </patternFill>
    </fill>
    <fill>
      <patternFill patternType="solid">
        <fgColor rgb="FFFFFF00"/>
        <bgColor rgb="FFFFFF00"/>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Font="1"/>
    <xf borderId="0" fillId="2" fontId="3" numFmtId="0" xfId="0" applyFont="1"/>
    <xf borderId="0" fillId="3" fontId="4" numFmtId="0" xfId="0" applyAlignment="1" applyFill="1" applyFont="1">
      <alignment readingOrder="0"/>
    </xf>
    <xf borderId="0" fillId="3" fontId="3" numFmtId="0" xfId="0" applyFont="1"/>
    <xf borderId="0" fillId="4" fontId="5" numFmtId="0" xfId="0" applyFill="1" applyFont="1"/>
    <xf borderId="0" fillId="0" fontId="3" numFmtId="0" xfId="0" applyFont="1"/>
    <xf borderId="0" fillId="0" fontId="3"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c r="C1" s="2"/>
      <c r="D1" s="3"/>
      <c r="E1" s="3"/>
      <c r="F1" s="3"/>
      <c r="G1" s="3"/>
      <c r="H1" s="3"/>
      <c r="I1" s="3"/>
      <c r="J1" s="4" t="s">
        <v>1</v>
      </c>
      <c r="K1" s="5"/>
      <c r="L1" s="5"/>
      <c r="M1" s="5"/>
      <c r="N1" s="5"/>
      <c r="O1" s="5"/>
    </row>
    <row r="2">
      <c r="A2" s="6" t="str">
        <f>IFERROR(__xludf.DUMMYFUNCTION("QUERY(IMPORTRANGE(""1_g0ON1rjxf4fdO0ErONT8uAmCraJP7Ch0uN4WDB-gNY"", ""ALL MAIN CONF ACCEPTED PAPERS!A3:T""), ""SELECT Col1, Col5, Col6, Col9, Col11, Col12, Col13, Col14, Col15, Col16, Col17, Col18, Col19, Col20"", 1)"),"Paper number")</f>
        <v>Paper number</v>
      </c>
      <c r="B2" s="6" t="str">
        <f>IFERROR(__xludf.DUMMYFUNCTION("""COMPUTED_VALUE"""),"Title")</f>
        <v>Title</v>
      </c>
      <c r="C2" s="6" t="str">
        <f>IFERROR(__xludf.DUMMYFUNCTION("""COMPUTED_VALUE"""),"Abstract")</f>
        <v>Abstract</v>
      </c>
      <c r="D2" s="6" t="str">
        <f>IFERROR(__xludf.DUMMYFUNCTION("""COMPUTED_VALUE"""),"Presenters Name")</f>
        <v>Presenters Name</v>
      </c>
      <c r="E2" s="6" t="str">
        <f>IFERROR(__xludf.DUMMYFUNCTION("""COMPUTED_VALUE"""),"Is Paper Registered?")</f>
        <v>Is Paper Registered?</v>
      </c>
      <c r="F2" s="6" t="str">
        <f>IFERROR(__xludf.DUMMYFUNCTION("""COMPUTED_VALUE"""),"Type of Presentation")</f>
        <v>Type of Presentation</v>
      </c>
      <c r="G2" s="6" t="str">
        <f>IFERROR(__xludf.DUMMYFUNCTION("""COMPUTED_VALUE"""),"Attendance Type")</f>
        <v>Attendance Type</v>
      </c>
      <c r="H2" s="6" t="str">
        <f>IFERROR(__xludf.DUMMYFUNCTION("""COMPUTED_VALUE"""),"Room Location")</f>
        <v>Room Location</v>
      </c>
      <c r="I2" s="6" t="str">
        <f>IFERROR(__xludf.DUMMYFUNCTION("""COMPUTED_VALUE"""),"Session")</f>
        <v>Session</v>
      </c>
      <c r="J2" s="6" t="str">
        <f>IFERROR(__xludf.DUMMYFUNCTION("""COMPUTED_VALUE"""),"Underline/Whova Session Titles")</f>
        <v>Underline/Whova Session Titles</v>
      </c>
      <c r="K2" s="6" t="str">
        <f>IFERROR(__xludf.DUMMYFUNCTION("""COMPUTED_VALUE"""),"Sub-session (ex. ML 1, ML 2, etc.)")</f>
        <v>Sub-session (ex. ML 1, ML 2, etc.)</v>
      </c>
      <c r="L2" s="6" t="str">
        <f>IFERROR(__xludf.DUMMYFUNCTION("""COMPUTED_VALUE"""),"Session Date")</f>
        <v>Session Date</v>
      </c>
      <c r="M2" s="6" t="str">
        <f>IFERROR(__xludf.DUMMYFUNCTION("""COMPUTED_VALUE"""),"Session time")</f>
        <v>Session time</v>
      </c>
      <c r="N2" s="6" t="str">
        <f>IFERROR(__xludf.DUMMYFUNCTION("""COMPUTED_VALUE"""),"#N/A")</f>
        <v>#N/A</v>
      </c>
    </row>
    <row r="3">
      <c r="A3" s="7" t="str">
        <f>IFERROR(__xludf.DUMMYFUNCTION("""COMPUTED_VALUE"""),"2572-CL")</f>
        <v>2572-CL</v>
      </c>
      <c r="B3" s="7" t="str">
        <f>IFERROR(__xludf.DUMMYFUNCTION("""COMPUTED_VALUE"""),"Relation Extraction in underexplored biomedical domains: A diversity-optimised sampling and synthetic data generation approach")</f>
        <v>Relation Extraction in underexplored biomedical domains: A diversity-optimised sampling and synthetic data generation approach</v>
      </c>
      <c r="C3" s="7" t="str">
        <f>IFERROR(__xludf.DUMMYFUNCTION("""COMPUTED_VALUE"""),"The sparsity of labelled data is an obstacle to the development of Relation Extraction (RE) models and the completion of databases in various biomedical areas. While being of high interest in drug-discovery, the literature on natural-products, reporting t"&amp;"he identification of potential bioactive compounds from organisms, is a concrete example of such an overlooked topic. To mark the start of this new task, we created the first curated evaluation dataset and extracted literature items from the LOTUS databas"&amp;"e to build training sets. To this end, we developed a new sampler, inspired by diversity metrics in ecology, named Greedy Maximum Entropy sampler (https://github.com/idiap/gme-sampler). The strategic optimization of both balance and diversity of the selec"&amp;"ted items in the evaluation set is important given the resource-intensive nature of manual curation. After quantifying the noise in the training set, in the form of discrepancies between the text of input abstracts and the expected output labels, we explo"&amp;"red different strategies accordingly. Framing the task as an end-to-end Relation Extraction, we evaluated the performance of standard fine-tuning (BioGPT, GPT-2 and Seq2rel) and few-shot learning with open Large Language Models (LLaMA 7B-65B). In addition"&amp;" to their evaluation in few-shot settings, we explore the potential of open LLMs as synthetic data generators and propose a new workflow for this purpose. All evaluated models exhibited substantial improvements when fine-tuned on synthetic abstracts rathe"&amp;"r than the original noisy data. We provide our best performing (f1-score=59.0) BioGPT-Large model for end-to-end RE of natural-products relationships along with all the training and evaluation datasets. See more details at https://github.com/idiap/abroad-"&amp;"re.")</f>
        <v>The sparsity of labelled data is an obstacle to the development of Relation Extraction (RE) models and the completion of databases in various biomedical areas. While being of high interest in drug-discovery, the literature on natural-products, reporting the identification of potential bioactive compounds from organisms, is a concrete example of such an overlooked topic. To mark the start of this new task, we created the first curated evaluation dataset and extracted literature items from the LOTUS database to build training sets. To this end, we developed a new sampler, inspired by diversity metrics in ecology, named Greedy Maximum Entropy sampler (https://github.com/idiap/gme-sampler). The strategic optimization of both balance and diversity of the selected items in the evaluation set is important given the resource-intensive nature of manual curation. After quantifying the noise in the training set, in the form of discrepancies between the text of input abstracts and the expected output labels, we explored different strategies accordingly. Framing the task as an end-to-end Relation Extraction, we evaluated the performance of standard fine-tuning (BioGPT, GPT-2 and Seq2rel) and few-shot learning with open Large Language Models (LLaMA 7B-65B). In addition to their evaluation in few-shot settings, we explore the potential of open LLMs as synthetic data generators and propose a new workflow for this purpose. All evaluated models exhibited substantial improvements when fine-tuned on synthetic abstracts rather than the original noisy data. We provide our best performing (f1-score=59.0) BioGPT-Large model for end-to-end RE of natural-products relationships along with all the training and evaluation datasets. See more details at https://github.com/idiap/abroad-re.</v>
      </c>
      <c r="D3" s="7" t="str">
        <f>IFERROR(__xludf.DUMMYFUNCTION("""COMPUTED_VALUE"""),"Maxime Delmas")</f>
        <v>Maxime Delmas</v>
      </c>
      <c r="E3" s="7" t="str">
        <f>IFERROR(__xludf.DUMMYFUNCTION("""COMPUTED_VALUE"""),"Yes")</f>
        <v>Yes</v>
      </c>
      <c r="F3" s="7" t="str">
        <f>IFERROR(__xludf.DUMMYFUNCTION("""COMPUTED_VALUE"""),"IP-Poster")</f>
        <v>IP-Poster</v>
      </c>
      <c r="G3" s="7" t="str">
        <f>IFERROR(__xludf.DUMMYFUNCTION("""COMPUTED_VALUE"""),"In-Person")</f>
        <v>In-Person</v>
      </c>
      <c r="H3" s="7" t="str">
        <f>IFERROR(__xludf.DUMMYFUNCTION("""COMPUTED_VALUE"""),"Hall 4/5")</f>
        <v>Hall 4/5</v>
      </c>
      <c r="I3" s="7" t="str">
        <f>IFERROR(__xludf.DUMMYFUNCTION("""COMPUTED_VALUE"""),"Session 2: IP-Posters ")</f>
        <v>Session 2: IP-Posters </v>
      </c>
      <c r="J3" s="7" t="str">
        <f>IFERROR(__xludf.DUMMYFUNCTION("""COMPUTED_VALUE"""),"Poster Session 1")</f>
        <v>Poster Session 1</v>
      </c>
      <c r="K3" s="7"/>
      <c r="L3" s="8">
        <f>IFERROR(__xludf.DUMMYFUNCTION("""COMPUTED_VALUE"""),45866.0)</f>
        <v>45866</v>
      </c>
      <c r="M3" s="7" t="str">
        <f>IFERROR(__xludf.DUMMYFUNCTION("""COMPUTED_VALUE"""),"11:00-12:30")</f>
        <v>11:00-12:30</v>
      </c>
      <c r="N3" s="7"/>
    </row>
    <row r="4">
      <c r="A4" s="7" t="str">
        <f>IFERROR(__xludf.DUMMYFUNCTION("""COMPUTED_VALUE"""),"2585-CL")</f>
        <v>2585-CL</v>
      </c>
      <c r="B4" s="7" t="str">
        <f>IFERROR(__xludf.DUMMYFUNCTION("""COMPUTED_VALUE"""),"Compositionality and Sentence Meaning: Comparing Semantic Parsing and Transformers on a Challenging Sentence Similarity Dataset")</f>
        <v>Compositionality and Sentence Meaning: Comparing Semantic Parsing and Transformers on a Challenging Sentence Similarity Dataset</v>
      </c>
      <c r="C4" s="7" t="str">
        <f>IFERROR(__xludf.DUMMYFUNCTION("""COMPUTED_VALUE"""),"One of the major outstanding questions in computational semantics is how humans integrate the meaning of individual words into a sentence in a way that enables understanding of complex and novel combinations of words, a phenomenon known as compositionalit"&amp;"y. Two major approaches to modelling the process of compositionality are vector-based models, in which the meaning of a sentence is represented as a vector of numbers, and syntax-based models, in which the meaning of a sentence is represented as a structu"&amp;"red tree of labelled components. A major barrier in assessing and comparing these contrasting approaches is the lack of large, relevant datasets for model comparison. This paper aims to address this gap by introducing a new dataset, STS3k, which consists "&amp;"of 2,800 pairs of sentences rated for semantic similarity by human participants. The sentence pairs have been selected to systematically vary different combinations of words, providing a rigorous test and enabling a clearer picture of the comparative stre"&amp;"ngths and weaknesses of vector-based and syntax-based methods. Our results show that when tested on the new STS3k dataset, state-of-the-art transformers poorly capture the pattern of human semantic similarity judgments, while even simple methods for combi"&amp;"ning syntax- and vector-based components into a novel hybrid model yield substantial improvements. We further show that this improvement is due to the ability of the hybrid model to replicate human sensitivity to specific changes in sentence structure. Ou"&amp;"r findings provide evidence for the value of integrating multiple methods to better reflect the way in which humans mentally represent compositional meaning.")</f>
        <v>One of the major outstanding questions in computational semantics is how humans integrate the meaning of individual words into a sentence in a way that enables understanding of complex and novel combinations of words, a phenomenon known as compositionality. Two major approaches to modelling the process of compositionality are vector-based models, in which the meaning of a sentence is represented as a vector of numbers, and syntax-based models, in which the meaning of a sentence is represented as a structured tree of labelled components. A major barrier in assessing and comparing these contrasting approaches is the lack of large, relevant datasets for model comparison. This paper aims to address this gap by introducing a new dataset, STS3k, which consists of 2,800 pairs of sentences rated for semantic similarity by human participants. The sentence pairs have been selected to systematically vary different combinations of words, providing a rigorous test and enabling a clearer picture of the comparative strengths and weaknesses of vector-based and syntax-based methods. Our results show that when tested on the new STS3k dataset, state-of-the-art transformers poorly capture the pattern of human semantic similarity judgments, while even simple methods for combining syntax- and vector-based components into a novel hybrid model yield substantial improvements. We further show that this improvement is due to the ability of the hybrid model to replicate human sensitivity to specific changes in sentence structure. Our findings provide evidence for the value of integrating multiple methods to better reflect the way in which humans mentally represent compositional meaning.</v>
      </c>
      <c r="D4" s="7" t="str">
        <f>IFERROR(__xludf.DUMMYFUNCTION("""COMPUTED_VALUE"""),"James Fodor")</f>
        <v>James Fodor</v>
      </c>
      <c r="E4" s="7" t="str">
        <f>IFERROR(__xludf.DUMMYFUNCTION("""COMPUTED_VALUE"""),"Yes")</f>
        <v>Yes</v>
      </c>
      <c r="F4" s="7" t="str">
        <f>IFERROR(__xludf.DUMMYFUNCTION("""COMPUTED_VALUE"""),"IP-Poster")</f>
        <v>IP-Poster</v>
      </c>
      <c r="G4" s="7" t="str">
        <f>IFERROR(__xludf.DUMMYFUNCTION("""COMPUTED_VALUE"""),"In-Person")</f>
        <v>In-Person</v>
      </c>
      <c r="H4" s="7" t="str">
        <f>IFERROR(__xludf.DUMMYFUNCTION("""COMPUTED_VALUE"""),"Hall 4/5")</f>
        <v>Hall 4/5</v>
      </c>
      <c r="I4" s="7" t="str">
        <f>IFERROR(__xludf.DUMMYFUNCTION("""COMPUTED_VALUE"""),"Session 2: IP-Posters ")</f>
        <v>Session 2: IP-Posters </v>
      </c>
      <c r="J4" s="7" t="str">
        <f>IFERROR(__xludf.DUMMYFUNCTION("""COMPUTED_VALUE"""),"Poster Session 1")</f>
        <v>Poster Session 1</v>
      </c>
      <c r="K4" s="7"/>
      <c r="L4" s="8">
        <f>IFERROR(__xludf.DUMMYFUNCTION("""COMPUTED_VALUE"""),45866.0)</f>
        <v>45866</v>
      </c>
      <c r="M4" s="7" t="str">
        <f>IFERROR(__xludf.DUMMYFUNCTION("""COMPUTED_VALUE"""),"11:00-12:30")</f>
        <v>11:00-12:30</v>
      </c>
      <c r="N4" s="7"/>
    </row>
    <row r="5">
      <c r="A5" s="7" t="str">
        <f>IFERROR(__xludf.DUMMYFUNCTION("""COMPUTED_VALUE"""),"2594-CL")</f>
        <v>2594-CL</v>
      </c>
      <c r="B5" s="7" t="str">
        <f>IFERROR(__xludf.DUMMYFUNCTION("""COMPUTED_VALUE"""),"Exploring temporal sensitivity in the brain using multi-timescale language models: an EEG decoding study")</f>
        <v>Exploring temporal sensitivity in the brain using multi-timescale language models: an EEG decoding study</v>
      </c>
      <c r="C5" s="7" t="str">
        <f>IFERROR(__xludf.DUMMYFUNCTION("""COMPUTED_VALUE"""),"The brain's ability to perform complex computations at varying timescales is crucial, ranging from understanding single words to grasping the overarching narrative of a story. Recently, multi-timescale long short-term memory (MT-LSTM) models (Mahto et al."&amp;" 2020; Jain et al. 2020) have been introduced to use temporally-tuned parameters to induce sensitivity to different timescales of language processing (i.e. related to near/distant words). However, whether the temporally-tuned information processing in MT-"&amp;"LSTMs is similar to the brain has not been explored using high temporal resolution recording modalities such as electroencephalography (EEG).To bridge this gap, we used an EEG dataset recorded while participants listened to Chapter 1 of ""Alice in Wonderl"&amp;"and"" and trained ridge regression models to predict the temporally-tuned MT-LSTM embeddings from EEG responses. Our analysis reveals that EEG signal segments can effectively predict MT-LSTM embeddings across various timescales. For longer timescales, pre"&amp;"dictions are significant within an extended time window of Â±2 s around word onset, while for shorter timescales, significant predictions are confined to a narrow window ranging from -180 ms to 790 ms. Intriguingly, we observed that short timescale inform"&amp;"ation is not only processed in the vicinity of word onset but also at distant time points. % , specifically at -1 and +2 s.These observations underscore the parallels and discrepancies between computational models and the neural mechanisms of the brain. A"&amp;"s word embeddings are used more as \textit{in silico} models of semantic representation in the brain, the ability to induce word embeddings, tuned to different timescales, allows for an ever-increasing range of questions in language processing in humans a"&amp;"nd machines to be addressed via brain-model analyses.")</f>
        <v>The brain's ability to perform complex computations at varying timescales is crucial, ranging from understanding single words to grasping the overarching narrative of a story. Recently, multi-timescale long short-term memory (MT-LSTM) models (Mahto et al. 2020; Jain et al. 2020) have been introduced to use temporally-tuned parameters to induce sensitivity to different timescales of language processing (i.e. related to near/distant words). However, whether the temporally-tuned information processing in MT-LSTMs is similar to the brain has not been explored using high temporal resolution recording modalities such as electroencephalography (EEG).To bridge this gap, we used an EEG dataset recorded while participants listened to Chapter 1 of "Alice in Wonderland" and trained ridge regression models to predict the temporally-tuned MT-LSTM embeddings from EEG responses. Our analysis reveals that EEG signal segments can effectively predict MT-LSTM embeddings across various timescales. For longer timescales, predictions are significant within an extended time window of Â±2 s around word onset, while for shorter timescales, significant predictions are confined to a narrow window ranging from -180 ms to 790 ms. Intriguingly, we observed that short timescale information is not only processed in the vicinity of word onset but also at distant time points. % , specifically at -1 and +2 s.These observations underscore the parallels and discrepancies between computational models and the neural mechanisms of the brain. As word embeddings are used more as \textit{in silico} models of semantic representation in the brain, the ability to induce word embeddings, tuned to different timescales, allows for an ever-increasing range of questions in language processing in humans and machines to be addressed via brain-model analyses.</v>
      </c>
      <c r="D5" s="7" t="str">
        <f>IFERROR(__xludf.DUMMYFUNCTION("""COMPUTED_VALUE"""),"Sijie Ling")</f>
        <v>Sijie Ling</v>
      </c>
      <c r="E5" s="7" t="str">
        <f>IFERROR(__xludf.DUMMYFUNCTION("""COMPUTED_VALUE"""),"Yes")</f>
        <v>Yes</v>
      </c>
      <c r="F5" s="7" t="str">
        <f>IFERROR(__xludf.DUMMYFUNCTION("""COMPUTED_VALUE"""),"IP-Poster")</f>
        <v>IP-Poster</v>
      </c>
      <c r="G5" s="7" t="str">
        <f>IFERROR(__xludf.DUMMYFUNCTION("""COMPUTED_VALUE"""),"In-Person")</f>
        <v>In-Person</v>
      </c>
      <c r="H5" s="7" t="str">
        <f>IFERROR(__xludf.DUMMYFUNCTION("""COMPUTED_VALUE"""),"Hall 4/5")</f>
        <v>Hall 4/5</v>
      </c>
      <c r="I5" s="7" t="str">
        <f>IFERROR(__xludf.DUMMYFUNCTION("""COMPUTED_VALUE"""),"Session 2: IP-Posters ")</f>
        <v>Session 2: IP-Posters </v>
      </c>
      <c r="J5" s="7" t="str">
        <f>IFERROR(__xludf.DUMMYFUNCTION("""COMPUTED_VALUE"""),"Poster Session 1")</f>
        <v>Poster Session 1</v>
      </c>
      <c r="K5" s="7"/>
      <c r="L5" s="8">
        <f>IFERROR(__xludf.DUMMYFUNCTION("""COMPUTED_VALUE"""),45866.0)</f>
        <v>45866</v>
      </c>
      <c r="M5" s="7" t="str">
        <f>IFERROR(__xludf.DUMMYFUNCTION("""COMPUTED_VALUE"""),"11:00-12:30")</f>
        <v>11:00-12:30</v>
      </c>
      <c r="N5" s="7"/>
    </row>
    <row r="6">
      <c r="A6" s="7" t="str">
        <f>IFERROR(__xludf.DUMMYFUNCTION("""COMPUTED_VALUE"""),"2597-CL")</f>
        <v>2597-CL</v>
      </c>
      <c r="B6" s="7" t="str">
        <f>IFERROR(__xludf.DUMMYFUNCTION("""COMPUTED_VALUE"""),"Usage-based Grammar Induction from Minimal Cognitive Principles")</f>
        <v>Usage-based Grammar Induction from Minimal Cognitive Principles</v>
      </c>
      <c r="C6" s="7" t="str">
        <f>IFERROR(__xludf.DUMMYFUNCTION("""COMPUTED_VALUE"""),"This study explores the cognitive mechanisms underlying human language acquisition through grammar induction by a minimal cognitive architecture, with a short and flexible sequence memory as its most central feature. We use reinforcement learning for the "&amp;"task of identifying sentences in a stream of words from artificial languages. Results demonstrate the modelâs ability to identify frequent and informative multi-word chunks, reproducing characteristics of natural language acquisition. The model successf"&amp;"ully navigates varying degrees of linguistic complexity, exposing efficient adaptation to combinatorial challenges through the reuse of sequential patterns. The emergence of parsimonious tree structures suggests an optimization for the sentence identifica"&amp;"tion task, balancing economy and information. The cognitive architecture reflects aspects of human memory systems and decision-making processes, enhancing its cognitive plausibility. While the model exhibits limitations in generalization and semantic repr"&amp;"esentation, its minimalist nature offers insights into some fundamental mechanisms of language learning. Our study demonstrates the power of this simple architecture and stresses the importance of sequence memory in language learning. Since other animals "&amp;"do not seem to have faithful sequence memory, this may be a key to understanding why only humans have developed complex languages.")</f>
        <v>This study explores the cognitive mechanisms underlying human language acquisition through grammar induction by a minimal cognitive architecture, with a short and flexible sequence memory as its most central feature. We use reinforcement learning for the task of identifying sentences in a stream of words from artificial languages. Results demonstrate the modelâ_x0080__x0099_s ability to identify frequent and informative multi-word chunks, reproducing characteristics of natural language acquisition. The model successfully navigates varying degrees of linguistic complexity, exposing efficient adaptation to combinatorial challenges through the reuse of sequential patterns. The emergence of parsimonious tree structures suggests an optimization for the sentence identification task, balancing economy and information. The cognitive architecture reflects aspects of human memory systems and decision-making processes, enhancing its cognitive plausibility. While the model exhibits limitations in generalization and semantic representation, its minimalist nature offers insights into some fundamental mechanisms of language learning. Our study demonstrates the power of this simple architecture and stresses the importance of sequence memory in language learning. Since other animals do not seem to have faithful sequence memory, this may be a key to understanding why only humans have developed complex languages.</v>
      </c>
      <c r="D6" s="7" t="str">
        <f>IFERROR(__xludf.DUMMYFUNCTION("""COMPUTED_VALUE"""),"Jérôme Michaud")</f>
        <v>Jérôme Michaud</v>
      </c>
      <c r="E6" s="7" t="str">
        <f>IFERROR(__xludf.DUMMYFUNCTION("""COMPUTED_VALUE"""),"Yes")</f>
        <v>Yes</v>
      </c>
      <c r="F6" s="7" t="str">
        <f>IFERROR(__xludf.DUMMYFUNCTION("""COMPUTED_VALUE"""),"IP-Poster")</f>
        <v>IP-Poster</v>
      </c>
      <c r="G6" s="7" t="str">
        <f>IFERROR(__xludf.DUMMYFUNCTION("""COMPUTED_VALUE"""),"In-Person")</f>
        <v>In-Person</v>
      </c>
      <c r="H6" s="7" t="str">
        <f>IFERROR(__xludf.DUMMYFUNCTION("""COMPUTED_VALUE"""),"Hall 4/5")</f>
        <v>Hall 4/5</v>
      </c>
      <c r="I6" s="7" t="str">
        <f>IFERROR(__xludf.DUMMYFUNCTION("""COMPUTED_VALUE"""),"Session 2: IP-Posters ")</f>
        <v>Session 2: IP-Posters </v>
      </c>
      <c r="J6" s="7" t="str">
        <f>IFERROR(__xludf.DUMMYFUNCTION("""COMPUTED_VALUE"""),"Poster Session 1")</f>
        <v>Poster Session 1</v>
      </c>
      <c r="K6" s="7"/>
      <c r="L6" s="8">
        <f>IFERROR(__xludf.DUMMYFUNCTION("""COMPUTED_VALUE"""),45866.0)</f>
        <v>45866</v>
      </c>
      <c r="M6" s="7" t="str">
        <f>IFERROR(__xludf.DUMMYFUNCTION("""COMPUTED_VALUE"""),"11:00-12:30")</f>
        <v>11:00-12:30</v>
      </c>
      <c r="N6" s="7"/>
    </row>
    <row r="7">
      <c r="A7" s="7" t="str">
        <f>IFERROR(__xludf.DUMMYFUNCTION("""COMPUTED_VALUE"""),"2599-CL")</f>
        <v>2599-CL</v>
      </c>
      <c r="B7" s="7" t="str">
        <f>IFERROR(__xludf.DUMMYFUNCTION("""COMPUTED_VALUE"""),"Humans Learn Language from Situated Communicative Interactions. What about Machines?")</f>
        <v>Humans Learn Language from Situated Communicative Interactions. What about Machines?</v>
      </c>
      <c r="C7" s="7" t="str">
        <f>IFERROR(__xludf.DUMMYFUNCTION("""COMPUTED_VALUE"""),"Humans acquire their native languages by actively taking part in communicative interactions with their caregivers. These interactions are meaningful, intentional and situated in their everyday environment. The situated and communicative nature of the inte"&amp;"ractions is essential to the language acquisition process, as language learners depend on clues provided by the communicative environment to make sense of the utterances they perceive. As such, the linguistic knowledge they build up is rooted in linguisti"&amp;"c forms, their meaning and their communicative function. When it comes to machines, the situated, communicative and interactional aspects of language learning are often passed over. This applies in particular to today's large language models (LLMs), where"&amp;" the input is purely text-based, and where the distribution of character groups or words serves as a basis for modelling the meaning of linguistic expressions. In this paper, we argue that this design choice lies at the root of a number of important limit"&amp;"ations, in particular regarding the data hungriness of the models, their limited ability to perform logical and pragmatic reasoning, and their susceptibility to biases. At the same time, we make a case for an alternative approach that models how artificia"&amp;"l agents can acquire linguistic structures by participating in situated communicative interactions. Through a selection of experiments, we show how the linguistic knowledge that is captured in the resulting models is of a fundamentally different nature th"&amp;"an the knowledge captured by LLMs, and argue that this change of perspective provides a promising path towards more human-like language processing in machines.")</f>
        <v>Humans acquire their native languages by actively taking part in communicative interactions with their caregivers. These interactions are meaningful, intentional and situated in their everyday environment. The situated and communicative nature of the interactions is essential to the language acquisition process, as language learners depend on clues provided by the communicative environment to make sense of the utterances they perceive. As such, the linguistic knowledge they build up is rooted in linguistic forms, their meaning and their communicative function. When it comes to machines, the situated, communicative and interactional aspects of language learning are often passed over. This applies in particular to today's large language models (LLMs), where the input is purely text-based, and where the distribution of character groups or words serves as a basis for modelling the meaning of linguistic expressions. In this paper, we argue that this design choice lies at the root of a number of important limitations, in particular regarding the data hungriness of the models, their limited ability to perform logical and pragmatic reasoning, and their susceptibility to biases. At the same time, we make a case for an alternative approach that models how artificial agents can acquire linguistic structures by participating in situated communicative interactions. Through a selection of experiments, we show how the linguistic knowledge that is captured in the resulting models is of a fundamentally different nature than the knowledge captured by LLMs, and argue that this change of perspective provides a promising path towards more human-like language processing in machines.</v>
      </c>
      <c r="D7" s="7" t="str">
        <f>IFERROR(__xludf.DUMMYFUNCTION("""COMPUTED_VALUE"""),"Katrien Buels")</f>
        <v>Katrien Buels</v>
      </c>
      <c r="E7" s="7" t="str">
        <f>IFERROR(__xludf.DUMMYFUNCTION("""COMPUTED_VALUE"""),"Yes")</f>
        <v>Yes</v>
      </c>
      <c r="F7" s="7" t="str">
        <f>IFERROR(__xludf.DUMMYFUNCTION("""COMPUTED_VALUE"""),"IP-Poster")</f>
        <v>IP-Poster</v>
      </c>
      <c r="G7" s="7" t="str">
        <f>IFERROR(__xludf.DUMMYFUNCTION("""COMPUTED_VALUE"""),"In-Person")</f>
        <v>In-Person</v>
      </c>
      <c r="H7" s="7" t="str">
        <f>IFERROR(__xludf.DUMMYFUNCTION("""COMPUTED_VALUE"""),"Hall 4/5")</f>
        <v>Hall 4/5</v>
      </c>
      <c r="I7" s="7" t="str">
        <f>IFERROR(__xludf.DUMMYFUNCTION("""COMPUTED_VALUE"""),"Session 2: IP-Posters ")</f>
        <v>Session 2: IP-Posters </v>
      </c>
      <c r="J7" s="7" t="str">
        <f>IFERROR(__xludf.DUMMYFUNCTION("""COMPUTED_VALUE"""),"Poster Session 1")</f>
        <v>Poster Session 1</v>
      </c>
      <c r="K7" s="7"/>
      <c r="L7" s="8">
        <f>IFERROR(__xludf.DUMMYFUNCTION("""COMPUTED_VALUE"""),45866.0)</f>
        <v>45866</v>
      </c>
      <c r="M7" s="7" t="str">
        <f>IFERROR(__xludf.DUMMYFUNCTION("""COMPUTED_VALUE"""),"11:00-12:30")</f>
        <v>11:00-12:30</v>
      </c>
      <c r="N7" s="7"/>
    </row>
    <row r="8">
      <c r="A8" s="7" t="str">
        <f>IFERROR(__xludf.DUMMYFUNCTION("""COMPUTED_VALUE"""),"2691-CL")</f>
        <v>2691-CL</v>
      </c>
      <c r="B8" s="7" t="str">
        <f>IFERROR(__xludf.DUMMYFUNCTION("""COMPUTED_VALUE"""),"Neural Semantic Parsing with Extremely Rich Symbolic Meaning Representations")</f>
        <v>Neural Semantic Parsing with Extremely Rich Symbolic Meaning Representations</v>
      </c>
      <c r="C8" s="7" t="str">
        <f>IFERROR(__xludf.DUMMYFUNCTION("""COMPUTED_VALUE"""),"Current open-domain neural semantics parsers show impressive performance. However, closer inspection of the symbolic meaning representations they produce reveals significant weaknesses: sometimes they tend to merely copy character sequences from the sourc"&amp;"e text to form symbolic concepts, defaulting to the most frequent word sense based in the training distribution. By leveraging the hierarchical structure of a lexical ontology, we introduce a novel compositional symbolic representation for concepts based "&amp;"on their position in the taxonomical hierarchy. This representation provides richer semantic information and enhances interpretability. We introduce a neural ""taxonomical"" semantic parser Â to utilize this new representation system of predicates, and co"&amp;"mpare it with a standard neural semantic parser trained on the traditional meaning representation format, employing a novel challenge set and evaluation metric for evaluation. Our experimental findings demonstrate that the taxonomical model, trained on mu"&amp;"ch richer and complex meaning representations, is slightly subordinate in performance to the traditional model using the standard metrics for evaluation, but outperforms it when dealing with out-of-vocabulary concepts. We further showed through neural mod"&amp;"el probing that training on a taxonomic representation enhances the model's ability to learn the taxonomical hierarchy. This finding is encouraging for research in computational semantics that aims to combine data-driven distributional meanings with knowl"&amp;"edge-based symbolic representations.")</f>
        <v>Current open-domain neural semantics parsers show impressive performance. However, closer inspection of the symbolic meaning representations they produce reveals significant weaknesses: sometimes they tend to merely copy character sequences from the source text to form symbolic concepts, defaulting to the most frequent word sense based in the training distribution. By leveraging the hierarchical structure of a lexical ontology, we introduce a novel compositional symbolic representation for concepts based on their position in the taxonomical hierarchy. This representation provides richer semantic information and enhances interpretability. We introduce a neural "taxonomical" semantic parser Â to utilize this new representation system of predicates, and compare it with a standard neural semantic parser trained on the traditional meaning representation format, employing a novel challenge set and evaluation metric for evaluation. Our experimental findings demonstrate that the taxonomical model, trained on much richer and complex meaning representations, is slightly subordinate in performance to the traditional model using the standard metrics for evaluation, but outperforms it when dealing with out-of-vocabulary concepts. We further showed through neural model probing that training on a taxonomic representation enhances the model's ability to learn the taxonomical hierarchy. This finding is encouraging for research in computational semantics that aims to combine data-driven distributional meanings with knowledge-based symbolic representations.</v>
      </c>
      <c r="D8" s="7" t="str">
        <f>IFERROR(__xludf.DUMMYFUNCTION("""COMPUTED_VALUE"""),"Xiao Zhang")</f>
        <v>Xiao Zhang</v>
      </c>
      <c r="E8" s="7" t="str">
        <f>IFERROR(__xludf.DUMMYFUNCTION("""COMPUTED_VALUE"""),"Yes")</f>
        <v>Yes</v>
      </c>
      <c r="F8" s="7" t="str">
        <f>IFERROR(__xludf.DUMMYFUNCTION("""COMPUTED_VALUE"""),"IP-Poster")</f>
        <v>IP-Poster</v>
      </c>
      <c r="G8" s="7" t="str">
        <f>IFERROR(__xludf.DUMMYFUNCTION("""COMPUTED_VALUE"""),"In-Person")</f>
        <v>In-Person</v>
      </c>
      <c r="H8" s="7" t="str">
        <f>IFERROR(__xludf.DUMMYFUNCTION("""COMPUTED_VALUE"""),"Hall 4/5")</f>
        <v>Hall 4/5</v>
      </c>
      <c r="I8" s="7" t="str">
        <f>IFERROR(__xludf.DUMMYFUNCTION("""COMPUTED_VALUE"""),"Session 2: IP-Posters ")</f>
        <v>Session 2: IP-Posters </v>
      </c>
      <c r="J8" s="7" t="str">
        <f>IFERROR(__xludf.DUMMYFUNCTION("""COMPUTED_VALUE"""),"Poster Session 1")</f>
        <v>Poster Session 1</v>
      </c>
      <c r="K8" s="7"/>
      <c r="L8" s="8">
        <f>IFERROR(__xludf.DUMMYFUNCTION("""COMPUTED_VALUE"""),45866.0)</f>
        <v>45866</v>
      </c>
      <c r="M8" s="7" t="str">
        <f>IFERROR(__xludf.DUMMYFUNCTION("""COMPUTED_VALUE"""),"11:00-12:30")</f>
        <v>11:00-12:30</v>
      </c>
      <c r="N8" s="7"/>
    </row>
    <row r="9">
      <c r="A9" s="7" t="str">
        <f>IFERROR(__xludf.DUMMYFUNCTION("""COMPUTED_VALUE"""),"2725-CL")</f>
        <v>2725-CL</v>
      </c>
      <c r="B9" s="7" t="str">
        <f>IFERROR(__xludf.DUMMYFUNCTION("""COMPUTED_VALUE"""),"Investigating Idiomaticity in Word Representations")</f>
        <v>Investigating Idiomaticity in Word Representations</v>
      </c>
      <c r="C9" s="7" t="str">
        <f>IFERROR(__xludf.DUMMYFUNCTION("""COMPUTED_VALUE"""),"Idiomatic expressions are an integral part of human languages, often used to express complex ideas in compressed or conventional ways (e.g., eager beaver as a keen and enthusiastic person). However, their interpretations may not be straightforwardly linke"&amp;"d to the meanings of their individual components in isolation and this may have an impact for compositional approaches. In this article, we investigate to what extent word representation models are able to go beyond compositional word combinations and cap"&amp;"ture multiword expression idiomaticity and some of the expected properties related to idiomatic meanings. We focus on noun compounds of varying levels of idiomaticity in two languages (English and Portuguese), presenting a dataset of minimal pairs contain"&amp;"ing human idiomaticity judgments for each noun compound at both type and token levels, their paraphrases and their occurrences in naturalistic and sense-neutral contexts, totalling 32,200 sentences. We propose this set of minimal pairs for evaluating how "&amp;"well a model captures idiomatic meanings, and define a set of fine-grained metrics of Affinity and Scaled Similarity, to determine how sensitive the models are to perturbations that may lead to changes in idiomaticity. Affinity is a comparative measure of"&amp;" the similarity between an experimental item, a target and a potential distractor, and Scaled Similarity incorporates a rescaling factor to magnify the meaningful similarities within the spaces defined by each specific model. The results obtained with a v"&amp;"ariety of representative and widely used models indicate that, despite superficial indications to the contrary in the form of high similarities, idiomaticity is not yet accurately represented in current models. Moreover, the performance of models with dif"&amp;"ferent levels of contextualization suggests that their ability to capture context is not yet able to go beyond more superficial lexical clues provided by the words and to actually incorporate the relevant semantic clues needed for idiomaticity. By proposi"&amp;"ng model-agnostic measures for assessing the ability of models to capture idiomaticity, this article contributes to determining limitations in the handling of non-compositional structures, which is one of the directions that needs to be considered for mor"&amp;"e natural, accurate, and robust language understanding. The source code and additional materials related to this paper are available at our GitHub repository.")</f>
        <v>Idiomatic expressions are an integral part of human languages, often used to express complex ideas in compressed or conventional ways (e.g., eager beaver as a keen and enthusiastic person). However, their interpretations may not be straightforwardly linked to the meanings of their individual components in isolation and this may have an impact for compositional approaches. In this article, we investigate to what extent word representation models are able to go beyond compositional word combinations and capture multiword expression idiomaticity and some of the expected properties related to idiomatic meanings. We focus on noun compounds of varying levels of idiomaticity in two languages (English and Portuguese), presenting a dataset of minimal pairs containing human idiomaticity judgments for each noun compound at both type and token levels, their paraphrases and their occurrences in naturalistic and sense-neutral contexts, totalling 32,200 sentences. We propose this set of minimal pairs for evaluating how well a model captures idiomatic meanings, and define a set of fine-grained metrics of Affinity and Scaled Similarity, to determine how sensitive the models are to perturbations that may lead to changes in idiomaticity. Affinity is a comparative measure of the similarity between an experimental item, a target and a potential distractor, and Scaled Similarity incorporates a rescaling factor to magnify the meaningful similarities within the spaces defined by each specific model. The results obtained with a variety of representative and widely used models indicate that, despite superficial indications to the contrary in the form of high similarities, idiomaticity is not yet accurately represented in current models. Moreover, the performance of models with different levels of contextualization suggests that their ability to capture context is not yet able to go beyond more superficial lexical clues provided by the words and to actually incorporate the relevant semantic clues needed for idiomaticity. By proposing model-agnostic measures for assessing the ability of models to capture idiomaticity, this article contributes to determining limitations in the handling of non-compositional structures, which is one of the directions that needs to be considered for more natural, accurate, and robust language understanding. The source code and additional materials related to this paper are available at our GitHub repository.</v>
      </c>
      <c r="D9" s="7" t="str">
        <f>IFERROR(__xludf.DUMMYFUNCTION("""COMPUTED_VALUE"""),"Aline Villavicencio")</f>
        <v>Aline Villavicencio</v>
      </c>
      <c r="E9" s="7" t="str">
        <f>IFERROR(__xludf.DUMMYFUNCTION("""COMPUTED_VALUE"""),"Yes")</f>
        <v>Yes</v>
      </c>
      <c r="F9" s="7" t="str">
        <f>IFERROR(__xludf.DUMMYFUNCTION("""COMPUTED_VALUE"""),"IP-Poster")</f>
        <v>IP-Poster</v>
      </c>
      <c r="G9" s="7" t="str">
        <f>IFERROR(__xludf.DUMMYFUNCTION("""COMPUTED_VALUE"""),"In-Person")</f>
        <v>In-Person</v>
      </c>
      <c r="H9" s="7" t="str">
        <f>IFERROR(__xludf.DUMMYFUNCTION("""COMPUTED_VALUE"""),"Hall 4/5")</f>
        <v>Hall 4/5</v>
      </c>
      <c r="I9" s="7" t="str">
        <f>IFERROR(__xludf.DUMMYFUNCTION("""COMPUTED_VALUE"""),"Session 2: IP-Posters ")</f>
        <v>Session 2: IP-Posters </v>
      </c>
      <c r="J9" s="7" t="str">
        <f>IFERROR(__xludf.DUMMYFUNCTION("""COMPUTED_VALUE"""),"Poster Session 1")</f>
        <v>Poster Session 1</v>
      </c>
      <c r="K9" s="7"/>
      <c r="L9" s="8">
        <f>IFERROR(__xludf.DUMMYFUNCTION("""COMPUTED_VALUE"""),45866.0)</f>
        <v>45866</v>
      </c>
      <c r="M9" s="7" t="str">
        <f>IFERROR(__xludf.DUMMYFUNCTION("""COMPUTED_VALUE"""),"11:00-12:30")</f>
        <v>11:00-12:30</v>
      </c>
      <c r="N9" s="7"/>
    </row>
    <row r="10">
      <c r="A10" s="7" t="str">
        <f>IFERROR(__xludf.DUMMYFUNCTION("""COMPUTED_VALUE"""),"2771-CL")</f>
        <v>2771-CL</v>
      </c>
      <c r="B10" s="7" t="str">
        <f>IFERROR(__xludf.DUMMYFUNCTION("""COMPUTED_VALUE"""),"Graded Suspiciousness of Adversarial Texts to Humans")</f>
        <v>Graded Suspiciousness of Adversarial Texts to Humans</v>
      </c>
      <c r="C10" s="7" t="str">
        <f>IFERROR(__xludf.DUMMYFUNCTION("""COMPUTED_VALUE"""),"Adversarial examples pose a significant challenge to deep neural networks across both image and text domains, with the intent to degrade model performance through carefully altered inputs. Adversarial texts, however, are distinct from adversarial images d"&amp;"ue to their requirement for semantic similarity and the discrete nature of the textual contents. This study delves into the concept of human suspiciousness, a quality distinct from the traditional focus on imperceptibility found in image-based adversarial"&amp;" examples, where adversarial changes are often desired to be indistinguishable to the human eye even when placed side by side with originals. Although this is generally not possible with text, textual adversarial content must still often remain undetected"&amp;" or non-suspicious to human readers. Even when the text’s purpose is to deceive NLP systems or bypass filters, the text is often expected to be natural to read. In this research, we expand the study of human suspiciousness by analyzing how individuals per"&amp;"ceive adversarial texts. We gather and publish a novel dataset of Likert-scale human evaluations on the suspiciousness of adversarial sentences, crafted by four widely used adversarial attack methods and assess their correlation with the human ability to "&amp;"detect machine-generated alterations. Additionally, we develop a regression-based model to predict levels of suspiciousness and establish a baseline for future research in reducing the suspiciousness in adversarial text generation. We also demonstrate how"&amp;" the regressor-generated suspicious scores can be incorporated into adversarial generation methods to produce texts that are less likely to be perceived as computer-generated.")</f>
        <v>Adversarial examples pose a significant challenge to deep neural networks across both image and text domains, with the intent to degrade model performance through carefully altered inputs. Adversarial texts, however, are distinct from adversarial images due to their requirement for semantic similarity and the discrete nature of the textual contents. This study delves into the concept of human suspiciousness, a quality distinct from the traditional focus on imperceptibility found in image-based adversarial examples, where adversarial changes are often desired to be indistinguishable to the human eye even when placed side by side with originals. Although this is generally not possible with text, textual adversarial content must still often remain undetected or non-suspicious to human readers. Even when the text’s purpose is to deceive NLP systems or bypass filters, the text is often expected to be natural to read. In this research, we expand the study of human suspiciousness by analyzing how individuals perceive adversarial texts. We gather and publish a novel dataset of Likert-scale human evaluations on the suspiciousness of adversarial sentences, crafted by four widely used adversarial attack methods and assess their correlation with the human ability to detect machine-generated alterations. Additionally, we develop a regression-based model to predict levels of suspiciousness and establish a baseline for future research in reducing the suspiciousness in adversarial text generation. We also demonstrate how the regressor-generated suspicious scores can be incorporated into adversarial generation methods to produce texts that are less likely to be perceived as computer-generated.</v>
      </c>
      <c r="D10" s="7" t="str">
        <f>IFERROR(__xludf.DUMMYFUNCTION("""COMPUTED_VALUE"""),"Shakila Mahjabin Tonni ")</f>
        <v>Shakila Mahjabin Tonni </v>
      </c>
      <c r="E10" s="7" t="str">
        <f>IFERROR(__xludf.DUMMYFUNCTION("""COMPUTED_VALUE"""),"Yes")</f>
        <v>Yes</v>
      </c>
      <c r="F10" s="7" t="str">
        <f>IFERROR(__xludf.DUMMYFUNCTION("""COMPUTED_VALUE"""),"IP-Poster")</f>
        <v>IP-Poster</v>
      </c>
      <c r="G10" s="7" t="str">
        <f>IFERROR(__xludf.DUMMYFUNCTION("""COMPUTED_VALUE"""),"In-Person")</f>
        <v>In-Person</v>
      </c>
      <c r="H10" s="7" t="str">
        <f>IFERROR(__xludf.DUMMYFUNCTION("""COMPUTED_VALUE"""),"Hall 4/5")</f>
        <v>Hall 4/5</v>
      </c>
      <c r="I10" s="7" t="str">
        <f>IFERROR(__xludf.DUMMYFUNCTION("""COMPUTED_VALUE"""),"Session 10: IP-Posters")</f>
        <v>Session 10: IP-Posters</v>
      </c>
      <c r="J10" s="7" t="str">
        <f>IFERROR(__xludf.DUMMYFUNCTION("""COMPUTED_VALUE"""),"Poster Session 3")</f>
        <v>Poster Session 3</v>
      </c>
      <c r="K10" s="7"/>
      <c r="L10" s="8">
        <f>IFERROR(__xludf.DUMMYFUNCTION("""COMPUTED_VALUE"""),45867.0)</f>
        <v>45867</v>
      </c>
      <c r="M10" s="7" t="str">
        <f>IFERROR(__xludf.DUMMYFUNCTION("""COMPUTED_VALUE"""),"16:00-17:30")</f>
        <v>16:00-17:30</v>
      </c>
      <c r="N10" s="7"/>
    </row>
    <row r="11">
      <c r="A11" s="7" t="str">
        <f>IFERROR(__xludf.DUMMYFUNCTION("""COMPUTED_VALUE"""),"2782-CL")</f>
        <v>2782-CL</v>
      </c>
      <c r="B11" s="7" t="str">
        <f>IFERROR(__xludf.DUMMYFUNCTION("""COMPUTED_VALUE"""),"Eliciting and Improving the Causal Reasoning Abilities of Large Language Models with Conditional Statements")</f>
        <v>Eliciting and Improving the Causal Reasoning Abilities of Large Language Models with Conditional Statements</v>
      </c>
      <c r="C11" s="7" t="str">
        <f>IFERROR(__xludf.DUMMYFUNCTION("""COMPUTED_VALUE"""),"Causal reasoning, the ability to identify cause-and-effect relationships, is crucial in human thinking. Although large language models (LLMs) succeed in many NLP tasks, it is still challenging for them to conduct complex causal reasoning like abductive re"&amp;"asoning and counterfactual reasoning. Complex causal structures are rarely expressed explicitly in the text, which could make learning them challenging for LLMs. Given the fact that programming code may expresscausal relations more often and explicitly wi"&amp;"th conditional statements like if, we want to explore whether large language models of code (Code-LLMs) acquire better causal reasoning abilities, and whether code prompts better describe the causal structure than text prompts. Our experiments show that c"&amp;"ompared to general-purpose LLMs like LLAMA-2 and GPT-3, Code- LLMs like CODELLAMA and CODEX are significantly better in causal reasoning. Code prompts not only work well for Code-LLMs, but also help improve the performance of most general purpose LLMs. To"&amp;" understand why code prompts are effective, we intervene on the prompts from different aspects, and discover that the programming structure is crucial in code prompt design, while models are more robust towards format perturbations.We further explore whet"&amp;"her exposing models with more code with conditional statements aids in enhancing causal reasoning abilities.")</f>
        <v>Causal reasoning, the ability to identify cause-and-effect relationships, is crucial in human thinking. Although large language models (LLMs) succeed in many NLP tasks, it is still challenging for them to conduct complex causal reasoning like abductive reasoning and counterfactual reasoning. Complex causal structures are rarely expressed explicitly in the text, which could make learning them challenging for LLMs. Given the fact that programming code may expresscausal relations more often and explicitly with conditional statements like if, we want to explore whether large language models of code (Code-LLMs) acquire better causal reasoning abilities, and whether code prompts better describe the causal structure than text prompts. Our experiments show that compared to general-purpose LLMs like LLAMA-2 and GPT-3, Code- LLMs like CODELLAMA and CODEX are significantly better in causal reasoning. Code prompts not only work well for Code-LLMs, but also help improve the performance of most general purpose LLMs. To understand why code prompts are effective, we intervene on the prompts from different aspects, and discover that the programming structure is crucial in code prompt design, while models are more robust towards format perturbations.We further explore whether exposing models with more code with conditional statements aids in enhancing causal reasoning abilities.</v>
      </c>
      <c r="D11" s="7" t="str">
        <f>IFERROR(__xludf.DUMMYFUNCTION("""COMPUTED_VALUE"""),"Chen Zhang")</f>
        <v>Chen Zhang</v>
      </c>
      <c r="E11" s="7" t="str">
        <f>IFERROR(__xludf.DUMMYFUNCTION("""COMPUTED_VALUE"""),"Yes")</f>
        <v>Yes</v>
      </c>
      <c r="F11" s="7" t="str">
        <f>IFERROR(__xludf.DUMMYFUNCTION("""COMPUTED_VALUE"""),"IP-Poster")</f>
        <v>IP-Poster</v>
      </c>
      <c r="G11" s="7" t="str">
        <f>IFERROR(__xludf.DUMMYFUNCTION("""COMPUTED_VALUE"""),"In-Person")</f>
        <v>In-Person</v>
      </c>
      <c r="H11" s="7" t="str">
        <f>IFERROR(__xludf.DUMMYFUNCTION("""COMPUTED_VALUE"""),"Hall 4/5")</f>
        <v>Hall 4/5</v>
      </c>
      <c r="I11" s="7" t="str">
        <f>IFERROR(__xludf.DUMMYFUNCTION("""COMPUTED_VALUE"""),"Session 10: IP-Posters")</f>
        <v>Session 10: IP-Posters</v>
      </c>
      <c r="J11" s="7" t="str">
        <f>IFERROR(__xludf.DUMMYFUNCTION("""COMPUTED_VALUE"""),"Poster Session 3")</f>
        <v>Poster Session 3</v>
      </c>
      <c r="K11" s="7"/>
      <c r="L11" s="8">
        <f>IFERROR(__xludf.DUMMYFUNCTION("""COMPUTED_VALUE"""),45867.0)</f>
        <v>45867</v>
      </c>
      <c r="M11" s="7" t="str">
        <f>IFERROR(__xludf.DUMMYFUNCTION("""COMPUTED_VALUE"""),"16:00-17:30")</f>
        <v>16:00-17:30</v>
      </c>
      <c r="N11" s="7"/>
    </row>
    <row r="12">
      <c r="A12" s="7" t="str">
        <f>IFERROR(__xludf.DUMMYFUNCTION("""COMPUTED_VALUE"""),"2789-CL")</f>
        <v>2789-CL</v>
      </c>
      <c r="B12" s="7" t="str">
        <f>IFERROR(__xludf.DUMMYFUNCTION("""COMPUTED_VALUE"""),"BLiMP-NL: A Corpus of Dutch Minimal Pairs and Acceptability Judgments for Language Model Evaluation")</f>
        <v>BLiMP-NL: A Corpus of Dutch Minimal Pairs and Acceptability Judgments for Language Model Evaluation</v>
      </c>
      <c r="C12" s="7" t="str">
        <f>IFERROR(__xludf.DUMMYFUNCTION("""COMPUTED_VALUE"""),"We present a corpus of 8400 Dutch sentence pairs, intended primarily for the grammatical evaluation of language models. Each pair consists of a grammatical sentence and a minimally different ungrammatical sentence. The corpus covers 84 paradigms, classifi"&amp;"ed into 22 syntactic phenomena. Ten sentence pairs of each paradigm were created by hand, while the remaining ninety were generated semi-automatically and manually validated afterwards. Nine of the ten hand-crafted sentences of each paradigm are rated for"&amp;" acceptability by at least 30 participants each, and for the same 9 sentences reading times are recorded per word, through self-paced reading.Â  Here, we report on the construction of the dataset, the measured acceptability ratings and reading times, as w"&amp;"ell as the extent to which a variety of language models can be used to predict both the ground-truth grammaticality and human acceptability ratings.")</f>
        <v>We present a corpus of 8400 Dutch sentence pairs, intended primarily for the grammatical evaluation of language models. Each pair consists of a grammatical sentence and a minimally different ungrammatical sentence. The corpus covers 84 paradigms, classified into 22 syntactic phenomena. Ten sentence pairs of each paradigm were created by hand, while the remaining ninety were generated semi-automatically and manually validated afterwards. Nine of the ten hand-crafted sentences of each paradigm are rated for acceptability by at least 30 participants each, and for the same 9 sentences reading times are recorded per word, through self-paced reading.Â  Here, we report on the construction of the dataset, the measured acceptability ratings and reading times, as well as the extent to which a variety of language models can be used to predict both the ground-truth grammaticality and human acceptability ratings.</v>
      </c>
      <c r="D12" s="7" t="str">
        <f>IFERROR(__xludf.DUMMYFUNCTION("""COMPUTED_VALUE"""),"Marianne de Heer Kloots")</f>
        <v>Marianne de Heer Kloots</v>
      </c>
      <c r="E12" s="7" t="str">
        <f>IFERROR(__xludf.DUMMYFUNCTION("""COMPUTED_VALUE"""),"Yes")</f>
        <v>Yes</v>
      </c>
      <c r="F12" s="7" t="str">
        <f>IFERROR(__xludf.DUMMYFUNCTION("""COMPUTED_VALUE"""),"IP-Poster")</f>
        <v>IP-Poster</v>
      </c>
      <c r="G12" s="7" t="str">
        <f>IFERROR(__xludf.DUMMYFUNCTION("""COMPUTED_VALUE"""),"In-Person")</f>
        <v>In-Person</v>
      </c>
      <c r="H12" s="7" t="str">
        <f>IFERROR(__xludf.DUMMYFUNCTION("""COMPUTED_VALUE"""),"Hall 4/5")</f>
        <v>Hall 4/5</v>
      </c>
      <c r="I12" s="7" t="str">
        <f>IFERROR(__xludf.DUMMYFUNCTION("""COMPUTED_VALUE"""),"Session 10: IP-Posters")</f>
        <v>Session 10: IP-Posters</v>
      </c>
      <c r="J12" s="7" t="str">
        <f>IFERROR(__xludf.DUMMYFUNCTION("""COMPUTED_VALUE"""),"Poster Session 3")</f>
        <v>Poster Session 3</v>
      </c>
      <c r="K12" s="7"/>
      <c r="L12" s="8">
        <f>IFERROR(__xludf.DUMMYFUNCTION("""COMPUTED_VALUE"""),45867.0)</f>
        <v>45867</v>
      </c>
      <c r="M12" s="7" t="str">
        <f>IFERROR(__xludf.DUMMYFUNCTION("""COMPUTED_VALUE"""),"16:00-17:30")</f>
        <v>16:00-17:30</v>
      </c>
      <c r="N12" s="7"/>
    </row>
    <row r="13">
      <c r="A13" s="7" t="str">
        <f>IFERROR(__xludf.DUMMYFUNCTION("""COMPUTED_VALUE"""),"2805-CL")</f>
        <v>2805-CL</v>
      </c>
      <c r="B13" s="7" t="str">
        <f>IFERROR(__xludf.DUMMYFUNCTION("""COMPUTED_VALUE"""),"LGDE: Local Graph-based Dictionary Expansion")</f>
        <v>LGDE: Local Graph-based Dictionary Expansion</v>
      </c>
      <c r="C13" s="7" t="str">
        <f>IFERROR(__xludf.DUMMYFUNCTION("""COMPUTED_VALUE"""),"We present Local Graph-based Dictionary Expansion (LGDE), a method for data-driven discovery of the semantic neighbourhood of words using tools from manifold learning and network science. At the heart of LGDE lies the creation of a word similarity graph f"&amp;"rom the geometry of word embeddings followed by local community detection based on graph diffusion. The diffusion in the local graph manifold allows the exploration of the complex nonlinear geometry of word embeddings to capture word similarities based on"&amp;" paths of semantic association, over and above direct pairwise similarities. Exploiting such semantic neighbourhoods enables the expansion of dictionaries of pre-selected keywords, an important step for tasks in information retrieval, such as database que"&amp;"ries and online data collection.  We validate LGDE on two user-generated English-language corpora and show that LGDE enriches the list of keywords with improved performance relative to methods based on direct word similarities or co-occurrences. We furthe"&amp;"r demonstrate our method through a real-world use case from communication science, where LGDE is evaluated quantitatively on the expansion of a conspiracy-related dictionary from online data collected and analysed by domain experts. Our empirical results "&amp;"and expert user assessment indicate that LGDE expands the seed dictionary with more useful keywords due to the manifold-learning-based similarity network.")</f>
        <v>We present Local Graph-based Dictionary Expansion (LGDE), a method for data-driven discovery of the semantic neighbourhood of words using tools from manifold learning and network science. At the heart of LGDE lies the creation of a word similarity graph from the geometry of word embeddings followed by local community detection based on graph diffusion. The diffusion in the local graph manifold allows the exploration of the complex nonlinear geometry of word embeddings to capture word similarities based on paths of semantic association, over and above direct pairwise similarities. Exploiting such semantic neighbourhoods enables the expansion of dictionaries of pre-selected keywords, an important step for tasks in information retrieval, such as database queries and online data collection.  We validate LGDE on two user-generated English-language corpora and show that LGDE enriches the list of keywords with improved performance relative to methods based on direct word similarities or co-occurrences. We further demonstrate our method through a real-world use case from communication science, where LGDE is evaluated quantitatively on the expansion of a conspiracy-related dictionary from online data collected and analysed by domain experts. Our empirical results and expert user assessment indicate that LGDE expands the seed dictionary with more useful keywords due to the manifold-learning-based similarity network.</v>
      </c>
      <c r="D13" s="7" t="str">
        <f>IFERROR(__xludf.DUMMYFUNCTION("""COMPUTED_VALUE"""),"Juni Schindler")</f>
        <v>Juni Schindler</v>
      </c>
      <c r="E13" s="7" t="str">
        <f>IFERROR(__xludf.DUMMYFUNCTION("""COMPUTED_VALUE"""),"Yes")</f>
        <v>Yes</v>
      </c>
      <c r="F13" s="7" t="str">
        <f>IFERROR(__xludf.DUMMYFUNCTION("""COMPUTED_VALUE"""),"IP-Poster")</f>
        <v>IP-Poster</v>
      </c>
      <c r="G13" s="7" t="str">
        <f>IFERROR(__xludf.DUMMYFUNCTION("""COMPUTED_VALUE"""),"In-Person")</f>
        <v>In-Person</v>
      </c>
      <c r="H13" s="7" t="str">
        <f>IFERROR(__xludf.DUMMYFUNCTION("""COMPUTED_VALUE"""),"Hall 4/5")</f>
        <v>Hall 4/5</v>
      </c>
      <c r="I13" s="7" t="str">
        <f>IFERROR(__xludf.DUMMYFUNCTION("""COMPUTED_VALUE"""),"Session 10: IP-Posters")</f>
        <v>Session 10: IP-Posters</v>
      </c>
      <c r="J13" s="7" t="str">
        <f>IFERROR(__xludf.DUMMYFUNCTION("""COMPUTED_VALUE"""),"Poster Session 3")</f>
        <v>Poster Session 3</v>
      </c>
      <c r="K13" s="7"/>
      <c r="L13" s="8">
        <f>IFERROR(__xludf.DUMMYFUNCTION("""COMPUTED_VALUE"""),45867.0)</f>
        <v>45867</v>
      </c>
      <c r="M13" s="7" t="str">
        <f>IFERROR(__xludf.DUMMYFUNCTION("""COMPUTED_VALUE"""),"16:00-17:30")</f>
        <v>16:00-17:30</v>
      </c>
      <c r="N13" s="7"/>
    </row>
    <row r="14">
      <c r="A14" s="7" t="str">
        <f>IFERROR(__xludf.DUMMYFUNCTION("""COMPUTED_VALUE"""),"2833-CL")</f>
        <v>2833-CL</v>
      </c>
      <c r="B14" s="7" t="str">
        <f>IFERROR(__xludf.DUMMYFUNCTION("""COMPUTED_VALUE"""),"LMLPA: Language Model Linguistic Personality Assessment")</f>
        <v>LMLPA: Language Model Linguistic Personality Assessment</v>
      </c>
      <c r="C14" s="7" t="str">
        <f>IFERROR(__xludf.DUMMYFUNCTION("""COMPUTED_VALUE"""),"Large Language Models (LLMs) are increasingly used in everyday life and research. One of the most common use cases is conversational interactions, enabled by the language generation capabilities of LLMs. Just as between two humans, a conversation between "&amp;"an LLM-powered entity and a human depends on the personality of the conversants. However, measuring the personality of a given LLM is currently a challenge. This article introduces the Language Model Linguistic Personality Assessment (LMLPA), a system des"&amp;"igned to evaluate the linguistic personalities of LLMs. Our system helps to understand LLMs' language generation capabilities by quantitatively assessing the distinct personality traits reflected in their linguistic outputs. Unlike traditional human-centr"&amp;"ic psychometrics, the LMLPA adapts a personality assessment questionnaire, specifically the Big Five Inventory, to align with the operational capabilities of LLMs, and also incorporates the findings from previous language-based personality measurement lit"&amp;"erature. To mitigate sensitivity to the order of options, our questionnaire is designed to be open-ended, resulting in textual answers. Thus, the Artificial Intelligence (AI) rater is needed to transform ambiguous personality information from text respons"&amp;"es into clear numerical indicators of personality traits. Utilising Principal Component Analysis and reliability validation methods, our findings demonstrate that LLMs possess distinct personality traits that can be effectively quantified by the LMLPA. Th"&amp;"is research contributes to Human-Centered AI and Computational Linguistics, providing a robust framework for future studies to refine AI personality assessments and expand their applications in multiple areas, including education and manufacturing")</f>
        <v>Large Language Models (LLMs) are increasingly used in everyday life and research. One of the most common use cases is conversational interactions, enabled by the language generation capabilities of LLMs. Just as between two humans, a conversation between an LLM-powered entity and a human depends on the personality of the conversants. However, measuring the personality of a given LLM is currently a challenge. This article introduces the Language Model Linguistic Personality Assessment (LMLPA), a system designed to evaluate the linguistic personalities of LLMs. Our system helps to understand LLMs' language generation capabilities by quantitatively assessing the distinct personality traits reflected in their linguistic outputs. Unlike traditional human-centric psychometrics, the LMLPA adapts a personality assessment questionnaire, specifically the Big Five Inventory, to align with the operational capabilities of LLMs, and also incorporates the findings from previous language-based personality measurement literature. To mitigate sensitivity to the order of options, our questionnaire is designed to be open-ended, resulting in textual answers. Thus, the Artificial Intelligence (AI) rater is needed to transform ambiguous personality information from text responses into clear numerical indicators of personality traits. Utilising Principal Component Analysis and reliability validation methods, our findings demonstrate that LLMs possess distinct personality traits that can be effectively quantified by the LMLPA. This research contributes to Human-Centered AI and Computational Linguistics, providing a robust framework for future studies to refine AI personality assessments and expand their applications in multiple areas, including education and manufacturing</v>
      </c>
      <c r="D14" s="7" t="str">
        <f>IFERROR(__xludf.DUMMYFUNCTION("""COMPUTED_VALUE"""),"Jingyao Zheng")</f>
        <v>Jingyao Zheng</v>
      </c>
      <c r="E14" s="7" t="str">
        <f>IFERROR(__xludf.DUMMYFUNCTION("""COMPUTED_VALUE"""),"Yes")</f>
        <v>Yes</v>
      </c>
      <c r="F14" s="7" t="str">
        <f>IFERROR(__xludf.DUMMYFUNCTION("""COMPUTED_VALUE"""),"IP-Oral")</f>
        <v>IP-Oral</v>
      </c>
      <c r="G14" s="7" t="str">
        <f>IFERROR(__xludf.DUMMYFUNCTION("""COMPUTED_VALUE"""),"In-Person")</f>
        <v>In-Person</v>
      </c>
      <c r="H14" s="7" t="str">
        <f>IFERROR(__xludf.DUMMYFUNCTION("""COMPUTED_VALUE"""),"Room 1.62")</f>
        <v>Room 1.62</v>
      </c>
      <c r="I14" s="7" t="str">
        <f>IFERROR(__xludf.DUMMYFUNCTION("""COMPUTED_VALUE"""),"Session 9: IP-Orals")</f>
        <v>Session 9: IP-Orals</v>
      </c>
      <c r="J14" s="7" t="str">
        <f>IFERROR(__xludf.DUMMYFUNCTION("""COMPUTED_VALUE"""),"Sentiment, Style and Argumentation Analysis")</f>
        <v>Sentiment, Style and Argumentation Analysis</v>
      </c>
      <c r="K14" s="7"/>
      <c r="L14" s="8">
        <f>IFERROR(__xludf.DUMMYFUNCTION("""COMPUTED_VALUE"""),45867.0)</f>
        <v>45867</v>
      </c>
      <c r="M14" s="7" t="str">
        <f>IFERROR(__xludf.DUMMYFUNCTION("""COMPUTED_VALUE"""),"14:00-15:30")</f>
        <v>14:00-15:30</v>
      </c>
      <c r="N14" s="7">
        <f>IFERROR(__xludf.DUMMYFUNCTION("""COMPUTED_VALUE"""),8.0)</f>
        <v>8</v>
      </c>
    </row>
    <row r="15">
      <c r="A15" s="7" t="str">
        <f>IFERROR(__xludf.DUMMYFUNCTION("""COMPUTED_VALUE"""),"2887-CL")</f>
        <v>2887-CL</v>
      </c>
      <c r="B15" s="7" t="str">
        <f>IFERROR(__xludf.DUMMYFUNCTION("""COMPUTED_VALUE"""),"Survey of Cultural Awareness in Language Models: Text and Beyond")</f>
        <v>Survey of Cultural Awareness in Language Models: Text and Beyond</v>
      </c>
      <c r="C15" s="7" t="str">
        <f>IFERROR(__xludf.DUMMYFUNCTION("""COMPUTED_VALUE"""),"Large-scale deployment of large language models (LLMs) in various applications, such as chatbots and virtual assistants, requires LLMs to be culturally sensitive to the user to ensure inclusivity.  Culture has been widely studied in psychology and anthrop"&amp;"ology, and there has been a recent surge in research on making LLMs more culturally inclusive, going beyond multilinguality and building on findings from psychology and anthropology. In this paper, we survey efforts towards incorporating cultural awarenes"&amp;"s into text-based and multimodal LLMs. We start by defining cultural awareness in LLMs, taking definitions of culture from the anthropology and psychology literature as a point of departure. We then examine methodologies adopted for creating cross-cultura"&amp;"l datasets, strategies for cultural inclusion in downstream tasks, and methodologies that have been used for benchmarking cultural awareness in LLMs. Further, we discuss the ethical implications of cultural alignment, the role of Human-Computer Interactio"&amp;"n (HCI) in driving cultural inclusion in LLMs, and the role of cultural alignment in driving social science research. We finally provide pointers to future research based on our findings about gaps in the literature.")</f>
        <v>Large-scale deployment of large language models (LLMs) in various applications, such as chatbots and virtual assistants, requires LLMs to be culturally sensitive to the user to ensure inclusivity.  Culture has been widely studied in psychology and anthropology, and there has been a recent surge in research on making LLMs more culturally inclusive, going beyond multilinguality and building on findings from psychology and anthropology. In this paper, we survey efforts towards incorporating cultural awareness into text-based and multimodal LLMs. We start by defining cultural awareness in LLMs, taking definitions of culture from the anthropology and psychology literature as a point of departure. We then examine methodologies adopted for creating cross-cultural datasets, strategies for cultural inclusion in downstream tasks, and methodologies that have been used for benchmarking cultural awareness in LLMs. Further, we discuss the ethical implications of cultural alignment, the role of Human-Computer Interaction (HCI) in driving cultural inclusion in LLMs, and the role of cultural alignment in driving social science research. We finally provide pointers to future research based on our findings about gaps in the literature.</v>
      </c>
      <c r="D15" s="7" t="str">
        <f>IFERROR(__xludf.DUMMYFUNCTION("""COMPUTED_VALUE"""),"Siddhesh Pawar ")</f>
        <v>Siddhesh Pawar </v>
      </c>
      <c r="E15" s="7" t="str">
        <f>IFERROR(__xludf.DUMMYFUNCTION("""COMPUTED_VALUE"""),"Yes")</f>
        <v>Yes</v>
      </c>
      <c r="F15" s="7" t="str">
        <f>IFERROR(__xludf.DUMMYFUNCTION("""COMPUTED_VALUE"""),"IP-Oral")</f>
        <v>IP-Oral</v>
      </c>
      <c r="G15" s="7" t="str">
        <f>IFERROR(__xludf.DUMMYFUNCTION("""COMPUTED_VALUE"""),"In-Person")</f>
        <v>In-Person</v>
      </c>
      <c r="H15" s="7" t="str">
        <f>IFERROR(__xludf.DUMMYFUNCTION("""COMPUTED_VALUE"""),"Room 1.85")</f>
        <v>Room 1.85</v>
      </c>
      <c r="I15" s="7" t="str">
        <f>IFERROR(__xludf.DUMMYFUNCTION("""COMPUTED_VALUE"""),"Session 9: IP-Orals")</f>
        <v>Session 9: IP-Orals</v>
      </c>
      <c r="J15" s="7" t="str">
        <f>IFERROR(__xludf.DUMMYFUNCTION("""COMPUTED_VALUE"""),"Computational Social Science and Cultural Analytics")</f>
        <v>Computational Social Science and Cultural Analytics</v>
      </c>
      <c r="K15" s="7"/>
      <c r="L15" s="8">
        <f>IFERROR(__xludf.DUMMYFUNCTION("""COMPUTED_VALUE"""),45867.0)</f>
        <v>45867</v>
      </c>
      <c r="M15" s="7" t="str">
        <f>IFERROR(__xludf.DUMMYFUNCTION("""COMPUTED_VALUE"""),"14:00-15:30")</f>
        <v>14:00-15:30</v>
      </c>
      <c r="N15" s="7">
        <f>IFERROR(__xludf.DUMMYFUNCTION("""COMPUTED_VALUE"""),7.0)</f>
        <v>7</v>
      </c>
    </row>
    <row r="16">
      <c r="A16" s="7" t="str">
        <f>IFERROR(__xludf.DUMMYFUNCTION("""COMPUTED_VALUE"""),"2902-CL")</f>
        <v>2902-CL</v>
      </c>
      <c r="B16" s="7" t="str">
        <f>IFERROR(__xludf.DUMMYFUNCTION("""COMPUTED_VALUE"""),"A Novel Methodology for Enhancing Cross-Language and Domain Adaptability in Temporal Expression Normalization")</f>
        <v>A Novel Methodology for Enhancing Cross-Language and Domain Adaptability in Temporal Expression Normalization</v>
      </c>
      <c r="C16" s="7" t="str">
        <f>IFERROR(__xludf.DUMMYFUNCTION("""COMPUTED_VALUE"""),"Accurate temporal expression normalization, the process of assigning a numerical value to a temporal expression, is essential for tasks such as timeline creation and temporal reasoning. While rule-based normalization systems are limited in adaptability ac"&amp;"ross different domains and languages, deep-learning solutions in this area have not been extensively explored. An additional challenge is the scarcity of manually annotated corpora with temporal annotations. To address the adaptability limitations of curr"&amp;"ent systems, we propose a highly adaptable methodology that can be applied to multiple domains and languages. This can be achieved by leveraging a multilingual Pre-trained Language Model (PTLM) with a fill-mask architecture, using a Value Intermediate Rep"&amp;"resentation (VIR) where the temporal expression value format is adjusted to the fill-mask representation. Our approach involves a two-phase training process. Initially, the model is trained with a novel masking policy on a large English biomedical corpus "&amp;"that is automatically annotated with normalized temporal expressions, along with a complementary hand-crafted temporal expressions corpus. This addresses the lack of manually annotated data and helps to achieve sufficient capacity for adaptation to divers"&amp;"e domains or languages. In the second phase, we show how the model can be tailored to different domains and languages employing various techniques, showcasing the versatility of the proposed methodology. This approach significantly outperforms existing sy"&amp;"stems.")</f>
        <v>Accurate temporal expression normalization, the process of assigning a numerical value to a temporal expression, is essential for tasks such as timeline creation and temporal reasoning. While rule-based normalization systems are limited in adaptability across different domains and languages, deep-learning solutions in this area have not been extensively explored. An additional challenge is the scarcity of manually annotated corpora with temporal annotations. To address the adaptability limitations of current systems, we propose a highly adaptable methodology that can be applied to multiple domains and languages. This can be achieved by leveraging a multilingual Pre-trained Language Model (PTLM) with a fill-mask architecture, using a Value Intermediate Representation (VIR) where the temporal expression value format is adjusted to the fill-mask representation. Our approach involves a two-phase training process. Initially, the model is trained with a novel masking policy on a large English biomedical corpus that is automatically annotated with normalized temporal expressions, along with a complementary hand-crafted temporal expressions corpus. This addresses the lack of manually annotated data and helps to achieve sufficient capacity for adaptation to diverse domains or languages. In the second phase, we show how the model can be tailored to different domains and languages employing various techniques, showcasing the versatility of the proposed methodology. This approach significantly outperforms existing systems.</v>
      </c>
      <c r="D16" s="7" t="str">
        <f>IFERROR(__xludf.DUMMYFUNCTION("""COMPUTED_VALUE"""),"Alejandro Sánchez de Castro")</f>
        <v>Alejandro Sánchez de Castro</v>
      </c>
      <c r="E16" s="7" t="str">
        <f>IFERROR(__xludf.DUMMYFUNCTION("""COMPUTED_VALUE"""),"Yes")</f>
        <v>Yes</v>
      </c>
      <c r="F16" s="7" t="str">
        <f>IFERROR(__xludf.DUMMYFUNCTION("""COMPUTED_VALUE"""),"IP-Poster")</f>
        <v>IP-Poster</v>
      </c>
      <c r="G16" s="7" t="str">
        <f>IFERROR(__xludf.DUMMYFUNCTION("""COMPUTED_VALUE"""),"In-Person")</f>
        <v>In-Person</v>
      </c>
      <c r="H16" s="7" t="str">
        <f>IFERROR(__xludf.DUMMYFUNCTION("""COMPUTED_VALUE"""),"Hall 4/5")</f>
        <v>Hall 4/5</v>
      </c>
      <c r="I16" s="7" t="str">
        <f>IFERROR(__xludf.DUMMYFUNCTION("""COMPUTED_VALUE"""),"Session 10: IP-Posters")</f>
        <v>Session 10: IP-Posters</v>
      </c>
      <c r="J16" s="7" t="str">
        <f>IFERROR(__xludf.DUMMYFUNCTION("""COMPUTED_VALUE"""),"Poster Session 3")</f>
        <v>Poster Session 3</v>
      </c>
      <c r="K16" s="7"/>
      <c r="L16" s="8">
        <f>IFERROR(__xludf.DUMMYFUNCTION("""COMPUTED_VALUE"""),45867.0)</f>
        <v>45867</v>
      </c>
      <c r="M16" s="7" t="str">
        <f>IFERROR(__xludf.DUMMYFUNCTION("""COMPUTED_VALUE"""),"16:00-17:30")</f>
        <v>16:00-17:30</v>
      </c>
      <c r="N16" s="7"/>
    </row>
    <row r="17">
      <c r="A17" s="7" t="str">
        <f>IFERROR(__xludf.DUMMYFUNCTION("""COMPUTED_VALUE"""),"2939-CL")</f>
        <v>2939-CL</v>
      </c>
      <c r="B17" s="7" t="str">
        <f>IFERROR(__xludf.DUMMYFUNCTION("""COMPUTED_VALUE"""),"LLM-based NLG Evaluation: Current Status and Challenges")</f>
        <v>LLM-based NLG Evaluation: Current Status and Challenges</v>
      </c>
      <c r="C17" s="7" t="str">
        <f>IFERROR(__xludf.DUMMYFUNCTION("""COMPUTED_VALUE"""),"Evaluating natural language generation (NLG) is a vital but challenging problem in natural language processing. Traditional evaluation metrics mainly capturing content (e.g. n-gram) overlap between system outputs and references are far from satisfactory, "&amp;"and large language models (LLMs) such as ChatGPT have demonstrated great potential in NLG evaluation in recent years. Various automatic evaluation methods based on LLMs have been proposed, including metrics derived from LLMs, prompting LLMs, fine-tuning L"&amp;"LMs, and human-LLM collaborative evaluation. In this survey, we first give a taxonomy of LLM-based NLG evaluation methods, and discuss their pros and cons, respectively. Lastly, we discuss several open problems in this area and point out future research d"&amp;"irections.")</f>
        <v>Evaluating natural language generation (NLG) is a vital but challenging problem in natural language processing. Traditional evaluation metrics mainly capturing content (e.g. n-gram) overlap between system outputs and references are far from satisfactory, and large language models (LLMs) such as ChatGPT have demonstrated great potential in NLG evaluation in recent years. Various automatic evaluation methods based on LLMs have been proposed, including metrics derived from LLMs, prompting LLMs, fine-tuning LLMs, and human-LLM collaborative evaluation. In this survey, we first give a taxonomy of LLM-based NLG evaluation methods, and discuss their pros and cons, respectively. Lastly, we discuss several open problems in this area and point out future research directions.</v>
      </c>
      <c r="D17" s="7" t="str">
        <f>IFERROR(__xludf.DUMMYFUNCTION("""COMPUTED_VALUE"""),"Mingqi Gao")</f>
        <v>Mingqi Gao</v>
      </c>
      <c r="E17" s="7" t="str">
        <f>IFERROR(__xludf.DUMMYFUNCTION("""COMPUTED_VALUE"""),"Withdrawn")</f>
        <v>Withdrawn</v>
      </c>
      <c r="F17" s="7" t="str">
        <f>IFERROR(__xludf.DUMMYFUNCTION("""COMPUTED_VALUE"""),"Withdrawn")</f>
        <v>Withdrawn</v>
      </c>
      <c r="G17" s="7" t="str">
        <f>IFERROR(__xludf.DUMMYFUNCTION("""COMPUTED_VALUE"""),"Withdrawn")</f>
        <v>Withdrawn</v>
      </c>
      <c r="H17" s="7"/>
      <c r="I17" s="7" t="str">
        <f>IFERROR(__xludf.DUMMYFUNCTION("""COMPUTED_VALUE"""),"withdraw")</f>
        <v>withdraw</v>
      </c>
      <c r="J17" s="7"/>
      <c r="K17" s="7"/>
      <c r="L17" s="8"/>
      <c r="M17" s="7"/>
      <c r="N17" s="7"/>
    </row>
    <row r="18">
      <c r="A18" s="7" t="str">
        <f>IFERROR(__xludf.DUMMYFUNCTION("""COMPUTED_VALUE"""),"2959-CL")</f>
        <v>2959-CL</v>
      </c>
      <c r="B18" s="7" t="str">
        <f>IFERROR(__xludf.DUMMYFUNCTION("""COMPUTED_VALUE"""),"Natural Language Processing RELIES on Linguistics")</f>
        <v>Natural Language Processing RELIES on Linguistics</v>
      </c>
      <c r="C18" s="7" t="str">
        <f>IFERROR(__xludf.DUMMYFUNCTION("""COMPUTED_VALUE"""),"Large Language Models (LLMs) have become capable of generating highly fluent text in certain languages, without modules specially designed to capture grammar or semantic coherence. What does this mean for the future of linguistic expertise in NLP? We high"&amp;"light several aspects in which NLP (still) relies on linguistics, or where linguistic thinking can illuminate new directions. We argue our case around the acronym RELIES, which encapsulates six major facets where linguistics contributes to NLP: Resources,"&amp;" Evaluation, Low-resource settings, Interpretability, Explanation, and the Study of language. This list is not exhaustive, nor is linguistics the main point of reference for every effort under these themes; but at a macro level, these facets highlight the"&amp;" enduring importance of studying machine systems vis-a-vis systems of human language.")</f>
        <v>Large Language Models (LLMs) have become capable of generating highly fluent text in certain languages, without modules specially designed to capture grammar or semantic coherence. What does this mean for the future of linguistic expertise in NLP? We highlight several aspects in which NLP (still) relies on linguistics, or where linguistic thinking can illuminate new directions. We argue our case around the acronym RELIES, which encapsulates six major facets where linguistics contributes to NLP: Resources, Evaluation, Low-resource settings, Interpretability, Explanation, and the Study of language. This list is not exhaustive, nor is linguistics the main point of reference for every effort under these themes; but at a macro level, these facets highlight the enduring importance of studying machine systems vis-a-vis systems of human language.</v>
      </c>
      <c r="D18" s="7" t="str">
        <f>IFERROR(__xludf.DUMMYFUNCTION("""COMPUTED_VALUE"""),"Shira Wein")</f>
        <v>Shira Wein</v>
      </c>
      <c r="E18" s="7" t="str">
        <f>IFERROR(__xludf.DUMMYFUNCTION("""COMPUTED_VALUE"""),"Yes")</f>
        <v>Yes</v>
      </c>
      <c r="F18" s="7" t="str">
        <f>IFERROR(__xludf.DUMMYFUNCTION("""COMPUTED_VALUE"""),"IP-Oral")</f>
        <v>IP-Oral</v>
      </c>
      <c r="G18" s="7" t="str">
        <f>IFERROR(__xludf.DUMMYFUNCTION("""COMPUTED_VALUE"""),"In-Person")</f>
        <v>In-Person</v>
      </c>
      <c r="H18" s="7" t="str">
        <f>IFERROR(__xludf.DUMMYFUNCTION("""COMPUTED_VALUE"""),"Room 1.61")</f>
        <v>Room 1.61</v>
      </c>
      <c r="I18" s="7" t="str">
        <f>IFERROR(__xludf.DUMMYFUNCTION("""COMPUTED_VALUE"""),"Session 3: IP-Orals")</f>
        <v>Session 3: IP-Orals</v>
      </c>
      <c r="J18" s="7" t="str">
        <f>IFERROR(__xludf.DUMMYFUNCTION("""COMPUTED_VALUE"""),"Linguistic Theories and Cognitive Modeling")</f>
        <v>Linguistic Theories and Cognitive Modeling</v>
      </c>
      <c r="K18" s="7"/>
      <c r="L18" s="8">
        <f>IFERROR(__xludf.DUMMYFUNCTION("""COMPUTED_VALUE"""),45866.0)</f>
        <v>45866</v>
      </c>
      <c r="M18" s="7" t="str">
        <f>IFERROR(__xludf.DUMMYFUNCTION("""COMPUTED_VALUE"""),"14:00-15:30")</f>
        <v>14:00-15:30</v>
      </c>
      <c r="N18" s="7">
        <f>IFERROR(__xludf.DUMMYFUNCTION("""COMPUTED_VALUE"""),8.0)</f>
        <v>8</v>
      </c>
    </row>
    <row r="19">
      <c r="A19" s="7" t="str">
        <f>IFERROR(__xludf.DUMMYFUNCTION("""COMPUTED_VALUE"""),"2962-CL")</f>
        <v>2962-CL</v>
      </c>
      <c r="B19" s="7" t="str">
        <f>IFERROR(__xludf.DUMMYFUNCTION("""COMPUTED_VALUE"""),"Measuring Grammatical Diversity from Small Corpora: Derivational Entropy Rates, Mean Length of Utterances, and Annotation Invariance")</f>
        <v>Measuring Grammatical Diversity from Small Corpora: Derivational Entropy Rates, Mean Length of Utterances, and Annotation Invariance</v>
      </c>
      <c r="C19" s="7" t="str">
        <f>IFERROR(__xludf.DUMMYFUNCTION("""COMPUTED_VALUE"""),"In many fields, such as language acquisition, neuropsychology of language, the study of aging, and historical linguistics, corpora are used for estimating the diversity of grammatical structures that are produced during a period by an individual, communit"&amp;"y, or type of speakers. In these cases, treebanks are taken as representative samples of the syntactic structures that might be encountered. Generalizing the potential syntactic diversity from the structures documented in a small corpus requires careful e"&amp;"xtrapolation whose accuracy is constrained by the limited size of representative sub-corpora. In this article, I demonstrate --theoretically, and empirically-- that a grammar's derivational entropy and the mean length of the utterances (MLU) it generates "&amp;"are fundamentally linked, giving rise to a new measure, the derivational entropy rate. The mean length of utterances becomes the most practical index of syntactic complexity; I demonstrate that MLU is not a mere proxy, but a fundamental measure of syntact"&amp;"ic diversity. In combination with the new derivational entropy rate measure, it provides a theory-free assessment of grammatical complexity. The derivational entropy rate indexes the rate at which different grammatical annotation frameworks determine the "&amp;"grammatical complexity of treebanks. I evaluate the Smoothed Induced Treebank Entropy (SITE) as a tool for estimating these measures accurately, even from very small treebanks. I conclude by discussing important implications of these results for both NLP "&amp;"and human language processing")</f>
        <v>In many fields, such as language acquisition, neuropsychology of language, the study of aging, and historical linguistics, corpora are used for estimating the diversity of grammatical structures that are produced during a period by an individual, community, or type of speakers. In these cases, treebanks are taken as representative samples of the syntactic structures that might be encountered. Generalizing the potential syntactic diversity from the structures documented in a small corpus requires careful extrapolation whose accuracy is constrained by the limited size of representative sub-corpora. In this article, I demonstrate --theoretically, and empirically-- that a grammar's derivational entropy and the mean length of the utterances (MLU) it generates are fundamentally linked, giving rise to a new measure, the derivational entropy rate. The mean length of utterances becomes the most practical index of syntactic complexity; I demonstrate that MLU is not a mere proxy, but a fundamental measure of syntactic diversity. In combination with the new derivational entropy rate measure, it provides a theory-free assessment of grammatical complexity. The derivational entropy rate indexes the rate at which different grammatical annotation frameworks determine the grammatical complexity of treebanks. I evaluate the Smoothed Induced Treebank Entropy (SITE) as a tool for estimating these measures accurately, even from very small treebanks. I conclude by discussing important implications of these results for both NLP and human language processing</v>
      </c>
      <c r="D19" s="7" t="str">
        <f>IFERROR(__xludf.DUMMYFUNCTION("""COMPUTED_VALUE"""),"Suchir Salhan")</f>
        <v>Suchir Salhan</v>
      </c>
      <c r="E19" s="7" t="str">
        <f>IFERROR(__xludf.DUMMYFUNCTION("""COMPUTED_VALUE"""),"Yes")</f>
        <v>Yes</v>
      </c>
      <c r="F19" s="7" t="str">
        <f>IFERROR(__xludf.DUMMYFUNCTION("""COMPUTED_VALUE"""),"IP-Poster")</f>
        <v>IP-Poster</v>
      </c>
      <c r="G19" s="7" t="str">
        <f>IFERROR(__xludf.DUMMYFUNCTION("""COMPUTED_VALUE"""),"In-Person")</f>
        <v>In-Person</v>
      </c>
      <c r="H19" s="7" t="str">
        <f>IFERROR(__xludf.DUMMYFUNCTION("""COMPUTED_VALUE"""),"Hall 4/5")</f>
        <v>Hall 4/5</v>
      </c>
      <c r="I19" s="7" t="str">
        <f>IFERROR(__xludf.DUMMYFUNCTION("""COMPUTED_VALUE"""),"Session 10: IP-Posters")</f>
        <v>Session 10: IP-Posters</v>
      </c>
      <c r="J19" s="7" t="str">
        <f>IFERROR(__xludf.DUMMYFUNCTION("""COMPUTED_VALUE"""),"Poster Session 3")</f>
        <v>Poster Session 3</v>
      </c>
      <c r="K19" s="7"/>
      <c r="L19" s="8">
        <f>IFERROR(__xludf.DUMMYFUNCTION("""COMPUTED_VALUE"""),45867.0)</f>
        <v>45867</v>
      </c>
      <c r="M19" s="7" t="str">
        <f>IFERROR(__xludf.DUMMYFUNCTION("""COMPUTED_VALUE"""),"16:00-17:30")</f>
        <v>16:00-17:30</v>
      </c>
      <c r="N19" s="7"/>
    </row>
    <row r="20">
      <c r="A20" s="7" t="str">
        <f>IFERROR(__xludf.DUMMYFUNCTION("""COMPUTED_VALUE"""),"2990-CL")</f>
        <v>2990-CL</v>
      </c>
      <c r="B20" s="7" t="str">
        <f>IFERROR(__xludf.DUMMYFUNCTION("""COMPUTED_VALUE"""),"Large Language Models Are Biased Because They Are Large Language Models")</f>
        <v>Large Language Models Are Biased Because They Are Large Language Models</v>
      </c>
      <c r="C20" s="7" t="str">
        <f>IFERROR(__xludf.DUMMYFUNCTION("""COMPUTED_VALUE"""),"This position paper’s primary goal is to provoke thoughtful discussion about the relationship between bias and fundamental properties of large language models. I do this by seeking to convince the reader that harmful biases are an inevitable consequence a"&amp;"rising from the design of any large language model as LLMs are currently formulated. To the extent that this is true, it suggests that the problem of harmful bias cannot be properly addressed without a serious reconsideration of AI driven by LLMs, going b"&amp;"ack to the foundational assumptions underlying their design.")</f>
        <v>This position paper’s primary goal is to provoke thoughtful discussion about the relationship between bias and fundamental properties of large language models. I do this by seeking to convince the reader that harmful biases are an inevitable consequence arising from the design of any large language model as LLMs are currently formulated. To the extent that this is true, it suggests that the problem of harmful bias cannot be properly addressed without a serious reconsideration of AI driven by LLMs, going back to the foundational assumptions underlying their design.</v>
      </c>
      <c r="D20" s="7" t="str">
        <f>IFERROR(__xludf.DUMMYFUNCTION("""COMPUTED_VALUE"""),"Philip Resnik")</f>
        <v>Philip Resnik</v>
      </c>
      <c r="E20" s="7" t="str">
        <f>IFERROR(__xludf.DUMMYFUNCTION("""COMPUTED_VALUE"""),"Yes")</f>
        <v>Yes</v>
      </c>
      <c r="F20" s="7" t="str">
        <f>IFERROR(__xludf.DUMMYFUNCTION("""COMPUTED_VALUE"""),"IP-Oral")</f>
        <v>IP-Oral</v>
      </c>
      <c r="G20" s="7" t="str">
        <f>IFERROR(__xludf.DUMMYFUNCTION("""COMPUTED_VALUE"""),"In-Person")</f>
        <v>In-Person</v>
      </c>
      <c r="H20" s="7" t="str">
        <f>IFERROR(__xludf.DUMMYFUNCTION("""COMPUTED_VALUE"""),"Hall M.2")</f>
        <v>Hall M.2</v>
      </c>
      <c r="I20" s="7" t="str">
        <f>IFERROR(__xludf.DUMMYFUNCTION("""COMPUTED_VALUE"""),"Session 3: IP-Orals")</f>
        <v>Session 3: IP-Orals</v>
      </c>
      <c r="J20" s="7" t="str">
        <f>IFERROR(__xludf.DUMMYFUNCTION("""COMPUTED_VALUE"""),"Ethics, Bias, and Fairness")</f>
        <v>Ethics, Bias, and Fairness</v>
      </c>
      <c r="K20" s="7"/>
      <c r="L20" s="8">
        <f>IFERROR(__xludf.DUMMYFUNCTION("""COMPUTED_VALUE"""),45866.0)</f>
        <v>45866</v>
      </c>
      <c r="M20" s="7" t="str">
        <f>IFERROR(__xludf.DUMMYFUNCTION("""COMPUTED_VALUE"""),"14:00-15:30")</f>
        <v>14:00-15:30</v>
      </c>
      <c r="N20" s="7">
        <f>IFERROR(__xludf.DUMMYFUNCTION("""COMPUTED_VALUE"""),7.0)</f>
        <v>7</v>
      </c>
    </row>
    <row r="21">
      <c r="A21" s="7" t="str">
        <f>IFERROR(__xludf.DUMMYFUNCTION("""COMPUTED_VALUE"""),"1-DEMO")</f>
        <v>1-DEMO</v>
      </c>
      <c r="B21" s="7" t="str">
        <f>IFERROR(__xludf.DUMMYFUNCTION("""COMPUTED_VALUE"""),"MapQaTor: An Extensible Framework for Efficient Annotation of Map-Based QA Datasets")</f>
        <v>MapQaTor: An Extensible Framework for Efficient Annotation of Map-Based QA Datasets</v>
      </c>
      <c r="C21" s="7" t="str">
        <f>IFERROR(__xludf.DUMMYFUNCTION("""COMPUTED_VALUE"""),"Mapping and navigation services like Google Maps, Apple Maps, OpenStreetMap, are essential for accessing various location-based data, yet they often struggle to handle natural language geospatial queries. Recent advancements in Large Language Models (LLMs"&amp;") show promise in question answering (QA), but creating reliable geospatial QA datasets from map services remains challenging. We introduce MapQaTor, an extensible open-source framework that streamlines the creation of reproducible, traceable map-based QA"&amp;" datasets. MapQaTor enables seamless integration with any maps API, allowing users to gather and visualize data from diverse sources with minimal setup. By caching API responses, the platform ensures consistent ground truth, enhancing the reliability of t"&amp;"he data even as real-world information evolves. MapQaTor centralizes data retrieval, annotation, and visualization within a single platform, offering a unique opportunity to evaluate the current state of LLM-based geospatial reasoning while advancing thei"&amp;"r capabilities for improved geospatial understanding. Evaluation metrics show that, MapQaTor speeds up the annotation process by at least 30 times compared to manual methods, underscoring its potential for developing geospatial resources, such as complex "&amp;"map reasoning datasets. The website is live at: https://mapqator.github.io/ and a demo video is available at: https://youtu.be/bVv7-NYRsTw.")</f>
        <v>Mapping and navigation services like Google Maps, Apple Maps, OpenStreetMap, are essential for accessing various location-based data, yet they often struggle to handle natural language geospatial queries. Recent advancements in Large Language Models (LLMs) show promise in question answering (QA), but creating reliable geospatial QA datasets from map services remains challenging. We introduce MapQaTor, an extensible open-source framework that streamlines the creation of reproducible, traceable map-based QA datasets. MapQaTor enables seamless integration with any maps API, allowing users to gather and visualize data from diverse sources with minimal setup. By caching API responses, the platform ensures consistent ground truth, enhancing the reliability of the data even as real-world information evolves. MapQaTor centralizes data retrieval, annotation, and visualization within a single platform, offering a unique opportunity to evaluate the current state of LLM-based geospatial reasoning while advancing their capabilities for improved geospatial understanding. Evaluation metrics show that, MapQaTor speeds up the annotation process by at least 30 times compared to manual methods, underscoring its potential for developing geospatial resources, such as complex map reasoning datasets. The website is live at: https://mapqator.github.io/ and a demo video is available at: https://youtu.be/bVv7-NYRsTw.</v>
      </c>
      <c r="D21" s="7" t="str">
        <f>IFERROR(__xludf.DUMMYFUNCTION("""COMPUTED_VALUE"""),"Rizwan Parvez")</f>
        <v>Rizwan Parvez</v>
      </c>
      <c r="E21" s="7" t="str">
        <f>IFERROR(__xludf.DUMMYFUNCTION("""COMPUTED_VALUE"""),"Yes")</f>
        <v>Yes</v>
      </c>
      <c r="F21" s="7" t="str">
        <f>IFERROR(__xludf.DUMMYFUNCTION("""COMPUTED_VALUE"""),"V-Presentation")</f>
        <v>V-Presentation</v>
      </c>
      <c r="G21" s="7" t="str">
        <f>IFERROR(__xludf.DUMMYFUNCTION("""COMPUTED_VALUE"""),"Virtual/Gather")</f>
        <v>Virtual/Gather</v>
      </c>
      <c r="H21" s="7" t="str">
        <f>IFERROR(__xludf.DUMMYFUNCTION("""COMPUTED_VALUE"""),"Online")</f>
        <v>Online</v>
      </c>
      <c r="I21" s="7" t="str">
        <f>IFERROR(__xludf.DUMMYFUNCTION("""COMPUTED_VALUE"""),"Session 2: V-Presentations")</f>
        <v>Session 2: V-Presentations</v>
      </c>
      <c r="J21" s="7" t="str">
        <f>IFERROR(__xludf.DUMMYFUNCTION("""COMPUTED_VALUE"""),"Virtual Presentations 1")</f>
        <v>Virtual Presentations 1</v>
      </c>
      <c r="K21" s="7"/>
      <c r="L21" s="8">
        <f>IFERROR(__xludf.DUMMYFUNCTION("""COMPUTED_VALUE"""),45866.0)</f>
        <v>45866</v>
      </c>
      <c r="M21" s="7" t="str">
        <f>IFERROR(__xludf.DUMMYFUNCTION("""COMPUTED_VALUE"""),"11:00-12:30")</f>
        <v>11:00-12:30</v>
      </c>
      <c r="N21" s="7"/>
    </row>
    <row r="22">
      <c r="A22" s="7" t="str">
        <f>IFERROR(__xludf.DUMMYFUNCTION("""COMPUTED_VALUE"""),"4-DEMO")</f>
        <v>4-DEMO</v>
      </c>
      <c r="B22" s="7" t="str">
        <f>IFERROR(__xludf.DUMMYFUNCTION("""COMPUTED_VALUE"""),"PEIRCE: Unifying Material and Formal Reasoning via LLM-Driven Neuro-Symbolic Refinement")</f>
        <v>PEIRCE: Unifying Material and Formal Reasoning via LLM-Driven Neuro-Symbolic Refinement</v>
      </c>
      <c r="C22" s="7" t="str">
        <f>IFERROR(__xludf.DUMMYFUNCTION("""COMPUTED_VALUE"""),"A persistent challenge in AI is the effective integration of material and formal inference - the former concerning the plausibility and contextual relevance of arguments, while the latter focusing on their logical and structural validity. Large Language M"&amp;"odels (LLMs), by virtue of their extensive pre-training on large textual corpora, exhibit strong capabilities in material inference. However, their reasoning often lacks formal rigour and verifiability. At the same time, LLMs’ linguistic competence positi"&amp;"ons them as a promising bridge between natural and formal languages, opening up new opportunities for combining these two modes of reasoning.
 In this paper, we introduce PEIRCE, a neuro-symbolic framework designed to unify material and formal inference t"&amp;"hrough an iterative conjecture–criticism process. Within this framework, LLMs play the central role of generating candidate solutions in natural and formal languages, which are then evaluated and refined via interaction with external critique models. Thes"&amp;"e critiques include symbolic provers, which assess formal validity, as well as soft evaluators that measure the quality of the generated arguments along linguistic and epistemic dimensions such as plausibility, coherence, and parsimony. While PEIRCE is a "&amp;"general-purpose framework, we demonstrate its capabilities in the domain of natural language explanation generation - a setting that inherently demands both material adequacy and formal correctness.")</f>
        <v>A persistent challenge in AI is the effective integration of material and formal inference - the former concerning the plausibility and contextual relevance of arguments, while the latter focusing on their logical and structural validity. Large Language Models (LLMs), by virtue of their extensive pre-training on large textual corpora, exhibit strong capabilities in material inference. However, their reasoning often lacks formal rigour and verifiability. At the same time, LLMs’ linguistic competence positions them as a promising bridge between natural and formal languages, opening up new opportunities for combining these two modes of reasoning.
 In this paper, we introduce PEIRCE, a neuro-symbolic framework designed to unify material and formal inference through an iterative conjecture–criticism process. Within this framework, LLMs play the central role of generating candidate solutions in natural and formal languages, which are then evaluated and refined via interaction with external critique models. These critiques include symbolic provers, which assess formal validity, as well as soft evaluators that measure the quality of the generated arguments along linguistic and epistemic dimensions such as plausibility, coherence, and parsimony. While PEIRCE is a general-purpose framework, we demonstrate its capabilities in the domain of natural language explanation generation - a setting that inherently demands both material adequacy and formal correctness.</v>
      </c>
      <c r="D22" s="7" t="str">
        <f>IFERROR(__xludf.DUMMYFUNCTION("""COMPUTED_VALUE"""),"Marco Valentino")</f>
        <v>Marco Valentino</v>
      </c>
      <c r="E22" s="7" t="str">
        <f>IFERROR(__xludf.DUMMYFUNCTION("""COMPUTED_VALUE"""),"Yes")</f>
        <v>Yes</v>
      </c>
      <c r="F22" s="7" t="str">
        <f>IFERROR(__xludf.DUMMYFUNCTION("""COMPUTED_VALUE"""),"IP-Demo")</f>
        <v>IP-Demo</v>
      </c>
      <c r="G22" s="7" t="str">
        <f>IFERROR(__xludf.DUMMYFUNCTION("""COMPUTED_VALUE"""),"In-Person")</f>
        <v>In-Person</v>
      </c>
      <c r="H22" s="7" t="str">
        <f>IFERROR(__xludf.DUMMYFUNCTION("""COMPUTED_VALUE"""),"Hall 5X")</f>
        <v>Hall 5X</v>
      </c>
      <c r="I22" s="7" t="str">
        <f>IFERROR(__xludf.DUMMYFUNCTION("""COMPUTED_VALUE"""),"Session 2: IP-Posters ")</f>
        <v>Session 2: IP-Posters </v>
      </c>
      <c r="J22" s="7" t="str">
        <f>IFERROR(__xludf.DUMMYFUNCTION("""COMPUTED_VALUE"""),"Demo Session 1")</f>
        <v>Demo Session 1</v>
      </c>
      <c r="K22" s="7"/>
      <c r="L22" s="8">
        <f>IFERROR(__xludf.DUMMYFUNCTION("""COMPUTED_VALUE"""),45866.0)</f>
        <v>45866</v>
      </c>
      <c r="M22" s="7" t="str">
        <f>IFERROR(__xludf.DUMMYFUNCTION("""COMPUTED_VALUE"""),"10:30-12:00")</f>
        <v>10:30-12:00</v>
      </c>
      <c r="N22" s="7"/>
    </row>
    <row r="23">
      <c r="A23" s="7" t="str">
        <f>IFERROR(__xludf.DUMMYFUNCTION("""COMPUTED_VALUE"""),"7-DEMO")</f>
        <v>7-DEMO</v>
      </c>
      <c r="B23" s="7" t="str">
        <f>IFERROR(__xludf.DUMMYFUNCTION("""COMPUTED_VALUE"""),"MERaLiON-AudioLLM: Advancing Speech and Language Understanding for Singapore")</f>
        <v>MERaLiON-AudioLLM: Advancing Speech and Language Understanding for Singapore</v>
      </c>
      <c r="C23" s="7" t="str">
        <f>IFERROR(__xludf.DUMMYFUNCTION("""COMPUTED_VALUE"""),"We introduce MERaLiON-AudioLLM, the first general-purpose audio-based large language model designed for multitask learning, with a particular focus on Singlish understanding. Trained on 62 million multimodal instruction samples comprising a total of 260k "&amp;"hours of audio, it exhibits strong generalization across a diverse set of tasks, including—but not limited to—automatic speech recognition, spoken question answering, speech translation, and paralinguistic analysis. Our results show significant improvemen"&amp;"ts in local speech recognition and task-specific understanding, making MERaLiON-AudioLLM a leading solution for region-specific AI applications. An interactive demo has been developed to enable user-friendly interactions, supported by a backend with custo"&amp;"mized caching and load-balancing mechanisms. We benchmark the model across a broad range of multilingual and multitask scenarios, where it demonstrates competitive performance compared to other open-source models. The demo page, model weights and videos a"&amp;"re publically accessible.")</f>
        <v>We introduce MERaLiON-AudioLLM, the first general-purpose audio-based large language model designed for multitask learning, with a particular focus on Singlish understanding. Trained on 62 million multimodal instruction samples comprising a total of 260k hours of audio, it exhibits strong generalization across a diverse set of tasks, including—but not limited to—automatic speech recognition, spoken question answering, speech translation, and paralinguistic analysis. Our results show significant improvements in local speech recognition and task-specific understanding, making MERaLiON-AudioLLM a leading solution for region-specific AI applications. An interactive demo has been developed to enable user-friendly interactions, supported by a backend with customized caching and load-balancing mechanisms. We benchmark the model across a broad range of multilingual and multitask scenarios, where it demonstrates competitive performance compared to other open-source models. The demo page, model weights and videos are publically accessible.</v>
      </c>
      <c r="D23" s="7" t="str">
        <f>IFERROR(__xludf.DUMMYFUNCTION("""COMPUTED_VALUE"""),"Xunlong Zou")</f>
        <v>Xunlong Zou</v>
      </c>
      <c r="E23" s="7" t="str">
        <f>IFERROR(__xludf.DUMMYFUNCTION("""COMPUTED_VALUE"""),"Yes")</f>
        <v>Yes</v>
      </c>
      <c r="F23" s="7" t="str">
        <f>IFERROR(__xludf.DUMMYFUNCTION("""COMPUTED_VALUE"""),"IP-Demo")</f>
        <v>IP-Demo</v>
      </c>
      <c r="G23" s="7" t="str">
        <f>IFERROR(__xludf.DUMMYFUNCTION("""COMPUTED_VALUE"""),"In-person")</f>
        <v>In-person</v>
      </c>
      <c r="H23" s="7" t="str">
        <f>IFERROR(__xludf.DUMMYFUNCTION("""COMPUTED_VALUE"""),"Hall 5X")</f>
        <v>Hall 5X</v>
      </c>
      <c r="I23" s="7" t="str">
        <f>IFERROR(__xludf.DUMMYFUNCTION("""COMPUTED_VALUE"""),"Session 2: IP-Posters ")</f>
        <v>Session 2: IP-Posters </v>
      </c>
      <c r="J23" s="7" t="str">
        <f>IFERROR(__xludf.DUMMYFUNCTION("""COMPUTED_VALUE"""),"Demo Session 1")</f>
        <v>Demo Session 1</v>
      </c>
      <c r="K23" s="7"/>
      <c r="L23" s="8">
        <f>IFERROR(__xludf.DUMMYFUNCTION("""COMPUTED_VALUE"""),45866.0)</f>
        <v>45866</v>
      </c>
      <c r="M23" s="7" t="str">
        <f>IFERROR(__xludf.DUMMYFUNCTION("""COMPUTED_VALUE"""),"11:00-12:30")</f>
        <v>11:00-12:30</v>
      </c>
      <c r="N23" s="7"/>
    </row>
    <row r="24">
      <c r="A24" s="7" t="str">
        <f>IFERROR(__xludf.DUMMYFUNCTION("""COMPUTED_VALUE"""),"10-DEMO")</f>
        <v>10-DEMO</v>
      </c>
      <c r="B24" s="7" t="str">
        <f>IFERROR(__xludf.DUMMYFUNCTION("""COMPUTED_VALUE"""),"NameTag 3: A Tool and a Service for Multilingual/Multitagset NER")</f>
        <v>NameTag 3: A Tool and a Service for Multilingual/Multitagset NER</v>
      </c>
      <c r="C24" s="7" t="str">
        <f>IFERROR(__xludf.DUMMYFUNCTION("""COMPUTED_VALUE"""),"We introduce NameTag 3, an open-source tool and cloud-based web service for multilingual, multidataset, and multitagset named entity recognition (NER), supporting both flat and nested entities. NameTag 3 achieves state-of-the-art results on 21 test datase"&amp;"ts in 15 languages and remains competitive on the rest, even against larger models. It is available as a command-line tool and as a cloud-based service, enabling use without local installation. NameTag 3 web service currently provides flat NER for 17 lang"&amp;"uages, trained on 21 corpora and three NE tagsets, all powered by a single 355M-parameter fine-tuned model; and nested NER for Czech, powered by a 126M fine-tuned model. The source code is licensed under open-source MPL 2.0, while the models are distribut"&amp;"ed under non-commercial CC BY-NC-SA 4.0. Documentation is available at https://ufal.mff.cuni.cz/nametag, source code at https://github.com/ufal/nametag3, and trained models via LINDAT: https://lindat.cz. Demo and web application can be found at https://li"&amp;"ndat.mff.cuni.cz/services/nametag/. A demonstration video is available at https://www.youtube.com/watch?v=-gaGnP0IV8A.")</f>
        <v>We introduce NameTag 3, an open-source tool and cloud-based web service for multilingual, multidataset, and multitagset named entity recognition (NER), supporting both flat and nested entities. NameTag 3 achieves state-of-the-art results on 21 test datasets in 15 languages and remains competitive on the rest, even against larger models. It is available as a command-line tool and as a cloud-based service, enabling use without local installation. NameTag 3 web service currently provides flat NER for 17 languages, trained on 21 corpora and three NE tagsets, all powered by a single 355M-parameter fine-tuned model; and nested NER for Czech, powered by a 126M fine-tuned model. The source code is licensed under open-source MPL 2.0, while the models are distributed under non-commercial CC BY-NC-SA 4.0. Documentation is available at https://ufal.mff.cuni.cz/nametag, source code at https://github.com/ufal/nametag3, and trained models via LINDAT: https://lindat.cz. Demo and web application can be found at https://lindat.mff.cuni.cz/services/nametag/. A demonstration video is available at https://www.youtube.com/watch?v=-gaGnP0IV8A.</v>
      </c>
      <c r="D24" s="7" t="str">
        <f>IFERROR(__xludf.DUMMYFUNCTION("""COMPUTED_VALUE"""),"Jana Straková")</f>
        <v>Jana Straková</v>
      </c>
      <c r="E24" s="7" t="str">
        <f>IFERROR(__xludf.DUMMYFUNCTION("""COMPUTED_VALUE"""),"Yes")</f>
        <v>Yes</v>
      </c>
      <c r="F24" s="7" t="str">
        <f>IFERROR(__xludf.DUMMYFUNCTION("""COMPUTED_VALUE"""),"IP-Demo")</f>
        <v>IP-Demo</v>
      </c>
      <c r="G24" s="7" t="str">
        <f>IFERROR(__xludf.DUMMYFUNCTION("""COMPUTED_VALUE"""),"In-person")</f>
        <v>In-person</v>
      </c>
      <c r="H24" s="7" t="str">
        <f>IFERROR(__xludf.DUMMYFUNCTION("""COMPUTED_VALUE"""),"Hall 5X")</f>
        <v>Hall 5X</v>
      </c>
      <c r="I24" s="7" t="str">
        <f>IFERROR(__xludf.DUMMYFUNCTION("""COMPUTED_VALUE"""),"Session 2: IP-Posters ")</f>
        <v>Session 2: IP-Posters </v>
      </c>
      <c r="J24" s="7" t="str">
        <f>IFERROR(__xludf.DUMMYFUNCTION("""COMPUTED_VALUE"""),"Demo Session 1")</f>
        <v>Demo Session 1</v>
      </c>
      <c r="K24" s="7"/>
      <c r="L24" s="8">
        <f>IFERROR(__xludf.DUMMYFUNCTION("""COMPUTED_VALUE"""),45866.0)</f>
        <v>45866</v>
      </c>
      <c r="M24" s="7" t="str">
        <f>IFERROR(__xludf.DUMMYFUNCTION("""COMPUTED_VALUE"""),"11:00-12:30")</f>
        <v>11:00-12:30</v>
      </c>
      <c r="N24" s="7"/>
    </row>
    <row r="25">
      <c r="A25" s="7" t="str">
        <f>IFERROR(__xludf.DUMMYFUNCTION("""COMPUTED_VALUE"""),"12-DEMO")</f>
        <v>12-DEMO</v>
      </c>
      <c r="B25" s="7" t="str">
        <f>IFERROR(__xludf.DUMMYFUNCTION("""COMPUTED_VALUE"""),"Multi-Programming Language Sandbox for LLMs")</f>
        <v>Multi-Programming Language Sandbox for LLMs</v>
      </c>
      <c r="C25" s="7" t="str">
        <f>IFERROR(__xludf.DUMMYFUNCTION("""COMPUTED_VALUE"""),"We introduce MPLSandbox, an out-of-the-box multi-programming language sandbox designed to provide unified and comprehensive feedback from compiler and analysis tools for Large Language Models (LLMs). It can automatically identify the programming language "&amp;"of the code, compiling and executing it within an isolated sub-sandbox to ensure safety and stability. In addition, MPLSandbox integrates both traditional and LLM-based code analysis tools, providing a comprehensive analysis of generated code. It also can"&amp;" be effortlessly integrated into the training and deployment of LLMs to improve the quality and correctness of generated code. It also helps researchers streamline their workflows for various LLM-based code-related tasks, reducing the development cost. To"&amp;" validate the effectiveness of MPLSandbox, we conduct extensive experiments by integrating it into several training and deployment scenarios, and employing it to optimize workflows for a wide range of downstream code tasks. Our goal is to enhance research"&amp;"er productivity on LLM-based code tasks by simplifying and automating workflows through delegation to MPLSandbox.")</f>
        <v>We introduce MPLSandbox, an out-of-the-box multi-programming language sandbox designed to provide unified and comprehensive feedback from compiler and analysis tools for Large Language Models (LLMs). It can automatically identify the programming language of the code, compiling and executing it within an isolated sub-sandbox to ensure safety and stability. In addition, MPLSandbox integrates both traditional and LLM-based code analysis tools, providing a comprehensive analysis of generated code. It also can be effortlessly integrated into the training and deployment of LLMs to improve the quality and correctness of generated code. It also helps researchers streamline their workflows for various LLM-based code-related tasks, reducing the development cost. To validate the effectiveness of MPLSandbox, we conduct extensive experiments by integrating it into several training and deployment scenarios, and employing it to optimize workflows for a wide range of downstream code tasks. Our goal is to enhance researcher productivity on LLM-based code tasks by simplifying and automating workflows through delegation to MPLSandbox.</v>
      </c>
      <c r="D25" s="7" t="str">
        <f>IFERROR(__xludf.DUMMYFUNCTION("""COMPUTED_VALUE"""),"Shihan Dou")</f>
        <v>Shihan Dou</v>
      </c>
      <c r="E25" s="7" t="str">
        <f>IFERROR(__xludf.DUMMYFUNCTION("""COMPUTED_VALUE"""),"Yes")</f>
        <v>Yes</v>
      </c>
      <c r="F25" s="7" t="str">
        <f>IFERROR(__xludf.DUMMYFUNCTION("""COMPUTED_VALUE"""),"IP-Demo")</f>
        <v>IP-Demo</v>
      </c>
      <c r="G25" s="7" t="str">
        <f>IFERROR(__xludf.DUMMYFUNCTION("""COMPUTED_VALUE"""),"In-person")</f>
        <v>In-person</v>
      </c>
      <c r="H25" s="7" t="str">
        <f>IFERROR(__xludf.DUMMYFUNCTION("""COMPUTED_VALUE"""),"Hall 5X")</f>
        <v>Hall 5X</v>
      </c>
      <c r="I25" s="7" t="str">
        <f>IFERROR(__xludf.DUMMYFUNCTION("""COMPUTED_VALUE"""),"Session 12: IP-Posters")</f>
        <v>Session 12: IP-Posters</v>
      </c>
      <c r="J25" s="7" t="str">
        <f>IFERROR(__xludf.DUMMYFUNCTION("""COMPUTED_VALUE"""),"Demo Session 4")</f>
        <v>Demo Session 4</v>
      </c>
      <c r="K25" s="7"/>
      <c r="L25" s="8">
        <f>IFERROR(__xludf.DUMMYFUNCTION("""COMPUTED_VALUE"""),45868.0)</f>
        <v>45868</v>
      </c>
      <c r="M25" s="7" t="str">
        <f>IFERROR(__xludf.DUMMYFUNCTION("""COMPUTED_VALUE"""),"11:00-12:30")</f>
        <v>11:00-12:30</v>
      </c>
      <c r="N25" s="7"/>
    </row>
    <row r="26">
      <c r="A26" s="7" t="str">
        <f>IFERROR(__xludf.DUMMYFUNCTION("""COMPUTED_VALUE"""),"13-DEMO")</f>
        <v>13-DEMO</v>
      </c>
      <c r="B26" s="7" t="str">
        <f>IFERROR(__xludf.DUMMYFUNCTION("""COMPUTED_VALUE"""),"FlagEvalMM: A Flexible Framework for Comprehensive Multimodal Model Evaluation")</f>
        <v>FlagEvalMM: A Flexible Framework for Comprehensive Multimodal Model Evaluation</v>
      </c>
      <c r="C26" s="7" t="str">
        <f>IFERROR(__xludf.DUMMYFUNCTION("""COMPUTED_VALUE"""),"We present FlagEvalMM, an open-source evaluation framework designed to comprehensively assess multimodal models across a diverse range of vision-language understanding and generation tasks, such as visual question answering, text-to-image/video generation"&amp;", and image-text retrieval. We decouple model inference from evaluation through an independent evaluation service, thus enabling flexible resource allocation and seamless integration of new tasks and models. Moreover, FlagEvalMM utilizes advanced inferenc"&amp;"e acceleration tools (e.g., vLLM, SGLang) and asynchronous data loading to significantly enhance evaluation efficiency. Extensive experiments show that FlagEvalMM offers accurate and efficient insights into model strengths and limitations, making it a val"&amp;"uable tool for advancing multimodal research. The framework is publicly accessible at https://github.com/flageval-baai/FlagEvalMM, with a demonstration video available at https://youtu.be/L7EtacjoM0k.")</f>
        <v>We present FlagEvalMM, an open-source evaluation framework designed to comprehensively assess multimodal models across a diverse range of vision-language understanding and generation tasks, such as visual question answering, text-to-image/video generation, and image-text retrieval. We decouple model inference from evaluation through an independent evaluation service, thus enabling flexible resource allocation and seamless integration of new tasks and models. Moreover, FlagEvalMM utilizes advanced inference acceleration tools (e.g., vLLM, SGLang) and asynchronous data loading to significantly enhance evaluation efficiency. Extensive experiments show that FlagEvalMM offers accurate and efficient insights into model strengths and limitations, making it a valuable tool for advancing multimodal research. The framework is publicly accessible at https://github.com/flageval-baai/FlagEvalMM, with a demonstration video available at https://youtu.be/L7EtacjoM0k.</v>
      </c>
      <c r="D26" s="7" t="str">
        <f>IFERROR(__xludf.DUMMYFUNCTION("""COMPUTED_VALUE"""),"Zheqi He")</f>
        <v>Zheqi He</v>
      </c>
      <c r="E26" s="7" t="str">
        <f>IFERROR(__xludf.DUMMYFUNCTION("""COMPUTED_VALUE"""),"Yes")</f>
        <v>Yes</v>
      </c>
      <c r="F26" s="7" t="str">
        <f>IFERROR(__xludf.DUMMYFUNCTION("""COMPUTED_VALUE"""),"IP-Demo")</f>
        <v>IP-Demo</v>
      </c>
      <c r="G26" s="7" t="str">
        <f>IFERROR(__xludf.DUMMYFUNCTION("""COMPUTED_VALUE"""),"In-person")</f>
        <v>In-person</v>
      </c>
      <c r="H26" s="7" t="str">
        <f>IFERROR(__xludf.DUMMYFUNCTION("""COMPUTED_VALUE"""),"Hall 5X")</f>
        <v>Hall 5X</v>
      </c>
      <c r="I26" s="7" t="str">
        <f>IFERROR(__xludf.DUMMYFUNCTION("""COMPUTED_VALUE"""),"Session 7: IP-Posters")</f>
        <v>Session 7: IP-Posters</v>
      </c>
      <c r="J26" s="7" t="str">
        <f>IFERROR(__xludf.DUMMYFUNCTION("""COMPUTED_VALUE"""),"Demo Session 2")</f>
        <v>Demo Session 2</v>
      </c>
      <c r="K26" s="7"/>
      <c r="L26" s="8">
        <f>IFERROR(__xludf.DUMMYFUNCTION("""COMPUTED_VALUE"""),45867.0)</f>
        <v>45867</v>
      </c>
      <c r="M26" s="7" t="str">
        <f>IFERROR(__xludf.DUMMYFUNCTION("""COMPUTED_VALUE"""),"10:30-12:00")</f>
        <v>10:30-12:00</v>
      </c>
      <c r="N26" s="7"/>
    </row>
    <row r="27">
      <c r="A27" s="7" t="str">
        <f>IFERROR(__xludf.DUMMYFUNCTION("""COMPUTED_VALUE"""),"16-DEMO")</f>
        <v>16-DEMO</v>
      </c>
      <c r="B27" s="7" t="str">
        <f>IFERROR(__xludf.DUMMYFUNCTION("""COMPUTED_VALUE"""),"My Climate CoPilot: A Question Answering System for Climate Adaptation in Agriculture")</f>
        <v>My Climate CoPilot: A Question Answering System for Climate Adaptation in Agriculture</v>
      </c>
      <c r="C27" s="7" t="str">
        <f>IFERROR(__xludf.DUMMYFUNCTION("""COMPUTED_VALUE"""),"Accurately answering climate science questions requires scientific literature and climate data. Interpreting climate literature and data, however, presents inherent challenges, such as interpreting uncertainties, determining relevant climate factors and d"&amp;"rivers, and dealing with the sheer volume of data. My Climate CoPilot is a platform that assists climate experts, such as farmer advisors, mitigate and adapt to projected climate impacts by answering questions grounded in evidence. It emphasises transpare"&amp;"ncy, user privacy, and low-resource use, and provides automatic evaluation. Fifty domain experts have carefully evaluated every aspect of My Climate CoPilot and based on their interactions and feedback, the system continues to evolve. To date, we have rec"&amp;"eived 2180 question-answer pairs with an 82% positive rating from the experts.")</f>
        <v>Accurately answering climate science questions requires scientific literature and climate data. Interpreting climate literature and data, however, presents inherent challenges, such as interpreting uncertainties, determining relevant climate factors and drivers, and dealing with the sheer volume of data. My Climate CoPilot is a platform that assists climate experts, such as farmer advisors, mitigate and adapt to projected climate impacts by answering questions grounded in evidence. It emphasises transparency, user privacy, and low-resource use, and provides automatic evaluation. Fifty domain experts have carefully evaluated every aspect of My Climate CoPilot and based on their interactions and feedback, the system continues to evolve. To date, we have received 2180 question-answer pairs with an 82% positive rating from the experts.</v>
      </c>
      <c r="D27" s="7" t="str">
        <f>IFERROR(__xludf.DUMMYFUNCTION("""COMPUTED_VALUE"""),"Vincent Nguyen")</f>
        <v>Vincent Nguyen</v>
      </c>
      <c r="E27" s="7" t="str">
        <f>IFERROR(__xludf.DUMMYFUNCTION("""COMPUTED_VALUE"""),"Yes")</f>
        <v>Yes</v>
      </c>
      <c r="F27" s="7" t="str">
        <f>IFERROR(__xludf.DUMMYFUNCTION("""COMPUTED_VALUE"""),"IP-Demo")</f>
        <v>IP-Demo</v>
      </c>
      <c r="G27" s="7" t="str">
        <f>IFERROR(__xludf.DUMMYFUNCTION("""COMPUTED_VALUE"""),"In-person")</f>
        <v>In-person</v>
      </c>
      <c r="H27" s="7" t="str">
        <f>IFERROR(__xludf.DUMMYFUNCTION("""COMPUTED_VALUE"""),"Hall 5X")</f>
        <v>Hall 5X</v>
      </c>
      <c r="I27" s="7" t="str">
        <f>IFERROR(__xludf.DUMMYFUNCTION("""COMPUTED_VALUE"""),"Session 12: IP-Posters")</f>
        <v>Session 12: IP-Posters</v>
      </c>
      <c r="J27" s="7" t="str">
        <f>IFERROR(__xludf.DUMMYFUNCTION("""COMPUTED_VALUE"""),"Demo Session 4")</f>
        <v>Demo Session 4</v>
      </c>
      <c r="K27" s="7"/>
      <c r="L27" s="8">
        <f>IFERROR(__xludf.DUMMYFUNCTION("""COMPUTED_VALUE"""),45868.0)</f>
        <v>45868</v>
      </c>
      <c r="M27" s="7" t="str">
        <f>IFERROR(__xludf.DUMMYFUNCTION("""COMPUTED_VALUE"""),"11:00-12:30")</f>
        <v>11:00-12:30</v>
      </c>
      <c r="N27" s="7"/>
    </row>
    <row r="28">
      <c r="A28" s="7" t="str">
        <f>IFERROR(__xludf.DUMMYFUNCTION("""COMPUTED_VALUE"""),"17-DEMO")</f>
        <v>17-DEMO</v>
      </c>
      <c r="B28" s="7" t="str">
        <f>IFERROR(__xludf.DUMMYFUNCTION("""COMPUTED_VALUE"""),"SPOT: Bridging Natural Language and Geospatial Search for Investigative Journalism")</f>
        <v>SPOT: Bridging Natural Language and Geospatial Search for Investigative Journalism</v>
      </c>
      <c r="C28" s="7" t="str">
        <f>IFERROR(__xludf.DUMMYFUNCTION("""COMPUTED_VALUE"""),"OpenStreetMap (OSM) is a vital resource for investigative journalists using geolocation verification. However, existing tools such as Overpass Turbo require familiarity with complex query languages, creating barriers for non-technical users. We present SP"&amp;"OT, an open source natural language interface that makes OSM's rich, tag-based geographic data more accessible through intuitive scene descriptions. SPOT interprets user inputs as structured representations of geographic object configurations using fine-t"&amp;"uned Large Language Models (LLMs), with results being displayed in an interactive map interface. While more general geospatial search tasks are conceivable, SPOT is specifically designed for use in investigative journalism, addressing real-world challenge"&amp;"s such as hallucinations in model output, inconsistencies in OSM tagging, and the noisy nature of user input. It combines a novel synthetic data pipeline with a semantic bundling system to enable robust, accurate query generation. To our knowledge, SPOT i"&amp;"s the first system to achieve reliable natural language access to OSM data at this level of accuracy. By lowering the technical barrier to spatial verification, SPOT contributes a practical tool to the broader efforts to support fact-checking and combat d"&amp;"isinformation.")</f>
        <v>OpenStreetMap (OSM) is a vital resource for investigative journalists using geolocation verification. However, existing tools such as Overpass Turbo require familiarity with complex query languages, creating barriers for non-technical users. We present SPOT, an open source natural language interface that makes OSM's rich, tag-based geographic data more accessible through intuitive scene descriptions. SPOT interprets user inputs as structured representations of geographic object configurations using fine-tuned Large Language Models (LLMs), with results being displayed in an interactive map interface. While more general geospatial search tasks are conceivable, SPOT is specifically designed for use in investigative journalism, addressing real-world challenges such as hallucinations in model output, inconsistencies in OSM tagging, and the noisy nature of user input. It combines a novel synthetic data pipeline with a semantic bundling system to enable robust, accurate query generation. To our knowledge, SPOT is the first system to achieve reliable natural language access to OSM data at this level of accuracy. By lowering the technical barrier to spatial verification, SPOT contributes a practical tool to the broader efforts to support fact-checking and combat disinformation.</v>
      </c>
      <c r="D28" s="7" t="str">
        <f>IFERROR(__xludf.DUMMYFUNCTION("""COMPUTED_VALUE"""),"Lynn Khellaf")</f>
        <v>Lynn Khellaf</v>
      </c>
      <c r="E28" s="7" t="str">
        <f>IFERROR(__xludf.DUMMYFUNCTION("""COMPUTED_VALUE"""),"Yes")</f>
        <v>Yes</v>
      </c>
      <c r="F28" s="7" t="str">
        <f>IFERROR(__xludf.DUMMYFUNCTION("""COMPUTED_VALUE"""),"IP-Demo")</f>
        <v>IP-Demo</v>
      </c>
      <c r="G28" s="7" t="str">
        <f>IFERROR(__xludf.DUMMYFUNCTION("""COMPUTED_VALUE"""),"In-person")</f>
        <v>In-person</v>
      </c>
      <c r="H28" s="7" t="str">
        <f>IFERROR(__xludf.DUMMYFUNCTION("""COMPUTED_VALUE"""),"Hall 5X")</f>
        <v>Hall 5X</v>
      </c>
      <c r="I28" s="7" t="str">
        <f>IFERROR(__xludf.DUMMYFUNCTION("""COMPUTED_VALUE"""),"Session 12: IP-Posters")</f>
        <v>Session 12: IP-Posters</v>
      </c>
      <c r="J28" s="7" t="str">
        <f>IFERROR(__xludf.DUMMYFUNCTION("""COMPUTED_VALUE"""),"Demo Session 4")</f>
        <v>Demo Session 4</v>
      </c>
      <c r="K28" s="7"/>
      <c r="L28" s="8">
        <f>IFERROR(__xludf.DUMMYFUNCTION("""COMPUTED_VALUE"""),45868.0)</f>
        <v>45868</v>
      </c>
      <c r="M28" s="7" t="str">
        <f>IFERROR(__xludf.DUMMYFUNCTION("""COMPUTED_VALUE"""),"11:00-12:30")</f>
        <v>11:00-12:30</v>
      </c>
      <c r="N28" s="7"/>
    </row>
    <row r="29">
      <c r="A29" s="7" t="str">
        <f>IFERROR(__xludf.DUMMYFUNCTION("""COMPUTED_VALUE"""),"18-DEMO")</f>
        <v>18-DEMO</v>
      </c>
      <c r="B29" s="7" t="str">
        <f>IFERROR(__xludf.DUMMYFUNCTION("""COMPUTED_VALUE"""),"Textagon: Boosting Language Models with Theory-guided Parallel Representations")</f>
        <v>Textagon: Boosting Language Models with Theory-guided Parallel Representations</v>
      </c>
      <c r="C29" s="7" t="str">
        <f>IFERROR(__xludf.DUMMYFUNCTION("""COMPUTED_VALUE"""),"Pretrained language models have significantly advanced the state of the art in generating distributed representations of text. However, they do not account for the wide variety of available expert-generated language resources and lexicons that explicitly "&amp;"encode linguistic/domain knowledge. Such lexicons can be paired with learned embeddings to further enhance NLP prediction and linguistic inquiry. In this work we present Textagon, a Python package for generating parallel representations for text based on "&amp;"predefined lexicons and selecting representations that provide the most information. We discuss the motivation behind the software, its implementation, as well as two case studies for its use to demonstrate operational utility.")</f>
        <v>Pretrained language models have significantly advanced the state of the art in generating distributed representations of text. However, they do not account for the wide variety of available expert-generated language resources and lexicons that explicitly encode linguistic/domain knowledge. Such lexicons can be paired with learned embeddings to further enhance NLP prediction and linguistic inquiry. In this work we present Textagon, a Python package for generating parallel representations for text based on predefined lexicons and selecting representations that provide the most information. We discuss the motivation behind the software, its implementation, as well as two case studies for its use to demonstrate operational utility.</v>
      </c>
      <c r="D29" s="7" t="str">
        <f>IFERROR(__xludf.DUMMYFUNCTION("""COMPUTED_VALUE"""),"John Lalor")</f>
        <v>John Lalor</v>
      </c>
      <c r="E29" s="7" t="str">
        <f>IFERROR(__xludf.DUMMYFUNCTION("""COMPUTED_VALUE"""),"Yes")</f>
        <v>Yes</v>
      </c>
      <c r="F29" s="7" t="str">
        <f>IFERROR(__xludf.DUMMYFUNCTION("""COMPUTED_VALUE"""),"IP-Demo")</f>
        <v>IP-Demo</v>
      </c>
      <c r="G29" s="7" t="str">
        <f>IFERROR(__xludf.DUMMYFUNCTION("""COMPUTED_VALUE"""),"In-person")</f>
        <v>In-person</v>
      </c>
      <c r="H29" s="7" t="str">
        <f>IFERROR(__xludf.DUMMYFUNCTION("""COMPUTED_VALUE"""),"Hall 5X")</f>
        <v>Hall 5X</v>
      </c>
      <c r="I29" s="7" t="str">
        <f>IFERROR(__xludf.DUMMYFUNCTION("""COMPUTED_VALUE"""),"Session 7: IP-Posters")</f>
        <v>Session 7: IP-Posters</v>
      </c>
      <c r="J29" s="7" t="str">
        <f>IFERROR(__xludf.DUMMYFUNCTION("""COMPUTED_VALUE"""),"Demo Session 2")</f>
        <v>Demo Session 2</v>
      </c>
      <c r="K29" s="7"/>
      <c r="L29" s="8">
        <f>IFERROR(__xludf.DUMMYFUNCTION("""COMPUTED_VALUE"""),45867.0)</f>
        <v>45867</v>
      </c>
      <c r="M29" s="7" t="str">
        <f>IFERROR(__xludf.DUMMYFUNCTION("""COMPUTED_VALUE"""),"10:30-12:00")</f>
        <v>10:30-12:00</v>
      </c>
      <c r="N29" s="7"/>
    </row>
    <row r="30">
      <c r="A30" s="7" t="str">
        <f>IFERROR(__xludf.DUMMYFUNCTION("""COMPUTED_VALUE"""),"26-DEMO")</f>
        <v>26-DEMO</v>
      </c>
      <c r="B30" s="7" t="str">
        <f>IFERROR(__xludf.DUMMYFUNCTION("""COMPUTED_VALUE"""),"GigaChat Family: Efficient Russian Language Modeling Through Mixture of Experts Architecture")</f>
        <v>GigaChat Family: Efficient Russian Language Modeling Through Mixture of Experts Architecture</v>
      </c>
      <c r="C30" s="7" t="str">
        <f>IFERROR(__xludf.DUMMYFUNCTION("""COMPUTED_VALUE"""),"Generative large language models (LLMs) have become crucial for modern NLP research and applications across various languages. However, the development of foundational models specifically tailored to the Russian language has been limited, primarily due to"&amp;" the significant computational resources required. This paper introduces the GigaChat family of Russian LLMs, available in various sizes, including base models and instruction-tuned versions. We provide a detailed report on the model architecture, pre-tra"&amp;"ining process, and experiments to guide design choices. In addition, we evaluate their performance on Russian and English benchmarks and compare GigaChat with multilingual analogs. The paper presents a system demonstration of the top-performing models acc"&amp;"essible via an API, a Telegram bot, and a Web interface. Furthermore, we have released three open GigaChat models in open source, with the aim of expanding NLP research opportunities and supporting the development of industrial solutions for the Russian l"&amp;"anguage.")</f>
        <v>Generative large language models (LLMs) have become crucial for modern NLP research and applications across various languages. However, the development of foundational models specifically tailored to the Russian language has been limited, primarily due to the significant computational resources required. This paper introduces the GigaChat family of Russian LLMs, available in various sizes, including base models and instruction-tuned versions. We provide a detailed report on the model architecture, pre-training process, and experiments to guide design choices. In addition, we evaluate their performance on Russian and English benchmarks and compare GigaChat with multilingual analogs. The paper presents a system demonstration of the top-performing models accessible via an API, a Telegram bot, and a Web interface. Furthermore, we have released three open GigaChat models in open source, with the aim of expanding NLP research opportunities and supporting the development of industrial solutions for the Russian language.</v>
      </c>
      <c r="D30" s="7" t="str">
        <f>IFERROR(__xludf.DUMMYFUNCTION("""COMPUTED_VALUE"""),"Valentin Mamedov")</f>
        <v>Valentin Mamedov</v>
      </c>
      <c r="E30" s="7" t="str">
        <f>IFERROR(__xludf.DUMMYFUNCTION("""COMPUTED_VALUE"""),"Yes")</f>
        <v>Yes</v>
      </c>
      <c r="F30" s="7" t="str">
        <f>IFERROR(__xludf.DUMMYFUNCTION("""COMPUTED_VALUE"""),"IP-Demo")</f>
        <v>IP-Demo</v>
      </c>
      <c r="G30" s="7" t="str">
        <f>IFERROR(__xludf.DUMMYFUNCTION("""COMPUTED_VALUE"""),"In-person")</f>
        <v>In-person</v>
      </c>
      <c r="H30" s="7" t="str">
        <f>IFERROR(__xludf.DUMMYFUNCTION("""COMPUTED_VALUE"""),"Hall 5X")</f>
        <v>Hall 5X</v>
      </c>
      <c r="I30" s="7" t="str">
        <f>IFERROR(__xludf.DUMMYFUNCTION("""COMPUTED_VALUE"""),"Session 7: IP-Posters")</f>
        <v>Session 7: IP-Posters</v>
      </c>
      <c r="J30" s="7" t="str">
        <f>IFERROR(__xludf.DUMMYFUNCTION("""COMPUTED_VALUE"""),"Demo Session 2")</f>
        <v>Demo Session 2</v>
      </c>
      <c r="K30" s="7"/>
      <c r="L30" s="8">
        <f>IFERROR(__xludf.DUMMYFUNCTION("""COMPUTED_VALUE"""),45867.0)</f>
        <v>45867</v>
      </c>
      <c r="M30" s="7" t="str">
        <f>IFERROR(__xludf.DUMMYFUNCTION("""COMPUTED_VALUE"""),"10:30-12:00")</f>
        <v>10:30-12:00</v>
      </c>
      <c r="N30" s="7"/>
    </row>
    <row r="31">
      <c r="A31" s="7" t="str">
        <f>IFERROR(__xludf.DUMMYFUNCTION("""COMPUTED_VALUE"""),"31-DEMO")</f>
        <v>31-DEMO</v>
      </c>
      <c r="B31" s="7" t="str">
        <f>IFERROR(__xludf.DUMMYFUNCTION("""COMPUTED_VALUE"""),"Unifying Language Agent Algorithms with Graph-based Orchestration Engine for Reproducible Agent Research")</f>
        <v>Unifying Language Agent Algorithms with Graph-based Orchestration Engine for Reproducible Agent Research</v>
      </c>
      <c r="C31" s="7" t="str">
        <f>IFERROR(__xludf.DUMMYFUNCTION("""COMPUTED_VALUE"""),"Language agents powered by large language models (LLMs) have demonstrated remarkable capabilities in understanding, reasoning, and executing complex tasks. However, developing robust agents presents significant challenges: substantial engineering overhead"&amp;", lack of standardized components, and insufficient evaluation frameworks for fair comparison. We introduce Agent Graph-based Orchestration for Reasoning and Assessment (AGORA), a flexible and extensible framework that addresses these challenges through t"&amp;"hree key contributions: (1) a modular architecture with a graph-based workflow engine, efficient memory management, and clean component abstraction; (2) a comprehensive suite of reusable agent algorithms implementing state-of-the-art reasoning approaches;"&amp;" and (3) a rigorous evaluation framework enabling systematic comparison across multiple dimensions. Through extensive experiments on mathematical reasoning and multimodal tasks, we evaluate various agent algorithms across different LLMs, revealing importa"&amp;"nt insights about their relative strengths and applicability. Our results demonstrate that while sophisticated reasoning approaches can enhance agent capabilities, simpler methods like Chain-of-Thought often exhibit robust performance with significantly l"&amp;"ower computational overhead. AGORA not only simplifies language agent development but also establishes a foundation for reproducible agent research through standardized evaluation protocols.
 We made a demo video at: https://www.youtube.com/watch?v=WRH-F1"&amp;"zegKI. The comparison agent of algorithms is also available at https://huggingface.co/spaces/omlab/open-agent-leaderboard. Source code of AGORA can be found at https://github.com/om-ai-lab/OmAgent.")</f>
        <v>Language agents powered by large language models (LLMs) have demonstrated remarkable capabilities in understanding, reasoning, and executing complex tasks. However, developing robust agents presents significant challenges: substantial engineering overhead, lack of standardized components, and insufficient evaluation frameworks for fair comparison. We introduce Agent Graph-based Orchestration for Reasoning and Assessment (AGORA), a flexible and extensible framework that addresses these challenges through three key contributions: (1) a modular architecture with a graph-based workflow engine, efficient memory management, and clean component abstraction; (2) a comprehensive suite of reusable agent algorithms implementing state-of-the-art reasoning approaches; and (3) a rigorous evaluation framework enabling systematic comparison across multiple dimensions. Through extensive experiments on mathematical reasoning and multimodal tasks, we evaluate various agent algorithms across different LLMs, revealing important insights about their relative strengths and applicability. Our results demonstrate that while sophisticated reasoning approaches can enhance agent capabilities, simpler methods like Chain-of-Thought often exhibit robust performance with significantly lower computational overhead. AGORA not only simplifies language agent development but also establishes a foundation for reproducible agent research through standardized evaluation protocols.
 We made a demo video at: https://www.youtube.com/watch?v=WRH-F1zegKI. The comparison agent of algorithms is also available at https://huggingface.co/spaces/omlab/open-agent-leaderboard. Source code of AGORA can be found at https://github.com/om-ai-lab/OmAgent.</v>
      </c>
      <c r="D31" s="7" t="str">
        <f>IFERROR(__xludf.DUMMYFUNCTION("""COMPUTED_VALUE"""),"Tiancheng Zhao")</f>
        <v>Tiancheng Zhao</v>
      </c>
      <c r="E31" s="7" t="str">
        <f>IFERROR(__xludf.DUMMYFUNCTION("""COMPUTED_VALUE"""),"Yes")</f>
        <v>Yes</v>
      </c>
      <c r="F31" s="7" t="str">
        <f>IFERROR(__xludf.DUMMYFUNCTION("""COMPUTED_VALUE"""),"IP-Demo")</f>
        <v>IP-Demo</v>
      </c>
      <c r="G31" s="7" t="str">
        <f>IFERROR(__xludf.DUMMYFUNCTION("""COMPUTED_VALUE"""),"In-person")</f>
        <v>In-person</v>
      </c>
      <c r="H31" s="7" t="str">
        <f>IFERROR(__xludf.DUMMYFUNCTION("""COMPUTED_VALUE"""),"Hall 5X")</f>
        <v>Hall 5X</v>
      </c>
      <c r="I31" s="7" t="str">
        <f>IFERROR(__xludf.DUMMYFUNCTION("""COMPUTED_VALUE"""),"Session 7: IP-Posters")</f>
        <v>Session 7: IP-Posters</v>
      </c>
      <c r="J31" s="7" t="str">
        <f>IFERROR(__xludf.DUMMYFUNCTION("""COMPUTED_VALUE"""),"Demo Session 2")</f>
        <v>Demo Session 2</v>
      </c>
      <c r="K31" s="7"/>
      <c r="L31" s="8">
        <f>IFERROR(__xludf.DUMMYFUNCTION("""COMPUTED_VALUE"""),45867.0)</f>
        <v>45867</v>
      </c>
      <c r="M31" s="7" t="str">
        <f>IFERROR(__xludf.DUMMYFUNCTION("""COMPUTED_VALUE"""),"10:30-12:00")</f>
        <v>10:30-12:00</v>
      </c>
      <c r="N31" s="7"/>
    </row>
    <row r="32">
      <c r="A32" s="7" t="str">
        <f>IFERROR(__xludf.DUMMYFUNCTION("""COMPUTED_VALUE"""),"32-DEMO")</f>
        <v>32-DEMO</v>
      </c>
      <c r="B32" s="7" t="str">
        <f>IFERROR(__xludf.DUMMYFUNCTION("""COMPUTED_VALUE"""),"Abacus-SQL: A Text-to-SQL System Empowering Cross-Domain and Open-Domain Database Retrieval")</f>
        <v>Abacus-SQL: A Text-to-SQL System Empowering Cross-Domain and Open-Domain Database Retrieval</v>
      </c>
      <c r="C32" s="7" t="str">
        <f>IFERROR(__xludf.DUMMYFUNCTION("""COMPUTED_VALUE"""),"The existing text-to-SQL systems have made significant progress in SQL query generation, but they still face numerous challenges. Existing systems often lack retrieval capabilities for open-domain databases, requiring users to manually filter relevant dat"&amp;"abases. Additionally, their cross-domain transferability is limited, making it challenging to accommodate diverse query requirements. To address these issues, we propose Abacus-SQL. Abacus-SQL utilizes database retrieval technology to accurately locate th"&amp;"e required databases in an open-domain database environment. It also enhances the system cross-domain transfer ability through data augmentation methods. Moreover, Abacus-SQL employs Pre-SQL and Self-debug methods, thereby enhancing the accuracy of SQL qu"&amp;"eries. Experimental results demonstrate that Abacus-SQL performs excellently in multi-turn text-to-SQL tasks, effectively validating the approach's effectiveness.Abacus-SQL is publicly accessible at https://huozi.8wss.com/abacus-sql/.")</f>
        <v>The existing text-to-SQL systems have made significant progress in SQL query generation, but they still face numerous challenges. Existing systems often lack retrieval capabilities for open-domain databases, requiring users to manually filter relevant databases. Additionally, their cross-domain transferability is limited, making it challenging to accommodate diverse query requirements. To address these issues, we propose Abacus-SQL. Abacus-SQL utilizes database retrieval technology to accurately locate the required databases in an open-domain database environment. It also enhances the system cross-domain transfer ability through data augmentation methods. Moreover, Abacus-SQL employs Pre-SQL and Self-debug methods, thereby enhancing the accuracy of SQL queries. Experimental results demonstrate that Abacus-SQL performs excellently in multi-turn text-to-SQL tasks, effectively validating the approach's effectiveness.Abacus-SQL is publicly accessible at https://huozi.8wss.com/abacus-sql/.</v>
      </c>
      <c r="D32" s="7" t="str">
        <f>IFERROR(__xludf.DUMMYFUNCTION("""COMPUTED_VALUE"""),"Keyan Xu")</f>
        <v>Keyan Xu</v>
      </c>
      <c r="E32" s="7" t="str">
        <f>IFERROR(__xludf.DUMMYFUNCTION("""COMPUTED_VALUE"""),"Yes")</f>
        <v>Yes</v>
      </c>
      <c r="F32" s="7" t="str">
        <f>IFERROR(__xludf.DUMMYFUNCTION("""COMPUTED_VALUE"""),"V-Presentation")</f>
        <v>V-Presentation</v>
      </c>
      <c r="G32" s="7" t="str">
        <f>IFERROR(__xludf.DUMMYFUNCTION("""COMPUTED_VALUE"""),"Virtual/Gather")</f>
        <v>Virtual/Gather</v>
      </c>
      <c r="H32" s="7" t="str">
        <f>IFERROR(__xludf.DUMMYFUNCTION("""COMPUTED_VALUE"""),"Zoom")</f>
        <v>Zoom</v>
      </c>
      <c r="I32" s="7" t="str">
        <f>IFERROR(__xludf.DUMMYFUNCTION("""COMPUTED_VALUE"""),"Session 7: V--Presentations ")</f>
        <v>Session 7: V--Presentations </v>
      </c>
      <c r="J32" s="7" t="str">
        <f>IFERROR(__xludf.DUMMYFUNCTION("""COMPUTED_VALUE"""),"Virtual Presentations 2")</f>
        <v>Virtual Presentations 2</v>
      </c>
      <c r="K32" s="7"/>
      <c r="L32" s="8"/>
      <c r="M32" s="7" t="str">
        <f>IFERROR(__xludf.DUMMYFUNCTION("""COMPUTED_VALUE"""),"10:30-12:00")</f>
        <v>10:30-12:00</v>
      </c>
      <c r="N32" s="7"/>
    </row>
    <row r="33">
      <c r="A33" s="7" t="str">
        <f>IFERROR(__xludf.DUMMYFUNCTION("""COMPUTED_VALUE"""),"33-DEMO")</f>
        <v>33-DEMO</v>
      </c>
      <c r="B33" s="7" t="str">
        <f>IFERROR(__xludf.DUMMYFUNCTION("""COMPUTED_VALUE"""),"Tulun: Transparent and Adaptable Low-resource Machine Translation")</f>
        <v>Tulun: Transparent and Adaptable Low-resource Machine Translation</v>
      </c>
      <c r="C33" s="7" t="str">
        <f>IFERROR(__xludf.DUMMYFUNCTION("""COMPUTED_VALUE"""),"Machine translation (MT) systems that support low-resource languages often struggle on specialized domains. While researchers have proposed various techniques for domain adaptation, these approaches typically require model fine-tuning, making them impract"&amp;"ical for non-technical users and small organizations. To address this gap, we propose Tulun, a versatile solution for terminology-aware translation, combining neural MT with large language model (LLM)-based post-editing guided by existing glossaries and t"&amp;"ranslation memories.
 Our open-source web-based platform enables users to easily create, edit, and leverage terminology resources, fostering a collaborative human-machine translation process that respects and incorporates domain expertise while increasing"&amp;" MT accuracy.
 Evaluations show effectiveness in both real-world and benchmark scenarios: on medical and disaster relief translation tasks for Tetun and Bislama, our system achieves improvements of 16.90-22.41 ChrF++ points over baseline MT systems. Acros"&amp;"s six low-resource languages on the FLORES dataset, Tulun outperforms both standalone MT and LLM approaches, achieving an average improvement of 2.8 ChrF points over NLLB-54B. Tulun is publicly accessible at https://bislama-trans.rapha.dev.")</f>
        <v>Machine translation (MT) systems that support low-resource languages often struggle on specialized domains. While researchers have proposed various techniques for domain adaptation, these approaches typically require model fine-tuning, making them impractical for non-technical users and small organizations. To address this gap, we propose Tulun, a versatile solution for terminology-aware translation, combining neural MT with large language model (LLM)-based post-editing guided by existing glossaries and translation memories.
 Our open-source web-based platform enables users to easily create, edit, and leverage terminology resources, fostering a collaborative human-machine translation process that respects and incorporates domain expertise while increasing MT accuracy.
 Evaluations show effectiveness in both real-world and benchmark scenarios: on medical and disaster relief translation tasks for Tetun and Bislama, our system achieves improvements of 16.90-22.41 ChrF++ points over baseline MT systems. Across six low-resource languages on the FLORES dataset, Tulun outperforms both standalone MT and LLM approaches, achieving an average improvement of 2.8 ChrF points over NLLB-54B. Tulun is publicly accessible at https://bislama-trans.rapha.dev.</v>
      </c>
      <c r="D33" s="7" t="str">
        <f>IFERROR(__xludf.DUMMYFUNCTION("""COMPUTED_VALUE"""),"Raphael	Merx")</f>
        <v>Raphael	Merx</v>
      </c>
      <c r="E33" s="7" t="str">
        <f>IFERROR(__xludf.DUMMYFUNCTION("""COMPUTED_VALUE"""),"Yes")</f>
        <v>Yes</v>
      </c>
      <c r="F33" s="7" t="str">
        <f>IFERROR(__xludf.DUMMYFUNCTION("""COMPUTED_VALUE"""),"IP-Demo")</f>
        <v>IP-Demo</v>
      </c>
      <c r="G33" s="7" t="str">
        <f>IFERROR(__xludf.DUMMYFUNCTION("""COMPUTED_VALUE"""),"In-person")</f>
        <v>In-person</v>
      </c>
      <c r="H33" s="7" t="str">
        <f>IFERROR(__xludf.DUMMYFUNCTION("""COMPUTED_VALUE"""),"Hall 5X")</f>
        <v>Hall 5X</v>
      </c>
      <c r="I33" s="7" t="str">
        <f>IFERROR(__xludf.DUMMYFUNCTION("""COMPUTED_VALUE"""),"Session 10: IP-Posters")</f>
        <v>Session 10: IP-Posters</v>
      </c>
      <c r="J33" s="7" t="str">
        <f>IFERROR(__xludf.DUMMYFUNCTION("""COMPUTED_VALUE"""),"Demo Session 3")</f>
        <v>Demo Session 3</v>
      </c>
      <c r="K33" s="7"/>
      <c r="L33" s="8">
        <f>IFERROR(__xludf.DUMMYFUNCTION("""COMPUTED_VALUE"""),45867.0)</f>
        <v>45867</v>
      </c>
      <c r="M33" s="7" t="str">
        <f>IFERROR(__xludf.DUMMYFUNCTION("""COMPUTED_VALUE"""),"16:00-17:30")</f>
        <v>16:00-17:30</v>
      </c>
      <c r="N33" s="7"/>
    </row>
    <row r="34">
      <c r="A34" s="7" t="str">
        <f>IFERROR(__xludf.DUMMYFUNCTION("""COMPUTED_VALUE"""),"39-DEMO")</f>
        <v>39-DEMO</v>
      </c>
      <c r="B34" s="7" t="str">
        <f>IFERROR(__xludf.DUMMYFUNCTION("""COMPUTED_VALUE"""),"ReasonGraph: Visualization of Reasoning Methods and Extended Inference Paths")</f>
        <v>ReasonGraph: Visualization of Reasoning Methods and Extended Inference Paths</v>
      </c>
      <c r="C34" s="7" t="str">
        <f>IFERROR(__xludf.DUMMYFUNCTION("""COMPUTED_VALUE"""),"Large Language Models (LLMs) reasoning processes are challenging to analyze due to their complexity and the lack of organized visualization tools. We present ReasonGraph, a web-based platform for visualizing and analyzing LLM reasoning processes. It suppo"&amp;"rts both sequential and tree-based reasoning methods and extended inference outputs while integrating with major LLM providers and over fifty state-of-the-art models. ReasonGraph incorporates an intuitive UI with meta reasoning method selection, configura"&amp;"ble visualization parameters, and a modular framework that facilitates efficient extension. Our evaluation shows high parsing reliability, efficient processing, and strong usability across various downstream applications. By providing a unified visualizat"&amp;"ion framework, ReasonGraph reduces cognitive load in analyzing complex reasoning paths, improves error detection in logical processes, and enables more effective development of LLM-based applications. The platform is open-source, promoting accessibility a"&amp;"nd reproducibility in LLM reasoning analysis.")</f>
        <v>Large Language Models (LLMs) reasoning processes are challenging to analyze due to their complexity and the lack of organized visualization tools. We present ReasonGraph, a web-based platform for visualizing and analyzing LLM reasoning processes. It supports both sequential and tree-based reasoning methods and extended inference outputs while integrating with major LLM providers and over fifty state-of-the-art models. ReasonGraph incorporates an intuitive UI with meta reasoning method selection, configurable visualization parameters, and a modular framework that facilitates efficient extension. Our evaluation shows high parsing reliability, efficient processing, and strong usability across various downstream applications. By providing a unified visualization framework, ReasonGraph reduces cognitive load in analyzing complex reasoning paths, improves error detection in logical processes, and enables more effective development of LLM-based applications. The platform is open-source, promoting accessibility and reproducibility in LLM reasoning analysis.</v>
      </c>
      <c r="D34" s="7" t="str">
        <f>IFERROR(__xludf.DUMMYFUNCTION("""COMPUTED_VALUE"""),"Zongqian Li")</f>
        <v>Zongqian Li</v>
      </c>
      <c r="E34" s="7" t="str">
        <f>IFERROR(__xludf.DUMMYFUNCTION("""COMPUTED_VALUE"""),"Yes")</f>
        <v>Yes</v>
      </c>
      <c r="F34" s="7" t="str">
        <f>IFERROR(__xludf.DUMMYFUNCTION("""COMPUTED_VALUE"""),"V-Presentation")</f>
        <v>V-Presentation</v>
      </c>
      <c r="G34" s="7" t="str">
        <f>IFERROR(__xludf.DUMMYFUNCTION("""COMPUTED_VALUE"""),"Virtual/Gather")</f>
        <v>Virtual/Gather</v>
      </c>
      <c r="H34" s="7" t="str">
        <f>IFERROR(__xludf.DUMMYFUNCTION("""COMPUTED_VALUE"""),"Zoom")</f>
        <v>Zoom</v>
      </c>
      <c r="I34" s="7" t="str">
        <f>IFERROR(__xludf.DUMMYFUNCTION("""COMPUTED_VALUE"""),"Session 7: V--Presentations ")</f>
        <v>Session 7: V--Presentations </v>
      </c>
      <c r="J34" s="7" t="str">
        <f>IFERROR(__xludf.DUMMYFUNCTION("""COMPUTED_VALUE"""),"Virtual Presentations 2")</f>
        <v>Virtual Presentations 2</v>
      </c>
      <c r="K34" s="7"/>
      <c r="L34" s="8"/>
      <c r="M34" s="7" t="str">
        <f>IFERROR(__xludf.DUMMYFUNCTION("""COMPUTED_VALUE"""),"10:30-12:00")</f>
        <v>10:30-12:00</v>
      </c>
      <c r="N34" s="7"/>
    </row>
    <row r="35">
      <c r="A35" s="7" t="str">
        <f>IFERROR(__xludf.DUMMYFUNCTION("""COMPUTED_VALUE"""),"41-DEMO")</f>
        <v>41-DEMO</v>
      </c>
      <c r="B35" s="7" t="str">
        <f>IFERROR(__xludf.DUMMYFUNCTION("""COMPUTED_VALUE"""),"Dia-Lingle: A Gamified Interface for Dialectal Data Collection")</f>
        <v>Dia-Lingle: A Gamified Interface for Dialectal Data Collection</v>
      </c>
      <c r="C35" s="7" t="str">
        <f>IFERROR(__xludf.DUMMYFUNCTION("""COMPUTED_VALUE"""),"Dialects suffer from the scarcity of computational textual resources as they exist predominantly in spoken rather than written form and exhibit remarkable geographical diversity. Collecting dialect data and subsequently integrating it into current languag"&amp;"e technologies present significant obstacles. Gamification has been proven to facilitate remote data collection processes with great ease and on a substantially wider scale. This paper introduces Dia-Lingle, a gamified interface aimed to improve and facil"&amp;"itate dialectal data collection tasks such as corpus expansion and dialect labelling. The platform features two key components: the first challenges users to rewrite sentences in their dialects, identifies them through a classifier and solicits feedback, "&amp;"and the other one asks users to match sentences to their geographical locations. Dia-Lingle combines active learning with gamified difficulty levels, strategically encouraging prolonged user engagement while efficiently enriching the dialect corpus. Usabi"&amp;"lity evaluation shows that our interface demonstrates high levels of user satisfaction. We provide the link to Dia-Lingle: https://dia-lingle.ivia.ch/, and demo video: https://youtu.be/0QyJsB8ym64.")</f>
        <v>Dialects suffer from the scarcity of computational textual resources as they exist predominantly in spoken rather than written form and exhibit remarkable geographical diversity. Collecting dialect data and subsequently integrating it into current language technologies present significant obstacles. Gamification has been proven to facilitate remote data collection processes with great ease and on a substantially wider scale. This paper introduces Dia-Lingle, a gamified interface aimed to improve and facilitate dialectal data collection tasks such as corpus expansion and dialect labelling. The platform features two key components: the first challenges users to rewrite sentences in their dialects, identifies them through a classifier and solicits feedback, and the other one asks users to match sentences to their geographical locations. Dia-Lingle combines active learning with gamified difficulty levels, strategically encouraging prolonged user engagement while efficiently enriching the dialect corpus. Usability evaluation shows that our interface demonstrates high levels of user satisfaction. We provide the link to Dia-Lingle: https://dia-lingle.ivia.ch/, and demo video: https://youtu.be/0QyJsB8ym64.</v>
      </c>
      <c r="D35" s="7" t="str">
        <f>IFERROR(__xludf.DUMMYFUNCTION("""COMPUTED_VALUE"""),"Jiugeng Sun")</f>
        <v>Jiugeng Sun</v>
      </c>
      <c r="E35" s="7" t="str">
        <f>IFERROR(__xludf.DUMMYFUNCTION("""COMPUTED_VALUE"""),"Yes")</f>
        <v>Yes</v>
      </c>
      <c r="F35" s="7" t="str">
        <f>IFERROR(__xludf.DUMMYFUNCTION("""COMPUTED_VALUE"""),"IP-Demo")</f>
        <v>IP-Demo</v>
      </c>
      <c r="G35" s="7" t="str">
        <f>IFERROR(__xludf.DUMMYFUNCTION("""COMPUTED_VALUE"""),"In-person")</f>
        <v>In-person</v>
      </c>
      <c r="H35" s="7" t="str">
        <f>IFERROR(__xludf.DUMMYFUNCTION("""COMPUTED_VALUE"""),"Hall 5X")</f>
        <v>Hall 5X</v>
      </c>
      <c r="I35" s="7" t="str">
        <f>IFERROR(__xludf.DUMMYFUNCTION("""COMPUTED_VALUE"""),"Session 7: IP-Posters")</f>
        <v>Session 7: IP-Posters</v>
      </c>
      <c r="J35" s="7" t="str">
        <f>IFERROR(__xludf.DUMMYFUNCTION("""COMPUTED_VALUE"""),"Demo Session 2")</f>
        <v>Demo Session 2</v>
      </c>
      <c r="K35" s="7"/>
      <c r="L35" s="8">
        <f>IFERROR(__xludf.DUMMYFUNCTION("""COMPUTED_VALUE"""),45867.0)</f>
        <v>45867</v>
      </c>
      <c r="M35" s="7" t="str">
        <f>IFERROR(__xludf.DUMMYFUNCTION("""COMPUTED_VALUE"""),"10:30-12:00")</f>
        <v>10:30-12:00</v>
      </c>
      <c r="N35" s="7"/>
    </row>
    <row r="36">
      <c r="A36" s="7" t="str">
        <f>IFERROR(__xludf.DUMMYFUNCTION("""COMPUTED_VALUE"""),"43-DEMO")</f>
        <v>43-DEMO</v>
      </c>
      <c r="B36" s="7" t="str">
        <f>IFERROR(__xludf.DUMMYFUNCTION("""COMPUTED_VALUE"""),"Token Level Routing Inference System for Edge Devices")</f>
        <v>Token Level Routing Inference System for Edge Devices</v>
      </c>
      <c r="C36" s="7" t="str">
        <f>IFERROR(__xludf.DUMMYFUNCTION("""COMPUTED_VALUE"""),"The computational complexity of large language model (LLM) inference significantly constrains their deployment efficiency on edge devices. In contrast, small language models offer faster decoding and lower resource consumption but often suffer from degrad"&amp;"ed response quality and heightened susceptibility to hallucinations. To address this trade-off, collaborative decoding, in which a large model assists in generating critical tokens, has emerged as a promising solution. This paradigm leverages the strength"&amp;"s of both model types by enabling high-quality inference through selective intervention of the large model, while maintaining the speed and efficiency of the smaller model. In this work, we present a novel collaborative decoding inference system that allo"&amp;"ws small models to perform on-device inference while selectively consulting a cloud-based large model for critical token generation. Remarkably, the system achieves a 60\% performance gain on CommonsenseQA using only a 0.5B model on an M1 MacBook, with un"&amp;"der 7\% of tokens generation uploaded to the large model in the cloud.")</f>
        <v>The computational complexity of large language model (LLM) inference significantly constrains their deployment efficiency on edge devices. In contrast, small language models offer faster decoding and lower resource consumption but often suffer from degraded response quality and heightened susceptibility to hallucinations. To address this trade-off, collaborative decoding, in which a large model assists in generating critical tokens, has emerged as a promising solution. This paradigm leverages the strengths of both model types by enabling high-quality inference through selective intervention of the large model, while maintaining the speed and efficiency of the smaller model. In this work, we present a novel collaborative decoding inference system that allows small models to perform on-device inference while selectively consulting a cloud-based large model for critical token generation. Remarkably, the system achieves a 60\% performance gain on CommonsenseQA using only a 0.5B model on an M1 MacBook, with under 7\% of tokens generation uploaded to the large model in the cloud.</v>
      </c>
      <c r="D36" s="7" t="str">
        <f>IFERROR(__xludf.DUMMYFUNCTION("""COMPUTED_VALUE"""),"Jianshu She")</f>
        <v>Jianshu She</v>
      </c>
      <c r="E36" s="7" t="str">
        <f>IFERROR(__xludf.DUMMYFUNCTION("""COMPUTED_VALUE"""),"Yes")</f>
        <v>Yes</v>
      </c>
      <c r="F36" s="7" t="str">
        <f>IFERROR(__xludf.DUMMYFUNCTION("""COMPUTED_VALUE"""),"V-Presentation")</f>
        <v>V-Presentation</v>
      </c>
      <c r="G36" s="7" t="str">
        <f>IFERROR(__xludf.DUMMYFUNCTION("""COMPUTED_VALUE"""),"Virtual/Gather")</f>
        <v>Virtual/Gather</v>
      </c>
      <c r="H36" s="7" t="str">
        <f>IFERROR(__xludf.DUMMYFUNCTION("""COMPUTED_VALUE"""),"Zoom")</f>
        <v>Zoom</v>
      </c>
      <c r="I36" s="7" t="str">
        <f>IFERROR(__xludf.DUMMYFUNCTION("""COMPUTED_VALUE"""),"Session 7: V--Presentations ")</f>
        <v>Session 7: V--Presentations </v>
      </c>
      <c r="J36" s="7" t="str">
        <f>IFERROR(__xludf.DUMMYFUNCTION("""COMPUTED_VALUE"""),"Virtual Presentations 2")</f>
        <v>Virtual Presentations 2</v>
      </c>
      <c r="K36" s="7"/>
      <c r="L36" s="8"/>
      <c r="M36" s="7" t="str">
        <f>IFERROR(__xludf.DUMMYFUNCTION("""COMPUTED_VALUE"""),"10:30-12:00")</f>
        <v>10:30-12:00</v>
      </c>
      <c r="N36" s="7"/>
    </row>
    <row r="37">
      <c r="A37" s="7" t="str">
        <f>IFERROR(__xludf.DUMMYFUNCTION("""COMPUTED_VALUE"""),"44-DEMO")</f>
        <v>44-DEMO</v>
      </c>
      <c r="B37" s="7" t="str">
        <f>IFERROR(__xludf.DUMMYFUNCTION("""COMPUTED_VALUE"""),"The ShareLM Collection and Plugin: Contributing Human-Model Chats for the Benefit of the Community")</f>
        <v>The ShareLM Collection and Plugin: Contributing Human-Model Chats for the Benefit of the Community</v>
      </c>
      <c r="C37" s="7" t="str">
        <f>IFERROR(__xludf.DUMMYFUNCTION("""COMPUTED_VALUE"""),"Human-model conversations provide a window into users' real-world scenarios, behavior, and needs, and thus are a valuable resource for model development and research. 
 While for-profit companies collect user data through the APIs of their models, using i"&amp;"t internally to improve their own models, the open source and research community lags behind.
 We introduce the ShareLM collection, a unified set of human conversations with large language models, and its accompanying plugin, a Web extension for volunt"&amp;"arily contributing user-model conversations. Where few platforms share their chats, the ShareLM plugin adds this functionality, thus, allowing users to share conversations from most platforms. The plugin allows the user to rate their conversations, both a"&amp;"t the conversation and the response levels, and delete conversations they prefer to keep private before they ever leave the user's local storage.")</f>
        <v>Human-model conversations provide a window into users' real-world scenarios, behavior, and needs, and thus are a valuable resource for model development and research. 
 While for-profit companies collect user data through the APIs of their models, using it internally to improve their own models, the open source and research community lags behind.
 We introduce the ShareLM collection, a unified set of human conversations with large language models, and its accompanying plugin, a Web extension for voluntarily contributing user-model conversations. Where few platforms share their chats, the ShareLM plugin adds this functionality, thus, allowing users to share conversations from most platforms. The plugin allows the user to rate their conversations, both at the conversation and the response levels, and delete conversations they prefer to keep private before they ever leave the user's local storage.</v>
      </c>
      <c r="D37" s="7" t="str">
        <f>IFERROR(__xludf.DUMMYFUNCTION("""COMPUTED_VALUE"""),"Leshem Choshen")</f>
        <v>Leshem Choshen</v>
      </c>
      <c r="E37" s="7" t="str">
        <f>IFERROR(__xludf.DUMMYFUNCTION("""COMPUTED_VALUE"""),"Yes")</f>
        <v>Yes</v>
      </c>
      <c r="F37" s="7" t="str">
        <f>IFERROR(__xludf.DUMMYFUNCTION("""COMPUTED_VALUE"""),"IP-Demo")</f>
        <v>IP-Demo</v>
      </c>
      <c r="G37" s="7" t="str">
        <f>IFERROR(__xludf.DUMMYFUNCTION("""COMPUTED_VALUE"""),"In-person")</f>
        <v>In-person</v>
      </c>
      <c r="H37" s="7" t="str">
        <f>IFERROR(__xludf.DUMMYFUNCTION("""COMPUTED_VALUE"""),"Hall 5X")</f>
        <v>Hall 5X</v>
      </c>
      <c r="I37" s="7" t="str">
        <f>IFERROR(__xludf.DUMMYFUNCTION("""COMPUTED_VALUE"""),"Session 2: IP-Posters ")</f>
        <v>Session 2: IP-Posters </v>
      </c>
      <c r="J37" s="7" t="str">
        <f>IFERROR(__xludf.DUMMYFUNCTION("""COMPUTED_VALUE"""),"Demo Session 1")</f>
        <v>Demo Session 1</v>
      </c>
      <c r="K37" s="7"/>
      <c r="L37" s="8">
        <f>IFERROR(__xludf.DUMMYFUNCTION("""COMPUTED_VALUE"""),45866.0)</f>
        <v>45866</v>
      </c>
      <c r="M37" s="7" t="str">
        <f>IFERROR(__xludf.DUMMYFUNCTION("""COMPUTED_VALUE"""),"11:00-12:30")</f>
        <v>11:00-12:30</v>
      </c>
      <c r="N37" s="7"/>
    </row>
    <row r="38">
      <c r="A38" s="7" t="str">
        <f>IFERROR(__xludf.DUMMYFUNCTION("""COMPUTED_VALUE"""),"50-DEMO")</f>
        <v>50-DEMO</v>
      </c>
      <c r="B38" s="7" t="str">
        <f>IFERROR(__xludf.DUMMYFUNCTION("""COMPUTED_VALUE"""),"OLMoTrace: Tracing Language Model Outputs Back to Trillions of Training Tokens")</f>
        <v>OLMoTrace: Tracing Language Model Outputs Back to Trillions of Training Tokens</v>
      </c>
      <c r="C38" s="7" t="str">
        <f>IFERROR(__xludf.DUMMYFUNCTION("""COMPUTED_VALUE"""),"We present OLMoTrace, the first system that traces the outputs of language models back to their full, multi-trillion-token training data in real time. OLMoTrace finds and shows verbatim matches between segments of language model output and documents in th"&amp;"e training text corpora. Powered by an extended version of infini-gram (Liu et al., 2024), our system returns tracing results within a few seconds. OLMoTrace can help users understand the behavior of language models through the lens of their training data"&amp;". We showcase how it can be used to explore fact checking, hallucination, and the creativity of language models. OLMoTrace is publicly available and fully open-source.")</f>
        <v>We present OLMoTrace, the first system that traces the outputs of language models back to their full, multi-trillion-token training data in real time. OLMoTrace finds and shows verbatim matches between segments of language model output and documents in the training text corpora. Powered by an extended version of infini-gram (Liu et al., 2024), our system returns tracing results within a few seconds. OLMoTrace can help users understand the behavior of language models through the lens of their training data. We showcase how it can be used to explore fact checking, hallucination, and the creativity of language models. OLMoTrace is publicly available and fully open-source.</v>
      </c>
      <c r="D38" s="7" t="str">
        <f>IFERROR(__xludf.DUMMYFUNCTION("""COMPUTED_VALUE"""),"Yanai Elazar")</f>
        <v>Yanai Elazar</v>
      </c>
      <c r="E38" s="7" t="str">
        <f>IFERROR(__xludf.DUMMYFUNCTION("""COMPUTED_VALUE"""),"Yes")</f>
        <v>Yes</v>
      </c>
      <c r="F38" s="7" t="str">
        <f>IFERROR(__xludf.DUMMYFUNCTION("""COMPUTED_VALUE"""),"IP-Demo")</f>
        <v>IP-Demo</v>
      </c>
      <c r="G38" s="7" t="str">
        <f>IFERROR(__xludf.DUMMYFUNCTION("""COMPUTED_VALUE"""),"In-person")</f>
        <v>In-person</v>
      </c>
      <c r="H38" s="7" t="str">
        <f>IFERROR(__xludf.DUMMYFUNCTION("""COMPUTED_VALUE"""),"Hall 5X")</f>
        <v>Hall 5X</v>
      </c>
      <c r="I38" s="7" t="str">
        <f>IFERROR(__xludf.DUMMYFUNCTION("""COMPUTED_VALUE"""),"Session 7: IP-Posters")</f>
        <v>Session 7: IP-Posters</v>
      </c>
      <c r="J38" s="7" t="str">
        <f>IFERROR(__xludf.DUMMYFUNCTION("""COMPUTED_VALUE"""),"Demo Session 2")</f>
        <v>Demo Session 2</v>
      </c>
      <c r="K38" s="7"/>
      <c r="L38" s="8">
        <f>IFERROR(__xludf.DUMMYFUNCTION("""COMPUTED_VALUE"""),45867.0)</f>
        <v>45867</v>
      </c>
      <c r="M38" s="7" t="str">
        <f>IFERROR(__xludf.DUMMYFUNCTION("""COMPUTED_VALUE"""),"10:30-12:00")</f>
        <v>10:30-12:00</v>
      </c>
      <c r="N38" s="7"/>
    </row>
    <row r="39">
      <c r="A39" s="7" t="str">
        <f>IFERROR(__xludf.DUMMYFUNCTION("""COMPUTED_VALUE"""),"51-DEMO")</f>
        <v>51-DEMO</v>
      </c>
      <c r="B39" s="7" t="str">
        <f>IFERROR(__xludf.DUMMYFUNCTION("""COMPUTED_VALUE"""),"AutoAlign: Get Your LLM Aligned with Minimal Annotations")</f>
        <v>AutoAlign: Get Your LLM Aligned with Minimal Annotations</v>
      </c>
      <c r="C39" s="7" t="str">
        <f>IFERROR(__xludf.DUMMYFUNCTION("""COMPUTED_VALUE"""),"Automated Alignment refers to a set of algorithms designed to align Large Language Models (LLMs) with human intentions and values while minimizing manual intervention. However, it faces challenges such as algorithmic diversity and excessively convoluted w"&amp;"orkflows. We present AutoAlign, an open-source toolkit that offers:
 (1) a unified framework integrating mainstream automated algorithms through a consistent interface, and
 (2) an accessible workflow supporting one-click execution for prompt synthesis, a"&amp;"utomatic alignment signal construction, and iterative model training. Our toolkit enables easy reproduction of existing results through extensive benchmarks and facilitates the development of novel approaches via modular components. It includes implementa"&amp;"tions for both highly efficient inference and training, as well as low-resource training. By standardizing automated alignment methodologies and providing accessible implementations, AutoAlign lowers the barriers to building customized aligned models and "&amp;"supports academic research.")</f>
        <v>Automated Alignment refers to a set of algorithms designed to align Large Language Models (LLMs) with human intentions and values while minimizing manual intervention. However, it faces challenges such as algorithmic diversity and excessively convoluted workflows. We present AutoAlign, an open-source toolkit that offers:
 (1) a unified framework integrating mainstream automated algorithms through a consistent interface, and
 (2) an accessible workflow supporting one-click execution for prompt synthesis, automatic alignment signal construction, and iterative model training. Our toolkit enables easy reproduction of existing results through extensive benchmarks and facilitates the development of novel approaches via modular components. It includes implementations for both highly efficient inference and training, as well as low-resource training. By standardizing automated alignment methodologies and providing accessible implementations, AutoAlign lowers the barriers to building customized aligned models and supports academic research.</v>
      </c>
      <c r="D39" s="7" t="str">
        <f>IFERROR(__xludf.DUMMYFUNCTION("""COMPUTED_VALUE"""),"Chunkang Zhang")</f>
        <v>Chunkang Zhang</v>
      </c>
      <c r="E39" s="7" t="str">
        <f>IFERROR(__xludf.DUMMYFUNCTION("""COMPUTED_VALUE"""),"Yes")</f>
        <v>Yes</v>
      </c>
      <c r="F39" s="7" t="str">
        <f>IFERROR(__xludf.DUMMYFUNCTION("""COMPUTED_VALUE"""),"IP-Demo")</f>
        <v>IP-Demo</v>
      </c>
      <c r="G39" s="7" t="str">
        <f>IFERROR(__xludf.DUMMYFUNCTION("""COMPUTED_VALUE"""),"In-person")</f>
        <v>In-person</v>
      </c>
      <c r="H39" s="7" t="str">
        <f>IFERROR(__xludf.DUMMYFUNCTION("""COMPUTED_VALUE"""),"Hall 5X")</f>
        <v>Hall 5X</v>
      </c>
      <c r="I39" s="7" t="str">
        <f>IFERROR(__xludf.DUMMYFUNCTION("""COMPUTED_VALUE"""),"Session 7: IP-Posters")</f>
        <v>Session 7: IP-Posters</v>
      </c>
      <c r="J39" s="7" t="str">
        <f>IFERROR(__xludf.DUMMYFUNCTION("""COMPUTED_VALUE"""),"Demo Session 2")</f>
        <v>Demo Session 2</v>
      </c>
      <c r="K39" s="7"/>
      <c r="L39" s="8">
        <f>IFERROR(__xludf.DUMMYFUNCTION("""COMPUTED_VALUE"""),45867.0)</f>
        <v>45867</v>
      </c>
      <c r="M39" s="7" t="str">
        <f>IFERROR(__xludf.DUMMYFUNCTION("""COMPUTED_VALUE"""),"10:30-12:00")</f>
        <v>10:30-12:00</v>
      </c>
      <c r="N39" s="7"/>
    </row>
    <row r="40">
      <c r="A40" s="7" t="str">
        <f>IFERROR(__xludf.DUMMYFUNCTION("""COMPUTED_VALUE"""),"52-DEMO")</f>
        <v>52-DEMO</v>
      </c>
      <c r="B40" s="7" t="str">
        <f>IFERROR(__xludf.DUMMYFUNCTION("""COMPUTED_VALUE"""),"Know-MRI: A Knowledge Mechanisms Revealer&amp;Interpreter for Large Language Models")</f>
        <v>Know-MRI: A Knowledge Mechanisms Revealer&amp;Interpreter for Large Language Models</v>
      </c>
      <c r="C40" s="7" t="str">
        <f>IFERROR(__xludf.DUMMYFUNCTION("""COMPUTED_VALUE"""),"As large language models (LLMs) continue to advance, there is a growing urgency to enhance the interpretability of their internal knowledge mechanisms. Consequently, many interpretation methods have emerged, aiming to unravel the knowledge mechanisms of L"&amp;"LMs from various perspectives. However, current interpretation methods differ in input data formats and interpreting outputs. The tools integrating these methods are only capable of supporting tasks with specific inputs, significantly constraining their p"&amp;"ractical applications. To address these challenges, we present an open-source **Know**ledge **M**echanisms **R**evealer&amp;**I**nterpreter (**Know-MRI**) designed to analyze the knowledge mechanisms within LLMs systematically. Specifically, we have developed"&amp;" an extensible core module that can automatically match different input data with interpretation methods and consolidate the interpreting outputs. It enables users to freely choose appropriate interpretation methods based on the inputs, making it easier t"&amp;"o comprehensively diagnose the model's internal knowledge mechanisms from multiple perspectives. Our code is available at https://github.com/nlpkeg/Know-MRI. We also provide a demonstration video on https://youtu.be/OiP4T3MC518.")</f>
        <v>As large language models (LLMs) continue to advance, there is a growing urgency to enhance the interpretability of their internal knowledge mechanisms. Consequently, many interpretation methods have emerged, aiming to unravel the knowledge mechanisms of LLMs from various perspectives. However, current interpretation methods differ in input data formats and interpreting outputs. The tools integrating these methods are only capable of supporting tasks with specific inputs, significantly constraining their practical applications. To address these challenges, we present an open-source **Know**ledge **M**echanisms **R**evealer&amp;**I**nterpreter (**Know-MRI**) designed to analyze the knowledge mechanisms within LLMs systematically. Specifically, we have developed an extensible core module that can automatically match different input data with interpretation methods and consolidate the interpreting outputs. It enables users to freely choose appropriate interpretation methods based on the inputs, making it easier to comprehensively diagnose the model's internal knowledge mechanisms from multiple perspectives. Our code is available at https://github.com/nlpkeg/Know-MRI. We also provide a demonstration video on https://youtu.be/OiP4T3MC518.</v>
      </c>
      <c r="D40" s="7" t="str">
        <f>IFERROR(__xludf.DUMMYFUNCTION("""COMPUTED_VALUE"""),"Kang Liu")</f>
        <v>Kang Liu</v>
      </c>
      <c r="E40" s="7" t="str">
        <f>IFERROR(__xludf.DUMMYFUNCTION("""COMPUTED_VALUE"""),"Yes")</f>
        <v>Yes</v>
      </c>
      <c r="F40" s="7" t="str">
        <f>IFERROR(__xludf.DUMMYFUNCTION("""COMPUTED_VALUE"""),"IP-Demo")</f>
        <v>IP-Demo</v>
      </c>
      <c r="G40" s="7" t="str">
        <f>IFERROR(__xludf.DUMMYFUNCTION("""COMPUTED_VALUE"""),"In-person")</f>
        <v>In-person</v>
      </c>
      <c r="H40" s="7" t="str">
        <f>IFERROR(__xludf.DUMMYFUNCTION("""COMPUTED_VALUE"""),"Hall 5X")</f>
        <v>Hall 5X</v>
      </c>
      <c r="I40" s="7" t="str">
        <f>IFERROR(__xludf.DUMMYFUNCTION("""COMPUTED_VALUE"""),"Session 7: IP-Posters")</f>
        <v>Session 7: IP-Posters</v>
      </c>
      <c r="J40" s="7" t="str">
        <f>IFERROR(__xludf.DUMMYFUNCTION("""COMPUTED_VALUE"""),"Demo Session 2")</f>
        <v>Demo Session 2</v>
      </c>
      <c r="K40" s="7"/>
      <c r="L40" s="8">
        <f>IFERROR(__xludf.DUMMYFUNCTION("""COMPUTED_VALUE"""),45867.0)</f>
        <v>45867</v>
      </c>
      <c r="M40" s="7" t="str">
        <f>IFERROR(__xludf.DUMMYFUNCTION("""COMPUTED_VALUE"""),"10:30-12:00")</f>
        <v>10:30-12:00</v>
      </c>
      <c r="N40" s="7"/>
    </row>
    <row r="41">
      <c r="A41" s="7" t="str">
        <f>IFERROR(__xludf.DUMMYFUNCTION("""COMPUTED_VALUE"""),"55-DEMO")</f>
        <v>55-DEMO</v>
      </c>
      <c r="B41" s="7" t="str">
        <f>IFERROR(__xludf.DUMMYFUNCTION("""COMPUTED_VALUE"""),"AI4Reading: Chinese Audiobook Interpretation System Based on Multi-Agent Collaboration")</f>
        <v>AI4Reading: Chinese Audiobook Interpretation System Based on Multi-Agent Collaboration</v>
      </c>
      <c r="C41" s="7" t="str">
        <f>IFERROR(__xludf.DUMMYFUNCTION("""COMPUTED_VALUE"""),"Audiobook interpretations are attracting increasing attention, as they provide accessible and in-depth analyses of books that offer readers practical insights and intellectual inspiration. However, their manual creation process remains time-consuming and "&amp;"resource-intensive. To address this challenge, we propose AI4Reading, a multi-agent collaboration system leveraging large language models (LLMs) and speech synthesis technology to generate podcast-like audiobook interpretations. The system is designed to "&amp;"meet three key objectives: accurate content preservation, enhanced comprehensibility, and a logical narrative structure. To achieve these goals, We develop a framework composed of 11 specialized agents—including topic analysts, case analysts, editors, a n"&amp;"arrator, and proofreaders—that work in concert to explore themes, extract real-world cases, refine content organization, and synthesize natural spoken language. By comparing expert interpretations with our system's output, the results show that although A"&amp;"I4Reading still has a gap in speech generation quality, the generated interpretative scripts are simpler and more accurate. The code of AI4Reading is publicly accessible \footnote{https://github.com/9624219/AI4reading}, with a demonstration video availabl"&amp;"e \footnote{https://youtu.be/XCLAsRI9v2k}.")</f>
        <v>Audiobook interpretations are attracting increasing attention, as they provide accessible and in-depth analyses of books that offer readers practical insights and intellectual inspiration. However, their manual creation process remains time-consuming and resource-intensive. To address this challenge, we propose AI4Reading, a multi-agent collaboration system leveraging large language models (LLMs) and speech synthesis technology to generate podcast-like audiobook interpretations. The system is designed to meet three key objectives: accurate content preservation, enhanced comprehensibility, and a logical narrative structure. To achieve these goals, We develop a framework composed of 11 specialized agents—including topic analysts, case analysts, editors, a narrator, and proofreaders—that work in concert to explore themes, extract real-world cases, refine content organization, and synthesize natural spoken language. By comparing expert interpretations with our system's output, the results show that although AI4Reading still has a gap in speech generation quality, the generated interpretative scripts are simpler and more accurate. The code of AI4Reading is publicly accessible \footnote{https://github.com/9624219/AI4reading}, with a demonstration video available \footnote{https://youtu.be/XCLAsRI9v2k}.</v>
      </c>
      <c r="D41" s="7" t="str">
        <f>IFERROR(__xludf.DUMMYFUNCTION("""COMPUTED_VALUE"""),"Minjiang Huang")</f>
        <v>Minjiang Huang</v>
      </c>
      <c r="E41" s="7" t="str">
        <f>IFERROR(__xludf.DUMMYFUNCTION("""COMPUTED_VALUE"""),"Yes")</f>
        <v>Yes</v>
      </c>
      <c r="F41" s="7" t="str">
        <f>IFERROR(__xludf.DUMMYFUNCTION("""COMPUTED_VALUE"""),"V-Presentation")</f>
        <v>V-Presentation</v>
      </c>
      <c r="G41" s="7" t="str">
        <f>IFERROR(__xludf.DUMMYFUNCTION("""COMPUTED_VALUE"""),"Virtual/Gather")</f>
        <v>Virtual/Gather</v>
      </c>
      <c r="H41" s="7" t="str">
        <f>IFERROR(__xludf.DUMMYFUNCTION("""COMPUTED_VALUE"""),"Zoom")</f>
        <v>Zoom</v>
      </c>
      <c r="I41" s="7" t="str">
        <f>IFERROR(__xludf.DUMMYFUNCTION("""COMPUTED_VALUE"""),"Session 12: V-Presentations")</f>
        <v>Session 12: V-Presentations</v>
      </c>
      <c r="J41" s="7" t="str">
        <f>IFERROR(__xludf.DUMMYFUNCTION("""COMPUTED_VALUE"""),"Virtual Presentations 4")</f>
        <v>Virtual Presentations 4</v>
      </c>
      <c r="K41" s="7"/>
      <c r="L41" s="8">
        <f>IFERROR(__xludf.DUMMYFUNCTION("""COMPUTED_VALUE"""),45868.0)</f>
        <v>45868</v>
      </c>
      <c r="M41" s="7" t="str">
        <f>IFERROR(__xludf.DUMMYFUNCTION("""COMPUTED_VALUE"""),"11:00-12:30")</f>
        <v>11:00-12:30</v>
      </c>
      <c r="N41" s="7"/>
    </row>
    <row r="42">
      <c r="A42" s="7" t="str">
        <f>IFERROR(__xludf.DUMMYFUNCTION("""COMPUTED_VALUE"""),"64-DEMO")</f>
        <v>64-DEMO</v>
      </c>
      <c r="B42" s="7" t="str">
        <f>IFERROR(__xludf.DUMMYFUNCTION("""COMPUTED_VALUE"""),"DEEP: an automatic bidirectional translator leveraging an ASR for translation of Italian sign language")</f>
        <v>DEEP: an automatic bidirectional translator leveraging an ASR for translation of Italian sign language</v>
      </c>
      <c r="C42" s="7" t="str">
        <f>IFERROR(__xludf.DUMMYFUNCTION("""COMPUTED_VALUE"""),"DEEP is a bidirectional translation system for the Italian Sign Language, tailored to two specific, common use cases: pharmacy and the registry office of the municipality, for which a custom corpus has been collected. Two independent pipelines permit to c"&amp;"reate a chat-like interaction style, where the deaf subject just signs in front of a camera, and see a virtual LIS interpreter, while the hearing subject read and write messages into a chat UI. The LIS-to-Italian pipeline leverages, in a novel way, a cust"&amp;"omized Whisper model (a well-known speech recognition system), by means of ""pseudo-spectrograms''. The Italian-to-LIS pipeline leverages a virtual avatar created with Viggle.ai. DEEP has been evaluated with LIS signers, obtaining very promising results.")</f>
        <v>DEEP is a bidirectional translation system for the Italian Sign Language, tailored to two specific, common use cases: pharmacy and the registry office of the municipality, for which a custom corpus has been collected. Two independent pipelines permit to create a chat-like interaction style, where the deaf subject just signs in front of a camera, and see a virtual LIS interpreter, while the hearing subject read and write messages into a chat UI. The LIS-to-Italian pipeline leverages, in a novel way, a customized Whisper model (a well-known speech recognition system), by means of "pseudo-spectrograms''. The Italian-to-LIS pipeline leverages a virtual avatar created with Viggle.ai. DEEP has been evaluated with LIS signers, obtaining very promising results.</v>
      </c>
      <c r="D42" s="7" t="str">
        <f>IFERROR(__xludf.DUMMYFUNCTION("""COMPUTED_VALUE"""),"Elisa Colletti")</f>
        <v>Elisa Colletti</v>
      </c>
      <c r="E42" s="7" t="str">
        <f>IFERROR(__xludf.DUMMYFUNCTION("""COMPUTED_VALUE"""),"Yes")</f>
        <v>Yes</v>
      </c>
      <c r="F42" s="7" t="str">
        <f>IFERROR(__xludf.DUMMYFUNCTION("""COMPUTED_VALUE"""),"IP-Demo")</f>
        <v>IP-Demo</v>
      </c>
      <c r="G42" s="7" t="str">
        <f>IFERROR(__xludf.DUMMYFUNCTION("""COMPUTED_VALUE"""),"In-person")</f>
        <v>In-person</v>
      </c>
      <c r="H42" s="7" t="str">
        <f>IFERROR(__xludf.DUMMYFUNCTION("""COMPUTED_VALUE"""),"Hall 5X")</f>
        <v>Hall 5X</v>
      </c>
      <c r="I42" s="7" t="str">
        <f>IFERROR(__xludf.DUMMYFUNCTION("""COMPUTED_VALUE"""),"Session 10: IP-Posters")</f>
        <v>Session 10: IP-Posters</v>
      </c>
      <c r="J42" s="7" t="str">
        <f>IFERROR(__xludf.DUMMYFUNCTION("""COMPUTED_VALUE"""),"Demo Session 3")</f>
        <v>Demo Session 3</v>
      </c>
      <c r="K42" s="7"/>
      <c r="L42" s="8">
        <f>IFERROR(__xludf.DUMMYFUNCTION("""COMPUTED_VALUE"""),45867.0)</f>
        <v>45867</v>
      </c>
      <c r="M42" s="7" t="str">
        <f>IFERROR(__xludf.DUMMYFUNCTION("""COMPUTED_VALUE"""),"16:00-17:30")</f>
        <v>16:00-17:30</v>
      </c>
      <c r="N42" s="7"/>
    </row>
    <row r="43">
      <c r="A43" s="7" t="str">
        <f>IFERROR(__xludf.DUMMYFUNCTION("""COMPUTED_VALUE"""),"72-DEMO")</f>
        <v>72-DEMO</v>
      </c>
      <c r="B43" s="7" t="str">
        <f>IFERROR(__xludf.DUMMYFUNCTION("""COMPUTED_VALUE"""),"VenusFactory: An Integrated System for Protein Engineering with Data Retrieval and Language Model Fine-Tuning")</f>
        <v>VenusFactory: An Integrated System for Protein Engineering with Data Retrieval and Language Model Fine-Tuning</v>
      </c>
      <c r="C43" s="7" t="str">
        <f>IFERROR(__xludf.DUMMYFUNCTION("""COMPUTED_VALUE"""),"Natural language processing (NLP) has significantly influenced scientific domains beyond human language, including protein engineering, where pre-trained protein language models (PLMs) have demonstrated remarkable success. However, interdisciplinary adopt"&amp;"ion remains limited due to challenges in data collection, task benchmarking, and application. This work presents VenusFactory, a versatile engine that integrates biological data retrieval, standardized task benchmarking, and modular fine-tuning of PLMs. V"&amp;"enusFactory supports both computer science and biology communities with choices of both a command-line execution and a Gradio-based no-code interface, integrating $40+$ protein-related datasets and $40+$ popular PLMs. All implementations are open-sourced "&amp;"on https://github.com/ai4protein/VenusFactory. A video introduction is available at https://www.youtube.com/watch?v=MT6lPH5kgCc.")</f>
        <v>Natural language processing (NLP) has significantly influenced scientific domains beyond human language, including protein engineering, where pre-trained protein language models (PLMs) have demonstrated remarkable success. However, interdisciplinary adoption remains limited due to challenges in data collection, task benchmarking, and application. This work presents VenusFactory, a versatile engine that integrates biological data retrieval, standardized task benchmarking, and modular fine-tuning of PLMs. VenusFactory supports both computer science and biology communities with choices of both a command-line execution and a Gradio-based no-code interface, integrating $40+$ protein-related datasets and $40+$ popular PLMs. All implementations are open-sourced on https://github.com/ai4protein/VenusFactory. A video introduction is available at https://www.youtube.com/watch?v=MT6lPH5kgCc.</v>
      </c>
      <c r="D43" s="7" t="str">
        <f>IFERROR(__xludf.DUMMYFUNCTION("""COMPUTED_VALUE"""),"Yang Tan")</f>
        <v>Yang Tan</v>
      </c>
      <c r="E43" s="7" t="str">
        <f>IFERROR(__xludf.DUMMYFUNCTION("""COMPUTED_VALUE"""),"Yes")</f>
        <v>Yes</v>
      </c>
      <c r="F43" s="7" t="str">
        <f>IFERROR(__xludf.DUMMYFUNCTION("""COMPUTED_VALUE"""),"IP-Demo")</f>
        <v>IP-Demo</v>
      </c>
      <c r="G43" s="7" t="str">
        <f>IFERROR(__xludf.DUMMYFUNCTION("""COMPUTED_VALUE"""),"In-person")</f>
        <v>In-person</v>
      </c>
      <c r="H43" s="7" t="str">
        <f>IFERROR(__xludf.DUMMYFUNCTION("""COMPUTED_VALUE"""),"Hall 5X")</f>
        <v>Hall 5X</v>
      </c>
      <c r="I43" s="7" t="str">
        <f>IFERROR(__xludf.DUMMYFUNCTION("""COMPUTED_VALUE"""),"Session 12: IP-Posters")</f>
        <v>Session 12: IP-Posters</v>
      </c>
      <c r="J43" s="7" t="str">
        <f>IFERROR(__xludf.DUMMYFUNCTION("""COMPUTED_VALUE"""),"Demo Session 4")</f>
        <v>Demo Session 4</v>
      </c>
      <c r="K43" s="7"/>
      <c r="L43" s="8">
        <f>IFERROR(__xludf.DUMMYFUNCTION("""COMPUTED_VALUE"""),45868.0)</f>
        <v>45868</v>
      </c>
      <c r="M43" s="7" t="str">
        <f>IFERROR(__xludf.DUMMYFUNCTION("""COMPUTED_VALUE"""),"11:00-12:30")</f>
        <v>11:00-12:30</v>
      </c>
      <c r="N43" s="7"/>
    </row>
    <row r="44">
      <c r="A44" s="7" t="str">
        <f>IFERROR(__xludf.DUMMYFUNCTION("""COMPUTED_VALUE"""),"73-DEMO")</f>
        <v>73-DEMO</v>
      </c>
      <c r="B44" s="7" t="str">
        <f>IFERROR(__xludf.DUMMYFUNCTION("""COMPUTED_VALUE"""),"GenGO Ultra: an LLM-powered ACL Paper Explorer")</f>
        <v>GenGO Ultra: an LLM-powered ACL Paper Explorer</v>
      </c>
      <c r="C44" s="7" t="str">
        <f>IFERROR(__xludf.DUMMYFUNCTION("""COMPUTED_VALUE"""),"The ever-growing number of papers in natural language processing (NLP) poses the challenge of finding relevant papers. In our previous paper, we introduced GenGO, which complements NLP papers with various information, such as aspect-based summaries, to en"&amp;"able efficient paper exploration. While it delivers a better literature search experience, it lacks an interactive interface that dynamically produces information tailored to the user's needs. To this end, we present an extension to our previous system, d"&amp;"ubbed GenGO Ultra, which exploits large language models (LLMs) to dynamically generate responses grounded by published papers. We also conduct multi-granularity experiments to evaluate six text encoders and five LLMs. Our system is designed for transparen"&amp;"cy -- based only on open-weight models, visible system prompts, and an open-source code base -- to foster further development and research on top of our system: https://gengo-ultra.sotaro.io/")</f>
        <v>The ever-growing number of papers in natural language processing (NLP) poses the challenge of finding relevant papers. In our previous paper, we introduced GenGO, which complements NLP papers with various information, such as aspect-based summaries, to enable efficient paper exploration. While it delivers a better literature search experience, it lacks an interactive interface that dynamically produces information tailored to the user's needs. To this end, we present an extension to our previous system, dubbed GenGO Ultra, which exploits large language models (LLMs) to dynamically generate responses grounded by published papers. We also conduct multi-granularity experiments to evaluate six text encoders and five LLMs. Our system is designed for transparency -- based only on open-weight models, visible system prompts, and an open-source code base -- to foster further development and research on top of our system: https://gengo-ultra.sotaro.io/</v>
      </c>
      <c r="D44" s="7" t="str">
        <f>IFERROR(__xludf.DUMMYFUNCTION("""COMPUTED_VALUE"""),"Sotaro Takeshita")</f>
        <v>Sotaro Takeshita</v>
      </c>
      <c r="E44" s="7" t="str">
        <f>IFERROR(__xludf.DUMMYFUNCTION("""COMPUTED_VALUE"""),"Yes")</f>
        <v>Yes</v>
      </c>
      <c r="F44" s="7" t="str">
        <f>IFERROR(__xludf.DUMMYFUNCTION("""COMPUTED_VALUE"""),"IP-Demo")</f>
        <v>IP-Demo</v>
      </c>
      <c r="G44" s="7" t="str">
        <f>IFERROR(__xludf.DUMMYFUNCTION("""COMPUTED_VALUE"""),"In-person")</f>
        <v>In-person</v>
      </c>
      <c r="H44" s="7" t="str">
        <f>IFERROR(__xludf.DUMMYFUNCTION("""COMPUTED_VALUE"""),"Hall 5X")</f>
        <v>Hall 5X</v>
      </c>
      <c r="I44" s="7" t="str">
        <f>IFERROR(__xludf.DUMMYFUNCTION("""COMPUTED_VALUE"""),"Session 2: IP-Posters ")</f>
        <v>Session 2: IP-Posters </v>
      </c>
      <c r="J44" s="7" t="str">
        <f>IFERROR(__xludf.DUMMYFUNCTION("""COMPUTED_VALUE"""),"Demo Session 1")</f>
        <v>Demo Session 1</v>
      </c>
      <c r="K44" s="7"/>
      <c r="L44" s="8">
        <f>IFERROR(__xludf.DUMMYFUNCTION("""COMPUTED_VALUE"""),45866.0)</f>
        <v>45866</v>
      </c>
      <c r="M44" s="7" t="str">
        <f>IFERROR(__xludf.DUMMYFUNCTION("""COMPUTED_VALUE"""),"11:00-12:30")</f>
        <v>11:00-12:30</v>
      </c>
      <c r="N44" s="7"/>
    </row>
    <row r="45">
      <c r="A45" s="7" t="str">
        <f>IFERROR(__xludf.DUMMYFUNCTION("""COMPUTED_VALUE"""),"74-DEMO")</f>
        <v>74-DEMO</v>
      </c>
      <c r="B45" s="7" t="str">
        <f>IFERROR(__xludf.DUMMYFUNCTION("""COMPUTED_VALUE"""),"SpatialWebAgent: Leveraging Large Language Models for Automated Spatial Information Extraction and Map Grounding")</f>
        <v>SpatialWebAgent: Leveraging Large Language Models for Automated Spatial Information Extraction and Map Grounding</v>
      </c>
      <c r="C45" s="7" t="str">
        <f>IFERROR(__xludf.DUMMYFUNCTION("""COMPUTED_VALUE"""),"Extracting spatial information from text is crucial for applications in geographic information systems (GIS), smart cities, disaster prevention, and logistics planning, helping decision-makers better understand geographic distributions and trends. However"&amp;", the complex and unstructured nature of geographic expressions in text—including variations in place names, vague directions, and implicit spatial relationships—poses significant challenges for traditional methods. To overcome these challenges, we introd"&amp;"uce SpatialWebAgent, an automated agent system that employs large language models (LLMs) to extract, standardize, and ground spatial information from natural language onto maps. SpatialWebAgent addresses the issues posed by diverse and ambiguous geographi"&amp;"c expressions—ranging from varying place names and vague directional cues to implicit spatial relationships that require flexible combinations of localization functions—by leveraging the deep semantic understanding of LLMs. Our system extracts different t"&amp;"ypes of spatial entities, then applies a series of geospatial functions to convert them into precise coordinates via geocoding APIs, and finally visualizes the results on interactive maps. Our demo is available at: https://sites.google.com/view/SpatialWeb"&amp;"Agent.")</f>
        <v>Extracting spatial information from text is crucial for applications in geographic information systems (GIS), smart cities, disaster prevention, and logistics planning, helping decision-makers better understand geographic distributions and trends. However, the complex and unstructured nature of geographic expressions in text—including variations in place names, vague directions, and implicit spatial relationships—poses significant challenges for traditional methods. To overcome these challenges, we introduce SpatialWebAgent, an automated agent system that employs large language models (LLMs) to extract, standardize, and ground spatial information from natural language onto maps. SpatialWebAgent addresses the issues posed by diverse and ambiguous geographic expressions—ranging from varying place names and vague directional cues to implicit spatial relationships that require flexible combinations of localization functions—by leveraging the deep semantic understanding of LLMs. Our system extracts different types of spatial entities, then applies a series of geospatial functions to convert them into precise coordinates via geocoding APIs, and finally visualizes the results on interactive maps. Our demo is available at: https://sites.google.com/view/SpatialWebAgent.</v>
      </c>
      <c r="D45" s="7" t="str">
        <f>IFERROR(__xludf.DUMMYFUNCTION("""COMPUTED_VALUE"""),"Shunfeng Zheng")</f>
        <v>Shunfeng Zheng</v>
      </c>
      <c r="E45" s="7" t="str">
        <f>IFERROR(__xludf.DUMMYFUNCTION("""COMPUTED_VALUE"""),"Yes")</f>
        <v>Yes</v>
      </c>
      <c r="F45" s="7" t="str">
        <f>IFERROR(__xludf.DUMMYFUNCTION("""COMPUTED_VALUE"""),"V-Presentation")</f>
        <v>V-Presentation</v>
      </c>
      <c r="G45" s="7" t="str">
        <f>IFERROR(__xludf.DUMMYFUNCTION("""COMPUTED_VALUE"""),"Virtual/Gather")</f>
        <v>Virtual/Gather</v>
      </c>
      <c r="H45" s="7" t="str">
        <f>IFERROR(__xludf.DUMMYFUNCTION("""COMPUTED_VALUE"""),"Zoom")</f>
        <v>Zoom</v>
      </c>
      <c r="I45" s="7" t="str">
        <f>IFERROR(__xludf.DUMMYFUNCTION("""COMPUTED_VALUE"""),"Session 2: V-Presentations")</f>
        <v>Session 2: V-Presentations</v>
      </c>
      <c r="J45" s="7" t="str">
        <f>IFERROR(__xludf.DUMMYFUNCTION("""COMPUTED_VALUE"""),"Virtual Presentations 1")</f>
        <v>Virtual Presentations 1</v>
      </c>
      <c r="K45" s="7"/>
      <c r="L45" s="8">
        <f>IFERROR(__xludf.DUMMYFUNCTION("""COMPUTED_VALUE"""),45866.0)</f>
        <v>45866</v>
      </c>
      <c r="M45" s="7" t="str">
        <f>IFERROR(__xludf.DUMMYFUNCTION("""COMPUTED_VALUE"""),"11:00-12:30")</f>
        <v>11:00-12:30</v>
      </c>
      <c r="N45" s="7"/>
    </row>
    <row r="46">
      <c r="A46" s="7" t="str">
        <f>IFERROR(__xludf.DUMMYFUNCTION("""COMPUTED_VALUE"""),"83-DEMO")</f>
        <v>83-DEMO</v>
      </c>
      <c r="B46" s="7" t="str">
        <f>IFERROR(__xludf.DUMMYFUNCTION("""COMPUTED_VALUE"""),"DocSpiral: A Platform for Integrated Assistive Document Annotation through Human-in-the-Spiral")</f>
        <v>DocSpiral: A Platform for Integrated Assistive Document Annotation through Human-in-the-Spiral</v>
      </c>
      <c r="C46" s="7" t="str">
        <f>IFERROR(__xludf.DUMMYFUNCTION("""COMPUTED_VALUE"""),"Acquiring structured data from domain-specific, image-based documents—such as scanned reports—is crucial for many downstream tasks but remains challenging due to document variability. 
 Many of these documents exist as images rather than as machine-readab"&amp;"le text, which requires human annotation to train automated extraction systems.
 We present \textbf{DocSpiral}, the first Human-in-the-Spiral assistive document annotation platform, designed to address the challenge of extracting structured information fr"&amp;"om domain-specific, image-based document collections.
 Our spiral design establishes an iterative cycle in which human annotations train models that progressively require less manual intervention. 
 \textbf{DocSpiral} integrates document format normalizat"&amp;"ion, comprehensive annotation interfaces, evaluation metrics dashboard, and API endpoints for the development of AI / ML models into a unified workflow.
 Experiments demonstrate that our framework reduces annotation time by at least 41\% while showing con"&amp;"sistent performance gains across three iterations during model training.
 By making this annotation platform freely accessible, we aim to lower barriers to AI/ML models development in document processing, facilitating the adoption of large language models"&amp;" in image-based, document-intensive fields such as geoscience and healthcare. The system is freely available at: \url{https://app.ai4wa.com}. The demonstration video is available: \url{https://app.ai4wa.com/docs/docspiral/demo}.")</f>
        <v>Acquiring structured data from domain-specific, image-based documents—such as scanned reports—is crucial for many downstream tasks but remains challenging due to document variability. 
 Many of these documents exist as images rather than as machine-readable text, which requires human annotation to train automated extraction systems.
 We present \textbf{DocSpiral}, the first Human-in-the-Spiral assistive document annotation platform, designed to address the challenge of extracting structured information from domain-specific, image-based document collections.
 Our spiral design establishes an iterative cycle in which human annotations train models that progressively require less manual intervention. 
 \textbf{DocSpiral} integrates document format normalization, comprehensive annotation interfaces, evaluation metrics dashboard, and API endpoints for the development of AI / ML models into a unified workflow.
 Experiments demonstrate that our framework reduces annotation time by at least 41\% while showing consistent performance gains across three iterations during model training.
 By making this annotation platform freely accessible, we aim to lower barriers to AI/ML models development in document processing, facilitating the adoption of large language models in image-based, document-intensive fields such as geoscience and healthcare. The system is freely available at: \url{https://app.ai4wa.com}. The demonstration video is available: \url{https://app.ai4wa.com/docs/docspiral/demo}.</v>
      </c>
      <c r="D46" s="7" t="str">
        <f>IFERROR(__xludf.DUMMYFUNCTION("""COMPUTED_VALUE"""),"Qiang Sun")</f>
        <v>Qiang Sun</v>
      </c>
      <c r="E46" s="7" t="str">
        <f>IFERROR(__xludf.DUMMYFUNCTION("""COMPUTED_VALUE"""),"Yes")</f>
        <v>Yes</v>
      </c>
      <c r="F46" s="7" t="str">
        <f>IFERROR(__xludf.DUMMYFUNCTION("""COMPUTED_VALUE"""),"IP-Demo")</f>
        <v>IP-Demo</v>
      </c>
      <c r="G46" s="7" t="str">
        <f>IFERROR(__xludf.DUMMYFUNCTION("""COMPUTED_VALUE"""),"In-person")</f>
        <v>In-person</v>
      </c>
      <c r="H46" s="7" t="str">
        <f>IFERROR(__xludf.DUMMYFUNCTION("""COMPUTED_VALUE"""),"Hall 5X")</f>
        <v>Hall 5X</v>
      </c>
      <c r="I46" s="7" t="str">
        <f>IFERROR(__xludf.DUMMYFUNCTION("""COMPUTED_VALUE"""),"Session 12: IP-Posters")</f>
        <v>Session 12: IP-Posters</v>
      </c>
      <c r="J46" s="7" t="str">
        <f>IFERROR(__xludf.DUMMYFUNCTION("""COMPUTED_VALUE"""),"Demo Session 4")</f>
        <v>Demo Session 4</v>
      </c>
      <c r="K46" s="7"/>
      <c r="L46" s="8">
        <f>IFERROR(__xludf.DUMMYFUNCTION("""COMPUTED_VALUE"""),45868.0)</f>
        <v>45868</v>
      </c>
      <c r="M46" s="7" t="str">
        <f>IFERROR(__xludf.DUMMYFUNCTION("""COMPUTED_VALUE"""),"11:00-12:30")</f>
        <v>11:00-12:30</v>
      </c>
      <c r="N46" s="7"/>
    </row>
    <row r="47">
      <c r="A47" s="7" t="str">
        <f>IFERROR(__xludf.DUMMYFUNCTION("""COMPUTED_VALUE"""),"84-DEMO")</f>
        <v>84-DEMO</v>
      </c>
      <c r="B47" s="7" t="str">
        <f>IFERROR(__xludf.DUMMYFUNCTION("""COMPUTED_VALUE"""),"ADEPT-SQL: A High-performance Text-to-SQL Application for Real-World Enterprise-Level Databases")</f>
        <v>ADEPT-SQL: A High-performance Text-to-SQL Application for Real-World Enterprise-Level Databases</v>
      </c>
      <c r="C47" s="7" t="str">
        <f>IFERROR(__xludf.DUMMYFUNCTION("""COMPUTED_VALUE"""),"This paper presents Adept-SQL, a domain-adapted Text2SQL system that addresses critical deployment challenges in professional fields. While modern LLM-based solutions excel on academic benchmarks, we identify three persistent limitations in industrial app"&amp;"lication: domain-specific knowledge barriers, the schemas complexity in the real world, and the prohibitive computational costs of large LLMs. Our framework introduces two key innovations: a three-stage grounding mechanism combining dynamic terminology ex"&amp;"pansion, focused schema alignment, and historical query retrieval; coupled with a hybrid prompting architecture that decomposes SQL generation into schema-aware hinting, term disambiguation, and few-shot example incorporation phases. This approach enables"&amp;" efficient execution using smaller open-source LLMs while maintaining semantic precision. Deployed in petroleum engineering domains, our system achieves 97% execution accuracy on real-world databases, demonstrating 49% absolute improvement over SOTA basel"&amp;"ines. We release implementation code to advance research in professional Text2SQL systems.")</f>
        <v>This paper presents Adept-SQL, a domain-adapted Text2SQL system that addresses critical deployment challenges in professional fields. While modern LLM-based solutions excel on academic benchmarks, we identify three persistent limitations in industrial application: domain-specific knowledge barriers, the schemas complexity in the real world, and the prohibitive computational costs of large LLMs. Our framework introduces two key innovations: a three-stage grounding mechanism combining dynamic terminology expansion, focused schema alignment, and historical query retrieval; coupled with a hybrid prompting architecture that decomposes SQL generation into schema-aware hinting, term disambiguation, and few-shot example incorporation phases. This approach enables efficient execution using smaller open-source LLMs while maintaining semantic precision. Deployed in petroleum engineering domains, our system achieves 97% execution accuracy on real-world databases, demonstrating 49% absolute improvement over SOTA baselines. We release implementation code to advance research in professional Text2SQL systems.</v>
      </c>
      <c r="D47" s="7" t="str">
        <f>IFERROR(__xludf.DUMMYFUNCTION("""COMPUTED_VALUE"""),"Yongnan Chen")</f>
        <v>Yongnan Chen</v>
      </c>
      <c r="E47" s="7" t="str">
        <f>IFERROR(__xludf.DUMMYFUNCTION("""COMPUTED_VALUE"""),"Yes")</f>
        <v>Yes</v>
      </c>
      <c r="F47" s="7" t="str">
        <f>IFERROR(__xludf.DUMMYFUNCTION("""COMPUTED_VALUE"""),"IP-Demo")</f>
        <v>IP-Demo</v>
      </c>
      <c r="G47" s="7" t="str">
        <f>IFERROR(__xludf.DUMMYFUNCTION("""COMPUTED_VALUE"""),"In-person")</f>
        <v>In-person</v>
      </c>
      <c r="H47" s="7" t="str">
        <f>IFERROR(__xludf.DUMMYFUNCTION("""COMPUTED_VALUE"""),"Hall 5X")</f>
        <v>Hall 5X</v>
      </c>
      <c r="I47" s="7" t="str">
        <f>IFERROR(__xludf.DUMMYFUNCTION("""COMPUTED_VALUE"""),"Session 12: IP-Posters")</f>
        <v>Session 12: IP-Posters</v>
      </c>
      <c r="J47" s="7" t="str">
        <f>IFERROR(__xludf.DUMMYFUNCTION("""COMPUTED_VALUE"""),"Demo Session 4")</f>
        <v>Demo Session 4</v>
      </c>
      <c r="K47" s="7"/>
      <c r="L47" s="8">
        <f>IFERROR(__xludf.DUMMYFUNCTION("""COMPUTED_VALUE"""),45868.0)</f>
        <v>45868</v>
      </c>
      <c r="M47" s="7" t="str">
        <f>IFERROR(__xludf.DUMMYFUNCTION("""COMPUTED_VALUE"""),"11:00-12:30")</f>
        <v>11:00-12:30</v>
      </c>
      <c r="N47" s="7"/>
    </row>
    <row r="48">
      <c r="A48" s="7" t="str">
        <f>IFERROR(__xludf.DUMMYFUNCTION("""COMPUTED_VALUE"""),"86-DEMO")</f>
        <v>86-DEMO</v>
      </c>
      <c r="B48" s="7" t="str">
        <f>IFERROR(__xludf.DUMMYFUNCTION("""COMPUTED_VALUE"""),"LCDS: A Logic-Controlled Discharge Summary Generation System Supporting Source Attribution and Expert Review")</f>
        <v>LCDS: A Logic-Controlled Discharge Summary Generation System Supporting Source Attribution and Expert Review</v>
      </c>
      <c r="C48" s="7" t="str">
        <f>IFERROR(__xludf.DUMMYFUNCTION("""COMPUTED_VALUE"""),"Despite the remarkable performance of Large Language Models (LLMs) in automated discharge summary generation, they still suffer from generating inaccurate content or fabricating information without valid sources. To address these issues, we propose LCDS, "&amp;"a tool for empowering LLMs with Logic-Controlled Discharge Summary generation. LCDS constructs a source mapping table by calculating the textual similarity between electronic medical records (EMRs) and discharge summaries, providing a structured reference"&amp;" for generation. Based on a comprehensive set of logical rules, LCDS identifies the structured writing logic of discharge summaries and integrates it with EMRs to generate silver discharge summaries. Furthermore, LCDS traces the provenance of generated co"&amp;"ntent, allowing experts to review, provide feedback, and rectify errors to produce golden discharge summaries, which are subsequently recorded for the incremental fine-tuning of LLMs.
 Our project and demo video are in the GitHub repository https://github"&amp;".com/ycycyc02/LCDS.")</f>
        <v>Despite the remarkable performance of Large Language Models (LLMs) in automated discharge summary generation, they still suffer from generating inaccurate content or fabricating information without valid sources. To address these issues, we propose LCDS, a tool for empowering LLMs with Logic-Controlled Discharge Summary generation. LCDS constructs a source mapping table by calculating the textual similarity between electronic medical records (EMRs) and discharge summaries, providing a structured reference for generation. Based on a comprehensive set of logical rules, LCDS identifies the structured writing logic of discharge summaries and integrates it with EMRs to generate silver discharge summaries. Furthermore, LCDS traces the provenance of generated content, allowing experts to review, provide feedback, and rectify errors to produce golden discharge summaries, which are subsequently recorded for the incremental fine-tuning of LLMs.
 Our project and demo video are in the GitHub repository https://github.com/ycycyc02/LCDS.</v>
      </c>
      <c r="D48" s="7" t="str">
        <f>IFERROR(__xludf.DUMMYFUNCTION("""COMPUTED_VALUE"""),"Cheng Yuan")</f>
        <v>Cheng Yuan</v>
      </c>
      <c r="E48" s="7" t="str">
        <f>IFERROR(__xludf.DUMMYFUNCTION("""COMPUTED_VALUE"""),"Yes")</f>
        <v>Yes</v>
      </c>
      <c r="F48" s="7" t="str">
        <f>IFERROR(__xludf.DUMMYFUNCTION("""COMPUTED_VALUE"""),"IP-Demo")</f>
        <v>IP-Demo</v>
      </c>
      <c r="G48" s="7" t="str">
        <f>IFERROR(__xludf.DUMMYFUNCTION("""COMPUTED_VALUE"""),"In-person")</f>
        <v>In-person</v>
      </c>
      <c r="H48" s="7" t="str">
        <f>IFERROR(__xludf.DUMMYFUNCTION("""COMPUTED_VALUE"""),"Hall 5X")</f>
        <v>Hall 5X</v>
      </c>
      <c r="I48" s="7" t="str">
        <f>IFERROR(__xludf.DUMMYFUNCTION("""COMPUTED_VALUE"""),"Session 10: IP-Posters")</f>
        <v>Session 10: IP-Posters</v>
      </c>
      <c r="J48" s="7" t="str">
        <f>IFERROR(__xludf.DUMMYFUNCTION("""COMPUTED_VALUE"""),"Demo Session 3")</f>
        <v>Demo Session 3</v>
      </c>
      <c r="K48" s="7"/>
      <c r="L48" s="8">
        <f>IFERROR(__xludf.DUMMYFUNCTION("""COMPUTED_VALUE"""),45867.0)</f>
        <v>45867</v>
      </c>
      <c r="M48" s="7" t="str">
        <f>IFERROR(__xludf.DUMMYFUNCTION("""COMPUTED_VALUE"""),"16:00-17:30")</f>
        <v>16:00-17:30</v>
      </c>
      <c r="N48" s="7"/>
    </row>
    <row r="49">
      <c r="A49" s="7" t="str">
        <f>IFERROR(__xludf.DUMMYFUNCTION("""COMPUTED_VALUE"""),"90-DEMO")</f>
        <v>90-DEMO</v>
      </c>
      <c r="B49" s="7" t="str">
        <f>IFERROR(__xludf.DUMMYFUNCTION("""COMPUTED_VALUE"""),"Revealing the Unwritten: Visual Investigation of Beam Search Trees to Address Language Model Prompting Challenges")</f>
        <v>Revealing the Unwritten: Visual Investigation of Beam Search Trees to Address Language Model Prompting Challenges</v>
      </c>
      <c r="C49" s="7" t="str">
        <f>IFERROR(__xludf.DUMMYFUNCTION("""COMPUTED_VALUE"""),"The present popularity of generative language models has amplified interest in interactive methods to guide model outputs. Prompt refinement is considered one of the most effective means to influence output among these methods. We identify several challen"&amp;"ges associated with prompting large language models, categorized into data- and model-specific, linguistic, and socio-linguistic challenges. A comprehensive examination of model outputs, including runner-up candidates and their corresponding probabilities"&amp;", is needed to address these issues. The beam search tree, the prevalent algorithm to sample model outputs, can inherently supply this information. Consequently, we leverage an interactive visual method for investigating the beam search tree, facilitating"&amp;" analysis of the decisions made by the model during generation. Our explorative approach validates existing results and offers additional insights.")</f>
        <v>The present popularity of generative language models has amplified interest in interactive methods to guide model outputs. Prompt refinement is considered one of the most effective means to influence output among these methods. We identify several challenges associated with prompting large language models, categorized into data- and model-specific, linguistic, and socio-linguistic challenges. A comprehensive examination of model outputs, including runner-up candidates and their corresponding probabilities, is needed to address these issues. The beam search tree, the prevalent algorithm to sample model outputs, can inherently supply this information. Consequently, we leverage an interactive visual method for investigating the beam search tree, facilitating analysis of the decisions made by the model during generation. Our explorative approach validates existing results and offers additional insights.</v>
      </c>
      <c r="D49" s="7" t="str">
        <f>IFERROR(__xludf.DUMMYFUNCTION("""COMPUTED_VALUE"""),"Rita Sevastjanova")</f>
        <v>Rita Sevastjanova</v>
      </c>
      <c r="E49" s="7" t="str">
        <f>IFERROR(__xludf.DUMMYFUNCTION("""COMPUTED_VALUE"""),"Yes")</f>
        <v>Yes</v>
      </c>
      <c r="F49" s="7" t="str">
        <f>IFERROR(__xludf.DUMMYFUNCTION("""COMPUTED_VALUE"""),"IP-Demo")</f>
        <v>IP-Demo</v>
      </c>
      <c r="G49" s="7" t="str">
        <f>IFERROR(__xludf.DUMMYFUNCTION("""COMPUTED_VALUE"""),"In-person")</f>
        <v>In-person</v>
      </c>
      <c r="H49" s="7" t="str">
        <f>IFERROR(__xludf.DUMMYFUNCTION("""COMPUTED_VALUE"""),"Hall 5X")</f>
        <v>Hall 5X</v>
      </c>
      <c r="I49" s="7" t="str">
        <f>IFERROR(__xludf.DUMMYFUNCTION("""COMPUTED_VALUE"""),"Session 7: IP-Posters")</f>
        <v>Session 7: IP-Posters</v>
      </c>
      <c r="J49" s="7" t="str">
        <f>IFERROR(__xludf.DUMMYFUNCTION("""COMPUTED_VALUE"""),"Demo Session 2")</f>
        <v>Demo Session 2</v>
      </c>
      <c r="K49" s="7"/>
      <c r="L49" s="8">
        <f>IFERROR(__xludf.DUMMYFUNCTION("""COMPUTED_VALUE"""),45867.0)</f>
        <v>45867</v>
      </c>
      <c r="M49" s="7" t="str">
        <f>IFERROR(__xludf.DUMMYFUNCTION("""COMPUTED_VALUE"""),"10:30-12:00")</f>
        <v>10:30-12:00</v>
      </c>
      <c r="N49" s="7"/>
    </row>
    <row r="50">
      <c r="A50" s="7" t="str">
        <f>IFERROR(__xludf.DUMMYFUNCTION("""COMPUTED_VALUE"""),"91-DEMO")</f>
        <v>91-DEMO</v>
      </c>
      <c r="B50" s="7" t="str">
        <f>IFERROR(__xludf.DUMMYFUNCTION("""COMPUTED_VALUE"""),"Scholar Inbox: Personalized Paper Recommendations for Scientists")</f>
        <v>Scholar Inbox: Personalized Paper Recommendations for Scientists</v>
      </c>
      <c r="C50" s="7" t="str">
        <f>IFERROR(__xludf.DUMMYFUNCTION("""COMPUTED_VALUE"""),"Scholar Inbox is a new open-access platform designed to address the challenges researchers face in staying current with the rapidly expanding volume of scientific literature. We provide personalized recommendations, continuous updates from open-access arc"&amp;"hives (arXiv, bioRxiv, etc.), visual paper summaries, semantic search, and a range of tools to streamline research workflows and promote open research access. The platform's personalized recommendation system is trained on user ratings, ensuring that reco"&amp;"mmendations are tailored to individual researchers' interests. To further enhance the user experience, Scholar Inbox also offers a map of science that provides an overview of research across domains, enabling users to easily explore specific topics. We us"&amp;"e this map to address the cold start problem common in recommender systems, as well as an active learning strategy that iteratively prompts users to rate a selection of papers, 
  allowing the system to learn user preferences quickly. We evaluate the qual"&amp;"ity of our recommendation system on a novel dataset of 800k user ratings, which we make publicly available, as well as via an extensive user study.")</f>
        <v>Scholar Inbox is a new open-access platform designed to address the challenges researchers face in staying current with the rapidly expanding volume of scientific literature. We provide personalized recommendations, continuous updates from open-access archives (arXiv, bioRxiv, etc.), visual paper summaries, semantic search, and a range of tools to streamline research workflows and promote open research access. The platform's personalized recommendation system is trained on user ratings, ensuring that recommendations are tailored to individual researchers' interests. To further enhance the user experience, Scholar Inbox also offers a map of science that provides an overview of research across domains, enabling users to easily explore specific topics. We use this map to address the cold start problem common in recommender systems, as well as an active learning strategy that iteratively prompts users to rate a selection of papers, 
  allowing the system to learn user preferences quickly. We evaluate the quality of our recommendation system on a novel dataset of 800k user ratings, which we make publicly available, as well as via an extensive user study.</v>
      </c>
      <c r="D50" s="7" t="str">
        <f>IFERROR(__xludf.DUMMYFUNCTION("""COMPUTED_VALUE"""),"Markus Flicke")</f>
        <v>Markus Flicke</v>
      </c>
      <c r="E50" s="7" t="str">
        <f>IFERROR(__xludf.DUMMYFUNCTION("""COMPUTED_VALUE"""),"Yes")</f>
        <v>Yes</v>
      </c>
      <c r="F50" s="7" t="str">
        <f>IFERROR(__xludf.DUMMYFUNCTION("""COMPUTED_VALUE"""),"IP-Demo")</f>
        <v>IP-Demo</v>
      </c>
      <c r="G50" s="7" t="str">
        <f>IFERROR(__xludf.DUMMYFUNCTION("""COMPUTED_VALUE"""),"In-person")</f>
        <v>In-person</v>
      </c>
      <c r="H50" s="7" t="str">
        <f>IFERROR(__xludf.DUMMYFUNCTION("""COMPUTED_VALUE"""),"Hall 5X")</f>
        <v>Hall 5X</v>
      </c>
      <c r="I50" s="7" t="str">
        <f>IFERROR(__xludf.DUMMYFUNCTION("""COMPUTED_VALUE"""),"Session 2: IP-Posters ")</f>
        <v>Session 2: IP-Posters </v>
      </c>
      <c r="J50" s="7" t="str">
        <f>IFERROR(__xludf.DUMMYFUNCTION("""COMPUTED_VALUE"""),"Demo Session 1")</f>
        <v>Demo Session 1</v>
      </c>
      <c r="K50" s="7"/>
      <c r="L50" s="8">
        <f>IFERROR(__xludf.DUMMYFUNCTION("""COMPUTED_VALUE"""),45866.0)</f>
        <v>45866</v>
      </c>
      <c r="M50" s="7" t="str">
        <f>IFERROR(__xludf.DUMMYFUNCTION("""COMPUTED_VALUE"""),"11:00-12:30")</f>
        <v>11:00-12:30</v>
      </c>
      <c r="N50" s="7"/>
    </row>
    <row r="51">
      <c r="A51" s="7" t="str">
        <f>IFERROR(__xludf.DUMMYFUNCTION("""COMPUTED_VALUE"""),"98-DEMO")</f>
        <v>98-DEMO</v>
      </c>
      <c r="B51" s="7" t="str">
        <f>IFERROR(__xludf.DUMMYFUNCTION("""COMPUTED_VALUE"""),"The Open Argument Mining Framework")</f>
        <v>The Open Argument Mining Framework</v>
      </c>
      <c r="C51" s="7" t="str">
        <f>IFERROR(__xludf.DUMMYFUNCTION("""COMPUTED_VALUE"""),"Despite extensive research in Argument Mining (AM), the field faces significant challenges in limited reproducibility, difficulty in comparing systems due to varying task combinations, and a lack of interoperability caused by the heterogeneous nature of a"&amp;"rgumentation theory. These challenges are further exacerbated by the absence of dedicated tools, with most advancements remaining isolated research outputs rather than reusable systems. The $\texttt{oAMF}$ (Open Argument Mining Framework) addresses these "&amp;"issues by providing an open-source, modular, and scalable platform that unifies diverse AM methods. Initially released with seventeen integrated modules, the $\texttt{oAMF}$ serves as a starting point for researchers and developers to build, experiment wi"&amp;"th, and deploy AM pipelines while ensuring interoperability and allowing multiple theories of argumentation to co-exist within the same framework. Its flexible design supports integration via Python APIs, drag-and-drop tools, and web interfaces, streamlin"&amp;"ing AM development for research and industry setup, facilitating method comparison, and reproducibility.")</f>
        <v>Despite extensive research in Argument Mining (AM), the field faces significant challenges in limited reproducibility, difficulty in comparing systems due to varying task combinations, and a lack of interoperability caused by the heterogeneous nature of argumentation theory. These challenges are further exacerbated by the absence of dedicated tools, with most advancements remaining isolated research outputs rather than reusable systems. The $\texttt{oAMF}$ (Open Argument Mining Framework) addresses these issues by providing an open-source, modular, and scalable platform that unifies diverse AM methods. Initially released with seventeen integrated modules, the $\texttt{oAMF}$ serves as a starting point for researchers and developers to build, experiment with, and deploy AM pipelines while ensuring interoperability and allowing multiple theories of argumentation to co-exist within the same framework. Its flexible design supports integration via Python APIs, drag-and-drop tools, and web interfaces, streamlining AM development for research and industry setup, facilitating method comparison, and reproducibility.</v>
      </c>
      <c r="D51" s="7" t="str">
        <f>IFERROR(__xludf.DUMMYFUNCTION("""COMPUTED_VALUE"""),"Debela Gemechu")</f>
        <v>Debela Gemechu</v>
      </c>
      <c r="E51" s="7" t="str">
        <f>IFERROR(__xludf.DUMMYFUNCTION("""COMPUTED_VALUE"""),"Yes")</f>
        <v>Yes</v>
      </c>
      <c r="F51" s="7" t="str">
        <f>IFERROR(__xludf.DUMMYFUNCTION("""COMPUTED_VALUE"""),"IP-Demo")</f>
        <v>IP-Demo</v>
      </c>
      <c r="G51" s="7" t="str">
        <f>IFERROR(__xludf.DUMMYFUNCTION("""COMPUTED_VALUE"""),"In-person")</f>
        <v>In-person</v>
      </c>
      <c r="H51" s="7" t="str">
        <f>IFERROR(__xludf.DUMMYFUNCTION("""COMPUTED_VALUE"""),"Hall 5X")</f>
        <v>Hall 5X</v>
      </c>
      <c r="I51" s="7" t="str">
        <f>IFERROR(__xludf.DUMMYFUNCTION("""COMPUTED_VALUE"""),"Session 12: IP-Posters")</f>
        <v>Session 12: IP-Posters</v>
      </c>
      <c r="J51" s="7" t="str">
        <f>IFERROR(__xludf.DUMMYFUNCTION("""COMPUTED_VALUE"""),"Demo Session 4")</f>
        <v>Demo Session 4</v>
      </c>
      <c r="K51" s="7"/>
      <c r="L51" s="8">
        <f>IFERROR(__xludf.DUMMYFUNCTION("""COMPUTED_VALUE"""),45868.0)</f>
        <v>45868</v>
      </c>
      <c r="M51" s="7" t="str">
        <f>IFERROR(__xludf.DUMMYFUNCTION("""COMPUTED_VALUE"""),"11:00-12:30")</f>
        <v>11:00-12:30</v>
      </c>
      <c r="N51" s="7"/>
    </row>
    <row r="52">
      <c r="A52" s="7" t="str">
        <f>IFERROR(__xludf.DUMMYFUNCTION("""COMPUTED_VALUE"""),"107-DEMO")</f>
        <v>107-DEMO</v>
      </c>
      <c r="B52" s="7" t="str">
        <f>IFERROR(__xludf.DUMMYFUNCTION("""COMPUTED_VALUE"""),"Bel Esprit: Multi-Agent Framework for Building AI Model Pipelines")</f>
        <v>Bel Esprit: Multi-Agent Framework for Building AI Model Pipelines</v>
      </c>
      <c r="C52" s="7" t="str">
        <f>IFERROR(__xludf.DUMMYFUNCTION("""COMPUTED_VALUE"""),"As the demand for artificial intelligence (AI) grows to address complex real-world tasks, single models are often insufficient, requiring the integration of multiple models into pipelines. This paper introduces Bel Esprit, a conversational agent designed "&amp;"to construct AI model pipelines based on user requirements. Bel Esprit uses a multi-agent framework where subagents collaborate to clarify requirements, build, validate, and populate pipelines with appropriate models. We demonstrate its effectiveness in g"&amp;"enerating pipelines from ambiguous user queries, using both human-curated and synthetic data. A detailed error analysis highlights ongoing challenges in pipeline building.
 Bel Esprit is available for a free trial at https://belesprit.aixplain.com.")</f>
        <v>As the demand for artificial intelligence (AI) grows to address complex real-world tasks, single models are often insufficient, requiring the integration of multiple models into pipelines. This paper introduces Bel Esprit, a conversational agent designed to construct AI model pipelines based on user requirements. Bel Esprit uses a multi-agent framework where subagents collaborate to clarify requirements, build, validate, and populate pipelines with appropriate models. We demonstrate its effectiveness in generating pipelines from ambiguous user queries, using both human-curated and synthetic data. A detailed error analysis highlights ongoing challenges in pipeline building.
 Bel Esprit is available for a free trial at https://belesprit.aixplain.com.</v>
      </c>
      <c r="D52" s="7" t="str">
        <f>IFERROR(__xludf.DUMMYFUNCTION("""COMPUTED_VALUE"""),"Yunsu Kim")</f>
        <v>Yunsu Kim</v>
      </c>
      <c r="E52" s="7" t="str">
        <f>IFERROR(__xludf.DUMMYFUNCTION("""COMPUTED_VALUE"""),"Yes")</f>
        <v>Yes</v>
      </c>
      <c r="F52" s="7" t="str">
        <f>IFERROR(__xludf.DUMMYFUNCTION("""COMPUTED_VALUE"""),"V-Presentation")</f>
        <v>V-Presentation</v>
      </c>
      <c r="G52" s="7" t="str">
        <f>IFERROR(__xludf.DUMMYFUNCTION("""COMPUTED_VALUE"""),"Virtual/Gather")</f>
        <v>Virtual/Gather</v>
      </c>
      <c r="H52" s="7" t="str">
        <f>IFERROR(__xludf.DUMMYFUNCTION("""COMPUTED_VALUE"""),"Zoom")</f>
        <v>Zoom</v>
      </c>
      <c r="I52" s="7" t="str">
        <f>IFERROR(__xludf.DUMMYFUNCTION("""COMPUTED_VALUE"""),"Session 10: V-Presenations")</f>
        <v>Session 10: V-Presenations</v>
      </c>
      <c r="J52" s="7" t="str">
        <f>IFERROR(__xludf.DUMMYFUNCTION("""COMPUTED_VALUE"""),"Virtual Presentations 3")</f>
        <v>Virtual Presentations 3</v>
      </c>
      <c r="K52" s="7"/>
      <c r="L52" s="8">
        <f>IFERROR(__xludf.DUMMYFUNCTION("""COMPUTED_VALUE"""),45867.0)</f>
        <v>45867</v>
      </c>
      <c r="M52" s="7" t="str">
        <f>IFERROR(__xludf.DUMMYFUNCTION("""COMPUTED_VALUE"""),"16:00-17:30")</f>
        <v>16:00-17:30</v>
      </c>
      <c r="N52" s="7"/>
    </row>
    <row r="53">
      <c r="A53" s="7" t="str">
        <f>IFERROR(__xludf.DUMMYFUNCTION("""COMPUTED_VALUE"""),"111-DEMO")</f>
        <v>111-DEMO</v>
      </c>
      <c r="B53" s="7" t="str">
        <f>IFERROR(__xludf.DUMMYFUNCTION("""COMPUTED_VALUE"""),"ZeroSumEval: An Extensible Framework For Scaling LLM Evaluation with Inter-Model Competition")</f>
        <v>ZeroSumEval: An Extensible Framework For Scaling LLM Evaluation with Inter-Model Competition</v>
      </c>
      <c r="C53" s="7" t="str">
        <f>IFERROR(__xludf.DUMMYFUNCTION("""COMPUTED_VALUE"""),"We introduce ZeroSumEval, a dynamic, competition-based, and evolving evaluation framework for Large Language Models (LLMs) that leverages competitive games. ZeroSumEval encompasses a diverse suite of games, including security challenges (Capture the Flag)"&amp;", classic board games (chess), and knowledge tests (MathQuiz). These games are designed to evaluate a range of capabilities such as strategic reasoning, planning, knowledge application, safety, and adaptability. Building upon recent studies that highlight"&amp;" the effectiveness of game-based evaluations for LLMs, ZeroSumEval enhances these approaches by providing a standardized and extensible framework for easily implementing games and leverages DSPy to provide a better abstraction for LLM player strategies.")</f>
        <v>We introduce ZeroSumEval, a dynamic, competition-based, and evolving evaluation framework for Large Language Models (LLMs) that leverages competitive games. ZeroSumEval encompasses a diverse suite of games, including security challenges (Capture the Flag), classic board games (chess), and knowledge tests (MathQuiz). These games are designed to evaluate a range of capabilities such as strategic reasoning, planning, knowledge application, safety, and adaptability. Building upon recent studies that highlight the effectiveness of game-based evaluations for LLMs, ZeroSumEval enhances these approaches by providing a standardized and extensible framework for easily implementing games and leverages DSPy to provide a better abstraction for LLM player strategies.</v>
      </c>
      <c r="D53" s="7" t="str">
        <f>IFERROR(__xludf.DUMMYFUNCTION("""COMPUTED_VALUE"""),"Hisham Alyahya")</f>
        <v>Hisham Alyahya</v>
      </c>
      <c r="E53" s="7" t="str">
        <f>IFERROR(__xludf.DUMMYFUNCTION("""COMPUTED_VALUE"""),"Yes")</f>
        <v>Yes</v>
      </c>
      <c r="F53" s="7" t="str">
        <f>IFERROR(__xludf.DUMMYFUNCTION("""COMPUTED_VALUE"""),"V-Presentation")</f>
        <v>V-Presentation</v>
      </c>
      <c r="G53" s="7" t="str">
        <f>IFERROR(__xludf.DUMMYFUNCTION("""COMPUTED_VALUE"""),"Virtual/Gather")</f>
        <v>Virtual/Gather</v>
      </c>
      <c r="H53" s="7" t="str">
        <f>IFERROR(__xludf.DUMMYFUNCTION("""COMPUTED_VALUE"""),"Zoom")</f>
        <v>Zoom</v>
      </c>
      <c r="I53" s="7" t="str">
        <f>IFERROR(__xludf.DUMMYFUNCTION("""COMPUTED_VALUE"""),"Session 7: V--Presentations ")</f>
        <v>Session 7: V--Presentations </v>
      </c>
      <c r="J53" s="7" t="str">
        <f>IFERROR(__xludf.DUMMYFUNCTION("""COMPUTED_VALUE"""),"Virtual Presentations 2")</f>
        <v>Virtual Presentations 2</v>
      </c>
      <c r="K53" s="7"/>
      <c r="L53" s="8"/>
      <c r="M53" s="7" t="str">
        <f>IFERROR(__xludf.DUMMYFUNCTION("""COMPUTED_VALUE"""),"10:30-12:00")</f>
        <v>10:30-12:00</v>
      </c>
      <c r="N53" s="7"/>
    </row>
    <row r="54">
      <c r="A54" s="7" t="str">
        <f>IFERROR(__xludf.DUMMYFUNCTION("""COMPUTED_VALUE"""),"112-DEMO")</f>
        <v>112-DEMO</v>
      </c>
      <c r="B54" s="7" t="str">
        <f>IFERROR(__xludf.DUMMYFUNCTION("""COMPUTED_VALUE"""),"DECAF: A Dynamically Extensible Corpus Analysis Framework")</f>
        <v>DECAF: A Dynamically Extensible Corpus Analysis Framework</v>
      </c>
      <c r="C54" s="7" t="str">
        <f>IFERROR(__xludf.DUMMYFUNCTION("""COMPUTED_VALUE"""),"The study of generalization in Language Models (LMs) requires controlled experiments that can precisely measure complex linguistic variations between training and testing datasets. We introduce DECAF, a framework that enables the analysis and filtering of"&amp;" linguistically-annotated datasets down to the character level. Rather than creating new resources for each experiment, DECAF starts from datasets with existing linguistic annotations, and leverages them to analyze, filter, and generate highly controlled "&amp;"and reproducible experimental settings targeting specific research questions. We demonstrate DECAF's functionality by adding full morphology and dependency annotations to the 131M-token BabyLM corpus and indexing the resulting 1.1B annotations to analyze "&amp;"its internal domain variance, and to create a controlled training data curriculum for a small-scale gender bias study. We release DECAF as a fully open-source Python library, along with the parsed and indexed version of BabyLM, as resources for future gen"&amp;"eralization research.")</f>
        <v>The study of generalization in Language Models (LMs) requires controlled experiments that can precisely measure complex linguistic variations between training and testing datasets. We introduce DECAF, a framework that enables the analysis and filtering of linguistically-annotated datasets down to the character level. Rather than creating new resources for each experiment, DECAF starts from datasets with existing linguistic annotations, and leverages them to analyze, filter, and generate highly controlled and reproducible experimental settings targeting specific research questions. We demonstrate DECAF's functionality by adding full morphology and dependency annotations to the 131M-token BabyLM corpus and indexing the resulting 1.1B annotations to analyze its internal domain variance, and to create a controlled training data curriculum for a small-scale gender bias study. We release DECAF as a fully open-source Python library, along with the parsed and indexed version of BabyLM, as resources for future generalization research.</v>
      </c>
      <c r="D54" s="7" t="str">
        <f>IFERROR(__xludf.DUMMYFUNCTION("""COMPUTED_VALUE"""),"Max Müller-Eberstein")</f>
        <v>Max Müller-Eberstein</v>
      </c>
      <c r="E54" s="7" t="str">
        <f>IFERROR(__xludf.DUMMYFUNCTION("""COMPUTED_VALUE"""),"Yes")</f>
        <v>Yes</v>
      </c>
      <c r="F54" s="7" t="str">
        <f>IFERROR(__xludf.DUMMYFUNCTION("""COMPUTED_VALUE"""),"IP-Demo")</f>
        <v>IP-Demo</v>
      </c>
      <c r="G54" s="7" t="str">
        <f>IFERROR(__xludf.DUMMYFUNCTION("""COMPUTED_VALUE"""),"In-person")</f>
        <v>In-person</v>
      </c>
      <c r="H54" s="7" t="str">
        <f>IFERROR(__xludf.DUMMYFUNCTION("""COMPUTED_VALUE"""),"Hall 5X")</f>
        <v>Hall 5X</v>
      </c>
      <c r="I54" s="7" t="str">
        <f>IFERROR(__xludf.DUMMYFUNCTION("""COMPUTED_VALUE"""),"Session 10: IP-Posters")</f>
        <v>Session 10: IP-Posters</v>
      </c>
      <c r="J54" s="7" t="str">
        <f>IFERROR(__xludf.DUMMYFUNCTION("""COMPUTED_VALUE"""),"Demo Session 3")</f>
        <v>Demo Session 3</v>
      </c>
      <c r="K54" s="7"/>
      <c r="L54" s="8">
        <f>IFERROR(__xludf.DUMMYFUNCTION("""COMPUTED_VALUE"""),45867.0)</f>
        <v>45867</v>
      </c>
      <c r="M54" s="7" t="str">
        <f>IFERROR(__xludf.DUMMYFUNCTION("""COMPUTED_VALUE"""),"16:00-17:30")</f>
        <v>16:00-17:30</v>
      </c>
      <c r="N54" s="7"/>
    </row>
    <row r="55">
      <c r="A55" s="7" t="str">
        <f>IFERROR(__xludf.DUMMYFUNCTION("""COMPUTED_VALUE"""),"122-DEMO")</f>
        <v>122-DEMO</v>
      </c>
      <c r="B55" s="7" t="str">
        <f>IFERROR(__xludf.DUMMYFUNCTION("""COMPUTED_VALUE"""),"Dialz: A Python Toolkit for Steering Vectors")</f>
        <v>Dialz: A Python Toolkit for Steering Vectors</v>
      </c>
      <c r="C55" s="7" t="str">
        <f>IFERROR(__xludf.DUMMYFUNCTION("""COMPUTED_VALUE"""),"We introduce *Dialz*, a Python library for advancing research on steering vectors for open-source LMs. Steering vectors allow users to modify activations at inference time to amplify or weaken a 'concept', e.g. honesty or positivity, providing a more powe"&amp;"rful alternative to prompting or fine-tuning. Dialz supports a diverse set of tasks, including creating contrastive pair datasets, computing and applying steering vectors, and visualizations. Unlike existing libraries, Dialz emphasizes modularity and usab"&amp;"ility, enabling both rapid prototyping and in-depth analysis. We demonstrate how Dialz can be used to reduce harmful outputs such as stereotypes, while also providing insights into model behaviour across different layers. We release Dialz with full docume"&amp;"ntation, tutorials, and support for popular open-source models to encourage further research in safe and controllable language generation. Dialz enables faster research cycles and facilitates insights into model interpretability, paving the way for safer,"&amp;" more transparent, and more reliable AI systems.")</f>
        <v>We introduce *Dialz*, a Python library for advancing research on steering vectors for open-source LMs. Steering vectors allow users to modify activations at inference time to amplify or weaken a 'concept', e.g. honesty or positivity, providing a more powerful alternative to prompting or fine-tuning. Dialz supports a diverse set of tasks, including creating contrastive pair datasets, computing and applying steering vectors, and visualizations. Unlike existing libraries, Dialz emphasizes modularity and usability, enabling both rapid prototyping and in-depth analysis. We demonstrate how Dialz can be used to reduce harmful outputs such as stereotypes, while also providing insights into model behaviour across different layers. We release Dialz with full documentation, tutorials, and support for popular open-source models to encourage further research in safe and controllable language generation. Dialz enables faster research cycles and facilitates insights into model interpretability, paving the way for safer, more transparent, and more reliable AI systems.</v>
      </c>
      <c r="D55" s="7" t="str">
        <f>IFERROR(__xludf.DUMMYFUNCTION("""COMPUTED_VALUE"""),"Zara Siddique")</f>
        <v>Zara Siddique</v>
      </c>
      <c r="E55" s="7" t="str">
        <f>IFERROR(__xludf.DUMMYFUNCTION("""COMPUTED_VALUE"""),"Yes")</f>
        <v>Yes</v>
      </c>
      <c r="F55" s="7" t="str">
        <f>IFERROR(__xludf.DUMMYFUNCTION("""COMPUTED_VALUE"""),"IP-Demo")</f>
        <v>IP-Demo</v>
      </c>
      <c r="G55" s="7" t="str">
        <f>IFERROR(__xludf.DUMMYFUNCTION("""COMPUTED_VALUE"""),"In-person")</f>
        <v>In-person</v>
      </c>
      <c r="H55" s="7" t="str">
        <f>IFERROR(__xludf.DUMMYFUNCTION("""COMPUTED_VALUE"""),"Hall 5X")</f>
        <v>Hall 5X</v>
      </c>
      <c r="I55" s="7" t="str">
        <f>IFERROR(__xludf.DUMMYFUNCTION("""COMPUTED_VALUE"""),"Session 7: IP-Posters")</f>
        <v>Session 7: IP-Posters</v>
      </c>
      <c r="J55" s="7" t="str">
        <f>IFERROR(__xludf.DUMMYFUNCTION("""COMPUTED_VALUE"""),"Demo Session 2")</f>
        <v>Demo Session 2</v>
      </c>
      <c r="K55" s="7"/>
      <c r="L55" s="8">
        <f>IFERROR(__xludf.DUMMYFUNCTION("""COMPUTED_VALUE"""),45867.0)</f>
        <v>45867</v>
      </c>
      <c r="M55" s="7" t="str">
        <f>IFERROR(__xludf.DUMMYFUNCTION("""COMPUTED_VALUE"""),"10:30-12:00")</f>
        <v>10:30-12:00</v>
      </c>
      <c r="N55" s="7"/>
    </row>
    <row r="56">
      <c r="A56" s="7" t="str">
        <f>IFERROR(__xludf.DUMMYFUNCTION("""COMPUTED_VALUE"""),"123-DEMO")</f>
        <v>123-DEMO</v>
      </c>
      <c r="B56" s="7" t="str">
        <f>IFERROR(__xludf.DUMMYFUNCTION("""COMPUTED_VALUE"""),"FORG3D: Flexible Object Rendering for Generating Vision-Language Spatial Reasoning Data from 3D Scenes")</f>
        <v>FORG3D: Flexible Object Rendering for Generating Vision-Language Spatial Reasoning Data from 3D Scenes</v>
      </c>
      <c r="C56" s="7" t="str">
        <f>IFERROR(__xludf.DUMMYFUNCTION("""COMPUTED_VALUE"""),"We introduce FORG3D, a 3D rendering toolkit developed with Blender and Python, which synthesizes vision-language data for two primary purposes: (1) supporting human cognitive experiments that require fine-grained control over material and (2) analyzing an"&amp;"d improving the visual reasoning capabilities of large vision-language models. The toolkit provides flexible and precise control over object placement, orientation, inter-object distances, and camera configurations while automatically generating detailed "&amp;"spatial metadata. Additionally, it includes a built-in feature for integrating AI-generated backgrounds, enhancing the realism of synthetic scenes. FORG3D is publicly available at https://github.com/compling-wat/FORG3D, and a video demonstration is availa"&amp;"ble at https://www.youtube.com/watch?v=QvIqib_PU8A.")</f>
        <v>We introduce FORG3D, a 3D rendering toolkit developed with Blender and Python, which synthesizes vision-language data for two primary purposes: (1) supporting human cognitive experiments that require fine-grained control over material and (2) analyzing and improving the visual reasoning capabilities of large vision-language models. The toolkit provides flexible and precise control over object placement, orientation, inter-object distances, and camera configurations while automatically generating detailed spatial metadata. Additionally, it includes a built-in feature for integrating AI-generated backgrounds, enhancing the realism of synthetic scenes. FORG3D is publicly available at https://github.com/compling-wat/FORG3D, and a video demonstration is available at https://www.youtube.com/watch?v=QvIqib_PU8A.</v>
      </c>
      <c r="D56" s="7" t="str">
        <f>IFERROR(__xludf.DUMMYFUNCTION("""COMPUTED_VALUE"""),"Oscar Pang")</f>
        <v>Oscar Pang</v>
      </c>
      <c r="E56" s="7" t="str">
        <f>IFERROR(__xludf.DUMMYFUNCTION("""COMPUTED_VALUE"""),"Yes")</f>
        <v>Yes</v>
      </c>
      <c r="F56" s="7" t="str">
        <f>IFERROR(__xludf.DUMMYFUNCTION("""COMPUTED_VALUE"""),"IP-Demo")</f>
        <v>IP-Demo</v>
      </c>
      <c r="G56" s="7" t="str">
        <f>IFERROR(__xludf.DUMMYFUNCTION("""COMPUTED_VALUE"""),"In-person")</f>
        <v>In-person</v>
      </c>
      <c r="H56" s="7" t="str">
        <f>IFERROR(__xludf.DUMMYFUNCTION("""COMPUTED_VALUE"""),"Hall 5X")</f>
        <v>Hall 5X</v>
      </c>
      <c r="I56" s="7" t="str">
        <f>IFERROR(__xludf.DUMMYFUNCTION("""COMPUTED_VALUE"""),"Session 10: IP-Posters")</f>
        <v>Session 10: IP-Posters</v>
      </c>
      <c r="J56" s="7" t="str">
        <f>IFERROR(__xludf.DUMMYFUNCTION("""COMPUTED_VALUE"""),"Demo Session 3")</f>
        <v>Demo Session 3</v>
      </c>
      <c r="K56" s="7"/>
      <c r="L56" s="8">
        <f>IFERROR(__xludf.DUMMYFUNCTION("""COMPUTED_VALUE"""),45867.0)</f>
        <v>45867</v>
      </c>
      <c r="M56" s="7" t="str">
        <f>IFERROR(__xludf.DUMMYFUNCTION("""COMPUTED_VALUE"""),"16:00-17:30")</f>
        <v>16:00-17:30</v>
      </c>
      <c r="N56" s="7"/>
    </row>
    <row r="57">
      <c r="A57" s="7" t="str">
        <f>IFERROR(__xludf.DUMMYFUNCTION("""COMPUTED_VALUE"""),"124-DEMO")</f>
        <v>124-DEMO</v>
      </c>
      <c r="B57" s="7" t="str">
        <f>IFERROR(__xludf.DUMMYFUNCTION("""COMPUTED_VALUE"""),"RT-VC: Real-Time Zero-Shot Voice Conversion with Speech Articulatory Coding")</f>
        <v>RT-VC: Real-Time Zero-Shot Voice Conversion with Speech Articulatory Coding</v>
      </c>
      <c r="C57" s="7" t="str">
        <f>IFERROR(__xludf.DUMMYFUNCTION("""COMPUTED_VALUE"""),"Voice conversion has emerged as a pivotal technology in numerous applications ranging from assistive communication to entertainment. In this paper, we present RT-VC, a zero-shot real-time voice conversion system that delivers ultra-low latency and high-qu"&amp;"ality performance. Our approach leverages an articulatory feature space to naturally disentangle content and speaker characteristics, facilitating more robust and interpretable voice transformations. Additionally, the integration of differentiable digital"&amp;" signal processing (DDSP) enables efficient vocoding directly from articulatory features, significantly reducing conversion latency. Experimental evaluations demonstrate that, while maintaining synthesis quality comparable to the current state-of-the-art "&amp;"(SOTA) method, RT-VC achieves a CPU latency of 61.4 ms, representing a 13.3% reduction in latency. Project page: https://berkeley-speech-group.github.io/RT-VC/")</f>
        <v>Voice conversion has emerged as a pivotal technology in numerous applications ranging from assistive communication to entertainment. In this paper, we present RT-VC, a zero-shot real-time voice conversion system that delivers ultra-low latency and high-quality performance. Our approach leverages an articulatory feature space to naturally disentangle content and speaker characteristics, facilitating more robust and interpretable voice transformations. Additionally, the integration of differentiable digital signal processing (DDSP) enables efficient vocoding directly from articulatory features, significantly reducing conversion latency. Experimental evaluations demonstrate that, while maintaining synthesis quality comparable to the current state-of-the-art (SOTA) method, RT-VC achieves a CPU latency of 61.4 ms, representing a 13.3% reduction in latency. Project page: https://berkeley-speech-group.github.io/RT-VC/</v>
      </c>
      <c r="D57" s="7" t="str">
        <f>IFERROR(__xludf.DUMMYFUNCTION("""COMPUTED_VALUE"""),"Yisi Liu")</f>
        <v>Yisi Liu</v>
      </c>
      <c r="E57" s="7" t="str">
        <f>IFERROR(__xludf.DUMMYFUNCTION("""COMPUTED_VALUE"""),"Yes")</f>
        <v>Yes</v>
      </c>
      <c r="F57" s="7" t="str">
        <f>IFERROR(__xludf.DUMMYFUNCTION("""COMPUTED_VALUE"""),"V-Presentation")</f>
        <v>V-Presentation</v>
      </c>
      <c r="G57" s="7" t="str">
        <f>IFERROR(__xludf.DUMMYFUNCTION("""COMPUTED_VALUE"""),"Virtual/Gather")</f>
        <v>Virtual/Gather</v>
      </c>
      <c r="H57" s="7" t="str">
        <f>IFERROR(__xludf.DUMMYFUNCTION("""COMPUTED_VALUE"""),"Zoom")</f>
        <v>Zoom</v>
      </c>
      <c r="I57" s="7" t="str">
        <f>IFERROR(__xludf.DUMMYFUNCTION("""COMPUTED_VALUE"""),"Session 10: V-Presenations")</f>
        <v>Session 10: V-Presenations</v>
      </c>
      <c r="J57" s="7" t="str">
        <f>IFERROR(__xludf.DUMMYFUNCTION("""COMPUTED_VALUE"""),"Virtual Presentations 3")</f>
        <v>Virtual Presentations 3</v>
      </c>
      <c r="K57" s="7"/>
      <c r="L57" s="8">
        <f>IFERROR(__xludf.DUMMYFUNCTION("""COMPUTED_VALUE"""),45867.0)</f>
        <v>45867</v>
      </c>
      <c r="M57" s="7" t="str">
        <f>IFERROR(__xludf.DUMMYFUNCTION("""COMPUTED_VALUE"""),"16:00-17:30")</f>
        <v>16:00-17:30</v>
      </c>
      <c r="N57" s="7"/>
    </row>
    <row r="58">
      <c r="A58" s="7" t="str">
        <f>IFERROR(__xludf.DUMMYFUNCTION("""COMPUTED_VALUE"""),"129-DEMO")</f>
        <v>129-DEMO</v>
      </c>
      <c r="B58" s="7" t="str">
        <f>IFERROR(__xludf.DUMMYFUNCTION("""COMPUTED_VALUE"""),"Live Football Commentary System Providing Background Information")</f>
        <v>Live Football Commentary System Providing Background Information</v>
      </c>
      <c r="C58" s="7" t="str">
        <f>IFERROR(__xludf.DUMMYFUNCTION("""COMPUTED_VALUE"""),"Previous research on sports commentary generation has primarily focused on describing major events in the match.
 However, real-world commentary often includes comments beyond what is visible in the video content, e.g., ``Florentina has acquired him for 7"&amp;" million euros.''
 For enhancing the viewing experience with such background information,we developed an audio commentary system for football matches that generates utterances with background information, as well as play-by-play commentary.
 Our system fi"&amp;"rst extracts visual information, and determines whether it is an appropriate timing to produce an utterance.
 Then it decides which type of utterance to generate: play-by-play or background information. In the latter case, the system leverages external kn"&amp;"owledge through retrieval-augmented generation.")</f>
        <v>Previous research on sports commentary generation has primarily focused on describing major events in the match.
 However, real-world commentary often includes comments beyond what is visible in the video content, e.g., ``Florentina has acquired him for 7 million euros.''
 For enhancing the viewing experience with such background information,we developed an audio commentary system for football matches that generates utterances with background information, as well as play-by-play commentary.
 Our system first extracts visual information, and determines whether it is an appropriate timing to produce an utterance.
 Then it decides which type of utterance to generate: play-by-play or background information. In the latter case, the system leverages external knowledge through retrieval-augmented generation.</v>
      </c>
      <c r="D58" s="7" t="str">
        <f>IFERROR(__xludf.DUMMYFUNCTION("""COMPUTED_VALUE"""),"Yuichiro Mori")</f>
        <v>Yuichiro Mori</v>
      </c>
      <c r="E58" s="7" t="str">
        <f>IFERROR(__xludf.DUMMYFUNCTION("""COMPUTED_VALUE"""),"Yes")</f>
        <v>Yes</v>
      </c>
      <c r="F58" s="7" t="str">
        <f>IFERROR(__xludf.DUMMYFUNCTION("""COMPUTED_VALUE"""),"IP-Demo")</f>
        <v>IP-Demo</v>
      </c>
      <c r="G58" s="7" t="str">
        <f>IFERROR(__xludf.DUMMYFUNCTION("""COMPUTED_VALUE"""),"In-person")</f>
        <v>In-person</v>
      </c>
      <c r="H58" s="7" t="str">
        <f>IFERROR(__xludf.DUMMYFUNCTION("""COMPUTED_VALUE"""),"Hall 5X")</f>
        <v>Hall 5X</v>
      </c>
      <c r="I58" s="7" t="str">
        <f>IFERROR(__xludf.DUMMYFUNCTION("""COMPUTED_VALUE"""),"Session 12: IP-Posters")</f>
        <v>Session 12: IP-Posters</v>
      </c>
      <c r="J58" s="7" t="str">
        <f>IFERROR(__xludf.DUMMYFUNCTION("""COMPUTED_VALUE"""),"Demo Session 4")</f>
        <v>Demo Session 4</v>
      </c>
      <c r="K58" s="7"/>
      <c r="L58" s="8">
        <f>IFERROR(__xludf.DUMMYFUNCTION("""COMPUTED_VALUE"""),45868.0)</f>
        <v>45868</v>
      </c>
      <c r="M58" s="7" t="str">
        <f>IFERROR(__xludf.DUMMYFUNCTION("""COMPUTED_VALUE"""),"11:00-12:30")</f>
        <v>11:00-12:30</v>
      </c>
      <c r="N58" s="7"/>
    </row>
    <row r="59">
      <c r="A59" s="7" t="str">
        <f>IFERROR(__xludf.DUMMYFUNCTION("""COMPUTED_VALUE"""),"132-DEMO")</f>
        <v>132-DEMO</v>
      </c>
      <c r="B59" s="7" t="str">
        <f>IFERROR(__xludf.DUMMYFUNCTION("""COMPUTED_VALUE"""),"GREATERPROMPT: A Unified, Customizable, and High-Performing Open-Source Toolkit for Prompt Optimization")</f>
        <v>GREATERPROMPT: A Unified, Customizable, and High-Performing Open-Source Toolkit for Prompt Optimization</v>
      </c>
      <c r="C59" s="7" t="str">
        <f>IFERROR(__xludf.DUMMYFUNCTION("""COMPUTED_VALUE"""),"LLMs have gained immense popularity among researchers and the general public for its impressive capabilities on a variety of tasks. Notably, the efficacy of LLMs remains significantly dependent on the quality and structure of the input prompts, making pro"&amp;"mpt design a critical factor for their performance. Recent advancements in automated prompt optimization have introduced diverse techniques that automatically enhance prompts to better align model outputs with user expectations. However, these methods oft"&amp;"en suffer from the lack of standardization and compatibility across different techniques, limited flexibility in customization, inconsistent performance across model scales, and they often exclusively rely on expensive proprietary LLM APIs. To fill in thi"&amp;"s gap, we introduce GREATERPROMPT, a novel framework that democratizes prompt optimization by unifying diverse methods under a unified, customizable API while delivering highly effective prompts for different tasks. Our framework flexibly accommodates var"&amp;"ious model scales by leveraging both text feedback-based optimization for larger LLMs and internal gradient-based optimization for smaller models to achieve powerful and precise prompt improvements. Moreover, we provide a user-friendly Web UI that ensures"&amp;" accessibility for non-expert users, enabling broader adoption and enhanced performance across various user groups and application scenarios. GREATERPROMPT is available at https://github.com/psunlpgroup/GreaterPrompt via GitHub, PyPI, and web user interfa"&amp;"ces.")</f>
        <v>LLMs have gained immense popularity among researchers and the general public for its impressive capabilities on a variety of tasks. Notably, the efficacy of LLMs remains significantly dependent on the quality and structure of the input prompts, making prompt design a critical factor for their performance. Recent advancements in automated prompt optimization have introduced diverse techniques that automatically enhance prompts to better align model outputs with user expectations. However, these methods often suffer from the lack of standardization and compatibility across different techniques, limited flexibility in customization, inconsistent performance across model scales, and they often exclusively rely on expensive proprietary LLM APIs. To fill in this gap, we introduce GREATERPROMPT, a novel framework that democratizes prompt optimization by unifying diverse methods under a unified, customizable API while delivering highly effective prompts for different tasks. Our framework flexibly accommodates various model scales by leveraging both text feedback-based optimization for larger LLMs and internal gradient-based optimization for smaller models to achieve powerful and precise prompt improvements. Moreover, we provide a user-friendly Web UI that ensures accessibility for non-expert users, enabling broader adoption and enhanced performance across various user groups and application scenarios. GREATERPROMPT is available at https://github.com/psunlpgroup/GreaterPrompt via GitHub, PyPI, and web user interfaces.</v>
      </c>
      <c r="D59" s="7" t="str">
        <f>IFERROR(__xludf.DUMMYFUNCTION("""COMPUTED_VALUE"""),"Sarkar Snigdha Sarathi Das")</f>
        <v>Sarkar Snigdha Sarathi Das</v>
      </c>
      <c r="E59" s="7" t="str">
        <f>IFERROR(__xludf.DUMMYFUNCTION("""COMPUTED_VALUE"""),"Yes")</f>
        <v>Yes</v>
      </c>
      <c r="F59" s="7" t="str">
        <f>IFERROR(__xludf.DUMMYFUNCTION("""COMPUTED_VALUE"""),"V-Presentation")</f>
        <v>V-Presentation</v>
      </c>
      <c r="G59" s="7" t="str">
        <f>IFERROR(__xludf.DUMMYFUNCTION("""COMPUTED_VALUE"""),"Virtual/Gather")</f>
        <v>Virtual/Gather</v>
      </c>
      <c r="H59" s="7" t="str">
        <f>IFERROR(__xludf.DUMMYFUNCTION("""COMPUTED_VALUE"""),"Zoom")</f>
        <v>Zoom</v>
      </c>
      <c r="I59" s="7" t="str">
        <f>IFERROR(__xludf.DUMMYFUNCTION("""COMPUTED_VALUE"""),"Session 7: V--Presentations ")</f>
        <v>Session 7: V--Presentations </v>
      </c>
      <c r="J59" s="7" t="str">
        <f>IFERROR(__xludf.DUMMYFUNCTION("""COMPUTED_VALUE"""),"Virtual Presentations 2")</f>
        <v>Virtual Presentations 2</v>
      </c>
      <c r="K59" s="7"/>
      <c r="L59" s="8"/>
      <c r="M59" s="7" t="str">
        <f>IFERROR(__xludf.DUMMYFUNCTION("""COMPUTED_VALUE"""),"10:30-12:00")</f>
        <v>10:30-12:00</v>
      </c>
      <c r="N59" s="7"/>
    </row>
    <row r="60">
      <c r="A60" s="7" t="str">
        <f>IFERROR(__xludf.DUMMYFUNCTION("""COMPUTED_VALUE"""),"137-DEMO")</f>
        <v>137-DEMO</v>
      </c>
      <c r="B60" s="7" t="str">
        <f>IFERROR(__xludf.DUMMYFUNCTION("""COMPUTED_VALUE"""),"iPET: An Interactive Emotional Companion Dialogue System with LLM-Powered Virtual Pet World Simulation")</f>
        <v>iPET: An Interactive Emotional Companion Dialogue System with LLM-Powered Virtual Pet World Simulation</v>
      </c>
      <c r="C60" s="7" t="str">
        <f>IFERROR(__xludf.DUMMYFUNCTION("""COMPUTED_VALUE"""),"The rapid advancement of large language models (LLMs) has unlocked transformative potential for role-playing emotional companion products, enabling systems that address emotional well-being, educational goals, and therapeutic applications. However, existi"&amp;"ng approaches lack sustained personalization or contextual adaptability, limiting their real-world utility.
 In this paper, we introduce iPET, an LLM-powered pet agent that enhances user engagement by offering rich pet lifestyles and user preference-orien"&amp;"ted interactions.
 The iPet consists of a dialogue module that instantiates virtual pet agents for emotionally interactive conversations, a memory module stores and synthesizes records of agent and user experiences, and a world simulation module generatin"&amp;"g diverse, preference-driven pet behaviors guided by high-level reflections. Deployed for over 200 days in a real-world non-commercial product, iPET has served millions of users, delivering emotional support to psychologically distressed individuals while"&amp;" validating its effectiveness in practical applications.")</f>
        <v>The rapid advancement of large language models (LLMs) has unlocked transformative potential for role-playing emotional companion products, enabling systems that address emotional well-being, educational goals, and therapeutic applications. However, existing approaches lack sustained personalization or contextual adaptability, limiting their real-world utility.
 In this paper, we introduce iPET, an LLM-powered pet agent that enhances user engagement by offering rich pet lifestyles and user preference-oriented interactions.
 The iPet consists of a dialogue module that instantiates virtual pet agents for emotionally interactive conversations, a memory module stores and synthesizes records of agent and user experiences, and a world simulation module generating diverse, preference-driven pet behaviors guided by high-level reflections. Deployed for over 200 days in a real-world non-commercial product, iPET has served millions of users, delivering emotional support to psychologically distressed individuals while validating its effectiveness in practical applications.</v>
      </c>
      <c r="D60" s="7" t="str">
        <f>IFERROR(__xludf.DUMMYFUNCTION("""COMPUTED_VALUE"""),"Zihan Niu")</f>
        <v>Zihan Niu</v>
      </c>
      <c r="E60" s="7" t="str">
        <f>IFERROR(__xludf.DUMMYFUNCTION("""COMPUTED_VALUE"""),"Yes")</f>
        <v>Yes</v>
      </c>
      <c r="F60" s="7" t="str">
        <f>IFERROR(__xludf.DUMMYFUNCTION("""COMPUTED_VALUE"""),"V-Presentation")</f>
        <v>V-Presentation</v>
      </c>
      <c r="G60" s="7" t="str">
        <f>IFERROR(__xludf.DUMMYFUNCTION("""COMPUTED_VALUE"""),"Virtual/Gather")</f>
        <v>Virtual/Gather</v>
      </c>
      <c r="H60" s="7" t="str">
        <f>IFERROR(__xludf.DUMMYFUNCTION("""COMPUTED_VALUE"""),"Zoom")</f>
        <v>Zoom</v>
      </c>
      <c r="I60" s="7" t="str">
        <f>IFERROR(__xludf.DUMMYFUNCTION("""COMPUTED_VALUE"""),"Session 10: V-Presenations")</f>
        <v>Session 10: V-Presenations</v>
      </c>
      <c r="J60" s="7" t="str">
        <f>IFERROR(__xludf.DUMMYFUNCTION("""COMPUTED_VALUE"""),"Virtual Presentations 3")</f>
        <v>Virtual Presentations 3</v>
      </c>
      <c r="K60" s="7"/>
      <c r="L60" s="8">
        <f>IFERROR(__xludf.DUMMYFUNCTION("""COMPUTED_VALUE"""),45867.0)</f>
        <v>45867</v>
      </c>
      <c r="M60" s="7" t="str">
        <f>IFERROR(__xludf.DUMMYFUNCTION("""COMPUTED_VALUE"""),"16:00-17:30")</f>
        <v>16:00-17:30</v>
      </c>
      <c r="N60" s="7"/>
    </row>
    <row r="61">
      <c r="A61" s="7" t="str">
        <f>IFERROR(__xludf.DUMMYFUNCTION("""COMPUTED_VALUE"""),"138-DEMO")</f>
        <v>138-DEMO</v>
      </c>
      <c r="B61" s="7" t="str">
        <f>IFERROR(__xludf.DUMMYFUNCTION("""COMPUTED_VALUE"""),"LiDARR: Linking Document AMRs with Referents Resolvers")</f>
        <v>LiDARR: Linking Document AMRs with Referents Resolvers</v>
      </c>
      <c r="C61" s="7" t="str">
        <f>IFERROR(__xludf.DUMMYFUNCTION("""COMPUTED_VALUE"""),"In this paper, we present LiDARR (**Li**nking **D**ocument **A**MRs with **R**eferents **R**esolvers), a web tool for semantic annotation at the document level using the formalism of Abstract Meaning Representation (AMR). LiDARR streamlines the creation o"&amp;"f comprehensive knowledge graphs from natural language documents through semantic annotation. The tool features a visualization and interactive user interface, transforming document-level AMR annotation into an models-facilitated verification process. Thi"&amp;"s is achieved through the integration of an AMR-to-surface alignment model and a coreference resolution model. Additionally, we incorporate PropBank rolesets into LiDARR to extend implicit roles in annotated AMR, allowing implicit roles to be linked throu"&amp;"gh the coreference chains via AMRs.")</f>
        <v>In this paper, we present LiDARR (**Li**nking **D**ocument **A**MRs with **R**eferents **R**esolvers), a web tool for semantic annotation at the document level using the formalism of Abstract Meaning Representation (AMR). LiDARR streamlines the creation of comprehensive knowledge graphs from natural language documents through semantic annotation. The tool features a visualization and interactive user interface, transforming document-level AMR annotation into an models-facilitated verification process. This is achieved through the integration of an AMR-to-surface alignment model and a coreference resolution model. Additionally, we incorporate PropBank rolesets into LiDARR to extend implicit roles in annotated AMR, allowing implicit roles to be linked through the coreference chains via AMRs.</v>
      </c>
      <c r="D61" s="7" t="str">
        <f>IFERROR(__xludf.DUMMYFUNCTION("""COMPUTED_VALUE"""),"Jon Cai")</f>
        <v>Jon Cai</v>
      </c>
      <c r="E61" s="7" t="str">
        <f>IFERROR(__xludf.DUMMYFUNCTION("""COMPUTED_VALUE"""),"Yes")</f>
        <v>Yes</v>
      </c>
      <c r="F61" s="7" t="str">
        <f>IFERROR(__xludf.DUMMYFUNCTION("""COMPUTED_VALUE"""),"IP-Demo")</f>
        <v>IP-Demo</v>
      </c>
      <c r="G61" s="7" t="str">
        <f>IFERROR(__xludf.DUMMYFUNCTION("""COMPUTED_VALUE"""),"In-person")</f>
        <v>In-person</v>
      </c>
      <c r="H61" s="7" t="str">
        <f>IFERROR(__xludf.DUMMYFUNCTION("""COMPUTED_VALUE"""),"Hall 5X")</f>
        <v>Hall 5X</v>
      </c>
      <c r="I61" s="7" t="str">
        <f>IFERROR(__xludf.DUMMYFUNCTION("""COMPUTED_VALUE"""),"Session 7: IP-Posters")</f>
        <v>Session 7: IP-Posters</v>
      </c>
      <c r="J61" s="7" t="str">
        <f>IFERROR(__xludf.DUMMYFUNCTION("""COMPUTED_VALUE"""),"Demo Session 2")</f>
        <v>Demo Session 2</v>
      </c>
      <c r="K61" s="7"/>
      <c r="L61" s="8">
        <f>IFERROR(__xludf.DUMMYFUNCTION("""COMPUTED_VALUE"""),45867.0)</f>
        <v>45867</v>
      </c>
      <c r="M61" s="7" t="str">
        <f>IFERROR(__xludf.DUMMYFUNCTION("""COMPUTED_VALUE"""),"10:30-12:00")</f>
        <v>10:30-12:00</v>
      </c>
      <c r="N61" s="7"/>
    </row>
    <row r="62">
      <c r="A62" s="7" t="str">
        <f>IFERROR(__xludf.DUMMYFUNCTION("""COMPUTED_VALUE"""),"139-DEMO")</f>
        <v>139-DEMO</v>
      </c>
      <c r="B62" s="7" t="str">
        <f>IFERROR(__xludf.DUMMYFUNCTION("""COMPUTED_VALUE"""),"SlimLM: An Efficient Small Language Model for On-Device Document Assistance")</f>
        <v>SlimLM: An Efficient Small Language Model for On-Device Document Assistance</v>
      </c>
      <c r="C62" s="7" t="str">
        <f>IFERROR(__xludf.DUMMYFUNCTION("""COMPUTED_VALUE"""),"While small language models (SLMs) show promises for mobile deployment, their real world performance and applications on smartphones remain underexplored. We present SlimLM, a series of SLMs optimized for document assistance tasks on mobile devices. Throu"&amp;"gh extensive experiments on a Samsung Galaxy S24, we identify the sweet spot between model size (ranging from 125M to 8B parameters), context length, and inference time for efficient on-device processing. SlimLM is pretrained on SlimPajama-627B and fine-t"&amp;"uned on DocAssist, our constructed dataset for summarization, question answering, and suggestion tasks. Our smallest model demonstrates efficient performance on S24, while larger variants offer enhanced capabilities within mobile constraints. We evaluate "&amp;"SlimLM against existing SLMs, showing comparable or superior performance and offering a benchmark for future research in on-device language models. We provide an Android application allowing users to experience SlimLM’s document assistance capabilities, o"&amp;"ffering valuable insights for mobile developers, researchers, and companies seeking privacy-preserving on-device alternatives to server-based language models.")</f>
        <v>While small language models (SLMs) show promises for mobile deployment, their real world performance and applications on smartphones remain underexplored. We present SlimLM, a series of SLMs optimized for document assistance tasks on mobile devices. Through extensive experiments on a Samsung Galaxy S24, we identify the sweet spot between model size (ranging from 125M to 8B parameters), context length, and inference time for efficient on-device processing. SlimLM is pretrained on SlimPajama-627B and fine-tuned on DocAssist, our constructed dataset for summarization, question answering, and suggestion tasks. Our smallest model demonstrates efficient performance on S24, while larger variants offer enhanced capabilities within mobile constraints. We evaluate SlimLM against existing SLMs, showing comparable or superior performance and offering a benchmark for future research in on-device language models. We provide an Android application allowing users to experience SlimLM’s document assistance capabilities, offering valuable insights for mobile developers, researchers, and companies seeking privacy-preserving on-device alternatives to server-based language models.</v>
      </c>
      <c r="D62" s="7" t="str">
        <f>IFERROR(__xludf.DUMMYFUNCTION("""COMPUTED_VALUE"""),"Trung Bui")</f>
        <v>Trung Bui</v>
      </c>
      <c r="E62" s="7" t="str">
        <f>IFERROR(__xludf.DUMMYFUNCTION("""COMPUTED_VALUE"""),"Yes")</f>
        <v>Yes</v>
      </c>
      <c r="F62" s="7" t="str">
        <f>IFERROR(__xludf.DUMMYFUNCTION("""COMPUTED_VALUE"""),"IP-Demo")</f>
        <v>IP-Demo</v>
      </c>
      <c r="G62" s="7" t="str">
        <f>IFERROR(__xludf.DUMMYFUNCTION("""COMPUTED_VALUE"""),"In-person")</f>
        <v>In-person</v>
      </c>
      <c r="H62" s="7" t="str">
        <f>IFERROR(__xludf.DUMMYFUNCTION("""COMPUTED_VALUE"""),"Hall 5X")</f>
        <v>Hall 5X</v>
      </c>
      <c r="I62" s="7" t="str">
        <f>IFERROR(__xludf.DUMMYFUNCTION("""COMPUTED_VALUE"""),"Session 10: IP-Posters")</f>
        <v>Session 10: IP-Posters</v>
      </c>
      <c r="J62" s="7" t="str">
        <f>IFERROR(__xludf.DUMMYFUNCTION("""COMPUTED_VALUE"""),"Demo Session 3")</f>
        <v>Demo Session 3</v>
      </c>
      <c r="K62" s="7"/>
      <c r="L62" s="8">
        <f>IFERROR(__xludf.DUMMYFUNCTION("""COMPUTED_VALUE"""),45867.0)</f>
        <v>45867</v>
      </c>
      <c r="M62" s="7" t="str">
        <f>IFERROR(__xludf.DUMMYFUNCTION("""COMPUTED_VALUE"""),"16:00-17:30")</f>
        <v>16:00-17:30</v>
      </c>
      <c r="N62" s="7"/>
    </row>
    <row r="63">
      <c r="A63" s="7" t="str">
        <f>IFERROR(__xludf.DUMMYFUNCTION("""COMPUTED_VALUE"""),"140-DEMO")</f>
        <v>140-DEMO</v>
      </c>
      <c r="B63" s="7" t="str">
        <f>IFERROR(__xludf.DUMMYFUNCTION("""COMPUTED_VALUE"""),"VeriMinder: Mitigating Analytical Vulnerabilities in NL2SQL")</f>
        <v>VeriMinder: Mitigating Analytical Vulnerabilities in NL2SQL</v>
      </c>
      <c r="C63" s="7" t="str">
        <f>IFERROR(__xludf.DUMMYFUNCTION("""COMPUTED_VALUE"""),"Application systems using natural language interfaces to databases (NLIDBs) have democratized data analysis. This positive development has also brought forth an urgent challenge to help users who might use these systems without a background in statistical"&amp;" analysis to formulate bias-free analytical questions. Although significant research has focused on text-to-SQL generation accuracy, addressing cognitive biases in analytical questions remains underexplored. We present [VeriMinder](https://veriminder.ai),"&amp;" an interactive system for detecting and mitigating such analytical vulnerabilities. Our approach introduces three key innovations: (1) a contextual semantic mapping framework for biases relevant to specific analysis contexts (2) an analytical framework t"&amp;"hat operationalizes the Hard-to-Vary principle and guides users in systematic data analysis (3) an optimized LLM-powered system that generates high-quality, task-specific prompts using an iterative process involving multiple candidates, critic feedback, a"&amp;"nd self-reflection.
 User testing confirms the merits of our approach. In direct user experience evaluation, 82.5\% participants reported positively impacting the quality of the analysis. In comparative evaluation, VeriMinder scored significantly highe"&amp;"r than alternative approaches, at least 20\% better when considered for metrics of the analysis's concreteness, comprehensiveness, and accuracy. Our system, implemented as a web application, is set to help users avoid ""wrong question"" vulnerability duri"&amp;"ng data analysis. VeriMinder will be available as an MIT-licensed open-source software with access to our code base, evaluation datasets, and prompt library to facilitate further research and adoption within the community.")</f>
        <v>Application systems using natural language interfaces to databases (NLIDBs) have democratized data analysis. This positive development has also brought forth an urgent challenge to help users who might use these systems without a background in statistical analysis to formulate bias-free analytical questions. Although significant research has focused on text-to-SQL generation accuracy, addressing cognitive biases in analytical questions remains underexplored. We present [VeriMinder](https://veriminder.ai), an interactive system for detecting and mitigating such analytical vulnerabilities. Our approach introduces three key innovations: (1) a contextual semantic mapping framework for biases relevant to specific analysis contexts (2) an analytical framework that operationalizes the Hard-to-Vary principle and guides users in systematic data analysis (3) an optimized LLM-powered system that generates high-quality, task-specific prompts using an iterative process involving multiple candidates, critic feedback, and self-reflection.
 User testing confirms the merits of our approach. In direct user experience evaluation, 82.5\% participants reported positively impacting the quality of the analysis. In comparative evaluation, VeriMinder scored significantly higher than alternative approaches, at least 20\% better when considered for metrics of the analysis's concreteness, comprehensiveness, and accuracy. Our system, implemented as a web application, is set to help users avoid "wrong question" vulnerability during data analysis. VeriMinder will be available as an MIT-licensed open-source software with access to our code base, evaluation datasets, and prompt library to facilitate further research and adoption within the community.</v>
      </c>
      <c r="D63" s="7" t="str">
        <f>IFERROR(__xludf.DUMMYFUNCTION("""COMPUTED_VALUE"""),"Shubham Mohole")</f>
        <v>Shubham Mohole</v>
      </c>
      <c r="E63" s="7" t="str">
        <f>IFERROR(__xludf.DUMMYFUNCTION("""COMPUTED_VALUE"""),"Yes")</f>
        <v>Yes</v>
      </c>
      <c r="F63" s="7" t="str">
        <f>IFERROR(__xludf.DUMMYFUNCTION("""COMPUTED_VALUE"""),"IP-Demo")</f>
        <v>IP-Demo</v>
      </c>
      <c r="G63" s="7" t="str">
        <f>IFERROR(__xludf.DUMMYFUNCTION("""COMPUTED_VALUE"""),"In-person")</f>
        <v>In-person</v>
      </c>
      <c r="H63" s="7" t="str">
        <f>IFERROR(__xludf.DUMMYFUNCTION("""COMPUTED_VALUE"""),"Hall 5X")</f>
        <v>Hall 5X</v>
      </c>
      <c r="I63" s="7" t="str">
        <f>IFERROR(__xludf.DUMMYFUNCTION("""COMPUTED_VALUE"""),"Session 2: IP-Posters ")</f>
        <v>Session 2: IP-Posters </v>
      </c>
      <c r="J63" s="7" t="str">
        <f>IFERROR(__xludf.DUMMYFUNCTION("""COMPUTED_VALUE"""),"Demo Session 1")</f>
        <v>Demo Session 1</v>
      </c>
      <c r="K63" s="7"/>
      <c r="L63" s="8">
        <f>IFERROR(__xludf.DUMMYFUNCTION("""COMPUTED_VALUE"""),45866.0)</f>
        <v>45866</v>
      </c>
      <c r="M63" s="7" t="str">
        <f>IFERROR(__xludf.DUMMYFUNCTION("""COMPUTED_VALUE"""),"11:00-12:30")</f>
        <v>11:00-12:30</v>
      </c>
      <c r="N63" s="7"/>
    </row>
    <row r="64">
      <c r="A64" s="7" t="str">
        <f>IFERROR(__xludf.DUMMYFUNCTION("""COMPUTED_VALUE"""),"142-DEMO")</f>
        <v>142-DEMO</v>
      </c>
      <c r="B64" s="7" t="str">
        <f>IFERROR(__xludf.DUMMYFUNCTION("""COMPUTED_VALUE"""),"DocAgent: A Multi-Agent System for Automated Code Documentation Generation")</f>
        <v>DocAgent: A Multi-Agent System for Automated Code Documentation Generation</v>
      </c>
      <c r="C64" s="7" t="str">
        <f>IFERROR(__xludf.DUMMYFUNCTION("""COMPUTED_VALUE"""),"High-quality code documentation is crucial for software development especially in the era of AI. However, generating it automatically using Large Language Models (LLMs) remains challenging, as existing approaches often produce incomplete, unhelpful, or fa"&amp;"ctually incorrect outputs. We introduce DocAgent, a novel multi-agent collaborative system using topological code processing for incremental context building. Specialized agents (Reader, Searcher, Writer, Verifier, Orchestrator) then collaboratively gener"&amp;"ate documentation. We also propose a multi-faceted evaluation framework assessing Completeness, Helpfulness, and Truthfulness. Comprehensive experiments show DocAgent significantly outperforms baselines consistently. Our ablation study confirms the vital "&amp;"role of the topological processing order. DocAgent offers a robust approach for reliable code documentation generation in complex and proprietary repositories.")</f>
        <v>High-quality code documentation is crucial for software development especially in the era of AI. However, generating it automatically using Large Language Models (LLMs) remains challenging, as existing approaches often produce incomplete, unhelpful, or factually incorrect outputs. We introduce DocAgent, a novel multi-agent collaborative system using topological code processing for incremental context building. Specialized agents (Reader, Searcher, Writer, Verifier, Orchestrator) then collaboratively generate documentation. We also propose a multi-faceted evaluation framework assessing Completeness, Helpfulness, and Truthfulness. Comprehensive experiments show DocAgent significantly outperforms baselines consistently. Our ablation study confirms the vital role of the topological processing order. DocAgent offers a robust approach for reliable code documentation generation in complex and proprietary repositories.</v>
      </c>
      <c r="D64" s="7" t="str">
        <f>IFERROR(__xludf.DUMMYFUNCTION("""COMPUTED_VALUE"""),"Guolei Yang")</f>
        <v>Guolei Yang</v>
      </c>
      <c r="E64" s="7" t="str">
        <f>IFERROR(__xludf.DUMMYFUNCTION("""COMPUTED_VALUE"""),"Yes")</f>
        <v>Yes</v>
      </c>
      <c r="F64" s="7" t="str">
        <f>IFERROR(__xludf.DUMMYFUNCTION("""COMPUTED_VALUE"""),"V-Presentation")</f>
        <v>V-Presentation</v>
      </c>
      <c r="G64" s="7" t="str">
        <f>IFERROR(__xludf.DUMMYFUNCTION("""COMPUTED_VALUE"""),"Virtual/Gather")</f>
        <v>Virtual/Gather</v>
      </c>
      <c r="H64" s="7" t="str">
        <f>IFERROR(__xludf.DUMMYFUNCTION("""COMPUTED_VALUE"""),"Zoom")</f>
        <v>Zoom</v>
      </c>
      <c r="I64" s="7" t="str">
        <f>IFERROR(__xludf.DUMMYFUNCTION("""COMPUTED_VALUE"""),"Session 12: V-Presentations")</f>
        <v>Session 12: V-Presentations</v>
      </c>
      <c r="J64" s="7" t="str">
        <f>IFERROR(__xludf.DUMMYFUNCTION("""COMPUTED_VALUE"""),"Virtual Presentations 4")</f>
        <v>Virtual Presentations 4</v>
      </c>
      <c r="K64" s="7"/>
      <c r="L64" s="8">
        <f>IFERROR(__xludf.DUMMYFUNCTION("""COMPUTED_VALUE"""),45868.0)</f>
        <v>45868</v>
      </c>
      <c r="M64" s="7" t="str">
        <f>IFERROR(__xludf.DUMMYFUNCTION("""COMPUTED_VALUE"""),"11:00-12:30")</f>
        <v>11:00-12:30</v>
      </c>
      <c r="N64" s="7"/>
    </row>
    <row r="65">
      <c r="A65" s="7" t="str">
        <f>IFERROR(__xludf.DUMMYFUNCTION("""COMPUTED_VALUE"""),"145-DEMO")</f>
        <v>145-DEMO</v>
      </c>
      <c r="B65" s="7" t="str">
        <f>IFERROR(__xludf.DUMMYFUNCTION("""COMPUTED_VALUE"""),"DISPUTool 3.0: Fallacy Detection and Repairing in Argumentative Political Debates")</f>
        <v>DISPUTool 3.0: Fallacy Detection and Repairing in Argumentative Political Debates</v>
      </c>
      <c r="C65" s="7" t="str">
        <f>IFERROR(__xludf.DUMMYFUNCTION("""COMPUTED_VALUE"""),"This paper introduces and evaluates a novel web-based application designed to identify and repair fallacious arguments in political debates. DISPUTool 3.0 offers a comprehensive tool for argumentation analysis of political debate, integrating state-of-the"&amp;"-art natural language processing techniques to mine and classify argument components and relations. DISPUTool 3.0 builds on the $\textit{ElecDeb60to20}$ dataset, covering US presidential debates from 1960 to 2020. In this paper, we introduce a novel task "&amp;"which is integrated as a new module in DISPUTool, i.e., the automatic detection and classification of fallacious arguments, and the automatic $\textit{repairing}$ of such misleading arguments. The goal is to show to the user a tool which not only identifi"&amp;"es fallacies in political debates, but it also shows how the argument looks like once the veil of fallacy falls down. An extensive evaluation of the module is addressed employing both automated metrics and human assessments. With the inclusion of this mod"&amp;"ule, DISPUTool 3.0 advances even more user critical thinking in front of the augmenting spread of such nefarious kind of content in political debates and beyond. The tool is publicly available here: https://3ia-demos.inria.fr/disputool/")</f>
        <v>This paper introduces and evaluates a novel web-based application designed to identify and repair fallacious arguments in political debates. DISPUTool 3.0 offers a comprehensive tool for argumentation analysis of political debate, integrating state-of-the-art natural language processing techniques to mine and classify argument components and relations. DISPUTool 3.0 builds on the $\textit{ElecDeb60to20}$ dataset, covering US presidential debates from 1960 to 2020. In this paper, we introduce a novel task which is integrated as a new module in DISPUTool, i.e., the automatic detection and classification of fallacious arguments, and the automatic $\textit{repairing}$ of such misleading arguments. The goal is to show to the user a tool which not only identifies fallacies in political debates, but it also shows how the argument looks like once the veil of fallacy falls down. An extensive evaluation of the module is addressed employing both automated metrics and human assessments. With the inclusion of this module, DISPUTool 3.0 advances even more user critical thinking in front of the augmenting spread of such nefarious kind of content in political debates and beyond. The tool is publicly available here: https://3ia-demos.inria.fr/disputool/</v>
      </c>
      <c r="D65" s="7" t="str">
        <f>IFERROR(__xludf.DUMMYFUNCTION("""COMPUTED_VALUE"""),"Deborah Dore")</f>
        <v>Deborah Dore</v>
      </c>
      <c r="E65" s="7" t="str">
        <f>IFERROR(__xludf.DUMMYFUNCTION("""COMPUTED_VALUE"""),"Yes")</f>
        <v>Yes</v>
      </c>
      <c r="F65" s="7" t="str">
        <f>IFERROR(__xludf.DUMMYFUNCTION("""COMPUTED_VALUE"""),"IP-Demo")</f>
        <v>IP-Demo</v>
      </c>
      <c r="G65" s="7" t="str">
        <f>IFERROR(__xludf.DUMMYFUNCTION("""COMPUTED_VALUE"""),"In-person")</f>
        <v>In-person</v>
      </c>
      <c r="H65" s="7" t="str">
        <f>IFERROR(__xludf.DUMMYFUNCTION("""COMPUTED_VALUE"""),"Hall 5X")</f>
        <v>Hall 5X</v>
      </c>
      <c r="I65" s="7" t="str">
        <f>IFERROR(__xludf.DUMMYFUNCTION("""COMPUTED_VALUE"""),"Session 12: IP-Posters")</f>
        <v>Session 12: IP-Posters</v>
      </c>
      <c r="J65" s="7" t="str">
        <f>IFERROR(__xludf.DUMMYFUNCTION("""COMPUTED_VALUE"""),"Demo Session 4")</f>
        <v>Demo Session 4</v>
      </c>
      <c r="K65" s="7"/>
      <c r="L65" s="8">
        <f>IFERROR(__xludf.DUMMYFUNCTION("""COMPUTED_VALUE"""),45868.0)</f>
        <v>45868</v>
      </c>
      <c r="M65" s="7" t="str">
        <f>IFERROR(__xludf.DUMMYFUNCTION("""COMPUTED_VALUE"""),"11:00-12:30")</f>
        <v>11:00-12:30</v>
      </c>
      <c r="N65" s="7"/>
    </row>
    <row r="66">
      <c r="A66" s="7" t="str">
        <f>IFERROR(__xludf.DUMMYFUNCTION("""COMPUTED_VALUE"""),"146-DEMO")</f>
        <v>146-DEMO</v>
      </c>
      <c r="B66" s="7" t="str">
        <f>IFERROR(__xludf.DUMMYFUNCTION("""COMPUTED_VALUE"""),"MedDecXtract: A Clinician-Support System for Extracting, Visualizing, and Annotating Medical Decisions in Clinical Narratives")</f>
        <v>MedDecXtract: A Clinician-Support System for Extracting, Visualizing, and Annotating Medical Decisions in Clinical Narratives</v>
      </c>
      <c r="C66" s="7" t="str">
        <f>IFERROR(__xludf.DUMMYFUNCTION("""COMPUTED_VALUE"""),"Clinical notes contain crucial information about medical decisions, including diagnosis, treatment choices, and follow-up plans. However, these decisions are embedded within unstructured text, making it challenging to systematically analyze decision-makin"&amp;"g patterns or support clinical workflows. We present MedDecXtract, an open-source interactive system that automatically extracts and visualizes medical decisions from clinical text. The system combines a RoBERTa-based model for identifying ten categories "&amp;"of medical decisions (e.g., diagnosis, treatment, follow-up) according to the DICTUM framework, with an intuitive interface for exploration, visualization, and annotation. The system enables various applications including clinical decision support, resear"&amp;"ch on decision patterns, and creation of training data for improved medical language models. The system and its source code can be accessed at https://mohdelgaar-clinical-decisions.hf.space. A video demo is available at https://youtu.be/19j6-XtIE_s.")</f>
        <v>Clinical notes contain crucial information about medical decisions, including diagnosis, treatment choices, and follow-up plans. However, these decisions are embedded within unstructured text, making it challenging to systematically analyze decision-making patterns or support clinical workflows. We present MedDecXtract, an open-source interactive system that automatically extracts and visualizes medical decisions from clinical text. The system combines a RoBERTa-based model for identifying ten categories of medical decisions (e.g., diagnosis, treatment, follow-up) according to the DICTUM framework, with an intuitive interface for exploration, visualization, and annotation. The system enables various applications including clinical decision support, research on decision patterns, and creation of training data for improved medical language models. The system and its source code can be accessed at https://mohdelgaar-clinical-decisions.hf.space. A video demo is available at https://youtu.be/19j6-XtIE_s.</v>
      </c>
      <c r="D66" s="7" t="str">
        <f>IFERROR(__xludf.DUMMYFUNCTION("""COMPUTED_VALUE"""),"Mohamed Elgaar")</f>
        <v>Mohamed Elgaar</v>
      </c>
      <c r="E66" s="7" t="str">
        <f>IFERROR(__xludf.DUMMYFUNCTION("""COMPUTED_VALUE"""),"Yes")</f>
        <v>Yes</v>
      </c>
      <c r="F66" s="7" t="str">
        <f>IFERROR(__xludf.DUMMYFUNCTION("""COMPUTED_VALUE"""),"V-Presentation")</f>
        <v>V-Presentation</v>
      </c>
      <c r="G66" s="7" t="str">
        <f>IFERROR(__xludf.DUMMYFUNCTION("""COMPUTED_VALUE"""),"Virtual/Gather")</f>
        <v>Virtual/Gather</v>
      </c>
      <c r="H66" s="7" t="str">
        <f>IFERROR(__xludf.DUMMYFUNCTION("""COMPUTED_VALUE"""),"Zoom")</f>
        <v>Zoom</v>
      </c>
      <c r="I66" s="7" t="str">
        <f>IFERROR(__xludf.DUMMYFUNCTION("""COMPUTED_VALUE"""),"Session 10: V-Presenations")</f>
        <v>Session 10: V-Presenations</v>
      </c>
      <c r="J66" s="7" t="str">
        <f>IFERROR(__xludf.DUMMYFUNCTION("""COMPUTED_VALUE"""),"Virtual Presentations 3")</f>
        <v>Virtual Presentations 3</v>
      </c>
      <c r="K66" s="7"/>
      <c r="L66" s="8">
        <f>IFERROR(__xludf.DUMMYFUNCTION("""COMPUTED_VALUE"""),45867.0)</f>
        <v>45867</v>
      </c>
      <c r="M66" s="7" t="str">
        <f>IFERROR(__xludf.DUMMYFUNCTION("""COMPUTED_VALUE"""),"16:00-17:30")</f>
        <v>16:00-17:30</v>
      </c>
      <c r="N66" s="7"/>
    </row>
    <row r="67">
      <c r="A67" s="7" t="str">
        <f>IFERROR(__xludf.DUMMYFUNCTION("""COMPUTED_VALUE"""),"147-DEMO")</f>
        <v>147-DEMO</v>
      </c>
      <c r="B67" s="7" t="str">
        <f>IFERROR(__xludf.DUMMYFUNCTION("""COMPUTED_VALUE"""),"CiteLab: Developing and Diagnosing LLM Citation Generation Workflows via the Human-LLM Interaction")</f>
        <v>CiteLab: Developing and Diagnosing LLM Citation Generation Workflows via the Human-LLM Interaction</v>
      </c>
      <c r="C67" s="7" t="str">
        <f>IFERROR(__xludf.DUMMYFUNCTION("""COMPUTED_VALUE"""),"The emerging paradigm of enabling Large Language Models (LLMs) to generate citations in Question-Answering (QA) tasks is lacking in a unified framework to standardize and fairly compare different citation generation methods, leading to difficulties in rep"&amp;"roduction and innovation. Therefore, we introduce Citeflow, an open-source and modular framework fostering reproduction and the implementation of new designs. Citeflow is highly extensible, allowing users to utilize four main modules and 14 components to "&amp;"construct a pipeline, evaluate an existing method, and understand the attributing LLM-generated contents. The framework is also paired with a visual interface, Citefix, facilitating case study and modification of existing citation generation methods. User"&amp;"s can use this interface to conduct LLM-powered case studies according to different scenarios. Citeflow and Citefix are highly integrated into the toolkit CiteLab, and we use an authentic process of multiple rounds of improvement through the Human-LLM int"&amp;"eraction interface to demonstrate the efficiency of our toolkit on implementing and modifying citation generation pipelines. Citelab is released at https://github.com/SjJ1017/Citelab")</f>
        <v>The emerging paradigm of enabling Large Language Models (LLMs) to generate citations in Question-Answering (QA) tasks is lacking in a unified framework to standardize and fairly compare different citation generation methods, leading to difficulties in reproduction and innovation. Therefore, we introduce Citeflow, an open-source and modular framework fostering reproduction and the implementation of new designs. Citeflow is highly extensible, allowing users to utilize four main modules and 14 components to construct a pipeline, evaluate an existing method, and understand the attributing LLM-generated contents. The framework is also paired with a visual interface, Citefix, facilitating case study and modification of existing citation generation methods. Users can use this interface to conduct LLM-powered case studies according to different scenarios. Citeflow and Citefix are highly integrated into the toolkit CiteLab, and we use an authentic process of multiple rounds of improvement through the Human-LLM interaction interface to demonstrate the efficiency of our toolkit on implementing and modifying citation generation pipelines. Citelab is released at https://github.com/SjJ1017/Citelab</v>
      </c>
      <c r="D67" s="7" t="str">
        <f>IFERROR(__xludf.DUMMYFUNCTION("""COMPUTED_VALUE"""),"Yubo Chen")</f>
        <v>Yubo Chen</v>
      </c>
      <c r="E67" s="7" t="str">
        <f>IFERROR(__xludf.DUMMYFUNCTION("""COMPUTED_VALUE"""),"Yes")</f>
        <v>Yes</v>
      </c>
      <c r="F67" s="7" t="str">
        <f>IFERROR(__xludf.DUMMYFUNCTION("""COMPUTED_VALUE"""),"IP-Demo")</f>
        <v>IP-Demo</v>
      </c>
      <c r="G67" s="7" t="str">
        <f>IFERROR(__xludf.DUMMYFUNCTION("""COMPUTED_VALUE"""),"In-person")</f>
        <v>In-person</v>
      </c>
      <c r="H67" s="7" t="str">
        <f>IFERROR(__xludf.DUMMYFUNCTION("""COMPUTED_VALUE"""),"Hall 5X")</f>
        <v>Hall 5X</v>
      </c>
      <c r="I67" s="7" t="str">
        <f>IFERROR(__xludf.DUMMYFUNCTION("""COMPUTED_VALUE"""),"Session 12: IP-Posters")</f>
        <v>Session 12: IP-Posters</v>
      </c>
      <c r="J67" s="7" t="str">
        <f>IFERROR(__xludf.DUMMYFUNCTION("""COMPUTED_VALUE"""),"Demo Session 4")</f>
        <v>Demo Session 4</v>
      </c>
      <c r="K67" s="7"/>
      <c r="L67" s="8">
        <f>IFERROR(__xludf.DUMMYFUNCTION("""COMPUTED_VALUE"""),45868.0)</f>
        <v>45868</v>
      </c>
      <c r="M67" s="7" t="str">
        <f>IFERROR(__xludf.DUMMYFUNCTION("""COMPUTED_VALUE"""),"11:00-12:30")</f>
        <v>11:00-12:30</v>
      </c>
      <c r="N67" s="7"/>
    </row>
    <row r="68">
      <c r="A68" s="7" t="str">
        <f>IFERROR(__xludf.DUMMYFUNCTION("""COMPUTED_VALUE"""),"150-DEMO")</f>
        <v>150-DEMO</v>
      </c>
      <c r="B68" s="7" t="str">
        <f>IFERROR(__xludf.DUMMYFUNCTION("""COMPUTED_VALUE"""),"CodeArena: A Collective Evaluation Platform for LLM Code Generation")</f>
        <v>CodeArena: A Collective Evaluation Platform for LLM Code Generation</v>
      </c>
      <c r="C68" s="7" t="str">
        <f>IFERROR(__xludf.DUMMYFUNCTION("""COMPUTED_VALUE"""),"Large Language Models (LLMs) have reshaped code generation by synergizing their exceptional comprehension of natural language and programming syntax, thereby substantially boosting developer productivity. These advancements have prompted numerous efforts "&amp;"to quantitatively evaluate their coding capabilities. However, persistent challenges, such as benchmark leakage, data dissipation, and limited system accessibility, continue to impede a timely and accurate assessment. To address these limitations, we intr"&amp;"oduce CodeArena, an online evaluation framework tailored for LLM code generation. Its key innovation is a collective evaluation mechanism, which dynamically recalibrates individual model scores based on the holistic performance of all participating models"&amp;", mitigating score biases caused by widespread benchmark leakage. In addition, CodeArena ensures open access to all submitted solutions and test cases and provides automation-friendly APIs to streamline the code evaluation workflow. Our main contributions"&amp;" are: (1) a collective evaluation system for unbiased assessment, (2) a public repository of solutions and test cases, and (3) automation-ready APIs for seamless integration.")</f>
        <v>Large Language Models (LLMs) have reshaped code generation by synergizing their exceptional comprehension of natural language and programming syntax, thereby substantially boosting developer productivity. These advancements have prompted numerous efforts to quantitatively evaluate their coding capabilities. However, persistent challenges, such as benchmark leakage, data dissipation, and limited system accessibility, continue to impede a timely and accurate assessment. To address these limitations, we introduce CodeArena, an online evaluation framework tailored for LLM code generation. Its key innovation is a collective evaluation mechanism, which dynamically recalibrates individual model scores based on the holistic performance of all participating models, mitigating score biases caused by widespread benchmark leakage. In addition, CodeArena ensures open access to all submitted solutions and test cases and provides automation-friendly APIs to streamline the code evaluation workflow. Our main contributions are: (1) a collective evaluation system for unbiased assessment, (2) a public repository of solutions and test cases, and (3) automation-ready APIs for seamless integration.</v>
      </c>
      <c r="D68" s="7" t="str">
        <f>IFERROR(__xludf.DUMMYFUNCTION("""COMPUTED_VALUE"""),"Mingzhe Du")</f>
        <v>Mingzhe Du</v>
      </c>
      <c r="E68" s="7" t="str">
        <f>IFERROR(__xludf.DUMMYFUNCTION("""COMPUTED_VALUE"""),"Yes")</f>
        <v>Yes</v>
      </c>
      <c r="F68" s="7" t="str">
        <f>IFERROR(__xludf.DUMMYFUNCTION("""COMPUTED_VALUE"""),"IP-Demo")</f>
        <v>IP-Demo</v>
      </c>
      <c r="G68" s="7" t="str">
        <f>IFERROR(__xludf.DUMMYFUNCTION("""COMPUTED_VALUE"""),"In-person")</f>
        <v>In-person</v>
      </c>
      <c r="H68" s="7" t="str">
        <f>IFERROR(__xludf.DUMMYFUNCTION("""COMPUTED_VALUE"""),"Hall 5X")</f>
        <v>Hall 5X</v>
      </c>
      <c r="I68" s="7" t="str">
        <f>IFERROR(__xludf.DUMMYFUNCTION("""COMPUTED_VALUE"""),"Session 10: IP-Posters")</f>
        <v>Session 10: IP-Posters</v>
      </c>
      <c r="J68" s="7" t="str">
        <f>IFERROR(__xludf.DUMMYFUNCTION("""COMPUTED_VALUE"""),"Demo Session 3")</f>
        <v>Demo Session 3</v>
      </c>
      <c r="K68" s="7"/>
      <c r="L68" s="8">
        <f>IFERROR(__xludf.DUMMYFUNCTION("""COMPUTED_VALUE"""),45867.0)</f>
        <v>45867</v>
      </c>
      <c r="M68" s="7" t="str">
        <f>IFERROR(__xludf.DUMMYFUNCTION("""COMPUTED_VALUE"""),"16:00-17:30")</f>
        <v>16:00-17:30</v>
      </c>
      <c r="N68" s="7"/>
    </row>
    <row r="69">
      <c r="A69" s="7" t="str">
        <f>IFERROR(__xludf.DUMMYFUNCTION("""COMPUTED_VALUE"""),"151-DEMO")</f>
        <v>151-DEMO</v>
      </c>
      <c r="B69" s="7" t="str">
        <f>IFERROR(__xludf.DUMMYFUNCTION("""COMPUTED_VALUE"""),"Ai2 Scholar QA: Organized Literature Synthesis with Attribution")</f>
        <v>Ai2 Scholar QA: Organized Literature Synthesis with Attribution</v>
      </c>
      <c r="C69" s="7" t="str">
        <f>IFERROR(__xludf.DUMMYFUNCTION("""COMPUTED_VALUE"""),"Retrieval-augmented generation is increasingly effective in answering scientific questions from literature, but many state-of-the-art systems are expensive and closed-source. We introduce Ai2 Scholar QA, a free online scientific question answering applica"&amp;"tion. To facilitate research, we make our entire pipeline public: as a customizable open-source Python package and interactive web app, along with paper indexes accessible through public APIs and downloadable datasets. We describe our system in detail and"&amp;" present experiments analyzing its key design decisions. In an evaluation on a recent scientific QA benchmark, we find that Ai2 Scholar QA outperforms competing systems.")</f>
        <v>Retrieval-augmented generation is increasingly effective in answering scientific questions from literature, but many state-of-the-art systems are expensive and closed-source. We introduce Ai2 Scholar QA, a free online scientific question answering application. To facilitate research, we make our entire pipeline public: as a customizable open-source Python package and interactive web app, along with paper indexes accessible through public APIs and downloadable datasets. We describe our system in detail and present experiments analyzing its key design decisions. In an evaluation on a recent scientific QA benchmark, we find that Ai2 Scholar QA outperforms competing systems.</v>
      </c>
      <c r="D69" s="7" t="str">
        <f>IFERROR(__xludf.DUMMYFUNCTION("""COMPUTED_VALUE"""),"Amanpreet Singh")</f>
        <v>Amanpreet Singh</v>
      </c>
      <c r="E69" s="7" t="str">
        <f>IFERROR(__xludf.DUMMYFUNCTION("""COMPUTED_VALUE"""),"Yes")</f>
        <v>Yes</v>
      </c>
      <c r="F69" s="7" t="str">
        <f>IFERROR(__xludf.DUMMYFUNCTION("""COMPUTED_VALUE"""),"IP-Demo")</f>
        <v>IP-Demo</v>
      </c>
      <c r="G69" s="7" t="str">
        <f>IFERROR(__xludf.DUMMYFUNCTION("""COMPUTED_VALUE"""),"In-person")</f>
        <v>In-person</v>
      </c>
      <c r="H69" s="7" t="str">
        <f>IFERROR(__xludf.DUMMYFUNCTION("""COMPUTED_VALUE"""),"Hall 5X")</f>
        <v>Hall 5X</v>
      </c>
      <c r="I69" s="7" t="str">
        <f>IFERROR(__xludf.DUMMYFUNCTION("""COMPUTED_VALUE"""),"Session 12: IP-Posters")</f>
        <v>Session 12: IP-Posters</v>
      </c>
      <c r="J69" s="7" t="str">
        <f>IFERROR(__xludf.DUMMYFUNCTION("""COMPUTED_VALUE"""),"Demo Session 4")</f>
        <v>Demo Session 4</v>
      </c>
      <c r="K69" s="7"/>
      <c r="L69" s="8">
        <f>IFERROR(__xludf.DUMMYFUNCTION("""COMPUTED_VALUE"""),45868.0)</f>
        <v>45868</v>
      </c>
      <c r="M69" s="7" t="str">
        <f>IFERROR(__xludf.DUMMYFUNCTION("""COMPUTED_VALUE"""),"11:00-12:30")</f>
        <v>11:00-12:30</v>
      </c>
      <c r="N69" s="7"/>
    </row>
    <row r="70">
      <c r="A70" s="7" t="str">
        <f>IFERROR(__xludf.DUMMYFUNCTION("""COMPUTED_VALUE"""),"153-DEMO")</f>
        <v>153-DEMO</v>
      </c>
      <c r="B70" s="7" t="str">
        <f>IFERROR(__xludf.DUMMYFUNCTION("""COMPUTED_VALUE"""),"gec-metrics: A Unified Library for Grammatical Error Correction Evaluation")</f>
        <v>gec-metrics: A Unified Library for Grammatical Error Correction Evaluation</v>
      </c>
      <c r="C70" s="7" t="str">
        <f>IFERROR(__xludf.DUMMYFUNCTION("""COMPUTED_VALUE"""),"We introduce gec-metrics, a library for using and developing grammatical error correction (GEC) evaluation metrics through a unified interface. Our library enables fair system comparisons by ensuring that everyone conducts evaluations using a consistent i"&amp;"mplementation. Moreover, it is designed with a strong focus on API usage, making it highly extensible. It also includes meta-evaluation functionalities and provides analysis and visualization scripts, contributing to developing GEC evaluation metrics. Our"&amp;" code is released under the MIT license$^1$ and is also distributed as an installable package$^2$. The video is available at YouTube$^3$.
 $^1$GitHub: https://github.com/gotutiyan/gec-metrics
 $^2$PyPi: https://pypi.org/project/gec-metrics/
 $^3$"&amp;"Video: https://youtu.be/cor6dkN6EfI")</f>
        <v>We introduce gec-metrics, a library for using and developing grammatical error correction (GEC) evaluation metrics through a unified interface. Our library enables fair system comparisons by ensuring that everyone conducts evaluations using a consistent implementation. Moreover, it is designed with a strong focus on API usage, making it highly extensible. It also includes meta-evaluation functionalities and provides analysis and visualization scripts, contributing to developing GEC evaluation metrics. Our code is released under the MIT license$^1$ and is also distributed as an installable package$^2$. The video is available at YouTube$^3$.
 $^1$GitHub: https://github.com/gotutiyan/gec-metrics
 $^2$PyPi: https://pypi.org/project/gec-metrics/
 $^3$Video: https://youtu.be/cor6dkN6EfI</v>
      </c>
      <c r="D70" s="7" t="str">
        <f>IFERROR(__xludf.DUMMYFUNCTION("""COMPUTED_VALUE"""),"Takumi Goto")</f>
        <v>Takumi Goto</v>
      </c>
      <c r="E70" s="7" t="str">
        <f>IFERROR(__xludf.DUMMYFUNCTION("""COMPUTED_VALUE"""),"Yes")</f>
        <v>Yes</v>
      </c>
      <c r="F70" s="7" t="str">
        <f>IFERROR(__xludf.DUMMYFUNCTION("""COMPUTED_VALUE"""),"IP-Demo")</f>
        <v>IP-Demo</v>
      </c>
      <c r="G70" s="7" t="str">
        <f>IFERROR(__xludf.DUMMYFUNCTION("""COMPUTED_VALUE"""),"In-person")</f>
        <v>In-person</v>
      </c>
      <c r="H70" s="7" t="str">
        <f>IFERROR(__xludf.DUMMYFUNCTION("""COMPUTED_VALUE"""),"Hall 5X")</f>
        <v>Hall 5X</v>
      </c>
      <c r="I70" s="7" t="str">
        <f>IFERROR(__xludf.DUMMYFUNCTION("""COMPUTED_VALUE"""),"Session 10: IP-Posters")</f>
        <v>Session 10: IP-Posters</v>
      </c>
      <c r="J70" s="7" t="str">
        <f>IFERROR(__xludf.DUMMYFUNCTION("""COMPUTED_VALUE"""),"Demo Session 3")</f>
        <v>Demo Session 3</v>
      </c>
      <c r="K70" s="7"/>
      <c r="L70" s="8">
        <f>IFERROR(__xludf.DUMMYFUNCTION("""COMPUTED_VALUE"""),45867.0)</f>
        <v>45867</v>
      </c>
      <c r="M70" s="7" t="str">
        <f>IFERROR(__xludf.DUMMYFUNCTION("""COMPUTED_VALUE"""),"16:00-17:30")</f>
        <v>16:00-17:30</v>
      </c>
      <c r="N70" s="7"/>
    </row>
    <row r="71">
      <c r="A71" s="7" t="str">
        <f>IFERROR(__xludf.DUMMYFUNCTION("""COMPUTED_VALUE"""),"155-DEMO")</f>
        <v>155-DEMO</v>
      </c>
      <c r="B71" s="7" t="str">
        <f>IFERROR(__xludf.DUMMYFUNCTION("""COMPUTED_VALUE"""),"AI2Agent: An End-to-End Framework for Deploying AI Projects as Autonomous Agents")</f>
        <v>AI2Agent: An End-to-End Framework for Deploying AI Projects as Autonomous Agents</v>
      </c>
      <c r="C71" s="7" t="str">
        <f>IFERROR(__xludf.DUMMYFUNCTION("""COMPUTED_VALUE"""),"As AI technology advances, it is driving innovation across industries, increasing the demand for scalable AI project deployment. However, deployment remains a critical challenge due to complex environment configurations, dependency conflicts, cross-platfo"&amp;"rm adaptation, and debugging difficulties, which hinder automation and adoption.
 This paper introduces AI2Agent, an end-to-end framework that automates AI project deployment through guideline-driven execution, self-adaptive debugging, and case \&amp; solutio"&amp;"n accumulation. AI2Agent dynamically analyzes deployment challenges, learns from past cases, and iteratively refines its approach, significantly reducing human intervention.
 To evaluate its effectiveness, we conducted experiments on 30 AI deployment case"&amp;"s, covering TTS, text-to-image generation, image editing, and other AI applications. Results show that AI2Agent significantly reduces deployment time and improves success rates. The code\footnote{\url{https://github.com/continue-ai-company/AI2Agent}} and "&amp;"demo video\footnote{\url{https://youtu.be/seRTYtwgLrk}} are now publicly accessible.")</f>
        <v>As AI technology advances, it is driving innovation across industries, increasing the demand for scalable AI project deployment. However, deployment remains a critical challenge due to complex environment configurations, dependency conflicts, cross-platform adaptation, and debugging difficulties, which hinder automation and adoption.
 This paper introduces AI2Agent, an end-to-end framework that automates AI project deployment through guideline-driven execution, self-adaptive debugging, and case \&amp; solution accumulation. AI2Agent dynamically analyzes deployment challenges, learns from past cases, and iteratively refines its approach, significantly reducing human intervention.
 To evaluate its effectiveness, we conducted experiments on 30 AI deployment cases, covering TTS, text-to-image generation, image editing, and other AI applications. Results show that AI2Agent significantly reduces deployment time and improves success rates. The code\footnote{\url{https://github.com/continue-ai-company/AI2Agent}} and demo video\footnote{\url{https://youtu.be/seRTYtwgLrk}} are now publicly accessible.</v>
      </c>
      <c r="D71" s="7" t="str">
        <f>IFERROR(__xludf.DUMMYFUNCTION("""COMPUTED_VALUE"""),"Jiaxiang Chen")</f>
        <v>Jiaxiang Chen</v>
      </c>
      <c r="E71" s="7" t="str">
        <f>IFERROR(__xludf.DUMMYFUNCTION("""COMPUTED_VALUE"""),"Yes")</f>
        <v>Yes</v>
      </c>
      <c r="F71" s="7" t="str">
        <f>IFERROR(__xludf.DUMMYFUNCTION("""COMPUTED_VALUE"""),"V-Presentation")</f>
        <v>V-Presentation</v>
      </c>
      <c r="G71" s="7" t="str">
        <f>IFERROR(__xludf.DUMMYFUNCTION("""COMPUTED_VALUE"""),"Virtual/Gather")</f>
        <v>Virtual/Gather</v>
      </c>
      <c r="H71" s="7" t="str">
        <f>IFERROR(__xludf.DUMMYFUNCTION("""COMPUTED_VALUE"""),"Zoom")</f>
        <v>Zoom</v>
      </c>
      <c r="I71" s="7" t="str">
        <f>IFERROR(__xludf.DUMMYFUNCTION("""COMPUTED_VALUE"""),"Session 12: V-Presentations")</f>
        <v>Session 12: V-Presentations</v>
      </c>
      <c r="J71" s="7" t="str">
        <f>IFERROR(__xludf.DUMMYFUNCTION("""COMPUTED_VALUE"""),"Virtual Presentations 4")</f>
        <v>Virtual Presentations 4</v>
      </c>
      <c r="K71" s="7"/>
      <c r="L71" s="8">
        <f>IFERROR(__xludf.DUMMYFUNCTION("""COMPUTED_VALUE"""),45868.0)</f>
        <v>45868</v>
      </c>
      <c r="M71" s="7" t="str">
        <f>IFERROR(__xludf.DUMMYFUNCTION("""COMPUTED_VALUE"""),"11:00-12:30")</f>
        <v>11:00-12:30</v>
      </c>
      <c r="N71" s="7"/>
    </row>
    <row r="72">
      <c r="A72" s="7" t="str">
        <f>IFERROR(__xludf.DUMMYFUNCTION("""COMPUTED_VALUE"""),"157-DEMO")</f>
        <v>157-DEMO</v>
      </c>
      <c r="B72" s="7" t="str">
        <f>IFERROR(__xludf.DUMMYFUNCTION("""COMPUTED_VALUE"""),"Efficient Annotator Reliablity Assessment with EffiARA")</f>
        <v>Efficient Annotator Reliablity Assessment with EffiARA</v>
      </c>
      <c r="C72" s="7" t="str">
        <f>IFERROR(__xludf.DUMMYFUNCTION("""COMPUTED_VALUE"""),"Data annotation is an essential component of the machine learning pipeline; it is also a costly and time-consuming process. With the introduction of transformer-based models, annotation at the document level is increasingly popular; however, there is no s"&amp;"tandard framework for structuring such tasks. The EffiARA annotation framework is, to our knowledge, the first project to support the whole annotation pipeline, from understanding the resources required for an annotation task to compiling the annotated da"&amp;"taset and gaining insights into the reliability of individual annotators as well as the dataset as a whole. The framework's efficacy is supported by two previous studies: one improving classification performance through annotator-reliability-based soft la"&amp;"bel aggregation and sample weighting, and the other increasing the overall agreement among annotators through removing identifying and replacing an unreliable annotator. This work introduces the EffiARA Python package and its accompanying webtool, which p"&amp;"rovides an accessible graphical user interface for the system. We open-source the EffiARA Python package at https://github.com/MiniEggz/EffiARA and the webtool is publicly accessible at https://effiara.gate.ac.uk.")</f>
        <v>Data annotation is an essential component of the machine learning pipeline; it is also a costly and time-consuming process. With the introduction of transformer-based models, annotation at the document level is increasingly popular; however, there is no standard framework for structuring such tasks. The EffiARA annotation framework is, to our knowledge, the first project to support the whole annotation pipeline, from understanding the resources required for an annotation task to compiling the annotated dataset and gaining insights into the reliability of individual annotators as well as the dataset as a whole. The framework's efficacy is supported by two previous studies: one improving classification performance through annotator-reliability-based soft label aggregation and sample weighting, and the other increasing the overall agreement among annotators through removing identifying and replacing an unreliable annotator. This work introduces the EffiARA Python package and its accompanying webtool, which provides an accessible graphical user interface for the system. We open-source the EffiARA Python package at https://github.com/MiniEggz/EffiARA and the webtool is publicly accessible at https://effiara.gate.ac.uk.</v>
      </c>
      <c r="D72" s="7" t="str">
        <f>IFERROR(__xludf.DUMMYFUNCTION("""COMPUTED_VALUE"""),"Xingyi Song")</f>
        <v>Xingyi Song</v>
      </c>
      <c r="E72" s="7" t="str">
        <f>IFERROR(__xludf.DUMMYFUNCTION("""COMPUTED_VALUE"""),"Yes")</f>
        <v>Yes</v>
      </c>
      <c r="F72" s="7" t="str">
        <f>IFERROR(__xludf.DUMMYFUNCTION("""COMPUTED_VALUE"""),"IP-Demo")</f>
        <v>IP-Demo</v>
      </c>
      <c r="G72" s="7" t="str">
        <f>IFERROR(__xludf.DUMMYFUNCTION("""COMPUTED_VALUE"""),"In-person")</f>
        <v>In-person</v>
      </c>
      <c r="H72" s="7" t="str">
        <f>IFERROR(__xludf.DUMMYFUNCTION("""COMPUTED_VALUE"""),"Hall 5X")</f>
        <v>Hall 5X</v>
      </c>
      <c r="I72" s="7" t="str">
        <f>IFERROR(__xludf.DUMMYFUNCTION("""COMPUTED_VALUE"""),"Session 7: IP-Posters")</f>
        <v>Session 7: IP-Posters</v>
      </c>
      <c r="J72" s="7" t="str">
        <f>IFERROR(__xludf.DUMMYFUNCTION("""COMPUTED_VALUE"""),"Demo Session 2")</f>
        <v>Demo Session 2</v>
      </c>
      <c r="K72" s="7"/>
      <c r="L72" s="8">
        <f>IFERROR(__xludf.DUMMYFUNCTION("""COMPUTED_VALUE"""),45867.0)</f>
        <v>45867</v>
      </c>
      <c r="M72" s="7" t="str">
        <f>IFERROR(__xludf.DUMMYFUNCTION("""COMPUTED_VALUE"""),"10:30-12:00")</f>
        <v>10:30-12:00</v>
      </c>
      <c r="N72" s="7"/>
    </row>
    <row r="73">
      <c r="A73" s="7" t="str">
        <f>IFERROR(__xludf.DUMMYFUNCTION("""COMPUTED_VALUE"""),"163-DEMO")</f>
        <v>163-DEMO</v>
      </c>
      <c r="B73" s="7" t="str">
        <f>IFERROR(__xludf.DUMMYFUNCTION("""COMPUTED_VALUE"""),"TRANSLATIONCORRECT: A Unified Framework for Machine Translation Post-Editing with Predictive Error Assistance")</f>
        <v>TRANSLATIONCORRECT: A Unified Framework for Machine Translation Post-Editing with Predictive Error Assistance</v>
      </c>
      <c r="C73" s="7" t="str">
        <f>IFERROR(__xludf.DUMMYFUNCTION("""COMPUTED_VALUE"""),"Machine translation (MT) post-editing and research data collection often rely on inefficient, disconnected workflows. We introduce **TranslationCorrect**, an integrated framework designed to streamline these tasks. **TranslationCorrect** combines MT gener"&amp;"ation using models like NLLB, automated error prediction using models like XCOMET or LLM APIs (providing detailed reasoning), and an intuitive post-editing interface within a single environment. Built with human-computer interaction (HCI) principles in mi"&amp;"nd to minimize cognitive load, as confirmed by a user study. For translators, it enables them to correct errors and batch translate efficiently. For researchers, **TranslationCorrect** exports high-quality span-based annotations in the Error Span Annotati"&amp;"on (ESA) format, using an error taxonomy inspired by Multidimensional Quality Metrics (MQM). These outputs are compatible with state-of-the-art error detection models and suitable for training MT or post-editing systems. Our user study confirms that **Tra"&amp;"nslationCorrect** significantly improves translation efficiency and user satisfaction over traditional annotation methods.")</f>
        <v>Machine translation (MT) post-editing and research data collection often rely on inefficient, disconnected workflows. We introduce **TranslationCorrect**, an integrated framework designed to streamline these tasks. **TranslationCorrect** combines MT generation using models like NLLB, automated error prediction using models like XCOMET or LLM APIs (providing detailed reasoning), and an intuitive post-editing interface within a single environment. Built with human-computer interaction (HCI) principles in mind to minimize cognitive load, as confirmed by a user study. For translators, it enables them to correct errors and batch translate efficiently. For researchers, **TranslationCorrect** exports high-quality span-based annotations in the Error Span Annotation (ESA) format, using an error taxonomy inspired by Multidimensional Quality Metrics (MQM). These outputs are compatible with state-of-the-art error detection models and suitable for training MT or post-editing systems. Our user study confirms that **TranslationCorrect** significantly improves translation efficiency and user satisfaction over traditional annotation methods.</v>
      </c>
      <c r="D73" s="7" t="str">
        <f>IFERROR(__xludf.DUMMYFUNCTION("""COMPUTED_VALUE"""),"Syed Mekael Wasti")</f>
        <v>Syed Mekael Wasti</v>
      </c>
      <c r="E73" s="7" t="str">
        <f>IFERROR(__xludf.DUMMYFUNCTION("""COMPUTED_VALUE"""),"Yes")</f>
        <v>Yes</v>
      </c>
      <c r="F73" s="7" t="str">
        <f>IFERROR(__xludf.DUMMYFUNCTION("""COMPUTED_VALUE"""),"IP-Demo")</f>
        <v>IP-Demo</v>
      </c>
      <c r="G73" s="7" t="str">
        <f>IFERROR(__xludf.DUMMYFUNCTION("""COMPUTED_VALUE"""),"In-person")</f>
        <v>In-person</v>
      </c>
      <c r="H73" s="7" t="str">
        <f>IFERROR(__xludf.DUMMYFUNCTION("""COMPUTED_VALUE"""),"Hall 5X")</f>
        <v>Hall 5X</v>
      </c>
      <c r="I73" s="7" t="str">
        <f>IFERROR(__xludf.DUMMYFUNCTION("""COMPUTED_VALUE"""),"Session 2: IP-Posters ")</f>
        <v>Session 2: IP-Posters </v>
      </c>
      <c r="J73" s="7" t="str">
        <f>IFERROR(__xludf.DUMMYFUNCTION("""COMPUTED_VALUE"""),"Demo Session 1")</f>
        <v>Demo Session 1</v>
      </c>
      <c r="K73" s="7"/>
      <c r="L73" s="8">
        <f>IFERROR(__xludf.DUMMYFUNCTION("""COMPUTED_VALUE"""),45866.0)</f>
        <v>45866</v>
      </c>
      <c r="M73" s="7" t="str">
        <f>IFERROR(__xludf.DUMMYFUNCTION("""COMPUTED_VALUE"""),"11:00-12:30")</f>
        <v>11:00-12:30</v>
      </c>
      <c r="N73" s="7"/>
    </row>
    <row r="74">
      <c r="A74" s="7" t="str">
        <f>IFERROR(__xludf.DUMMYFUNCTION("""COMPUTED_VALUE"""),"166-DEMO")</f>
        <v>166-DEMO</v>
      </c>
      <c r="B74" s="7" t="str">
        <f>IFERROR(__xludf.DUMMYFUNCTION("""COMPUTED_VALUE"""),"First-AID: the first Annotation Interface for grounded Dialogues")</f>
        <v>First-AID: the first Annotation Interface for grounded Dialogues</v>
      </c>
      <c r="C74" s="7" t="str">
        <f>IFERROR(__xludf.DUMMYFUNCTION("""COMPUTED_VALUE"""),"The swift advancement of Large Language Models (LLMs) has led to their widespread use across various tasks and domains, demonstrating remarkable generalization capabilities. However, achieving optimal performance in specialized tasks often requires fine-t"&amp;"uning LLMs with task-specific resources. The creation of high-quality, human-annotated datasets for this purpose is challenging due to financial constraints and the limited availability of human experts. To address these limitations, we propose First-AID,"&amp;" a novel Human-in-the-Loop (HITL) data collection framework for the knowledge-driven generation of synthetic dialogues using LLM prompting. In particular, our framework implements different strategies of data collection that require different user interve"&amp;"ntion during dialogue generation to reduce post-editing efforts and enhance the quality of generated dialogues. We also evaluated First-AID on misinformation and hate countering dialogues collection, demonstrating (1) its potential for efficient and high-"&amp;"quality data generation and (2) its adaptability to different practical constraint thanks to the three data collection strategies.")</f>
        <v>The swift advancement of Large Language Models (LLMs) has led to their widespread use across various tasks and domains, demonstrating remarkable generalization capabilities. However, achieving optimal performance in specialized tasks often requires fine-tuning LLMs with task-specific resources. The creation of high-quality, human-annotated datasets for this purpose is challenging due to financial constraints and the limited availability of human experts. To address these limitations, we propose First-AID, a novel Human-in-the-Loop (HITL) data collection framework for the knowledge-driven generation of synthetic dialogues using LLM prompting. In particular, our framework implements different strategies of data collection that require different user intervention during dialogue generation to reduce post-editing efforts and enhance the quality of generated dialogues. We also evaluated First-AID on misinformation and hate countering dialogues collection, demonstrating (1) its potential for efficient and high-quality data generation and (2) its adaptability to different practical constraint thanks to the three data collection strategies.</v>
      </c>
      <c r="D74" s="7" t="str">
        <f>IFERROR(__xludf.DUMMYFUNCTION("""COMPUTED_VALUE"""),"Stefano Menini")</f>
        <v>Stefano Menini</v>
      </c>
      <c r="E74" s="7" t="str">
        <f>IFERROR(__xludf.DUMMYFUNCTION("""COMPUTED_VALUE"""),"Yes")</f>
        <v>Yes</v>
      </c>
      <c r="F74" s="7" t="str">
        <f>IFERROR(__xludf.DUMMYFUNCTION("""COMPUTED_VALUE"""),"IP-Demo")</f>
        <v>IP-Demo</v>
      </c>
      <c r="G74" s="7" t="str">
        <f>IFERROR(__xludf.DUMMYFUNCTION("""COMPUTED_VALUE"""),"In-person")</f>
        <v>In-person</v>
      </c>
      <c r="H74" s="7" t="str">
        <f>IFERROR(__xludf.DUMMYFUNCTION("""COMPUTED_VALUE"""),"Hall 5X")</f>
        <v>Hall 5X</v>
      </c>
      <c r="I74" s="7" t="str">
        <f>IFERROR(__xludf.DUMMYFUNCTION("""COMPUTED_VALUE"""),"Session 10: IP-Posters")</f>
        <v>Session 10: IP-Posters</v>
      </c>
      <c r="J74" s="7" t="str">
        <f>IFERROR(__xludf.DUMMYFUNCTION("""COMPUTED_VALUE"""),"Demo Session 3")</f>
        <v>Demo Session 3</v>
      </c>
      <c r="K74" s="7"/>
      <c r="L74" s="8">
        <f>IFERROR(__xludf.DUMMYFUNCTION("""COMPUTED_VALUE"""),45867.0)</f>
        <v>45867</v>
      </c>
      <c r="M74" s="7" t="str">
        <f>IFERROR(__xludf.DUMMYFUNCTION("""COMPUTED_VALUE"""),"16:00-17:30")</f>
        <v>16:00-17:30</v>
      </c>
      <c r="N74" s="7"/>
    </row>
    <row r="75">
      <c r="A75" s="7" t="str">
        <f>IFERROR(__xludf.DUMMYFUNCTION("""COMPUTED_VALUE"""),"168-DEMO")</f>
        <v>168-DEMO</v>
      </c>
      <c r="B75" s="7" t="str">
        <f>IFERROR(__xludf.DUMMYFUNCTION("""COMPUTED_VALUE"""),"Mergenetic: a Simple Evolutionary Model Merging Library")</f>
        <v>Mergenetic: a Simple Evolutionary Model Merging Library</v>
      </c>
      <c r="C75" s="7" t="str">
        <f>IFERROR(__xludf.DUMMYFUNCTION("""COMPUTED_VALUE"""),"Model merging allows combining the capabilities of existing models into a new one—post hoc, without additional training. This has made it increasingly popular thanks to its low cost and the availability of libraries that support merging on consumer GPUs. "&amp;"Recent work shows that pairing merging with evolutionary algorithms can boost performance, but no framework currently supports flexible experimentation with such strategies in language models. We introduce Mergenetic, an open-source library for evolutiona"&amp;"ry model merging. Mergenetic enables easy composition of merging methods and evolutionary algorithms, while incorporating lightweight fitness estimators to reduce evaluation costs. We describe its design and demonstrate that Mergenetic produces competitiv"&amp;"e results across tasks and languages using modest hardware. A video demo showcasing its main features is also provided.")</f>
        <v>Model merging allows combining the capabilities of existing models into a new one—post hoc, without additional training. This has made it increasingly popular thanks to its low cost and the availability of libraries that support merging on consumer GPUs. Recent work shows that pairing merging with evolutionary algorithms can boost performance, but no framework currently supports flexible experimentation with such strategies in language models. We introduce Mergenetic, an open-source library for evolutionary model merging. Mergenetic enables easy composition of merging methods and evolutionary algorithms, while incorporating lightweight fitness estimators to reduce evaluation costs. We describe its design and demonstrate that Mergenetic produces competitive results across tasks and languages using modest hardware. A video demo showcasing its main features is also provided.</v>
      </c>
      <c r="D75" s="7" t="str">
        <f>IFERROR(__xludf.DUMMYFUNCTION("""COMPUTED_VALUE"""),"Andrea Santilli")</f>
        <v>Andrea Santilli</v>
      </c>
      <c r="E75" s="7" t="str">
        <f>IFERROR(__xludf.DUMMYFUNCTION("""COMPUTED_VALUE"""),"Yes")</f>
        <v>Yes</v>
      </c>
      <c r="F75" s="7" t="str">
        <f>IFERROR(__xludf.DUMMYFUNCTION("""COMPUTED_VALUE"""),"IP-Demo")</f>
        <v>IP-Demo</v>
      </c>
      <c r="G75" s="7" t="str">
        <f>IFERROR(__xludf.DUMMYFUNCTION("""COMPUTED_VALUE"""),"In-person")</f>
        <v>In-person</v>
      </c>
      <c r="H75" s="7" t="str">
        <f>IFERROR(__xludf.DUMMYFUNCTION("""COMPUTED_VALUE"""),"Hall 5X")</f>
        <v>Hall 5X</v>
      </c>
      <c r="I75" s="7" t="str">
        <f>IFERROR(__xludf.DUMMYFUNCTION("""COMPUTED_VALUE"""),"Session 2: IP-Posters ")</f>
        <v>Session 2: IP-Posters </v>
      </c>
      <c r="J75" s="7" t="str">
        <f>IFERROR(__xludf.DUMMYFUNCTION("""COMPUTED_VALUE"""),"Demo Session 1")</f>
        <v>Demo Session 1</v>
      </c>
      <c r="K75" s="7"/>
      <c r="L75" s="8">
        <f>IFERROR(__xludf.DUMMYFUNCTION("""COMPUTED_VALUE"""),45866.0)</f>
        <v>45866</v>
      </c>
      <c r="M75" s="7" t="str">
        <f>IFERROR(__xludf.DUMMYFUNCTION("""COMPUTED_VALUE"""),"11:00-12:30")</f>
        <v>11:00-12:30</v>
      </c>
      <c r="N75" s="7"/>
    </row>
    <row r="76">
      <c r="A76" s="7" t="str">
        <f>IFERROR(__xludf.DUMMYFUNCTION("""COMPUTED_VALUE"""),"169-DEMO")</f>
        <v>169-DEMO</v>
      </c>
      <c r="B76" s="7" t="str">
        <f>IFERROR(__xludf.DUMMYFUNCTION("""COMPUTED_VALUE"""),"FlagEval-Arena: A Side-by-Side Comparative Evaluation Platform for Large Language Models and Text-Driven AIGC")</f>
        <v>FlagEval-Arena: A Side-by-Side Comparative Evaluation Platform for Large Language Models and Text-Driven AIGC</v>
      </c>
      <c r="C76" s="7" t="str">
        <f>IFERROR(__xludf.DUMMYFUNCTION("""COMPUTED_VALUE"""),"We introduce FlagEval-Arena, an evaluation platform for side-by-side comparisons of large language models and text-driven AIGC systems.Compared with the well-known LM Arena (LMSYS Chatbot Arena), we reimplement our own framework with the flexibility to in"&amp;"troduce new mechanisms or features. Our platform enables side-by-side evaluation not only for language models or vision-language models, but also text-to-image or text-to-video synthesis. We specifically target at Chinese audience with a more focus on the"&amp;" Chinese language, more models developed by Chinese institutes, and more general usage beyond the technical community. As a result, we currently observe very interesting differences from usual results presented by LM Arena. Our platform is available via t"&amp;"his URL: \url{https://flageval.baai.org/#/arena}.")</f>
        <v>We introduce FlagEval-Arena, an evaluation platform for side-by-side comparisons of large language models and text-driven AIGC systems.Compared with the well-known LM Arena (LMSYS Chatbot Arena), we reimplement our own framework with the flexibility to introduce new mechanisms or features. Our platform enables side-by-side evaluation not only for language models or vision-language models, but also text-to-image or text-to-video synthesis. We specifically target at Chinese audience with a more focus on the Chinese language, more models developed by Chinese institutes, and more general usage beyond the technical community. As a result, we currently observe very interesting differences from usual results presented by LM Arena. Our platform is available via this URL: \url{https://flageval.baai.org/#/arena}.</v>
      </c>
      <c r="D76" s="7" t="str">
        <f>IFERROR(__xludf.DUMMYFUNCTION("""COMPUTED_VALUE"""),"Zheng Jingshu")</f>
        <v>Zheng Jingshu</v>
      </c>
      <c r="E76" s="7" t="str">
        <f>IFERROR(__xludf.DUMMYFUNCTION("""COMPUTED_VALUE"""),"Yes")</f>
        <v>Yes</v>
      </c>
      <c r="F76" s="7" t="str">
        <f>IFERROR(__xludf.DUMMYFUNCTION("""COMPUTED_VALUE"""),"IP-Demo")</f>
        <v>IP-Demo</v>
      </c>
      <c r="G76" s="7" t="str">
        <f>IFERROR(__xludf.DUMMYFUNCTION("""COMPUTED_VALUE"""),"In-person")</f>
        <v>In-person</v>
      </c>
      <c r="H76" s="7" t="str">
        <f>IFERROR(__xludf.DUMMYFUNCTION("""COMPUTED_VALUE"""),"Hall 5X")</f>
        <v>Hall 5X</v>
      </c>
      <c r="I76" s="7" t="str">
        <f>IFERROR(__xludf.DUMMYFUNCTION("""COMPUTED_VALUE"""),"Session 10: IP-Posters")</f>
        <v>Session 10: IP-Posters</v>
      </c>
      <c r="J76" s="7" t="str">
        <f>IFERROR(__xludf.DUMMYFUNCTION("""COMPUTED_VALUE"""),"Demo Session 3")</f>
        <v>Demo Session 3</v>
      </c>
      <c r="K76" s="7"/>
      <c r="L76" s="8">
        <f>IFERROR(__xludf.DUMMYFUNCTION("""COMPUTED_VALUE"""),45867.0)</f>
        <v>45867</v>
      </c>
      <c r="M76" s="7" t="str">
        <f>IFERROR(__xludf.DUMMYFUNCTION("""COMPUTED_VALUE"""),"16:00-17:30")</f>
        <v>16:00-17:30</v>
      </c>
      <c r="N76" s="7"/>
    </row>
    <row r="77">
      <c r="A77" s="7" t="str">
        <f>IFERROR(__xludf.DUMMYFUNCTION("""COMPUTED_VALUE"""),"172-DEMO")</f>
        <v>172-DEMO</v>
      </c>
      <c r="B77" s="7" t="str">
        <f>IFERROR(__xludf.DUMMYFUNCTION("""COMPUTED_VALUE"""),"IRIS: Interactive Research Ideation System for Accelerating Scientific Discovery")</f>
        <v>IRIS: Interactive Research Ideation System for Accelerating Scientific Discovery</v>
      </c>
      <c r="C77" s="7" t="str">
        <f>IFERROR(__xludf.DUMMYFUNCTION("""COMPUTED_VALUE"""),"The rapid advancement of large language models (LLMs) raises a pivotal question: How can LLMs accelerate scientific discovery? This work tackles the crucial first stage of research — generating novel hypotheses. While recent work on automated hypothesis g"&amp;"eneration focuses on multi-agent frameworks and extending test-time compute, none of the approaches effectively incorporate transparency and steerability through a synergistic Human-in-the-loop (HITL) approach. To address this gap, we introduce IRIS, the "&amp;"Interactive Research Ideation System, an open-source platform designed for researchers to leverage LLM-assisted scientific ideation. IRIS incorporates innovative features to enhance ideation, including adaptive test-time compute expansion via Monte Carlo "&amp;"Tree Search (MCTS), fine-grained feedback mechanism, and query-based literature synthesis, designed to empower researchers with greater control and insight throughout the ideation process. We additionally conduct a user study with researchers across diver"&amp;"se disciplines, validating the effectiveness of our system in enhancing ideation.")</f>
        <v>The rapid advancement of large language models (LLMs) raises a pivotal question: How can LLMs accelerate scientific discovery? This work tackles the crucial first stage of research — generating novel hypotheses. While recent work on automated hypothesis generation focuses on multi-agent frameworks and extending test-time compute, none of the approaches effectively incorporate transparency and steerability through a synergistic Human-in-the-loop (HITL) approach. To address this gap, we introduce IRIS, the Interactive Research Ideation System, an open-source platform designed for researchers to leverage LLM-assisted scientific ideation. IRIS incorporates innovative features to enhance ideation, including adaptive test-time compute expansion via Monte Carlo Tree Search (MCTS), fine-grained feedback mechanism, and query-based literature synthesis, designed to empower researchers with greater control and insight throughout the ideation process. We additionally conduct a user study with researchers across diverse disciplines, validating the effectiveness of our system in enhancing ideation.</v>
      </c>
      <c r="D77" s="7" t="str">
        <f>IFERROR(__xludf.DUMMYFUNCTION("""COMPUTED_VALUE"""),"Aniketh Garikaparthi")</f>
        <v>Aniketh Garikaparthi</v>
      </c>
      <c r="E77" s="7" t="str">
        <f>IFERROR(__xludf.DUMMYFUNCTION("""COMPUTED_VALUE"""),"Yes")</f>
        <v>Yes</v>
      </c>
      <c r="F77" s="7" t="str">
        <f>IFERROR(__xludf.DUMMYFUNCTION("""COMPUTED_VALUE"""),"IP-Demo")</f>
        <v>IP-Demo</v>
      </c>
      <c r="G77" s="7" t="str">
        <f>IFERROR(__xludf.DUMMYFUNCTION("""COMPUTED_VALUE"""),"In-person")</f>
        <v>In-person</v>
      </c>
      <c r="H77" s="7" t="str">
        <f>IFERROR(__xludf.DUMMYFUNCTION("""COMPUTED_VALUE"""),"Hall 5X")</f>
        <v>Hall 5X</v>
      </c>
      <c r="I77" s="7" t="str">
        <f>IFERROR(__xludf.DUMMYFUNCTION("""COMPUTED_VALUE"""),"Session 2: IP-Posters ")</f>
        <v>Session 2: IP-Posters </v>
      </c>
      <c r="J77" s="7" t="str">
        <f>IFERROR(__xludf.DUMMYFUNCTION("""COMPUTED_VALUE"""),"Demo Session 1")</f>
        <v>Demo Session 1</v>
      </c>
      <c r="K77" s="7"/>
      <c r="L77" s="8">
        <f>IFERROR(__xludf.DUMMYFUNCTION("""COMPUTED_VALUE"""),45866.0)</f>
        <v>45866</v>
      </c>
      <c r="M77" s="7" t="str">
        <f>IFERROR(__xludf.DUMMYFUNCTION("""COMPUTED_VALUE"""),"11:00-12:30")</f>
        <v>11:00-12:30</v>
      </c>
      <c r="N77" s="7"/>
    </row>
    <row r="78">
      <c r="A78" s="7" t="str">
        <f>IFERROR(__xludf.DUMMYFUNCTION("""COMPUTED_VALUE"""),"173-DEMO")</f>
        <v>173-DEMO</v>
      </c>
      <c r="B78" s="7" t="str">
        <f>IFERROR(__xludf.DUMMYFUNCTION("""COMPUTED_VALUE"""),"ROGRAG: A Robustly Optimized GraphRAG Framework")</f>
        <v>ROGRAG: A Robustly Optimized GraphRAG Framework</v>
      </c>
      <c r="C78" s="7" t="str">
        <f>IFERROR(__xludf.DUMMYFUNCTION("""COMPUTED_VALUE"""),"Large language models (LLMs) commonly struggle with specialized or emerging topics which are rarely seen in the training corpus. Graph-based retrieval-augmented generation (GraphRAG) addresses this by structuring domain knowledge as a graph for dynamic re"&amp;"trieval. However, existing pipelines involve complex engineering workflows, making it difficult to isolate the impact of individual components. It is also challenging to evaluate the retrieval effectiveness due to the overlap between the pretraining and e"&amp;"valuation datasets. In this work, we introduce ROGRAG, a Robustly Optimized GraphRAG framework. Specifically, we propose a multi-stage retrieval mechanism that integrates dual-level with logic form methods to improve retrieval robustness without increasin"&amp;"g computational cost. To further refine the system, we incorporate various result verification methods and adopt an incremental database construction approach. Through extensive ablation experiments, we rigorously assess the effectiveness of each componen"&amp;"t. Our implementation includes comparative experiments on SeedBench, where Qwen2.5-7B-Instruct initially underperformed. ROGRAG significantly improves the score from 60.0% to 75.0% and outperforms mainstream methods. Experiments on domain-specific dataset"&amp;"s reveal that dual-level retrieval enhances fuzzy matching, while logic form retrieval improves structured reasoning, highlighting the importance of adaptive retrieval. ROGRAG is deployed on an online research platform https://seedllm.org.cn and released "&amp;"as an open-source resource https://github.com/tpoisonooo/ROGRAG. It supports easy installation with pip and a demo video https://www.youtube.com/watch?v=NL1_cuIiX-w is provided.")</f>
        <v>Large language models (LLMs) commonly struggle with specialized or emerging topics which are rarely seen in the training corpus. Graph-based retrieval-augmented generation (GraphRAG) addresses this by structuring domain knowledge as a graph for dynamic retrieval. However, existing pipelines involve complex engineering workflows, making it difficult to isolate the impact of individual components. It is also challenging to evaluate the retrieval effectiveness due to the overlap between the pretraining and evaluation datasets. In this work, we introduce ROGRAG, a Robustly Optimized GraphRAG framework. Specifically, we propose a multi-stage retrieval mechanism that integrates dual-level with logic form methods to improve retrieval robustness without increasing computational cost. To further refine the system, we incorporate various result verification methods and adopt an incremental database construction approach. Through extensive ablation experiments, we rigorously assess the effectiveness of each component. Our implementation includes comparative experiments on SeedBench, where Qwen2.5-7B-Instruct initially underperformed. ROGRAG significantly improves the score from 60.0% to 75.0% and outperforms mainstream methods. Experiments on domain-specific datasets reveal that dual-level retrieval enhances fuzzy matching, while logic form retrieval improves structured reasoning, highlighting the importance of adaptive retrieval. ROGRAG is deployed on an online research platform https://seedllm.org.cn and released as an open-source resource https://github.com/tpoisonooo/ROGRAG. It supports easy installation with pip and a demo video https://www.youtube.com/watch?v=NL1_cuIiX-w is provided.</v>
      </c>
      <c r="D78" s="7" t="str">
        <f>IFERROR(__xludf.DUMMYFUNCTION("""COMPUTED_VALUE"""),"Zhefan Wang")</f>
        <v>Zhefan Wang</v>
      </c>
      <c r="E78" s="7" t="str">
        <f>IFERROR(__xludf.DUMMYFUNCTION("""COMPUTED_VALUE"""),"Yes")</f>
        <v>Yes</v>
      </c>
      <c r="F78" s="7" t="str">
        <f>IFERROR(__xludf.DUMMYFUNCTION("""COMPUTED_VALUE"""),"V-Presentation")</f>
        <v>V-Presentation</v>
      </c>
      <c r="G78" s="7" t="str">
        <f>IFERROR(__xludf.DUMMYFUNCTION("""COMPUTED_VALUE"""),"Virtual/Gather")</f>
        <v>Virtual/Gather</v>
      </c>
      <c r="H78" s="7" t="str">
        <f>IFERROR(__xludf.DUMMYFUNCTION("""COMPUTED_VALUE"""),"Zoom")</f>
        <v>Zoom</v>
      </c>
      <c r="I78" s="7" t="str">
        <f>IFERROR(__xludf.DUMMYFUNCTION("""COMPUTED_VALUE"""),"Session 2: V-Presentations")</f>
        <v>Session 2: V-Presentations</v>
      </c>
      <c r="J78" s="7" t="str">
        <f>IFERROR(__xludf.DUMMYFUNCTION("""COMPUTED_VALUE"""),"Virtual Presentations 1")</f>
        <v>Virtual Presentations 1</v>
      </c>
      <c r="K78" s="7"/>
      <c r="L78" s="8">
        <f>IFERROR(__xludf.DUMMYFUNCTION("""COMPUTED_VALUE"""),45866.0)</f>
        <v>45866</v>
      </c>
      <c r="M78" s="7" t="str">
        <f>IFERROR(__xludf.DUMMYFUNCTION("""COMPUTED_VALUE"""),"11:00-12:30")</f>
        <v>11:00-12:30</v>
      </c>
      <c r="N78" s="7"/>
    </row>
    <row r="79">
      <c r="A79" s="7" t="str">
        <f>IFERROR(__xludf.DUMMYFUNCTION("""COMPUTED_VALUE"""),"178-DEMO")</f>
        <v>178-DEMO</v>
      </c>
      <c r="B79" s="7" t="str">
        <f>IFERROR(__xludf.DUMMYFUNCTION("""COMPUTED_VALUE"""),"LECTURE4ALL: A Lightweight Approach to Precise Timestamp Detection in Online Lecture Videos")</f>
        <v>LECTURE4ALL: A Lightweight Approach to Precise Timestamp Detection in Online Lecture Videos</v>
      </c>
      <c r="C79" s="7" t="str">
        <f>IFERROR(__xludf.DUMMYFUNCTION("""COMPUTED_VALUE"""),"This paper presents LECTURE4ALL, a web
 application developed to improve the search
 experience of educational video platforms.
 Lecture2Go provides a vast collection of
 recorded lectures, but locating specific content
 within videos can be time-consumin"&amp;"g. LEC-
 TURE4ALL addresses this issue by leveraging
 a vector database and a streamlined user inter-
 face to enable direct retrieval of precise video
 timestamps. By enhancing search accuracy and
 efficiency, LECTURE4ALL significantly im-
 proves the ac"&amp;"cessibility and usability of educa-
 tional video platforms.")</f>
        <v>This paper presents LECTURE4ALL, a web
 application developed to improve the search
 experience of educational video platforms.
 Lecture2Go provides a vast collection of
 recorded lectures, but locating specific content
 within videos can be time-consuming. LEC-
 TURE4ALL addresses this issue by leveraging
 a vector database and a streamlined user inter-
 face to enable direct retrieval of precise video
 timestamps. By enhancing search accuracy and
 efficiency, LECTURE4ALL significantly im-
 proves the accessibility and usability of educa-
 tional video platforms.</v>
      </c>
      <c r="D79" s="7" t="str">
        <f>IFERROR(__xludf.DUMMYFUNCTION("""COMPUTED_VALUE"""),"Friederike Wrobel")</f>
        <v>Friederike Wrobel</v>
      </c>
      <c r="E79" s="7" t="str">
        <f>IFERROR(__xludf.DUMMYFUNCTION("""COMPUTED_VALUE"""),"Yes")</f>
        <v>Yes</v>
      </c>
      <c r="F79" s="7" t="str">
        <f>IFERROR(__xludf.DUMMYFUNCTION("""COMPUTED_VALUE"""),"IP-Demo")</f>
        <v>IP-Demo</v>
      </c>
      <c r="G79" s="7" t="str">
        <f>IFERROR(__xludf.DUMMYFUNCTION("""COMPUTED_VALUE"""),"In-person")</f>
        <v>In-person</v>
      </c>
      <c r="H79" s="7" t="str">
        <f>IFERROR(__xludf.DUMMYFUNCTION("""COMPUTED_VALUE"""),"Hall 5X")</f>
        <v>Hall 5X</v>
      </c>
      <c r="I79" s="7" t="str">
        <f>IFERROR(__xludf.DUMMYFUNCTION("""COMPUTED_VALUE"""),"Session 10: IP-Posters")</f>
        <v>Session 10: IP-Posters</v>
      </c>
      <c r="J79" s="7" t="str">
        <f>IFERROR(__xludf.DUMMYFUNCTION("""COMPUTED_VALUE"""),"Demo Session 3")</f>
        <v>Demo Session 3</v>
      </c>
      <c r="K79" s="7"/>
      <c r="L79" s="8">
        <f>IFERROR(__xludf.DUMMYFUNCTION("""COMPUTED_VALUE"""),45867.0)</f>
        <v>45867</v>
      </c>
      <c r="M79" s="7" t="str">
        <f>IFERROR(__xludf.DUMMYFUNCTION("""COMPUTED_VALUE"""),"16:00-17:30")</f>
        <v>16:00-17:30</v>
      </c>
      <c r="N79" s="7"/>
    </row>
    <row r="80">
      <c r="A80" s="7" t="str">
        <f>IFERROR(__xludf.DUMMYFUNCTION("""COMPUTED_VALUE"""),"179-DEMO")</f>
        <v>179-DEMO</v>
      </c>
      <c r="B80" s="7" t="str">
        <f>IFERROR(__xludf.DUMMYFUNCTION("""COMPUTED_VALUE"""),"FlexRAG: A Flexible and Comprehensive Framework for Retrieval-Augmented Generation")</f>
        <v>FlexRAG: A Flexible and Comprehensive Framework for Retrieval-Augmented Generation</v>
      </c>
      <c r="C80" s="7" t="str">
        <f>IFERROR(__xludf.DUMMYFUNCTION("""COMPUTED_VALUE"""),"Retrieval-Augmented Generation (RAG) plays a pivotal role in modern large language model applications, with numerous existing frameworks offering a wide range of functionalities to facilitate the development of RAG systems.
 However, we have identified se"&amp;"veral persistent challenges in these frameworks, including lack of new techniques, difficulties in algorithm reproduction and sharing, and high system overhead.
 To address these limitations, we introduce **FlexRAG**, an open-source framework specifically"&amp;" designed for research and prototyping.
 FlexRAG supports text-based, multimodal, and network-based RAG, providing comprehensive lifecycle support alongside efficient asynchronous processing and persistent caching capabilities.
 By offering a robust and f"&amp;"lexible solution, FlexRAG enables researchers to rapidly develop, deploy, and share advanced RAG systems.
 Our toolkit and resources are available at https://github.com/ictnlp/FlexRAG.")</f>
        <v>Retrieval-Augmented Generation (RAG) plays a pivotal role in modern large language model applications, with numerous existing frameworks offering a wide range of functionalities to facilitate the development of RAG systems.
 However, we have identified several persistent challenges in these frameworks, including lack of new techniques, difficulties in algorithm reproduction and sharing, and high system overhead.
 To address these limitations, we introduce **FlexRAG**, an open-source framework specifically designed for research and prototyping.
 FlexRAG supports text-based, multimodal, and network-based RAG, providing comprehensive lifecycle support alongside efficient asynchronous processing and persistent caching capabilities.
 By offering a robust and flexible solution, FlexRAG enables researchers to rapidly develop, deploy, and share advanced RAG systems.
 Our toolkit and resources are available at https://github.com/ictnlp/FlexRAG.</v>
      </c>
      <c r="D80" s="7" t="str">
        <f>IFERROR(__xludf.DUMMYFUNCTION("""COMPUTED_VALUE"""),"Yang Feng")</f>
        <v>Yang Feng</v>
      </c>
      <c r="E80" s="7" t="str">
        <f>IFERROR(__xludf.DUMMYFUNCTION("""COMPUTED_VALUE"""),"Yes")</f>
        <v>Yes</v>
      </c>
      <c r="F80" s="7" t="str">
        <f>IFERROR(__xludf.DUMMYFUNCTION("""COMPUTED_VALUE"""),"IP-Demo")</f>
        <v>IP-Demo</v>
      </c>
      <c r="G80" s="7" t="str">
        <f>IFERROR(__xludf.DUMMYFUNCTION("""COMPUTED_VALUE"""),"In-person")</f>
        <v>In-person</v>
      </c>
      <c r="H80" s="7" t="str">
        <f>IFERROR(__xludf.DUMMYFUNCTION("""COMPUTED_VALUE"""),"Hall 5X")</f>
        <v>Hall 5X</v>
      </c>
      <c r="I80" s="7" t="str">
        <f>IFERROR(__xludf.DUMMYFUNCTION("""COMPUTED_VALUE"""),"Session 2: IP-Posters ")</f>
        <v>Session 2: IP-Posters </v>
      </c>
      <c r="J80" s="7" t="str">
        <f>IFERROR(__xludf.DUMMYFUNCTION("""COMPUTED_VALUE"""),"Demo Session 1")</f>
        <v>Demo Session 1</v>
      </c>
      <c r="K80" s="7"/>
      <c r="L80" s="8">
        <f>IFERROR(__xludf.DUMMYFUNCTION("""COMPUTED_VALUE"""),45866.0)</f>
        <v>45866</v>
      </c>
      <c r="M80" s="7" t="str">
        <f>IFERROR(__xludf.DUMMYFUNCTION("""COMPUTED_VALUE"""),"11:00-12:30")</f>
        <v>11:00-12:30</v>
      </c>
      <c r="N80" s="7"/>
    </row>
    <row r="81">
      <c r="A81" s="7" t="str">
        <f>IFERROR(__xludf.DUMMYFUNCTION("""COMPUTED_VALUE"""),"186-DEMO")</f>
        <v>186-DEMO</v>
      </c>
      <c r="B81" s="7" t="str">
        <f>IFERROR(__xludf.DUMMYFUNCTION("""COMPUTED_VALUE"""),"ComfyUI-Copilot: An Intelligent Assistant for Automated Workflow Development")</f>
        <v>ComfyUI-Copilot: An Intelligent Assistant for Automated Workflow Development</v>
      </c>
      <c r="C81" s="7" t="str">
        <f>IFERROR(__xludf.DUMMYFUNCTION("""COMPUTED_VALUE"""),"We introduce **ComfyUI-Copilot**, a large language model-powered plugin designed to enhance the usability and efficiency of ComfyUI, an open-source platform for AI-driven art creation. Despite its flexibility and user-friendly interface, ComfyUI can prese"&amp;"nt challenges to newcomers, including limited documentation, model misconfigurations, and the complexity of workflow design. ComfyUI-Copilot addresses these challenges by offering intelligent node and model recommendations, along with automated one-click "&amp;"workflow construction. At its core, the system employs a hierarchical multi-agent framework comprising a central assistant agent for task delegation and specialized worker agents for different usages, supported by our curated ComfyUI knowledge bases to st"&amp;"reamline debugging and deployment. We validate the effectiveness of ComfyUI-Copilot through both offline quantitative evaluations and online user feedback, showing that it accurately recommends nodes and accelerates workflow development. Additionally, use"&amp;" cases illustrate that ComfyUI-Copilot lowers entry barriers for beginners and enhances workflow efficiency for experienced users. The ComfyUI-Copilot installation package and a demo video are available at https://github.com/AIDC-AI/ComfyUI-Copilot.")</f>
        <v>We introduce **ComfyUI-Copilot**, a large language model-powered plugin designed to enhance the usability and efficiency of ComfyUI, an open-source platform for AI-driven art creation. Despite its flexibility and user-friendly interface, ComfyUI can present challenges to newcomers, including limited documentation, model misconfigurations, and the complexity of workflow design. ComfyUI-Copilot addresses these challenges by offering intelligent node and model recommendations, along with automated one-click workflow construction. At its core, the system employs a hierarchical multi-agent framework comprising a central assistant agent for task delegation and specialized worker agents for different usages, supported by our curated ComfyUI knowledge bases to streamline debugging and deployment. We validate the effectiveness of ComfyUI-Copilot through both offline quantitative evaluations and online user feedback, showing that it accurately recommends nodes and accelerates workflow development. Additionally, use cases illustrate that ComfyUI-Copilot lowers entry barriers for beginners and enhances workflow efficiency for experienced users. The ComfyUI-Copilot installation package and a demo video are available at https://github.com/AIDC-AI/ComfyUI-Copilot.</v>
      </c>
      <c r="D81" s="7" t="str">
        <f>IFERROR(__xludf.DUMMYFUNCTION("""COMPUTED_VALUE"""),"Longyue Wang")</f>
        <v>Longyue Wang</v>
      </c>
      <c r="E81" s="7" t="str">
        <f>IFERROR(__xludf.DUMMYFUNCTION("""COMPUTED_VALUE"""),"Yes")</f>
        <v>Yes</v>
      </c>
      <c r="F81" s="7" t="str">
        <f>IFERROR(__xludf.DUMMYFUNCTION("""COMPUTED_VALUE"""),"IP-Demo")</f>
        <v>IP-Demo</v>
      </c>
      <c r="G81" s="7" t="str">
        <f>IFERROR(__xludf.DUMMYFUNCTION("""COMPUTED_VALUE"""),"In-person")</f>
        <v>In-person</v>
      </c>
      <c r="H81" s="7" t="str">
        <f>IFERROR(__xludf.DUMMYFUNCTION("""COMPUTED_VALUE"""),"Hall 5X")</f>
        <v>Hall 5X</v>
      </c>
      <c r="I81" s="7" t="str">
        <f>IFERROR(__xludf.DUMMYFUNCTION("""COMPUTED_VALUE"""),"Session 12: IP-Posters")</f>
        <v>Session 12: IP-Posters</v>
      </c>
      <c r="J81" s="7" t="str">
        <f>IFERROR(__xludf.DUMMYFUNCTION("""COMPUTED_VALUE"""),"Demo Session 4")</f>
        <v>Demo Session 4</v>
      </c>
      <c r="K81" s="7"/>
      <c r="L81" s="8">
        <f>IFERROR(__xludf.DUMMYFUNCTION("""COMPUTED_VALUE"""),45868.0)</f>
        <v>45868</v>
      </c>
      <c r="M81" s="7" t="str">
        <f>IFERROR(__xludf.DUMMYFUNCTION("""COMPUTED_VALUE"""),"11:00-12:30")</f>
        <v>11:00-12:30</v>
      </c>
      <c r="N81" s="7"/>
    </row>
    <row r="82">
      <c r="A82" s="7" t="str">
        <f>IFERROR(__xludf.DUMMYFUNCTION("""COMPUTED_VALUE"""),"187-DEMO")</f>
        <v>187-DEMO</v>
      </c>
      <c r="B82" s="7" t="str">
        <f>IFERROR(__xludf.DUMMYFUNCTION("""COMPUTED_VALUE"""),"PRAISE: Enhancing Product Descriptions with LLM-Driven Structured Insights")</f>
        <v>PRAISE: Enhancing Product Descriptions with LLM-Driven Structured Insights</v>
      </c>
      <c r="C82" s="7" t="str">
        <f>IFERROR(__xludf.DUMMYFUNCTION("""COMPUTED_VALUE"""),"Accurate and complete product descriptions are crucial for e-commerce, yet seller-provided information often falls short. Customer reviews offer valuable details but are laborious to sift through manually. We present PRAISE: Product Review Attribute Insig"&amp;"ht Structuring Engine, a novel system that uses Large Language Models (LLMs) to automatically extract, compare, and structure insights from customer reviews and seller descriptions. PRAISE provides users with an intuitive interface to identify missing, co"&amp;"ntradictory, or partially matching details between these two sources, presenting the discrepancies in a clear, structured format alongside supporting evidence from reviews. This allows sellers to easily enhance their product listings for clarity and persu"&amp;"asiveness, and buyers to better assess product reliability. Our demonstration showcases PRAISE’s workflow, its effectiveness in generating actionable structured insights from unstructured reviews, and its potential to significantly improve the quality and"&amp;" trustworthiness of e-commerce product catalogs.")</f>
        <v>Accurate and complete product descriptions are crucial for e-commerce, yet seller-provided information often falls short. Customer reviews offer valuable details but are laborious to sift through manually. We present PRAISE: Product Review Attribute Insight Structuring Engine, a novel system that uses Large Language Models (LLMs) to automatically extract, compare, and structure insights from customer reviews and seller descriptions. PRAISE provides users with an intuitive interface to identify missing, contradictory, or partially matching details between these two sources, presenting the discrepancies in a clear, structured format alongside supporting evidence from reviews. This allows sellers to easily enhance their product listings for clarity and persuasiveness, and buyers to better assess product reliability. Our demonstration showcases PRAISE’s workflow, its effectiveness in generating actionable structured insights from unstructured reviews, and its potential to significantly improve the quality and trustworthiness of e-commerce product catalogs.</v>
      </c>
      <c r="D82" s="7" t="str">
        <f>IFERROR(__xludf.DUMMYFUNCTION("""COMPUTED_VALUE"""),"Dan Roth")</f>
        <v>Dan Roth</v>
      </c>
      <c r="E82" s="7" t="str">
        <f>IFERROR(__xludf.DUMMYFUNCTION("""COMPUTED_VALUE"""),"Yes")</f>
        <v>Yes</v>
      </c>
      <c r="F82" s="7" t="str">
        <f>IFERROR(__xludf.DUMMYFUNCTION("""COMPUTED_VALUE"""),"IP-Demo")</f>
        <v>IP-Demo</v>
      </c>
      <c r="G82" s="7" t="str">
        <f>IFERROR(__xludf.DUMMYFUNCTION("""COMPUTED_VALUE"""),"In-person")</f>
        <v>In-person</v>
      </c>
      <c r="H82" s="7" t="str">
        <f>IFERROR(__xludf.DUMMYFUNCTION("""COMPUTED_VALUE"""),"Hall 5X")</f>
        <v>Hall 5X</v>
      </c>
      <c r="I82" s="7" t="str">
        <f>IFERROR(__xludf.DUMMYFUNCTION("""COMPUTED_VALUE"""),"Session 12: IP-Posters")</f>
        <v>Session 12: IP-Posters</v>
      </c>
      <c r="J82" s="7" t="str">
        <f>IFERROR(__xludf.DUMMYFUNCTION("""COMPUTED_VALUE"""),"Demo Session 4")</f>
        <v>Demo Session 4</v>
      </c>
      <c r="K82" s="7"/>
      <c r="L82" s="8">
        <f>IFERROR(__xludf.DUMMYFUNCTION("""COMPUTED_VALUE"""),45868.0)</f>
        <v>45868</v>
      </c>
      <c r="M82" s="7" t="str">
        <f>IFERROR(__xludf.DUMMYFUNCTION("""COMPUTED_VALUE"""),"11:00-12:30")</f>
        <v>11:00-12:30</v>
      </c>
      <c r="N82" s="7"/>
    </row>
    <row r="83">
      <c r="A83" s="7" t="str">
        <f>IFERROR(__xludf.DUMMYFUNCTION("""COMPUTED_VALUE"""),"189-DEMO")</f>
        <v>189-DEMO</v>
      </c>
      <c r="B83" s="7" t="str">
        <f>IFERROR(__xludf.DUMMYFUNCTION("""COMPUTED_VALUE"""),"ATGen: A Framework for Active Text Generation")</f>
        <v>ATGen: A Framework for Active Text Generation</v>
      </c>
      <c r="C83" s="7" t="str">
        <f>IFERROR(__xludf.DUMMYFUNCTION("""COMPUTED_VALUE"""),"Active learning (AL) has demonstrated remarkable potential in reducing the annotation effort required for training machine learning models. However, despite the surging popularity of natural language generation (NLG) tasks in recent years, the application"&amp;" of AL to NLG has been limited. In this paper, we introduce Active Text Generation (ATGen) -- a comprehensive framework that bridges AL with text generation tasks, enabling the application of state-of-the-art AL strategies to NLG. Our framework simplifies"&amp;" AL-empowered annotation in NLG tasks using both human annotators and automatic annotation agents based on large language models (LLMs). The framework supports LLMs deployed as a service, such as ChatGPT and Claude, or operated on-premises. Furthermore, A"&amp;"TGen provides a unified platform for smooth implementation and benchmarking of novel AL strategies tailored to NLG tasks. Finally, we present experimental results on several text generation tasks where we compare the performance of state-of-the-art AL str"&amp;"ategies in various settings. We demonstrate that ATGen can reduce both the effort of human annotators and costs for API calls to automatic annotation agents based on LLMs.")</f>
        <v>Active learning (AL) has demonstrated remarkable potential in reducing the annotation effort required for training machine learning models. However, despite the surging popularity of natural language generation (NLG) tasks in recent years, the application of AL to NLG has been limited. In this paper, we introduce Active Text Generation (ATGen) -- a comprehensive framework that bridges AL with text generation tasks, enabling the application of state-of-the-art AL strategies to NLG. Our framework simplifies AL-empowered annotation in NLG tasks using both human annotators and automatic annotation agents based on large language models (LLMs). The framework supports LLMs deployed as a service, such as ChatGPT and Claude, or operated on-premises. Furthermore, ATGen provides a unified platform for smooth implementation and benchmarking of novel AL strategies tailored to NLG tasks. Finally, we present experimental results on several text generation tasks where we compare the performance of state-of-the-art AL strategies in various settings. We demonstrate that ATGen can reduce both the effort of human annotators and costs for API calls to automatic annotation agents based on LLMs.</v>
      </c>
      <c r="D83" s="7" t="str">
        <f>IFERROR(__xludf.DUMMYFUNCTION("""COMPUTED_VALUE"""),"Ilya Makarov")</f>
        <v>Ilya Makarov</v>
      </c>
      <c r="E83" s="7" t="str">
        <f>IFERROR(__xludf.DUMMYFUNCTION("""COMPUTED_VALUE"""),"Yes")</f>
        <v>Yes</v>
      </c>
      <c r="F83" s="7" t="str">
        <f>IFERROR(__xludf.DUMMYFUNCTION("""COMPUTED_VALUE"""),"IP-Demo")</f>
        <v>IP-Demo</v>
      </c>
      <c r="G83" s="7" t="str">
        <f>IFERROR(__xludf.DUMMYFUNCTION("""COMPUTED_VALUE"""),"In-person")</f>
        <v>In-person</v>
      </c>
      <c r="H83" s="7" t="str">
        <f>IFERROR(__xludf.DUMMYFUNCTION("""COMPUTED_VALUE"""),"Hall 5X")</f>
        <v>Hall 5X</v>
      </c>
      <c r="I83" s="7" t="str">
        <f>IFERROR(__xludf.DUMMYFUNCTION("""COMPUTED_VALUE"""),"Session 10: IP-Posters")</f>
        <v>Session 10: IP-Posters</v>
      </c>
      <c r="J83" s="7" t="str">
        <f>IFERROR(__xludf.DUMMYFUNCTION("""COMPUTED_VALUE"""),"Demo Session 3")</f>
        <v>Demo Session 3</v>
      </c>
      <c r="K83" s="7"/>
      <c r="L83" s="8">
        <f>IFERROR(__xludf.DUMMYFUNCTION("""COMPUTED_VALUE"""),45867.0)</f>
        <v>45867</v>
      </c>
      <c r="M83" s="7" t="str">
        <f>IFERROR(__xludf.DUMMYFUNCTION("""COMPUTED_VALUE"""),"16:00-17:30")</f>
        <v>16:00-17:30</v>
      </c>
      <c r="N83" s="7"/>
    </row>
    <row r="84">
      <c r="A84" s="7" t="str">
        <f>IFERROR(__xludf.DUMMYFUNCTION("""COMPUTED_VALUE"""),"190-DEMO")</f>
        <v>190-DEMO</v>
      </c>
      <c r="B84" s="7" t="str">
        <f>IFERROR(__xludf.DUMMYFUNCTION("""COMPUTED_VALUE"""),"Value Compass Leaderboard: A Comprehensive, Generative and Self-Evolving Platform for LLMs' Value Evaluation")</f>
        <v>Value Compass Leaderboard: A Comprehensive, Generative and Self-Evolving Platform for LLMs' Value Evaluation</v>
      </c>
      <c r="C84" s="7" t="str">
        <f>IFERROR(__xludf.DUMMYFUNCTION("""COMPUTED_VALUE"""),"As large language models (LLMs) are gradually integrated into human life, assessing their underlying values becomes essential for understanding their risks and alignment with specific cultural preferences. Despite growing efforts, current value evaluation"&amp;" methods face two key challenges. C1. Evaluation Validity: Static benchmarks fail to reflect intended values or yield informative results due to data contamination or ceiling effect. C2. Result Interpretation: They typically reduce the pluralistic and oft"&amp;"en incommensurable values to one-dimensional scores, which hinders users from gaining meaningful insights and guidance. To address these challenges, we present Value Compass Leaderboard, the first interactive platform specially devised for comprehensive v"&amp;"alue diagnosis of LLMs. It (1) grounds evaluations in multiple basic value systems from social science; (2) develops a generative evolving evaluation schema that automatically and dynamically creates real-world test items that co-evolve with ever-advancin"&amp;"g LLMs; (3) offers multi-faceted result interpretation, including: (i) fine-grained scores and case studies across 27 value dimensions for 33 leading LLMs, (ii) customized comparisons, and (iii) visualized analysis of LLMs' alignment with cultural values."&amp;" We hope Value Compass Leaderboard. serves as a navigator for further enhancing LLMs' safety and alignment, further benefiting their responsible and adaptive development.")</f>
        <v>As large language models (LLMs) are gradually integrated into human life, assessing their underlying values becomes essential for understanding their risks and alignment with specific cultural preferences. Despite growing efforts, current value evaluation methods face two key challenges. C1. Evaluation Validity: Static benchmarks fail to reflect intended values or yield informative results due to data contamination or ceiling effect. C2. Result Interpretation: They typically reduce the pluralistic and often incommensurable values to one-dimensional scores, which hinders users from gaining meaningful insights and guidance. To address these challenges, we present Value Compass Leaderboard, the first interactive platform specially devised for comprehensive value diagnosis of LLMs. It (1) grounds evaluations in multiple basic value systems from social science; (2) develops a generative evolving evaluation schema that automatically and dynamically creates real-world test items that co-evolve with ever-advancing LLMs; (3) offers multi-faceted result interpretation, including: (i) fine-grained scores and case studies across 27 value dimensions for 33 leading LLMs, (ii) customized comparisons, and (iii) visualized analysis of LLMs' alignment with cultural values. We hope Value Compass Leaderboard. serves as a navigator for further enhancing LLMs' safety and alignment, further benefiting their responsible and adaptive development.</v>
      </c>
      <c r="D84" s="7" t="str">
        <f>IFERROR(__xludf.DUMMYFUNCTION("""COMPUTED_VALUE"""),"Xiaoyuan Yi")</f>
        <v>Xiaoyuan Yi</v>
      </c>
      <c r="E84" s="7" t="str">
        <f>IFERROR(__xludf.DUMMYFUNCTION("""COMPUTED_VALUE"""),"Yes")</f>
        <v>Yes</v>
      </c>
      <c r="F84" s="7" t="str">
        <f>IFERROR(__xludf.DUMMYFUNCTION("""COMPUTED_VALUE"""),"IP-Demo")</f>
        <v>IP-Demo</v>
      </c>
      <c r="G84" s="7" t="str">
        <f>IFERROR(__xludf.DUMMYFUNCTION("""COMPUTED_VALUE"""),"In-person")</f>
        <v>In-person</v>
      </c>
      <c r="H84" s="7" t="str">
        <f>IFERROR(__xludf.DUMMYFUNCTION("""COMPUTED_VALUE"""),"Hall 5X")</f>
        <v>Hall 5X</v>
      </c>
      <c r="I84" s="7" t="str">
        <f>IFERROR(__xludf.DUMMYFUNCTION("""COMPUTED_VALUE"""),"Session 7: IP-Posters")</f>
        <v>Session 7: IP-Posters</v>
      </c>
      <c r="J84" s="7" t="str">
        <f>IFERROR(__xludf.DUMMYFUNCTION("""COMPUTED_VALUE"""),"Demo Session 2")</f>
        <v>Demo Session 2</v>
      </c>
      <c r="K84" s="7"/>
      <c r="L84" s="8">
        <f>IFERROR(__xludf.DUMMYFUNCTION("""COMPUTED_VALUE"""),45867.0)</f>
        <v>45867</v>
      </c>
      <c r="M84" s="7" t="str">
        <f>IFERROR(__xludf.DUMMYFUNCTION("""COMPUTED_VALUE"""),"10:30-12:00")</f>
        <v>10:30-12:00</v>
      </c>
      <c r="N84" s="7"/>
    </row>
    <row r="85">
      <c r="A85" s="7" t="str">
        <f>IFERROR(__xludf.DUMMYFUNCTION("""COMPUTED_VALUE"""),"10-FIND")</f>
        <v>10-FIND</v>
      </c>
      <c r="B85" s="7" t="str">
        <f>IFERROR(__xludf.DUMMYFUNCTION("""COMPUTED_VALUE"""),"Explicit vs. Implicit: Investigating Social Bias in Large Language Models through Self-Reflection")</f>
        <v>Explicit vs. Implicit: Investigating Social Bias in Large Language Models through Self-Reflection</v>
      </c>
      <c r="C85" s="7" t="str">
        <f>IFERROR(__xludf.DUMMYFUNCTION("""COMPUTED_VALUE"""),"Large Language Models (LLMs) have been shown to exhibit various biases and stereotypes in their generated content. While extensive research has investigated bias in LLMs, prior work has predominantly focused on explicit bias, leaving the more nuanced impl"&amp;"icit biases largely unexplored. This paper presents a systematic framework grounded in social psychology theories to investigate and compare explicit and implicit biases in LLMs.
We propose a novel ""self-reflection"" based evaluation framework that opera"&amp;"tes in two phases: first measuring implicit bias through simulated psychological assessment methods, then evaluating explicit bias by prompting LLMs to analyze their own generated content. Through extensive experiments on state-of-the-art LLMs across mult"&amp;"iple social dimensions, we demonstrate that LLMs exhibit a substantial inconsistency between explicit and implicit biases, where explicit biases manifest as mild stereotypes while implicit biases show strong stereotypes.
Furthermore, we investigate the un"&amp;"derlying factors contributing to this explicit-implicit bias inconsistency. Our experiments examine the effects of training data scale, model parameters, and alignment techniques. Results indicate that while explicit bias diminishes with increased trainin"&amp;"g data and model size, implicit bias exhibits a contrasting upward trend. Notably, contemporary alignment methods effectively suppress explicit bias but show limited efficacy in mitigating implicit bias. Therefore, we propose an exploratory debiasing appr"&amp;"oach that combines explicit and implicit bias.")</f>
        <v>Large Language Models (LLMs) have been shown to exhibit various biases and stereotypes in their generated content. While extensive research has investigated bias in LLMs, prior work has predominantly focused on explicit bias, leaving the more nuanced implicit biases largely unexplored. This paper presents a systematic framework grounded in social psychology theories to investigate and compare explicit and implicit biases in LLMs.
We propose a novel "self-reflection" based evaluation framework that operates in two phases: first measuring implicit bias through simulated psychological assessment methods, then evaluating explicit bias by prompting LLMs to analyze their own generated content. Through extensive experiments on state-of-the-art LLMs across multiple social dimensions, we demonstrate that LLMs exhibit a substantial inconsistency between explicit and implicit biases, where explicit biases manifest as mild stereotypes while implicit biases show strong stereotypes.
Furthermore, we investigate the underlying factors contributing to this explicit-implicit bias inconsistency. Our experiments examine the effects of training data scale, model parameters, and alignment techniques. Results indicate that while explicit bias diminishes with increased training data and model size, implicit bias exhibits a contrasting upward trend. Notably, contemporary alignment methods effectively suppress explicit bias but show limited efficacy in mitigating implicit bias. Therefore, we propose an exploratory debiasing approach that combines explicit and implicit bias.</v>
      </c>
      <c r="D85" s="7" t="str">
        <f>IFERROR(__xludf.DUMMYFUNCTION("""COMPUTED_VALUE"""),"I do not plan to present.")</f>
        <v>I do not plan to present.</v>
      </c>
      <c r="E85" s="7" t="str">
        <f>IFERROR(__xludf.DUMMYFUNCTION("""COMPUTED_VALUE"""),"#N/A")</f>
        <v>#N/A</v>
      </c>
      <c r="F85" s="7" t="str">
        <f>IFERROR(__xludf.DUMMYFUNCTION("""COMPUTED_VALUE"""),"Not Pres. ")</f>
        <v>Not Pres. </v>
      </c>
      <c r="G85" s="7" t="str">
        <f>IFERROR(__xludf.DUMMYFUNCTION("""COMPUTED_VALUE"""),"NP Findings Not Presenting ")</f>
        <v>NP Findings Not Presenting </v>
      </c>
      <c r="H85" s="7"/>
      <c r="I85" s="7" t="str">
        <f>IFERROR(__xludf.DUMMYFUNCTION("""COMPUTED_VALUE"""),"NP-Find")</f>
        <v>NP-Find</v>
      </c>
      <c r="J85" s="7"/>
      <c r="K85" s="7"/>
      <c r="L85" s="8"/>
      <c r="M85" s="7"/>
      <c r="N85" s="7"/>
    </row>
    <row r="86">
      <c r="A86" s="7" t="str">
        <f>IFERROR(__xludf.DUMMYFUNCTION("""COMPUTED_VALUE"""),"16-FIND")</f>
        <v>16-FIND</v>
      </c>
      <c r="B86" s="7" t="str">
        <f>IFERROR(__xludf.DUMMYFUNCTION("""COMPUTED_VALUE"""),"Beyond Perception: Evaluating Abstract Visual Reasoning through Multi-Stage Task")</f>
        <v>Beyond Perception: Evaluating Abstract Visual Reasoning through Multi-Stage Task</v>
      </c>
      <c r="C86" s="7" t="str">
        <f>IFERROR(__xludf.DUMMYFUNCTION("""COMPUTED_VALUE"""),"Current Multimodal Large Language Models (MLLMs) excel in general visual reasoning but remain underexplored in Abstract Visual Reasoning (AVR), which demands higher-order reasoning to identify abstract rules beyond simple perception. Existing AVR benchmar"&amp;"ks focus on single-step reasoning, emphasizing the end result but neglecting the multi-stage nature of reasoning process. Past studies found MLLMs struggle with these benchmarks, but it doesn't explain how they fail. To address this gap, we introduce Mult"&amp;"iStAR, a Multi-Stage AVR benchmark, based on RAVEN, designed to assess reasoning across varying levels of complexity. Additionally, existing metrics like accuracy only focus on the final outcomes while do not account for the correctness of intermediate st"&amp;"eps. Therefore, we propose a novel metric, MSEval, which considers the correctness of intermediate steps in addition to the final outcomes. We conduct comprehensive experiments on MultiStAR using 17 representative close-source and open-source MLLMs. The r"&amp;"esults reveal that while existing MLLMs perform adequately on basic perception tasks, they continue to face challenges in more complex rule detection stages. The dataset and code will be available after acceptance.")</f>
        <v>Current Multimodal Large Language Models (MLLMs) excel in general visual reasoning but remain underexplored in Abstract Visual Reasoning (AVR), which demands higher-order reasoning to identify abstract rules beyond simple perception. Existing AVR benchmarks focus on single-step reasoning, emphasizing the end result but neglecting the multi-stage nature of reasoning process. Past studies found MLLMs struggle with these benchmarks, but it doesn't explain how they fail. To address this gap, we introduce MultiStAR, a Multi-Stage AVR benchmark, based on RAVEN, designed to assess reasoning across varying levels of complexity. Additionally, existing metrics like accuracy only focus on the final outcomes while do not account for the correctness of intermediate steps. Therefore, we propose a novel metric, MSEval, which considers the correctness of intermediate steps in addition to the final outcomes. We conduct comprehensive experiments on MultiStAR using 17 representative close-source and open-source MLLMs. The results reveal that while existing MLLMs perform adequately on basic perception tasks, they continue to face challenges in more complex rule detection stages. The dataset and code will be available after acceptance.</v>
      </c>
      <c r="D86" s="7" t="str">
        <f>IFERROR(__xludf.DUMMYFUNCTION("""COMPUTED_VALUE"""),"Yanbei Jiang")</f>
        <v>Yanbei Jiang</v>
      </c>
      <c r="E86" s="7" t="str">
        <f>IFERROR(__xludf.DUMMYFUNCTION("""COMPUTED_VALUE"""),"Yes")</f>
        <v>Yes</v>
      </c>
      <c r="F86" s="7" t="str">
        <f>IFERROR(__xludf.DUMMYFUNCTION("""COMPUTED_VALUE"""),"IP-Poster")</f>
        <v>IP-Poster</v>
      </c>
      <c r="G86" s="7" t="str">
        <f>IFERROR(__xludf.DUMMYFUNCTION("""COMPUTED_VALUE"""),"In-Person")</f>
        <v>In-Person</v>
      </c>
      <c r="H86" s="7" t="str">
        <f>IFERROR(__xludf.DUMMYFUNCTION("""COMPUTED_VALUE"""),"Hall 4/5")</f>
        <v>Hall 4/5</v>
      </c>
      <c r="I86" s="7" t="str">
        <f>IFERROR(__xludf.DUMMYFUNCTION("""COMPUTED_VALUE"""),"Session 5 :IP-Posters Find ")</f>
        <v>Session 5 :IP-Posters Find </v>
      </c>
      <c r="J86" s="7" t="str">
        <f>IFERROR(__xludf.DUMMYFUNCTION("""COMPUTED_VALUE"""),"Findings Posters - In-Person 1")</f>
        <v>Findings Posters - In-Person 1</v>
      </c>
      <c r="K86" s="7"/>
      <c r="L86" s="8">
        <f>IFERROR(__xludf.DUMMYFUNCTION("""COMPUTED_VALUE"""),45866.0)</f>
        <v>45866</v>
      </c>
      <c r="M86" s="7" t="str">
        <f>IFERROR(__xludf.DUMMYFUNCTION("""COMPUTED_VALUE"""),"18:00-19:30")</f>
        <v>18:00-19:30</v>
      </c>
      <c r="N86" s="7"/>
    </row>
    <row r="87">
      <c r="A87" s="7" t="str">
        <f>IFERROR(__xludf.DUMMYFUNCTION("""COMPUTED_VALUE"""),"25-FIND")</f>
        <v>25-FIND</v>
      </c>
      <c r="B87" s="7" t="str">
        <f>IFERROR(__xludf.DUMMYFUNCTION("""COMPUTED_VALUE"""),"How Numerical Precision Affects Arithmetical Reasoning Capabilities of LLMs")</f>
        <v>How Numerical Precision Affects Arithmetical Reasoning Capabilities of LLMs</v>
      </c>
      <c r="C87" s="7" t="str">
        <f>IFERROR(__xludf.DUMMYFUNCTION("""COMPUTED_VALUE"""),"Despite the remarkable success of transformer-based large language models (LLMs) across various domains, understanding and enhancing their mathematical capabilities remains a significant challenge. In this paper, we conduct a rigorous theoretical analysis"&amp;" of LLMs' mathematical abilities, with a specific focus on their arithmetic performances. We identify numerical precision as a key factor that influences their effectiveness in arithmetical tasks. Our results show that Transformers operating with low nume"&amp;"rical precision fail to address arithmetic tasks, such as iterated addition and integer multiplication, unless the model size grows super-polynomially with respect to the input length. In contrast, Transformers with standard numerical precision can effici"&amp;"ently handle these tasks with significantly smaller model sizes. We further support our theoretical findings through empirical experiments that explore the impact of varying numerical precision on arithmetic tasks, providing valuable insights for improvin"&amp;"g the mathematical reasoning capabilities of LLMs.")</f>
        <v>Despite the remarkable success of transformer-based large language models (LLMs) across various domains, understanding and enhancing their mathematical capabilities remains a significant challenge. In this paper, we conduct a rigorous theoretical analysis of LLMs' mathematical abilities, with a specific focus on their arithmetic performances. We identify numerical precision as a key factor that influences their effectiveness in arithmetical tasks. Our results show that Transformers operating with low numerical precision fail to address arithmetic tasks, such as iterated addition and integer multiplication, unless the model size grows super-polynomially with respect to the input length. In contrast, Transformers with standard numerical precision can efficiently handle these tasks with significantly smaller model sizes. We further support our theoretical findings through empirical experiments that explore the impact of varying numerical precision on arithmetic tasks, providing valuable insights for improving the mathematical reasoning capabilities of LLMs.</v>
      </c>
      <c r="D87" s="7" t="str">
        <f>IFERROR(__xludf.DUMMYFUNCTION("""COMPUTED_VALUE"""),"Guhao Feng, Kai Yang")</f>
        <v>Guhao Feng, Kai Yang</v>
      </c>
      <c r="E87" s="7" t="str">
        <f>IFERROR(__xludf.DUMMYFUNCTION("""COMPUTED_VALUE"""),"Yes")</f>
        <v>Yes</v>
      </c>
      <c r="F87" s="7" t="str">
        <f>IFERROR(__xludf.DUMMYFUNCTION("""COMPUTED_VALUE"""),"IP-Poster")</f>
        <v>IP-Poster</v>
      </c>
      <c r="G87" s="7" t="str">
        <f>IFERROR(__xludf.DUMMYFUNCTION("""COMPUTED_VALUE"""),"In-Person")</f>
        <v>In-Person</v>
      </c>
      <c r="H87" s="7" t="str">
        <f>IFERROR(__xludf.DUMMYFUNCTION("""COMPUTED_VALUE"""),"Hall 4/5")</f>
        <v>Hall 4/5</v>
      </c>
      <c r="I87" s="7" t="str">
        <f>IFERROR(__xludf.DUMMYFUNCTION("""COMPUTED_VALUE"""),"Session 5 :IP-Posters Find ")</f>
        <v>Session 5 :IP-Posters Find </v>
      </c>
      <c r="J87" s="7" t="str">
        <f>IFERROR(__xludf.DUMMYFUNCTION("""COMPUTED_VALUE"""),"Findings Posters - In-Person 1")</f>
        <v>Findings Posters - In-Person 1</v>
      </c>
      <c r="K87" s="7"/>
      <c r="L87" s="8">
        <f>IFERROR(__xludf.DUMMYFUNCTION("""COMPUTED_VALUE"""),45866.0)</f>
        <v>45866</v>
      </c>
      <c r="M87" s="7" t="str">
        <f>IFERROR(__xludf.DUMMYFUNCTION("""COMPUTED_VALUE"""),"18:00-19:30")</f>
        <v>18:00-19:30</v>
      </c>
      <c r="N87" s="7"/>
    </row>
    <row r="88">
      <c r="A88" s="7" t="str">
        <f>IFERROR(__xludf.DUMMYFUNCTION("""COMPUTED_VALUE"""),"28-FIND")</f>
        <v>28-FIND</v>
      </c>
      <c r="B88" s="7" t="str">
        <f>IFERROR(__xludf.DUMMYFUNCTION("""COMPUTED_VALUE"""),"Diversifying the Expert Knowledge for Task-Agnostic Pruning in Sparse Mixture-of-Experts")</f>
        <v>Diversifying the Expert Knowledge for Task-Agnostic Pruning in Sparse Mixture-of-Experts</v>
      </c>
      <c r="C88" s="7" t="str">
        <f>IFERROR(__xludf.DUMMYFUNCTION("""COMPUTED_VALUE"""),"In this work, we address the memory overhead of deploying Mixture-of-Experts (MoE) architectures in Large Language Models (LLMs). While MoE layers improve LLM performance without increasing inference costs, the ever-growing number of experts inflates memo"&amp;"ry requirements, hindering practical deployment. Our empirical study reveals that some experts encode redundant knowledge during pre-training. We thus propose a method of grouping and pruning similar experts to improve the model's parameter efficiency. We"&amp;" validate the effectiveness of our method by pruning three state-of-the-art MoE architectures, including Mixtral, Deepseek-MoE, and Qwen. The evaluation shows that our method outperforms other model pruning methods on a range of natural language tasks. We"&amp;" will release our code to facilitate future research.")</f>
        <v>In this work, we address the memory overhead of deploying Mixture-of-Experts (MoE) architectures in Large Language Models (LLMs). While MoE layers improve LLM performance without increasing inference costs, the ever-growing number of experts inflates memory requirements, hindering practical deployment. Our empirical study reveals that some experts encode redundant knowledge during pre-training. We thus propose a method of grouping and pruning similar experts to improve the model's parameter efficiency. We validate the effectiveness of our method by pruning three state-of-the-art MoE architectures, including Mixtral, Deepseek-MoE, and Qwen. The evaluation shows that our method outperforms other model pruning methods on a range of natural language tasks. We will release our code to facilitate future research.</v>
      </c>
      <c r="D88" s="7" t="str">
        <f>IFERROR(__xludf.DUMMYFUNCTION("""COMPUTED_VALUE"""),"Zeliang Zhang")</f>
        <v>Zeliang Zhang</v>
      </c>
      <c r="E88" s="7" t="str">
        <f>IFERROR(__xludf.DUMMYFUNCTION("""COMPUTED_VALUE"""),"#N/A")</f>
        <v>#N/A</v>
      </c>
      <c r="F88" s="7" t="str">
        <f>IFERROR(__xludf.DUMMYFUNCTION("""COMPUTED_VALUE"""),"Not Pres. ")</f>
        <v>Not Pres. </v>
      </c>
      <c r="G88" s="7" t="str">
        <f>IFERROR(__xludf.DUMMYFUNCTION("""COMPUTED_VALUE"""),"NP Findings Not Presenting ")</f>
        <v>NP Findings Not Presenting </v>
      </c>
      <c r="H88" s="7"/>
      <c r="I88" s="7" t="str">
        <f>IFERROR(__xludf.DUMMYFUNCTION("""COMPUTED_VALUE"""),"NP-Find")</f>
        <v>NP-Find</v>
      </c>
      <c r="J88" s="7"/>
      <c r="K88" s="7"/>
      <c r="L88" s="8"/>
      <c r="M88" s="7"/>
      <c r="N88" s="7"/>
    </row>
    <row r="89">
      <c r="A89" s="7" t="str">
        <f>IFERROR(__xludf.DUMMYFUNCTION("""COMPUTED_VALUE"""),"29-FIND")</f>
        <v>29-FIND</v>
      </c>
      <c r="B89" s="7" t="str">
        <f>IFERROR(__xludf.DUMMYFUNCTION("""COMPUTED_VALUE"""),"A Persona-Aware LLM-Enhanced Framework for Multi-Session Personalized Dialogue Generation")</f>
        <v>A Persona-Aware LLM-Enhanced Framework for Multi-Session Personalized Dialogue Generation</v>
      </c>
      <c r="C89" s="7" t="str">
        <f>IFERROR(__xludf.DUMMYFUNCTION("""COMPUTED_VALUE"""),"Multi-session personalized dialogue generation is one of the most important topics in open-domain dialogue. It aims to generate responses consistent with the dialogue history and personality information across multiple sessions to engage users' interest i"&amp;"n the dialogue. Recent approaches focusing on history modeling and persona modeling have advanced the development of this field. However, they overlook the importance of dialogue structure in helping large language models (LLMs) understand the dialogue co"&amp;"ntext. Moreover, these methods do not efficiently expand and utilize personality information, reducing the responses' consistency. In this paper, we propose a Persona-Aware LLM-enAnCEd(PALACE) framework for multi-session personalized dialogue generation. "&amp;"Specifically, the framework consists of three components: a topic-aware memory bank, a persona prompt learning module, and VAE-LoRA. The topic-aware memory bank works by retrieving historical information that possesses a certain dialogue structure and rel"&amp;"evant topics. The persona prompt learning module enhances the LLM’s persona-aware capabilities by utilizing a persona commonsense knowledge graph and a query-driven graph neural network. Furthermore, to enhance the generative capabilities of the LLM and o"&amp;"btain more useful prior knowledge, we combine VAE with LoRA to propose VAE-LoRA. Experimental results on the MSC and DuLeMon dataset demonstrate that our framework outperforms the state-of-the-art methods in automatic and human evaluation metrics.")</f>
        <v>Multi-session personalized dialogue generation is one of the most important topics in open-domain dialogue. It aims to generate responses consistent with the dialogue history and personality information across multiple sessions to engage users' interest in the dialogue. Recent approaches focusing on history modeling and persona modeling have advanced the development of this field. However, they overlook the importance of dialogue structure in helping large language models (LLMs) understand the dialogue context. Moreover, these methods do not efficiently expand and utilize personality information, reducing the responses' consistency. In this paper, we propose a Persona-Aware LLM-enAnCEd(PALACE) framework for multi-session personalized dialogue generation. Specifically, the framework consists of three components: a topic-aware memory bank, a persona prompt learning module, and VAE-LoRA. The topic-aware memory bank works by retrieving historical information that possesses a certain dialogue structure and relevant topics. The persona prompt learning module enhances the LLM’s persona-aware capabilities by utilizing a persona commonsense knowledge graph and a query-driven graph neural network. Furthermore, to enhance the generative capabilities of the LLM and obtain more useful prior knowledge, we combine VAE with LoRA to propose VAE-LoRA. Experimental results on the MSC and DuLeMon dataset demonstrate that our framework outperforms the state-of-the-art methods in automatic and human evaluation metrics.</v>
      </c>
      <c r="D89" s="7" t="str">
        <f>IFERROR(__xludf.DUMMYFUNCTION("""COMPUTED_VALUE"""),"no")</f>
        <v>no</v>
      </c>
      <c r="E89" s="7" t="str">
        <f>IFERROR(__xludf.DUMMYFUNCTION("""COMPUTED_VALUE"""),"#N/A")</f>
        <v>#N/A</v>
      </c>
      <c r="F89" s="7" t="str">
        <f>IFERROR(__xludf.DUMMYFUNCTION("""COMPUTED_VALUE"""),"Not Pres. ")</f>
        <v>Not Pres. </v>
      </c>
      <c r="G89" s="7" t="str">
        <f>IFERROR(__xludf.DUMMYFUNCTION("""COMPUTED_VALUE"""),"NP Findings Not Presenting ")</f>
        <v>NP Findings Not Presenting </v>
      </c>
      <c r="H89" s="7"/>
      <c r="I89" s="7" t="str">
        <f>IFERROR(__xludf.DUMMYFUNCTION("""COMPUTED_VALUE"""),"NP-Find")</f>
        <v>NP-Find</v>
      </c>
      <c r="J89" s="7"/>
      <c r="K89" s="7"/>
      <c r="L89" s="8"/>
      <c r="M89" s="7"/>
      <c r="N89" s="7"/>
    </row>
    <row r="90">
      <c r="A90" s="7" t="str">
        <f>IFERROR(__xludf.DUMMYFUNCTION("""COMPUTED_VALUE"""),"39-FIND")</f>
        <v>39-FIND</v>
      </c>
      <c r="B90" s="7" t="str">
        <f>IFERROR(__xludf.DUMMYFUNCTION("""COMPUTED_VALUE"""),"Exploring In-Image Machine Translation with Real-World Background")</f>
        <v>Exploring In-Image Machine Translation with Real-World Background</v>
      </c>
      <c r="C90" s="7" t="str">
        <f>IFERROR(__xludf.DUMMYFUNCTION("""COMPUTED_VALUE"""),"In-Image Machine Translation (IIMT) aims to translate texts within images from one language to another. Previous research on IIMT was primarily conducted on simplified scenarios such as images of one-line text with black font in white backgrounds, which i"&amp;"s far from reality and impractical for applications in the real world. To make IIMT research practically valuable, it is essential to consider a complex scenario where the text backgrounds are derived from real-world images. To facilitate research of comp"&amp;"lex scenarios IIMT, we design an IIMT dataset that includes subtitle text with a real-world background. However, previous IIMT models perform inadequately in complex scenarios. To address the issue, we propose the DebackX model, which separates the backgr"&amp;"ound and text-image from the source image, performs translation on the text-image directly, and fuses the translated text-image with the background to generate the target image.  Experimental results show that our model achieves improvements in both trans"&amp;"lation quality and visual effect.")</f>
        <v>In-Image Machine Translation (IIMT) aims to translate texts within images from one language to another. Previous research on IIMT was primarily conducted on simplified scenarios such as images of one-line text with black font in white backgrounds, which is far from reality and impractical for applications in the real world. To make IIMT research practically valuable, it is essential to consider a complex scenario where the text backgrounds are derived from real-world images. To facilitate research of complex scenarios IIMT, we design an IIMT dataset that includes subtitle text with a real-world background. However, previous IIMT models perform inadequately in complex scenarios. To address the issue, we propose the DebackX model, which separates the background and text-image from the source image, performs translation on the text-image directly, and fuses the translated text-image with the background to generate the target image.  Experimental results show that our model achieves improvements in both translation quality and visual effect.</v>
      </c>
      <c r="D90" s="7" t="str">
        <f>IFERROR(__xludf.DUMMYFUNCTION("""COMPUTED_VALUE"""),"Yanzhi Tian")</f>
        <v>Yanzhi Tian</v>
      </c>
      <c r="E90" s="7" t="str">
        <f>IFERROR(__xludf.DUMMYFUNCTION("""COMPUTED_VALUE"""),"#N/A")</f>
        <v>#N/A</v>
      </c>
      <c r="F90" s="7" t="str">
        <f>IFERROR(__xludf.DUMMYFUNCTION("""COMPUTED_VALUE"""),"Not Pres. ")</f>
        <v>Not Pres. </v>
      </c>
      <c r="G90" s="7" t="str">
        <f>IFERROR(__xludf.DUMMYFUNCTION("""COMPUTED_VALUE"""),"NP Findings Not Presenting ")</f>
        <v>NP Findings Not Presenting </v>
      </c>
      <c r="H90" s="7"/>
      <c r="I90" s="7" t="str">
        <f>IFERROR(__xludf.DUMMYFUNCTION("""COMPUTED_VALUE"""),"NP-Find")</f>
        <v>NP-Find</v>
      </c>
      <c r="J90" s="7"/>
      <c r="K90" s="7"/>
      <c r="L90" s="8"/>
      <c r="M90" s="7"/>
      <c r="N90" s="7"/>
    </row>
    <row r="91">
      <c r="A91" s="7" t="str">
        <f>IFERROR(__xludf.DUMMYFUNCTION("""COMPUTED_VALUE"""),"47-FIND")</f>
        <v>47-FIND</v>
      </c>
      <c r="B91" s="7" t="str">
        <f>IFERROR(__xludf.DUMMYFUNCTION("""COMPUTED_VALUE"""),"BayesKD: Bayesian Knowledge Distillation for Compact LLMs in Constrained Fine-tuning Scenarios")</f>
        <v>BayesKD: Bayesian Knowledge Distillation for Compact LLMs in Constrained Fine-tuning Scenarios</v>
      </c>
      <c r="C91" s="7" t="str">
        <f>IFERROR(__xludf.DUMMYFUNCTION("""COMPUTED_VALUE"""),"Large language models (LLMs) have revolutionized various domains with their remarkable capabilities, but their massive parameter sizes pose significant challenges for fine-tuning and inference, especially in resource-constrained environments. Conventional"&amp;" compression methods often result in substantial performance degradation within LLMs and struggle to restore model quality during fine-tuning. To address this  challenge, we present Bayesian Knowledge Distillation (BayesKD), a novel distillation framework"&amp;" meticulously designed for compact LLMs in resource-constrained fine-tuning scenarios. Departing from conventional LLM distillation methods that introduce time-consuming paradigms and fail to generalize in compressed LLM fine-tuning scenarios, our BayesKD"&amp;" develops the Logits Dual-Scaling, Knowledge Alignment Module, and Bayesian Distillation Optimization. In particular, our Logits Dual-Scaling strategy adaptively aligns the strength of the teacher's knowledge transfer, while the Knowledge Alignment Module"&amp;" bridges the gap between the teacher and student models by projecting their knowledge representations into a shared interval. Additionally, we employ Logits-Aware Bayesian Optimization to swiftly identify optimal settings based on these strategies, thereb"&amp;"y enhancing model performance. Extensive experiments across diverse tasks demonstrate that BayesKD consistently outperforms baseline methods on various state-of-the-art LLMs, including LLaMA, Qwen2, Bloom, and Vicuna. Notably, our BayesKD achieves average"&amp;" accuracy gains of  2.99\% and 4.05\%  over standard KD for the 8B parameter LLaMA and Qwen2 model. Codes are available in the supplementary materials.")</f>
        <v>Large language models (LLMs) have revolutionized various domains with their remarkable capabilities, but their massive parameter sizes pose significant challenges for fine-tuning and inference, especially in resource-constrained environments. Conventional compression methods often result in substantial performance degradation within LLMs and struggle to restore model quality during fine-tuning. To address this  challenge, we present Bayesian Knowledge Distillation (BayesKD), a novel distillation framework meticulously designed for compact LLMs in resource-constrained fine-tuning scenarios. Departing from conventional LLM distillation methods that introduce time-consuming paradigms and fail to generalize in compressed LLM fine-tuning scenarios, our BayesKD develops the Logits Dual-Scaling, Knowledge Alignment Module, and Bayesian Distillation Optimization. In particular, our Logits Dual-Scaling strategy adaptively aligns the strength of the teacher's knowledge transfer, while the Knowledge Alignment Module bridges the gap between the teacher and student models by projecting their knowledge representations into a shared interval. Additionally, we employ Logits-Aware Bayesian Optimization to swiftly identify optimal settings based on these strategies, thereby enhancing model performance. Extensive experiments across diverse tasks demonstrate that BayesKD consistently outperforms baseline methods on various state-of-the-art LLMs, including LLaMA, Qwen2, Bloom, and Vicuna. Notably, our BayesKD achieves average accuracy gains of  2.99\% and 4.05\%  over standard KD for the 8B parameter LLaMA and Qwen2 model. Codes are available in the supplementary materials.</v>
      </c>
      <c r="D91" s="7" t="str">
        <f>IFERROR(__xludf.DUMMYFUNCTION("""COMPUTED_VALUE"""),"Lujun Li")</f>
        <v>Lujun Li</v>
      </c>
      <c r="E91" s="7" t="str">
        <f>IFERROR(__xludf.DUMMYFUNCTION("""COMPUTED_VALUE"""),"Yes")</f>
        <v>Yes</v>
      </c>
      <c r="F91" s="7" t="str">
        <f>IFERROR(__xludf.DUMMYFUNCTION("""COMPUTED_VALUE"""),"Not Pres. ")</f>
        <v>Not Pres. </v>
      </c>
      <c r="G91" s="7" t="str">
        <f>IFERROR(__xludf.DUMMYFUNCTION("""COMPUTED_VALUE"""),"NP Findings Not Presenting ")</f>
        <v>NP Findings Not Presenting </v>
      </c>
      <c r="H91" s="7"/>
      <c r="I91" s="7"/>
      <c r="J91" s="7"/>
      <c r="K91" s="7"/>
      <c r="L91" s="8"/>
      <c r="M91" s="7"/>
      <c r="N91" s="7"/>
    </row>
    <row r="92">
      <c r="A92" s="7" t="str">
        <f>IFERROR(__xludf.DUMMYFUNCTION("""COMPUTED_VALUE"""),"51-FIND")</f>
        <v>51-FIND</v>
      </c>
      <c r="B92" s="7" t="str">
        <f>IFERROR(__xludf.DUMMYFUNCTION("""COMPUTED_VALUE"""),"GOLFer: Smaller LMs-Generated Documents Hallucination Filter &amp; Combiner for Query Expansion in Information Retrieval")</f>
        <v>GOLFer: Smaller LMs-Generated Documents Hallucination Filter &amp; Combiner for Query Expansion in Information Retrieval</v>
      </c>
      <c r="C92" s="7" t="str">
        <f>IFERROR(__xludf.DUMMYFUNCTION("""COMPUTED_VALUE"""),"Large language models (LLMs)-based query expansion for information retrieval augments queries with generated hypothetical documents with LLMs. However, its performance relies heavily on the scale of the language models (LMs), necessitating larger, more ad"&amp;"vanced LLMs. This approach is costly, computationally intensive, and often has limited accessibility. To address these limitations, we introduce GOLFer - Smaller LMs-Generated Documents Hallucination Filter &amp; Combiner - a novel method leveraging smaller o"&amp;"pen-source LMs for query expansion. GOLFer comprises two modules: a hallucination filter and a documents combiner. The former detects and removes non-factual and inconsistent sentences in generated documents, a common issue with smaller LMs, while the lat"&amp;"ter combines the filtered content with the query using a weight vector to balance their influence. We evaluate GOLFer alongside dominant LLMs-based query expansion methods on three web search and ten low-resource datasets. Experimental results demonstrate"&amp;" that GOLFer consistently outperforms other methods using smaller LMs, and maintains competitive performance against methods using large-size LLMs, demonstrating its effectiveness.")</f>
        <v>Large language models (LLMs)-based query expansion for information retrieval augments queries with generated hypothetical documents with LLMs. However, its performance relies heavily on the scale of the language models (LMs), necessitating larger, more advanced LLMs. This approach is costly, computationally intensive, and often has limited accessibility. To address these limitations, we introduce GOLFer - Smaller LMs-Generated Documents Hallucination Filter &amp; Combiner - a novel method leveraging smaller open-source LMs for query expansion. GOLFer comprises two modules: a hallucination filter and a documents combiner. The former detects and removes non-factual and inconsistent sentences in generated documents, a common issue with smaller LMs, while the latter combines the filtered content with the query using a weight vector to balance their influence. We evaluate GOLFer alongside dominant LLMs-based query expansion methods on three web search and ten low-resource datasets. Experimental results demonstrate that GOLFer consistently outperforms other methods using smaller LMs, and maintains competitive performance against methods using large-size LLMs, demonstrating its effectiveness.</v>
      </c>
      <c r="D92" s="7" t="str">
        <f>IFERROR(__xludf.DUMMYFUNCTION("""COMPUTED_VALUE"""),"I do not plan to present.")</f>
        <v>I do not plan to present.</v>
      </c>
      <c r="E92" s="7" t="str">
        <f>IFERROR(__xludf.DUMMYFUNCTION("""COMPUTED_VALUE"""),"#N/A")</f>
        <v>#N/A</v>
      </c>
      <c r="F92" s="7" t="str">
        <f>IFERROR(__xludf.DUMMYFUNCTION("""COMPUTED_VALUE"""),"Not Pres. ")</f>
        <v>Not Pres. </v>
      </c>
      <c r="G92" s="7" t="str">
        <f>IFERROR(__xludf.DUMMYFUNCTION("""COMPUTED_VALUE"""),"NP Findings Not Presenting ")</f>
        <v>NP Findings Not Presenting </v>
      </c>
      <c r="H92" s="7"/>
      <c r="I92" s="7" t="str">
        <f>IFERROR(__xludf.DUMMYFUNCTION("""COMPUTED_VALUE"""),"NP-Find")</f>
        <v>NP-Find</v>
      </c>
      <c r="J92" s="7"/>
      <c r="K92" s="7"/>
      <c r="L92" s="8"/>
      <c r="M92" s="7"/>
      <c r="N92" s="7"/>
    </row>
    <row r="93">
      <c r="A93" s="7" t="str">
        <f>IFERROR(__xludf.DUMMYFUNCTION("""COMPUTED_VALUE"""),"52-FIND")</f>
        <v>52-FIND</v>
      </c>
      <c r="B93" s="7" t="str">
        <f>IFERROR(__xludf.DUMMYFUNCTION("""COMPUTED_VALUE"""),"Exp4Fuse: A Rank Fusion Framework for Enhanced Sparse Retrieval using Large Language Models-based Query Expansion")</f>
        <v>Exp4Fuse: A Rank Fusion Framework for Enhanced Sparse Retrieval using Large Language Models-based Query Expansion</v>
      </c>
      <c r="C93" s="7" t="str">
        <f>IFERROR(__xludf.DUMMYFUNCTION("""COMPUTED_VALUE"""),"Large Language Models (LLMs) have shown potential in generating hypothetical documents for query expansion, thereby enhancing information retrieval performance. However, the efficacy of this method is highly dependent on the quality of the generated docum"&amp;"ents, which often requires complex prompt strategies and the integration of advanced dense retrieval techniques. This can be both costly and computationally intensive. To mitigate these limitations, we explore the use of zero-shot LLM-based query expansio"&amp;"n to improve sparse retrieval, particularly for learned sparse retrievers. We introduce a novel fusion ranking framework, Exp4Fuse, which enhances the performance of sparse retrievers through an indirect application of zero-shot LLM-based query expansion."&amp;" Exp4Fuse operates by simultaneously considering two retrieval routes—one based on the original query and the other on the LLM-augmented query. It then generates two ranked lists using a sparse retriever and fuses them using a modified reciprocal rank fus"&amp;"ion method. We conduct extensive evaluations of Exp4Fuse against leading LLM-based query expansion methods and advanced retrieval techniques on three MS MARCO-related datasets and seven low-resource datasets. Experimental results reveal that Exp4Fuse not "&amp;"only surpasses existing LLM-based query expansion methods in enhancing sparse retrievers but also, when combined with advanced sparse retrievers, achieves SOTA results on several benchmarks. This highlights the superior performance and effectiveness of Ex"&amp;"p4Fuse in improving query expansion for sparse retrieval.")</f>
        <v>Large Language Models (LLMs) have shown potential in generating hypothetical documents for query expansion, thereby enhancing information retrieval performance. However, the efficacy of this method is highly dependent on the quality of the generated documents, which often requires complex prompt strategies and the integration of advanced dense retrieval techniques. This can be both costly and computationally intensive. To mitigate these limitations, we explore the use of zero-shot LLM-based query expansion to improve sparse retrieval, particularly for learned sparse retrievers. We introduce a novel fusion ranking framework, Exp4Fuse, which enhances the performance of sparse retrievers through an indirect application of zero-shot LLM-based query expansion. Exp4Fuse operates by simultaneously considering two retrieval routes—one based on the original query and the other on the LLM-augmented query. It then generates two ranked lists using a sparse retriever and fuses them using a modified reciprocal rank fusion method. We conduct extensive evaluations of Exp4Fuse against leading LLM-based query expansion methods and advanced retrieval techniques on three MS MARCO-related datasets and seven low-resource datasets. Experimental results reveal that Exp4Fuse not only surpasses existing LLM-based query expansion methods in enhancing sparse retrievers but also, when combined with advanced sparse retrievers, achieves SOTA results on several benchmarks. This highlights the superior performance and effectiveness of Exp4Fuse in improving query expansion for sparse retrieval.</v>
      </c>
      <c r="D93" s="7" t="str">
        <f>IFERROR(__xludf.DUMMYFUNCTION("""COMPUTED_VALUE"""),"I do not plan to present.")</f>
        <v>I do not plan to present.</v>
      </c>
      <c r="E93" s="7" t="str">
        <f>IFERROR(__xludf.DUMMYFUNCTION("""COMPUTED_VALUE"""),"#N/A")</f>
        <v>#N/A</v>
      </c>
      <c r="F93" s="7" t="str">
        <f>IFERROR(__xludf.DUMMYFUNCTION("""COMPUTED_VALUE"""),"Not Pres. ")</f>
        <v>Not Pres. </v>
      </c>
      <c r="G93" s="7" t="str">
        <f>IFERROR(__xludf.DUMMYFUNCTION("""COMPUTED_VALUE"""),"NP Findings Not Presenting ")</f>
        <v>NP Findings Not Presenting </v>
      </c>
      <c r="H93" s="7"/>
      <c r="I93" s="7" t="str">
        <f>IFERROR(__xludf.DUMMYFUNCTION("""COMPUTED_VALUE"""),"NP-Find")</f>
        <v>NP-Find</v>
      </c>
      <c r="J93" s="7"/>
      <c r="K93" s="7"/>
      <c r="L93" s="8"/>
      <c r="M93" s="7"/>
      <c r="N93" s="7"/>
    </row>
    <row r="94">
      <c r="A94" s="7" t="str">
        <f>IFERROR(__xludf.DUMMYFUNCTION("""COMPUTED_VALUE"""),"54-FIND")</f>
        <v>54-FIND</v>
      </c>
      <c r="B94" s="7" t="str">
        <f>IFERROR(__xludf.DUMMYFUNCTION("""COMPUTED_VALUE"""),"Emo Pillars: Knowledge Distillation to Support Fine-Grained Context-Aware and Context-Less Emotion Classification")</f>
        <v>Emo Pillars: Knowledge Distillation to Support Fine-Grained Context-Aware and Context-Less Emotion Classification</v>
      </c>
      <c r="C94" s="7" t="str">
        <f>IFERROR(__xludf.DUMMYFUNCTION("""COMPUTED_VALUE"""),"Most datasets for sentiment analysis lack context in which an opinion was expressed, often crucial for emotion understanding, and are mainly limited by a few emotion categories. Foundation large language models (LLMs) like GPT-4 suffer from over-predictin"&amp;"g emotions and are too resource-intensive. We design an LLM-based data synthesis pipeline and leverage a large model, Mistral-7b, for the generation of training examples for more accessible, lightweight BERT-type encoder models. We focus on enlarging the "&amp;"semantic diversity of examples and propose grounding the generation into a corpus of narratives to produce non-repetitive story-character-centered utterances with unique contexts over 28 emotion classes. By running 700K inferences in 450 GPU hours, we con"&amp;"tribute with the dataset of 100K contextual and also 300K context-less examples to cover both scenarios. We use it for fine-tuning pre-trained encoders, which results in several Emo Pillars models. We show that Emo Pillars models are highly adaptive to ne"&amp;"w domains when tuned to specific tasks such as GoEmotions, ISEAR, IEMOCAP, and EmoContext, reaching the SOTA performance on the first three. We also validate our dataset, conducting statistical analysis and human evaluation, and confirm the success of our"&amp;" measures in utterance diversification (although less for the neutral class) and context personalization, while pointing out the need for improved handling of out-of-taxonomy labels within the pipeline.")</f>
        <v>Most datasets for sentiment analysis lack context in which an opinion was expressed, often crucial for emotion understanding, and are mainly limited by a few emotion categories. Foundation large language models (LLMs) like GPT-4 suffer from over-predicting emotions and are too resource-intensive. We design an LLM-based data synthesis pipeline and leverage a large model, Mistral-7b, for the generation of training examples for more accessible, lightweight BERT-type encoder models. We focus on enlarging the semantic diversity of examples and propose grounding the generation into a corpus of narratives to produce non-repetitive story-character-centered utterances with unique contexts over 28 emotion classes. By running 700K inferences in 450 GPU hours, we contribute with the dataset of 100K contextual and also 300K context-less examples to cover both scenarios. We use it for fine-tuning pre-trained encoders, which results in several Emo Pillars models. We show that Emo Pillars models are highly adaptive to new domains when tuned to specific tasks such as GoEmotions, ISEAR, IEMOCAP, and EmoContext, reaching the SOTA performance on the first three. We also validate our dataset, conducting statistical analysis and human evaluation, and confirm the success of our measures in utterance diversification (although less for the neutral class) and context personalization, while pointing out the need for improved handling of out-of-taxonomy labels within the pipeline.</v>
      </c>
      <c r="D94" s="7" t="str">
        <f>IFERROR(__xludf.DUMMYFUNCTION("""COMPUTED_VALUE"""),"Alexander Shvets")</f>
        <v>Alexander Shvets</v>
      </c>
      <c r="E94" s="7" t="str">
        <f>IFERROR(__xludf.DUMMYFUNCTION("""COMPUTED_VALUE"""),"Yes")</f>
        <v>Yes</v>
      </c>
      <c r="F94" s="7" t="str">
        <f>IFERROR(__xludf.DUMMYFUNCTION("""COMPUTED_VALUE"""),"V-Presentation")</f>
        <v>V-Presentation</v>
      </c>
      <c r="G94" s="7" t="str">
        <f>IFERROR(__xludf.DUMMYFUNCTION("""COMPUTED_VALUE"""),"Virtual/Gather")</f>
        <v>Virtual/Gather</v>
      </c>
      <c r="H94" s="7" t="str">
        <f>IFERROR(__xludf.DUMMYFUNCTION("""COMPUTED_VALUE"""),"Gather")</f>
        <v>Gather</v>
      </c>
      <c r="I94" s="7" t="str">
        <f>IFERROR(__xludf.DUMMYFUNCTION("""COMPUTED_VALUE"""),"Session5: V-Gather Find")</f>
        <v>Session5: V-Gather Find</v>
      </c>
      <c r="J94" s="7" t="str">
        <f>IFERROR(__xludf.DUMMYFUNCTION("""COMPUTED_VALUE"""),"Findings Posters - Virtual")</f>
        <v>Findings Posters - Virtual</v>
      </c>
      <c r="K94" s="7"/>
      <c r="L94" s="8">
        <f>IFERROR(__xludf.DUMMYFUNCTION("""COMPUTED_VALUE"""),45866.0)</f>
        <v>45866</v>
      </c>
      <c r="M94" s="7" t="str">
        <f>IFERROR(__xludf.DUMMYFUNCTION("""COMPUTED_VALUE"""),"18:00-19:30")</f>
        <v>18:00-19:30</v>
      </c>
      <c r="N94" s="7"/>
    </row>
    <row r="95">
      <c r="A95" s="7" t="str">
        <f>IFERROR(__xludf.DUMMYFUNCTION("""COMPUTED_VALUE"""),"60-FIND")</f>
        <v>60-FIND</v>
      </c>
      <c r="B95" s="7" t="str">
        <f>IFERROR(__xludf.DUMMYFUNCTION("""COMPUTED_VALUE"""),"Multi-Prompting Decoder Helps Better Language Understanding")</f>
        <v>Multi-Prompting Decoder Helps Better Language Understanding</v>
      </c>
      <c r="C95" s="7" t="str">
        <f>IFERROR(__xludf.DUMMYFUNCTION("""COMPUTED_VALUE"""),"Recent large Pre-trained Language Models (PLMs) usually only provide users with the inference APIs, namely the emerging Model-as-a-Service (MaaS) setting. To adapt MaaS PLMs to downstream tasks without accessing their parameters and gradients, some existi"&amp;"ng methods focus on the output-side adaptation of PLMs, viewing the PLM as an encoder and then optimizing a task-specific decoder for decoding the output hidden states and class scores of the PLM. Despite the effectiveness of these methods, they only use "&amp;"a single prompt to query PLMs for decoding, leading to a heavy reliance on the quality of the adopted prompt. In this paper, we propose a simple yet effective Multi-Prompting Decoder (MPD) framework for MaaS adaptation. The core idea is to query PLMs with"&amp;" multiple different prompts for each sample, thereby obtaining multiple output hidden states and class scores from PLMs for subsequent decoding. Such multi-prompting decoding paradigm can simultaneously mitigate reliance on the quality of a single prompt,"&amp;" alleviate the issue of data scarcity under the few-shot setting, and provide richer knowledge extracted from PLMs. Specifically, we propose two decoding strategies: multi-prompting decoding with optimal transport for hidden states and calibrated decoding"&amp;" for class scores. Extensive experiments demonstrate that our method achieves new state-of-the-art results on multiple natural language understanding datasets under the few-shot setting.")</f>
        <v>Recent large Pre-trained Language Models (PLMs) usually only provide users with the inference APIs, namely the emerging Model-as-a-Service (MaaS) setting. To adapt MaaS PLMs to downstream tasks without accessing their parameters and gradients, some existing methods focus on the output-side adaptation of PLMs, viewing the PLM as an encoder and then optimizing a task-specific decoder for decoding the output hidden states and class scores of the PLM. Despite the effectiveness of these methods, they only use a single prompt to query PLMs for decoding, leading to a heavy reliance on the quality of the adopted prompt. In this paper, we propose a simple yet effective Multi-Prompting Decoder (MPD) framework for MaaS adaptation. The core idea is to query PLMs with multiple different prompts for each sample, thereby obtaining multiple output hidden states and class scores from PLMs for subsequent decoding. Such multi-prompting decoding paradigm can simultaneously mitigate reliance on the quality of a single prompt, alleviate the issue of data scarcity under the few-shot setting, and provide richer knowledge extracted from PLMs. Specifically, we propose two decoding strategies: multi-prompting decoding with optimal transport for hidden states and calibrated decoding for class scores. Extensive experiments demonstrate that our method achieves new state-of-the-art results on multiple natural language understanding datasets under the few-shot setting.</v>
      </c>
      <c r="D95" s="7" t="str">
        <f>IFERROR(__xludf.DUMMYFUNCTION("""COMPUTED_VALUE"""),"Zifeng Cheng")</f>
        <v>Zifeng Cheng</v>
      </c>
      <c r="E95" s="7" t="str">
        <f>IFERROR(__xludf.DUMMYFUNCTION("""COMPUTED_VALUE"""),"Yes")</f>
        <v>Yes</v>
      </c>
      <c r="F95" s="7" t="str">
        <f>IFERROR(__xludf.DUMMYFUNCTION("""COMPUTED_VALUE"""),"IP-Poster")</f>
        <v>IP-Poster</v>
      </c>
      <c r="G95" s="7" t="str">
        <f>IFERROR(__xludf.DUMMYFUNCTION("""COMPUTED_VALUE"""),"In-Person")</f>
        <v>In-Person</v>
      </c>
      <c r="H95" s="7" t="str">
        <f>IFERROR(__xludf.DUMMYFUNCTION("""COMPUTED_VALUE"""),"Hall 4/5")</f>
        <v>Hall 4/5</v>
      </c>
      <c r="I95" s="7" t="str">
        <f>IFERROR(__xludf.DUMMYFUNCTION("""COMPUTED_VALUE"""),"Session 5 :IP-Posters Find ")</f>
        <v>Session 5 :IP-Posters Find </v>
      </c>
      <c r="J95" s="7" t="str">
        <f>IFERROR(__xludf.DUMMYFUNCTION("""COMPUTED_VALUE"""),"Findings Posters - In-Person 1")</f>
        <v>Findings Posters - In-Person 1</v>
      </c>
      <c r="K95" s="7"/>
      <c r="L95" s="8">
        <f>IFERROR(__xludf.DUMMYFUNCTION("""COMPUTED_VALUE"""),45866.0)</f>
        <v>45866</v>
      </c>
      <c r="M95" s="7" t="str">
        <f>IFERROR(__xludf.DUMMYFUNCTION("""COMPUTED_VALUE"""),"18:00-19:30")</f>
        <v>18:00-19:30</v>
      </c>
      <c r="N95" s="7"/>
    </row>
    <row r="96">
      <c r="A96" s="7" t="str">
        <f>IFERROR(__xludf.DUMMYFUNCTION("""COMPUTED_VALUE"""),"64-FIND")</f>
        <v>64-FIND</v>
      </c>
      <c r="B96" s="7" t="str">
        <f>IFERROR(__xludf.DUMMYFUNCTION("""COMPUTED_VALUE"""),"Visual Cues Enhance Predictive Turn-Taking for Two-Party Human Interaction")</f>
        <v>Visual Cues Enhance Predictive Turn-Taking for Two-Party Human Interaction</v>
      </c>
      <c r="C96" s="7" t="str">
        <f>IFERROR(__xludf.DUMMYFUNCTION("""COMPUTED_VALUE"""),"Turn-taking is richly multimodal. Predictive turn-taking models (PTTMs) facilitate natural- istic human-robot interaction, yet most rely solely on speech. We introduce MM-VAP, a multimodal PTTM which combines speech with visual cues including facial expre"&amp;"ssion, head pose and gaze. We find that it outperforms the state-of-the-art audio-only in videoconfer- encing interactions (84% vs. 79% hold/shift prediction accuracy). Unlike prior work which aggregates all holds and shifts, we group by duration of silen"&amp;"ce between turns. This reveals that through the inclusion of visual features, MM-VAP outperforms a state-of-the-art audio- only turn-taking model across all durations of speaker transitions. We conduct a detailed abla- tion study, which reveals that facia"&amp;"l expression features contribute the most to model perfor- mance. Thus, our working hypothesis is that when interlocutors can see one another, visual cues are vital for turn-taking and must therefore be included for accurate turn-taking prediction. We add"&amp;"itionally validate the suitability of au- tomatic speech alignment for PTTM training using telephone speech. This work represents the first comprehensive analysis of multimodal PTTMs. We discuss implications for future work and make all code publicly avai"&amp;"lable.")</f>
        <v>Turn-taking is richly multimodal. Predictive turn-taking models (PTTMs) facilitate natural- istic human-robot interaction, yet most rely solely on speech. We introduce MM-VAP, a multimodal PTTM which combines speech with visual cues including facial expression, head pose and gaze. We find that it outperforms the state-of-the-art audio-only in videoconfer- encing interactions (84% vs. 79% hold/shift prediction accuracy). Unlike prior work which aggregates all holds and shifts, we group by duration of silence between turns. This reveals that through the inclusion of visual features, MM-VAP outperforms a state-of-the-art audio- only turn-taking model across all durations of speaker transitions. We conduct a detailed abla- tion study, which reveals that facial expression features contribute the most to model perfor- mance. Thus, our working hypothesis is that when interlocutors can see one another, visual cues are vital for turn-taking and must therefore be included for accurate turn-taking prediction. We additionally validate the suitability of au- tomatic speech alignment for PTTM training using telephone speech. This work represents the first comprehensive analysis of multimodal PTTMs. We discuss implications for future work and make all code publicly available.</v>
      </c>
      <c r="D96" s="7" t="str">
        <f>IFERROR(__xludf.DUMMYFUNCTION("""COMPUTED_VALUE"""),"n/a")</f>
        <v>n/a</v>
      </c>
      <c r="E96" s="7" t="str">
        <f>IFERROR(__xludf.DUMMYFUNCTION("""COMPUTED_VALUE"""),"#N/A")</f>
        <v>#N/A</v>
      </c>
      <c r="F96" s="7" t="str">
        <f>IFERROR(__xludf.DUMMYFUNCTION("""COMPUTED_VALUE"""),"Not Pres. ")</f>
        <v>Not Pres. </v>
      </c>
      <c r="G96" s="7" t="str">
        <f>IFERROR(__xludf.DUMMYFUNCTION("""COMPUTED_VALUE"""),"NP Findings Not Presenting ")</f>
        <v>NP Findings Not Presenting </v>
      </c>
      <c r="H96" s="7"/>
      <c r="I96" s="7" t="str">
        <f>IFERROR(__xludf.DUMMYFUNCTION("""COMPUTED_VALUE"""),"NP-Find")</f>
        <v>NP-Find</v>
      </c>
      <c r="J96" s="7"/>
      <c r="K96" s="7"/>
      <c r="L96" s="8"/>
      <c r="M96" s="7"/>
      <c r="N96" s="7"/>
    </row>
    <row r="97">
      <c r="A97" s="7" t="str">
        <f>IFERROR(__xludf.DUMMYFUNCTION("""COMPUTED_VALUE"""),"66-FIND")</f>
        <v>66-FIND</v>
      </c>
      <c r="B97" s="7" t="str">
        <f>IFERROR(__xludf.DUMMYFUNCTION("""COMPUTED_VALUE"""),"The Right Time Matters: Data Arrangement Affects Zero-Shot Generalization in Instruction Tuning")</f>
        <v>The Right Time Matters: Data Arrangement Affects Zero-Shot Generalization in Instruction Tuning</v>
      </c>
      <c r="C97" s="7" t="str">
        <f>IFERROR(__xludf.DUMMYFUNCTION("""COMPUTED_VALUE"""),"Understanding alignment techniques begins with comprehending zero-shot generalization brought by instruction tuning, but little of the mechanism has been understood. Existing work has largely been confined to the task level, without considering that tasks"&amp;" are artificially defined and, to LLMs, merely consist of tokens and representations. To bridge this gap, we investigate zero-shot generalization from the perspective of the data itself. We first demonstrate that zero-shot generalization happens very earl"&amp;"y during instruction tuning, with loss serving as a stable indicator. Next, we investigate training data arrangement through similarity and granularity perspectives, confirming that the timing of exposure to certain training examples may greatly facilitat"&amp;"e generalization on unseen tasks. Finally, we propose a more grounded training data arrangement framework, Test-centric Multi-turn Arrangement, and show its effectiveness in promoting continual learning and further loss reduction. For the first time, we s"&amp;"how that zero-shot generalization during instruction tuning is a form of similarity-based generalization between training and test data at the instance level.")</f>
        <v>Understanding alignment techniques begins with comprehending zero-shot generalization brought by instruction tuning, but little of the mechanism has been understood. Existing work has largely been confined to the task level, without considering that tasks are artificially defined and, to LLMs, merely consist of tokens and representations. To bridge this gap, we investigate zero-shot generalization from the perspective of the data itself. We first demonstrate that zero-shot generalization happens very early during instruction tuning, with loss serving as a stable indicator. Next, we investigate training data arrangement through similarity and granularity perspectives, confirming that the timing of exposure to certain training examples may greatly facilitate generalization on unseen tasks. Finally, we propose a more grounded training data arrangement framework, Test-centric Multi-turn Arrangement, and show its effectiveness in promoting continual learning and further loss reduction. For the first time, we show that zero-shot generalization during instruction tuning is a form of similarity-based generalization between training and test data at the instance level.</v>
      </c>
      <c r="D97" s="7" t="str">
        <f>IFERROR(__xludf.DUMMYFUNCTION("""COMPUTED_VALUE"""),"Bingxiang He")</f>
        <v>Bingxiang He</v>
      </c>
      <c r="E97" s="7" t="str">
        <f>IFERROR(__xludf.DUMMYFUNCTION("""COMPUTED_VALUE"""),"Yes")</f>
        <v>Yes</v>
      </c>
      <c r="F97" s="7" t="str">
        <f>IFERROR(__xludf.DUMMYFUNCTION("""COMPUTED_VALUE"""),"IP-Poster")</f>
        <v>IP-Poster</v>
      </c>
      <c r="G97" s="7" t="str">
        <f>IFERROR(__xludf.DUMMYFUNCTION("""COMPUTED_VALUE"""),"In-Person")</f>
        <v>In-Person</v>
      </c>
      <c r="H97" s="7" t="str">
        <f>IFERROR(__xludf.DUMMYFUNCTION("""COMPUTED_VALUE"""),"Hall 4/5")</f>
        <v>Hall 4/5</v>
      </c>
      <c r="I97" s="7" t="str">
        <f>IFERROR(__xludf.DUMMYFUNCTION("""COMPUTED_VALUE"""),"Session 5 :IP-Posters Find ")</f>
        <v>Session 5 :IP-Posters Find </v>
      </c>
      <c r="J97" s="7" t="str">
        <f>IFERROR(__xludf.DUMMYFUNCTION("""COMPUTED_VALUE"""),"Findings Posters - In-Person 1")</f>
        <v>Findings Posters - In-Person 1</v>
      </c>
      <c r="K97" s="7"/>
      <c r="L97" s="8">
        <f>IFERROR(__xludf.DUMMYFUNCTION("""COMPUTED_VALUE"""),45866.0)</f>
        <v>45866</v>
      </c>
      <c r="M97" s="7" t="str">
        <f>IFERROR(__xludf.DUMMYFUNCTION("""COMPUTED_VALUE"""),"18:00-19:30")</f>
        <v>18:00-19:30</v>
      </c>
      <c r="N97" s="7"/>
    </row>
    <row r="98">
      <c r="A98" s="7" t="str">
        <f>IFERROR(__xludf.DUMMYFUNCTION("""COMPUTED_VALUE"""),"72-FIND")</f>
        <v>72-FIND</v>
      </c>
      <c r="B98" s="7" t="str">
        <f>IFERROR(__xludf.DUMMYFUNCTION("""COMPUTED_VALUE"""),"MFinMeeting: A Multilingual, Multi-Sector, and Multi-Task Financial Meeting Understanding Evaluation Dataset")</f>
        <v>MFinMeeting: A Multilingual, Multi-Sector, and Multi-Task Financial Meeting Understanding Evaluation Dataset</v>
      </c>
      <c r="C98" s="7" t="str">
        <f>IFERROR(__xludf.DUMMYFUNCTION("""COMPUTED_VALUE"""),"We propose a training-free framework that enables large language models (LLMs) to effectively process long texts, using a divide-and-conquer strategy for comprehensive document understanding.The proposed LLM×MapReduce framework splits the entire document "&amp;"into several chunks for LLMs to read and then aggregates the intermediate outputs to produce the final response. The main challenge for divide-and-conquer long text processing frameworks lies in the risk of losing essential long-range information due to d"&amp;"ocument splitting, which can lead the model to produce incomplete or incorrect answers based on the segmented texts.Disrupted long-range information can be classified into two categories: inter-chunk dependency and inter-chunk conflict.We design a structu"&amp;"red information protocol to better cope with inter-chunk dependency and an in-context confidence calibration mechanism to resolve inter-chunk conflicts. Experiments demonstrate that LLM×MapReduce outperforms representative open-source and commercial long-"&amp;"context LLMs and is compatible with several models.Our framework can also function as a data synthesis engine, capable of generating high-quality long-alignment data using only short-context LLMs.")</f>
        <v>We propose a training-free framework that enables large language models (LLMs) to effectively process long texts, using a divide-and-conquer strategy for comprehensive document understanding.The proposed LLM×MapReduce framework splits the entire document into several chunks for LLMs to read and then aggregates the intermediate outputs to produce the final response. The main challenge for divide-and-conquer long text processing frameworks lies in the risk of losing essential long-range information due to document splitting, which can lead the model to produce incomplete or incorrect answers based on the segmented texts.Disrupted long-range information can be classified into two categories: inter-chunk dependency and inter-chunk conflict.We design a structured information protocol to better cope with inter-chunk dependency and an in-context confidence calibration mechanism to resolve inter-chunk conflicts. Experiments demonstrate that LLM×MapReduce outperforms representative open-source and commercial long-context LLMs and is compatible with several models.Our framework can also function as a data synthesis engine, capable of generating high-quality long-alignment data using only short-context LLMs.</v>
      </c>
      <c r="D98" s="7" t="str">
        <f>IFERROR(__xludf.DUMMYFUNCTION("""COMPUTED_VALUE"""),"Jie Zhu")</f>
        <v>Jie Zhu</v>
      </c>
      <c r="E98" s="7" t="str">
        <f>IFERROR(__xludf.DUMMYFUNCTION("""COMPUTED_VALUE"""),"Yes")</f>
        <v>Yes</v>
      </c>
      <c r="F98" s="7" t="str">
        <f>IFERROR(__xludf.DUMMYFUNCTION("""COMPUTED_VALUE"""),"IP-Poster")</f>
        <v>IP-Poster</v>
      </c>
      <c r="G98" s="7" t="str">
        <f>IFERROR(__xludf.DUMMYFUNCTION("""COMPUTED_VALUE"""),"In-Person")</f>
        <v>In-Person</v>
      </c>
      <c r="H98" s="7" t="str">
        <f>IFERROR(__xludf.DUMMYFUNCTION("""COMPUTED_VALUE"""),"Hall 4/5")</f>
        <v>Hall 4/5</v>
      </c>
      <c r="I98" s="7" t="str">
        <f>IFERROR(__xludf.DUMMYFUNCTION("""COMPUTED_VALUE"""),"Session 5 :IP-Posters Find ")</f>
        <v>Session 5 :IP-Posters Find </v>
      </c>
      <c r="J98" s="7" t="str">
        <f>IFERROR(__xludf.DUMMYFUNCTION("""COMPUTED_VALUE"""),"Findings Posters - In-Person 1")</f>
        <v>Findings Posters - In-Person 1</v>
      </c>
      <c r="K98" s="7"/>
      <c r="L98" s="8">
        <f>IFERROR(__xludf.DUMMYFUNCTION("""COMPUTED_VALUE"""),45866.0)</f>
        <v>45866</v>
      </c>
      <c r="M98" s="7" t="str">
        <f>IFERROR(__xludf.DUMMYFUNCTION("""COMPUTED_VALUE"""),"18:00-19:30")</f>
        <v>18:00-19:30</v>
      </c>
      <c r="N98" s="7"/>
    </row>
    <row r="99">
      <c r="A99" s="7" t="str">
        <f>IFERROR(__xludf.DUMMYFUNCTION("""COMPUTED_VALUE"""),"74-FIND")</f>
        <v>74-FIND</v>
      </c>
      <c r="B99" s="7" t="str">
        <f>IFERROR(__xludf.DUMMYFUNCTION("""COMPUTED_VALUE"""),"ODDA: An OODA-Driven Diverse Data Augmentation Framework for Low-Resource Relation Extraction")</f>
        <v>ODDA: An OODA-Driven Diverse Data Augmentation Framework for Low-Resource Relation Extraction</v>
      </c>
      <c r="C99" s="7" t="str">
        <f>IFERROR(__xludf.DUMMYFUNCTION("""COMPUTED_VALUE"""),"Data Augmentation (DA) has emerged as a promising solution to address the scarcity of high-quality annotated data in low-resource relation extraction (LRE). Leveraging large language models (LLMs), DA has significantly improved the performance of RE model"&amp;"s with considerably fewer parameters. However, existing
DA methods struggle with diversity misalignments, as they neglect the diversity required by the model and generate homogeneous augmentations that do not cover the inter-sample and inter-relation vari"&amp;"ability, leading to suboptimal performance. Inspired by the Observe-Orient-Decide-Act (OODA) framework, which provides a robust theoretical foundation for iterative decision-making under dynamic conditions, we propose an OODA-driven Diverse DA method (ODD"&amp;"A), guiding the data generation and selection process. ODDA first observes the RE model’s behavior to select effective demonstrations for LLMs. Next, it orients LLMs
towards generating diverse data by replacing schema constraints with attribute constraint"&amp;"s. Then ODDA decides on the final augmented dataset with overall diversity from a global search and finally acts to train the RE model. Extensive experiments on three widely-used benchmarks demonstrate that ODDA consistently outperforms state-of-the-art b"&amp;"aselines, achieving average F1 improvements of 3.1% across various LRE scenarios while maintaining enhanced model stability")</f>
        <v>Data Augmentation (DA) has emerged as a promising solution to address the scarcity of high-quality annotated data in low-resource relation extraction (LRE). Leveraging large language models (LLMs), DA has significantly improved the performance of RE models with considerably fewer parameters. However, existing
DA methods struggle with diversity misalignments, as they neglect the diversity required by the model and generate homogeneous augmentations that do not cover the inter-sample and inter-relation variability, leading to suboptimal performance. Inspired by the Observe-Orient-Decide-Act (OODA) framework, which provides a robust theoretical foundation for iterative decision-making under dynamic conditions, we propose an OODA-driven Diverse DA method (ODDA), guiding the data generation and selection process. ODDA first observes the RE model’s behavior to select effective demonstrations for LLMs. Next, it orients LLMs
towards generating diverse data by replacing schema constraints with attribute constraints. Then ODDA decides on the final augmented dataset with overall diversity from a global search and finally acts to train the RE model. Extensive experiments on three widely-used benchmarks demonstrate that ODDA consistently outperforms state-of-the-art baselines, achieving average F1 improvements of 3.1% across various LRE scenarios while maintaining enhanced model stability</v>
      </c>
      <c r="D99" s="7" t="str">
        <f>IFERROR(__xludf.DUMMYFUNCTION("""COMPUTED_VALUE"""),"Yijie Zhong")</f>
        <v>Yijie Zhong</v>
      </c>
      <c r="E99" s="7" t="str">
        <f>IFERROR(__xludf.DUMMYFUNCTION("""COMPUTED_VALUE"""),"Yes")</f>
        <v>Yes</v>
      </c>
      <c r="F99" s="7" t="str">
        <f>IFERROR(__xludf.DUMMYFUNCTION("""COMPUTED_VALUE"""),"IP-Poster")</f>
        <v>IP-Poster</v>
      </c>
      <c r="G99" s="7" t="str">
        <f>IFERROR(__xludf.DUMMYFUNCTION("""COMPUTED_VALUE"""),"In-Person")</f>
        <v>In-Person</v>
      </c>
      <c r="H99" s="7" t="str">
        <f>IFERROR(__xludf.DUMMYFUNCTION("""COMPUTED_VALUE"""),"Hall 4/5")</f>
        <v>Hall 4/5</v>
      </c>
      <c r="I99" s="7" t="str">
        <f>IFERROR(__xludf.DUMMYFUNCTION("""COMPUTED_VALUE"""),"Session 5 :IP-Posters Find ")</f>
        <v>Session 5 :IP-Posters Find </v>
      </c>
      <c r="J99" s="7" t="str">
        <f>IFERROR(__xludf.DUMMYFUNCTION("""COMPUTED_VALUE"""),"Findings Posters - In-Person 1")</f>
        <v>Findings Posters - In-Person 1</v>
      </c>
      <c r="K99" s="7"/>
      <c r="L99" s="8">
        <f>IFERROR(__xludf.DUMMYFUNCTION("""COMPUTED_VALUE"""),45866.0)</f>
        <v>45866</v>
      </c>
      <c r="M99" s="7" t="str">
        <f>IFERROR(__xludf.DUMMYFUNCTION("""COMPUTED_VALUE"""),"18:00-19:30")</f>
        <v>18:00-19:30</v>
      </c>
      <c r="N99" s="7"/>
    </row>
    <row r="100">
      <c r="A100" s="7" t="str">
        <f>IFERROR(__xludf.DUMMYFUNCTION("""COMPUTED_VALUE"""),"77-FIND")</f>
        <v>77-FIND</v>
      </c>
      <c r="B100" s="7" t="str">
        <f>IFERROR(__xludf.DUMMYFUNCTION("""COMPUTED_VALUE"""),"Detecting and Mitigating Challenges in Zero-Shot Video Summarization with Video LLMs")</f>
        <v>Detecting and Mitigating Challenges in Zero-Shot Video Summarization with Video LLMs</v>
      </c>
      <c r="C100" s="7" t="str">
        <f>IFERROR(__xludf.DUMMYFUNCTION("""COMPUTED_VALUE"""),"Video summarization aims to generate a condensed textual version of an original video. Summaries may consist of either plain text or a shortlist of salient events, possibly including temporal or spatial references. Video Large Language Models (VLLMs) exhi"&amp;"bit impressive zero-shot capabilities in video analysis. However, their performance varies significantly according to the LLM prompt, the characteristics of the video, and the properties of the training data and LLM architecture.In this work, we thoroughl"&amp;"y evaluate the zero-shot summarization performance of four state-of-the-art open-source VLLMs specifically designed to address spatial and temporal reasoning. In light of the detected summarization issues, we propose different cost-effective mitigation st"&amp;"rategies, based on Chain-of-Thought prompting, that involve the injection of knowledge extracted by external, lightweight models. To perform the VLLM evaluation, we design a new video summarization benchmark consisting of 100 videos with varying character"&amp;"istics in terms of domain, duration, and spatio-temporal properties. Videos are manually annotated by three independent human experts with plain text, event-based, and spatio-temporal summaries. The experimental evaluation shows that VLLMs significantly b"&amp;"enefit from prompting a list of recognized actions, whereas injecting automatically recognized objects and scene changes respectively improve spatially contextualized and event-based summaries in specific cases.")</f>
        <v>Video summarization aims to generate a condensed textual version of an original video. Summaries may consist of either plain text or a shortlist of salient events, possibly including temporal or spatial references. Video Large Language Models (VLLMs) exhibit impressive zero-shot capabilities in video analysis. However, their performance varies significantly according to the LLM prompt, the characteristics of the video, and the properties of the training data and LLM architecture.In this work, we thoroughly evaluate the zero-shot summarization performance of four state-of-the-art open-source VLLMs specifically designed to address spatial and temporal reasoning. In light of the detected summarization issues, we propose different cost-effective mitigation strategies, based on Chain-of-Thought prompting, that involve the injection of knowledge extracted by external, lightweight models. To perform the VLLM evaluation, we design a new video summarization benchmark consisting of 100 videos with varying characteristics in terms of domain, duration, and spatio-temporal properties. Videos are manually annotated by three independent human experts with plain text, event-based, and spatio-temporal summaries. The experimental evaluation shows that VLLMs significantly benefit from prompting a list of recognized actions, whereas injecting automatically recognized objects and scene changes respectively improve spatially contextualized and event-based summaries in specific cases.</v>
      </c>
      <c r="D100" s="7" t="str">
        <f>IFERROR(__xludf.DUMMYFUNCTION("""COMPUTED_VALUE"""),"Luca Cagliero")</f>
        <v>Luca Cagliero</v>
      </c>
      <c r="E100" s="7" t="str">
        <f>IFERROR(__xludf.DUMMYFUNCTION("""COMPUTED_VALUE"""),"Yes")</f>
        <v>Yes</v>
      </c>
      <c r="F100" s="7" t="str">
        <f>IFERROR(__xludf.DUMMYFUNCTION("""COMPUTED_VALUE"""),"IP-Poster")</f>
        <v>IP-Poster</v>
      </c>
      <c r="G100" s="7" t="str">
        <f>IFERROR(__xludf.DUMMYFUNCTION("""COMPUTED_VALUE"""),"In-Person")</f>
        <v>In-Person</v>
      </c>
      <c r="H100" s="7" t="str">
        <f>IFERROR(__xludf.DUMMYFUNCTION("""COMPUTED_VALUE"""),"Hall 4/5")</f>
        <v>Hall 4/5</v>
      </c>
      <c r="I100" s="7" t="str">
        <f>IFERROR(__xludf.DUMMYFUNCTION("""COMPUTED_VALUE"""),"Session 5 :IP-Posters Find ")</f>
        <v>Session 5 :IP-Posters Find </v>
      </c>
      <c r="J100" s="7" t="str">
        <f>IFERROR(__xludf.DUMMYFUNCTION("""COMPUTED_VALUE"""),"Findings Posters - In-Person 1")</f>
        <v>Findings Posters - In-Person 1</v>
      </c>
      <c r="K100" s="7"/>
      <c r="L100" s="8">
        <f>IFERROR(__xludf.DUMMYFUNCTION("""COMPUTED_VALUE"""),45866.0)</f>
        <v>45866</v>
      </c>
      <c r="M100" s="7" t="str">
        <f>IFERROR(__xludf.DUMMYFUNCTION("""COMPUTED_VALUE"""),"18:00-19:30")</f>
        <v>18:00-19:30</v>
      </c>
      <c r="N100" s="7"/>
    </row>
    <row r="101">
      <c r="A101" s="7" t="str">
        <f>IFERROR(__xludf.DUMMYFUNCTION("""COMPUTED_VALUE"""),"79-FIND")</f>
        <v>79-FIND</v>
      </c>
      <c r="B101" s="7" t="str">
        <f>IFERROR(__xludf.DUMMYFUNCTION("""COMPUTED_VALUE"""),"Entity Framing and Role Portrayal in the News")</f>
        <v>Entity Framing and Role Portrayal in the News</v>
      </c>
      <c r="C101" s="7" t="str">
        <f>IFERROR(__xludf.DUMMYFUNCTION("""COMPUTED_VALUE"""),"We introduce a novel multilingual and hierarchical corpus annotated for entity framing and role portrayal in news articles. The dataset uses a unique taxonomy inspired by storytelling elements, comprising 22 fine-grained roles, or archetypes, nested withi"&amp;"n three main categories: protagonist, antagonist, and innocent. Each archetype is carefully defined, capturing nuanced portrayals of entities such as guardian, martyr, and underdog for protagonists; tyrant, deceiver, and bigot for antagonists; and victim,"&amp;" scapegoat, and exploited for innocents. The dataset includes 1,378 recent news articles in five languages (Bulgarian, English, Hindi, European Portuguese, and Russian) focusing on two critical domains of global significance: the Ukraine-Russia War and Cl"&amp;"imate Change. Over 5,800 entity mentions have been annotated with role labels. This dataset serves as a valuable resource for research into role portrayal and has broader implications for news analysis. We describe the characteristics of the dataset and t"&amp;"he annotation process, and we report evaluation results on fine-tuned state-of-the-art multilingual transformers and hierarchical zero-shot learning using LLMs at the level of a document, a paragraph, and a sentence.")</f>
        <v>We introduce a novel multilingual and hierarchical corpus annotated for entity framing and role portrayal in news articles. The dataset uses a unique taxonomy inspired by storytelling elements, comprising 22 fine-grained roles, or archetypes, nested within three main categories: protagonist, antagonist, and innocent. Each archetype is carefully defined, capturing nuanced portrayals of entities such as guardian, martyr, and underdog for protagonists; tyrant, deceiver, and bigot for antagonists; and victim, scapegoat, and exploited for innocents. The dataset includes 1,378 recent news articles in five languages (Bulgarian, English, Hindi, European Portuguese, and Russian) focusing on two critical domains of global significance: the Ukraine-Russia War and Climate Change. Over 5,800 entity mentions have been annotated with role labels. This dataset serves as a valuable resource for research into role portrayal and has broader implications for news analysis. We describe the characteristics of the dataset and the annotation process, and we report evaluation results on fine-tuned state-of-the-art multilingual transformers and hierarchical zero-shot learning using LLMs at the level of a document, a paragraph, and a sentence.</v>
      </c>
      <c r="D101" s="7" t="str">
        <f>IFERROR(__xludf.DUMMYFUNCTION("""COMPUTED_VALUE"""),"Preslav Nakov")</f>
        <v>Preslav Nakov</v>
      </c>
      <c r="E101" s="7" t="str">
        <f>IFERROR(__xludf.DUMMYFUNCTION("""COMPUTED_VALUE"""),"Yes")</f>
        <v>Yes</v>
      </c>
      <c r="F101" s="7" t="str">
        <f>IFERROR(__xludf.DUMMYFUNCTION("""COMPUTED_VALUE"""),"IP-Poster")</f>
        <v>IP-Poster</v>
      </c>
      <c r="G101" s="7" t="str">
        <f>IFERROR(__xludf.DUMMYFUNCTION("""COMPUTED_VALUE"""),"In-Person")</f>
        <v>In-Person</v>
      </c>
      <c r="H101" s="7" t="str">
        <f>IFERROR(__xludf.DUMMYFUNCTION("""COMPUTED_VALUE"""),"Hall 4/5")</f>
        <v>Hall 4/5</v>
      </c>
      <c r="I101" s="7" t="str">
        <f>IFERROR(__xludf.DUMMYFUNCTION("""COMPUTED_VALUE"""),"Session 5 :IP-Posters Find ")</f>
        <v>Session 5 :IP-Posters Find </v>
      </c>
      <c r="J101" s="7" t="str">
        <f>IFERROR(__xludf.DUMMYFUNCTION("""COMPUTED_VALUE"""),"Findings Posters - In-Person 1")</f>
        <v>Findings Posters - In-Person 1</v>
      </c>
      <c r="K101" s="7"/>
      <c r="L101" s="8">
        <f>IFERROR(__xludf.DUMMYFUNCTION("""COMPUTED_VALUE"""),45866.0)</f>
        <v>45866</v>
      </c>
      <c r="M101" s="7" t="str">
        <f>IFERROR(__xludf.DUMMYFUNCTION("""COMPUTED_VALUE"""),"18:00-19:30")</f>
        <v>18:00-19:30</v>
      </c>
      <c r="N101" s="7"/>
    </row>
    <row r="102">
      <c r="A102" s="7" t="str">
        <f>IFERROR(__xludf.DUMMYFUNCTION("""COMPUTED_VALUE"""),"82-FIND")</f>
        <v>82-FIND</v>
      </c>
      <c r="B102" s="7" t="str">
        <f>IFERROR(__xludf.DUMMYFUNCTION("""COMPUTED_VALUE"""),"Derailer-Rerailer: Adaptive Verification for Efficient and Reliable Language Model Reasoning")</f>
        <v>Derailer-Rerailer: Adaptive Verification for Efficient and Reliable Language Model Reasoning</v>
      </c>
      <c r="C102" s="7" t="str">
        <f>IFERROR(__xludf.DUMMYFUNCTION("""COMPUTED_VALUE"""),"Large Language Models (LLMs) have shown impressive reasoning capabilities, yet existing prompting methods face a critical trade-off: simple approaches often struggle with complex tasks and reasoning stability, while more sophisticated methods require mult"&amp;"iple inferences and substantial computational resources, limiting their practical deployment. To address this challenge, we propose Derailer-Rerailer, a novel framework that adaptively balances reasoning accuracy and computational efficiency. At its core,"&amp;" our framework employs a lightweight Derailer mechanism to assess reasoning stability and selectively triggers an advanced Rerailer verification process only when necessary, thereby optimizing computational resource usage. Extensive evaluation across both"&amp;" open and closed-source models on more than 20 categories of mathematical, symbolic, and commonsense reasoning tasks demonstrates our framework's effectiveness: Derailer-Rerailer achieves significant accuracy improvements (8-11% across various reasoning t"&amp;"asks) while maintaining 2-3 times better efficiency than existing verification methods, with particularly strong performance in mathematical and symbolic reasoning, offering a practical solution for enhancing LLM reasoning reliability while significantly "&amp;"reducing computational overhead.")</f>
        <v>Large Language Models (LLMs) have shown impressive reasoning capabilities, yet existing prompting methods face a critical trade-off: simple approaches often struggle with complex tasks and reasoning stability, while more sophisticated methods require multiple inferences and substantial computational resources, limiting their practical deployment. To address this challenge, we propose Derailer-Rerailer, a novel framework that adaptively balances reasoning accuracy and computational efficiency. At its core, our framework employs a lightweight Derailer mechanism to assess reasoning stability and selectively triggers an advanced Rerailer verification process only when necessary, thereby optimizing computational resource usage. Extensive evaluation across both open and closed-source models on more than 20 categories of mathematical, symbolic, and commonsense reasoning tasks demonstrates our framework's effectiveness: Derailer-Rerailer achieves significant accuracy improvements (8-11% across various reasoning tasks) while maintaining 2-3 times better efficiency than existing verification methods, with particularly strong performance in mathematical and symbolic reasoning, offering a practical solution for enhancing LLM reasoning reliability while significantly reducing computational overhead.</v>
      </c>
      <c r="D102" s="7" t="str">
        <f>IFERROR(__xludf.DUMMYFUNCTION("""COMPUTED_VALUE"""),"Yuqi Wu")</f>
        <v>Yuqi Wu</v>
      </c>
      <c r="E102" s="7" t="str">
        <f>IFERROR(__xludf.DUMMYFUNCTION("""COMPUTED_VALUE"""),"Yes")</f>
        <v>Yes</v>
      </c>
      <c r="F102" s="7" t="str">
        <f>IFERROR(__xludf.DUMMYFUNCTION("""COMPUTED_VALUE"""),"IP-Poster")</f>
        <v>IP-Poster</v>
      </c>
      <c r="G102" s="7" t="str">
        <f>IFERROR(__xludf.DUMMYFUNCTION("""COMPUTED_VALUE"""),"In-Person")</f>
        <v>In-Person</v>
      </c>
      <c r="H102" s="7" t="str">
        <f>IFERROR(__xludf.DUMMYFUNCTION("""COMPUTED_VALUE"""),"Hall 4/5")</f>
        <v>Hall 4/5</v>
      </c>
      <c r="I102" s="7" t="str">
        <f>IFERROR(__xludf.DUMMYFUNCTION("""COMPUTED_VALUE"""),"Session 5 :IP-Posters Find ")</f>
        <v>Session 5 :IP-Posters Find </v>
      </c>
      <c r="J102" s="7" t="str">
        <f>IFERROR(__xludf.DUMMYFUNCTION("""COMPUTED_VALUE"""),"Findings Posters - In-Person 1")</f>
        <v>Findings Posters - In-Person 1</v>
      </c>
      <c r="K102" s="7"/>
      <c r="L102" s="8">
        <f>IFERROR(__xludf.DUMMYFUNCTION("""COMPUTED_VALUE"""),45866.0)</f>
        <v>45866</v>
      </c>
      <c r="M102" s="7" t="str">
        <f>IFERROR(__xludf.DUMMYFUNCTION("""COMPUTED_VALUE"""),"18:00-19:30")</f>
        <v>18:00-19:30</v>
      </c>
      <c r="N102" s="7"/>
    </row>
    <row r="103">
      <c r="A103" s="7" t="str">
        <f>IFERROR(__xludf.DUMMYFUNCTION("""COMPUTED_VALUE"""),"94-FIND")</f>
        <v>94-FIND</v>
      </c>
      <c r="B103" s="7" t="str">
        <f>IFERROR(__xludf.DUMMYFUNCTION("""COMPUTED_VALUE"""),"Leveraging Large Language Models for Conversational Multi-Doc Question Answering: The First Place of WSDM Cup 2024")</f>
        <v>Leveraging Large Language Models for Conversational Multi-Doc Question Answering: The First Place of WSDM Cup 2024</v>
      </c>
      <c r="C103" s="7" t="str">
        <f>IFERROR(__xludf.DUMMYFUNCTION("""COMPUTED_VALUE"""),"Conversational multi-doc question answering aims to answer specific questions based on the retrieved documents as well as the contextual conversations. In this paper, we introduce our winning approach for the ""Conversational Multi-Doc QA"" challenge in W"&amp;"SDM Cup 2024, which exploits the superior natural language understanding and generation capability of Large Language Models (LLMs). We first adapt LLMs to the task, then devise a hybrid training strategy to make the most of in-domain unlabeled data. Moreo"&amp;"ver, an advanced text embedding model is adopted to filter out potentially irrelevant documents, and several approaches are designed and compared for the model ensemble. Equipped with all these techniques, our solution finally ranked 1st place in WSDM Cup"&amp;" 2024, surpassing its rivals to a large extent. The source codes have been released at https://github.com/zhangzhao219/WSDM-Cup-2024.")</f>
        <v>Conversational multi-doc question answering aims to answer specific questions based on the retrieved documents as well as the contextual conversations. In this paper, we introduce our winning approach for the "Conversational Multi-Doc QA" challenge in WSDM Cup 2024, which exploits the superior natural language understanding and generation capability of Large Language Models (LLMs). We first adapt LLMs to the task, then devise a hybrid training strategy to make the most of in-domain unlabeled data. Moreover, an advanced text embedding model is adopted to filter out potentially irrelevant documents, and several approaches are designed and compared for the model ensemble. Equipped with all these techniques, our solution finally ranked 1st place in WSDM Cup 2024, surpassing its rivals to a large extent. The source codes have been released at https://github.com/zhangzhao219/WSDM-Cup-2024.</v>
      </c>
      <c r="D103" s="7" t="str">
        <f>IFERROR(__xludf.DUMMYFUNCTION("""COMPUTED_VALUE"""),"N/A")</f>
        <v>N/A</v>
      </c>
      <c r="E103" s="7" t="str">
        <f>IFERROR(__xludf.DUMMYFUNCTION("""COMPUTED_VALUE"""),"#N/A")</f>
        <v>#N/A</v>
      </c>
      <c r="F103" s="7" t="str">
        <f>IFERROR(__xludf.DUMMYFUNCTION("""COMPUTED_VALUE"""),"Not Pres. ")</f>
        <v>Not Pres. </v>
      </c>
      <c r="G103" s="7" t="str">
        <f>IFERROR(__xludf.DUMMYFUNCTION("""COMPUTED_VALUE"""),"NP Findings Not Presenting ")</f>
        <v>NP Findings Not Presenting </v>
      </c>
      <c r="H103" s="7"/>
      <c r="I103" s="7" t="str">
        <f>IFERROR(__xludf.DUMMYFUNCTION("""COMPUTED_VALUE"""),"NP-Find")</f>
        <v>NP-Find</v>
      </c>
      <c r="J103" s="7"/>
      <c r="K103" s="7"/>
      <c r="L103" s="8"/>
      <c r="M103" s="7"/>
      <c r="N103" s="7"/>
    </row>
    <row r="104">
      <c r="A104" s="7" t="str">
        <f>IFERROR(__xludf.DUMMYFUNCTION("""COMPUTED_VALUE"""),"105-FIND")</f>
        <v>105-FIND</v>
      </c>
      <c r="B104" s="7" t="str">
        <f>IFERROR(__xludf.DUMMYFUNCTION("""COMPUTED_VALUE"""),"TreeRAG: Unleashing the Power of Hierarchical Storage for Enhanced Knowledge Retrieval in Long Documents")</f>
        <v>TreeRAG: Unleashing the Power of Hierarchical Storage for Enhanced Knowledge Retrieval in Long Documents</v>
      </c>
      <c r="C104" s="7" t="str">
        <f>IFERROR(__xludf.DUMMYFUNCTION("""COMPUTED_VALUE"""),"When confronting long document information retrieval for Query-Focused Summarization(QFS), Traditional Retrieval-Augmented Generation(RAG) frameworks struggle to retrieve all relevant knowledge points, and the chunking and retrieve strategies of existing "&amp;"frameworks may disrupt the connections between knowledge points and the integrity of the information. To address these issues, we propose TreeRAG, which employs Tree-Chunking for chunking and embedding in a tree-like structure , coupled with ""root-to-lea"&amp;"ves"" and ""leaf-to-root"" retrieve strategy named Bidirectional Traversal Retrieval. This approach effectively preserves the hierarchical structure among knowledge points and significantly enhances the ability to retrieve while minimizing noise inference"&amp;". Our experimental results on the Finance, Law, and Medical subsets of the Dragonball dataset demonstrate that TreeRAG achieves significant enhancements in both recall quality and precision compared to traditional and popular existing methods and achieves"&amp;" better performance to corresponding question-answering tasks, marking a new breakthrough in long document knowledge retrieval.")</f>
        <v>When confronting long document information retrieval for Query-Focused Summarization(QFS), Traditional Retrieval-Augmented Generation(RAG) frameworks struggle to retrieve all relevant knowledge points, and the chunking and retrieve strategies of existing frameworks may disrupt the connections between knowledge points and the integrity of the information. To address these issues, we propose TreeRAG, which employs Tree-Chunking for chunking and embedding in a tree-like structure , coupled with "root-to-leaves" and "leaf-to-root" retrieve strategy named Bidirectional Traversal Retrieval. This approach effectively preserves the hierarchical structure among knowledge points and significantly enhances the ability to retrieve while minimizing noise inference. Our experimental results on the Finance, Law, and Medical subsets of the Dragonball dataset demonstrate that TreeRAG achieves significant enhancements in both recall quality and precision compared to traditional and popular existing methods and achieves better performance to corresponding question-answering tasks, marking a new breakthrough in long document knowledge retrieval.</v>
      </c>
      <c r="D104" s="7" t="str">
        <f>IFERROR(__xludf.DUMMYFUNCTION("""COMPUTED_VALUE"""),"Wenyu Tao")</f>
        <v>Wenyu Tao</v>
      </c>
      <c r="E104" s="7" t="str">
        <f>IFERROR(__xludf.DUMMYFUNCTION("""COMPUTED_VALUE"""),"Yes")</f>
        <v>Yes</v>
      </c>
      <c r="F104" s="7" t="str">
        <f>IFERROR(__xludf.DUMMYFUNCTION("""COMPUTED_VALUE"""),"IP-Poster")</f>
        <v>IP-Poster</v>
      </c>
      <c r="G104" s="7" t="str">
        <f>IFERROR(__xludf.DUMMYFUNCTION("""COMPUTED_VALUE"""),"In-Person")</f>
        <v>In-Person</v>
      </c>
      <c r="H104" s="7" t="str">
        <f>IFERROR(__xludf.DUMMYFUNCTION("""COMPUTED_VALUE"""),"Hall 4/5")</f>
        <v>Hall 4/5</v>
      </c>
      <c r="I104" s="7" t="str">
        <f>IFERROR(__xludf.DUMMYFUNCTION("""COMPUTED_VALUE"""),"Session 5 :IP-Posters Find ")</f>
        <v>Session 5 :IP-Posters Find </v>
      </c>
      <c r="J104" s="7" t="str">
        <f>IFERROR(__xludf.DUMMYFUNCTION("""COMPUTED_VALUE"""),"Findings Posters - In-Person 1")</f>
        <v>Findings Posters - In-Person 1</v>
      </c>
      <c r="K104" s="7"/>
      <c r="L104" s="8">
        <f>IFERROR(__xludf.DUMMYFUNCTION("""COMPUTED_VALUE"""),45866.0)</f>
        <v>45866</v>
      </c>
      <c r="M104" s="7" t="str">
        <f>IFERROR(__xludf.DUMMYFUNCTION("""COMPUTED_VALUE"""),"18:00-19:30")</f>
        <v>18:00-19:30</v>
      </c>
      <c r="N104" s="7"/>
    </row>
    <row r="105">
      <c r="A105" s="7" t="str">
        <f>IFERROR(__xludf.DUMMYFUNCTION("""COMPUTED_VALUE"""),"109-FIND")</f>
        <v>109-FIND</v>
      </c>
      <c r="B105" s="7" t="str">
        <f>IFERROR(__xludf.DUMMYFUNCTION("""COMPUTED_VALUE"""),"Attention with Dependency Parsing Augmentation for Fine-Grained Attribution")</f>
        <v>Attention with Dependency Parsing Augmentation for Fine-Grained Attribution</v>
      </c>
      <c r="C105" s="7" t="str">
        <f>IFERROR(__xludf.DUMMYFUNCTION("""COMPUTED_VALUE"""),"To assist humans in efficiently validating RAG-generated content, developing a fine-grained attribution mechanism that provides supporting evidence from retrieved documents for every answer span is essential. Existing fine-grained attribution methods rely"&amp;" on model-internal similarity metrics between responses and documents, such as saliency scores and hidden state similarity. However, these approaches suffer from either high computational complexity or coarse-grained representations. Additionally, a commo"&amp;"n problem shared by the previous works is their reliance on decoder-only Transformers, limiting their ability to incorporate contextual information after the target span. To address the above problems, we propose two techniques applicable to all model-int"&amp;"ernals-based methods. First, we aggregate token-wise evidence through set union operations, preserving the granularity of representations. Second, we enhance the attributor by integrating dependency parsing to enrich the semantic completeness of target sp"&amp;"ans. For practical implementation, our approach employs attention weights as the similarity metric. Experimental results demonstrate that the proposed method consistently outperforms all prior works.")</f>
        <v>To assist humans in efficiently validating RAG-generated content, developing a fine-grained attribution mechanism that provides supporting evidence from retrieved documents for every answer span is essential. Existing fine-grained attribution methods rely on model-internal similarity metrics between responses and documents, such as saliency scores and hidden state similarity. However, these approaches suffer from either high computational complexity or coarse-grained representations. Additionally, a common problem shared by the previous works is their reliance on decoder-only Transformers, limiting their ability to incorporate contextual information after the target span. To address the above problems, we propose two techniques applicable to all model-internals-based methods. First, we aggregate token-wise evidence through set union operations, preserving the granularity of representations. Second, we enhance the attributor by integrating dependency parsing to enrich the semantic completeness of target spans. For practical implementation, our approach employs attention weights as the similarity metric. Experimental results demonstrate that the proposed method consistently outperforms all prior works.</v>
      </c>
      <c r="D105" s="7" t="str">
        <f>IFERROR(__xludf.DUMMYFUNCTION("""COMPUTED_VALUE"""),"Lvzhou Luo")</f>
        <v>Lvzhou Luo</v>
      </c>
      <c r="E105" s="7" t="str">
        <f>IFERROR(__xludf.DUMMYFUNCTION("""COMPUTED_VALUE"""),"Yes")</f>
        <v>Yes</v>
      </c>
      <c r="F105" s="7" t="str">
        <f>IFERROR(__xludf.DUMMYFUNCTION("""COMPUTED_VALUE"""),"IP-Poster")</f>
        <v>IP-Poster</v>
      </c>
      <c r="G105" s="7" t="str">
        <f>IFERROR(__xludf.DUMMYFUNCTION("""COMPUTED_VALUE"""),"In-Person")</f>
        <v>In-Person</v>
      </c>
      <c r="H105" s="7" t="str">
        <f>IFERROR(__xludf.DUMMYFUNCTION("""COMPUTED_VALUE"""),"Hall 4/5")</f>
        <v>Hall 4/5</v>
      </c>
      <c r="I105" s="7" t="str">
        <f>IFERROR(__xludf.DUMMYFUNCTION("""COMPUTED_VALUE"""),"Session 10: IP-Posters")</f>
        <v>Session 10: IP-Posters</v>
      </c>
      <c r="J105" s="7" t="str">
        <f>IFERROR(__xludf.DUMMYFUNCTION("""COMPUTED_VALUE"""),"Findings Posters - In-Person 3")</f>
        <v>Findings Posters - In-Person 3</v>
      </c>
      <c r="K105" s="7"/>
      <c r="L105" s="8">
        <f>IFERROR(__xludf.DUMMYFUNCTION("""COMPUTED_VALUE"""),45867.0)</f>
        <v>45867</v>
      </c>
      <c r="M105" s="7" t="str">
        <f>IFERROR(__xludf.DUMMYFUNCTION("""COMPUTED_VALUE"""),"16:00-17:30")</f>
        <v>16:00-17:30</v>
      </c>
      <c r="N105" s="7"/>
    </row>
    <row r="106">
      <c r="A106" s="7" t="str">
        <f>IFERROR(__xludf.DUMMYFUNCTION("""COMPUTED_VALUE"""),"113-FIND")</f>
        <v>113-FIND</v>
      </c>
      <c r="B106" s="7" t="str">
        <f>IFERROR(__xludf.DUMMYFUNCTION("""COMPUTED_VALUE"""),"ASTRO: Automatic Strategy Optimization For Non-Cooperative Dialogues")</f>
        <v>ASTRO: Automatic Strategy Optimization For Non-Cooperative Dialogues</v>
      </c>
      <c r="C106" s="7" t="str">
        <f>IFERROR(__xludf.DUMMYFUNCTION("""COMPUTED_VALUE"""),"Non-cooperative dialogues, such as negotiations and persuasion, present significant challenges for large language models (LLMs) due to the lack of inherent cooperation or shared goals. Current methods for optimizing dialogue strategies require substantial"&amp;" human effort for strategy optimization. To address these challenges, we propose ASTRO (Automated Strategy Optimization), a fully automated solution that leverages LLMs' self-envolving capabilities. ASTRO dynamically generates customized strategy sets bas"&amp;"ed on task goals and optimizes strategy planner using a self-play reinforcement learning paradigm. Our experimental results demonstrate ASTRO's significant performance improvements over baseline models across various non-cooperative dialogue tasks, highli"&amp;"ghting the potential for autonomously developing such agents without human intervention. Our code is available at https://github.com/SCUNLP/ASTRO.")</f>
        <v>Non-cooperative dialogues, such as negotiations and persuasion, present significant challenges for large language models (LLMs) due to the lack of inherent cooperation or shared goals. Current methods for optimizing dialogue strategies require substantial human effort for strategy optimization. To address these challenges, we propose ASTRO (Automated Strategy Optimization), a fully automated solution that leverages LLMs' self-envolving capabilities. ASTRO dynamically generates customized strategy sets based on task goals and optimizes strategy planner using a self-play reinforcement learning paradigm. Our experimental results demonstrate ASTRO's significant performance improvements over baseline models across various non-cooperative dialogue tasks, highlighting the potential for autonomously developing such agents without human intervention. Our code is available at https://github.com/SCUNLP/ASTRO.</v>
      </c>
      <c r="D106" s="7" t="str">
        <f>IFERROR(__xludf.DUMMYFUNCTION("""COMPUTED_VALUE"""),"NA")</f>
        <v>NA</v>
      </c>
      <c r="E106" s="7" t="str">
        <f>IFERROR(__xludf.DUMMYFUNCTION("""COMPUTED_VALUE"""),"#N/A")</f>
        <v>#N/A</v>
      </c>
      <c r="F106" s="7" t="str">
        <f>IFERROR(__xludf.DUMMYFUNCTION("""COMPUTED_VALUE"""),"Not Pres. ")</f>
        <v>Not Pres. </v>
      </c>
      <c r="G106" s="7" t="str">
        <f>IFERROR(__xludf.DUMMYFUNCTION("""COMPUTED_VALUE"""),"NP Findings Not Presenting ")</f>
        <v>NP Findings Not Presenting </v>
      </c>
      <c r="H106" s="7"/>
      <c r="I106" s="7" t="str">
        <f>IFERROR(__xludf.DUMMYFUNCTION("""COMPUTED_VALUE"""),"NP-Find")</f>
        <v>NP-Find</v>
      </c>
      <c r="J106" s="7"/>
      <c r="K106" s="7"/>
      <c r="L106" s="8"/>
      <c r="M106" s="7"/>
      <c r="N106" s="7"/>
    </row>
    <row r="107">
      <c r="A107" s="7" t="str">
        <f>IFERROR(__xludf.DUMMYFUNCTION("""COMPUTED_VALUE"""),"117-FIND")</f>
        <v>117-FIND</v>
      </c>
      <c r="B107" s="7" t="str">
        <f>IFERROR(__xludf.DUMMYFUNCTION("""COMPUTED_VALUE"""),"Defensive Prompt Patch: A Robust and Generalizable Defense of Large Language Models against Jailbreak Attacks")</f>
        <v>Defensive Prompt Patch: A Robust and Generalizable Defense of Large Language Models against Jailbreak Attacks</v>
      </c>
      <c r="C107" s="7" t="str">
        <f>IFERROR(__xludf.DUMMYFUNCTION("""COMPUTED_VALUE"""),"Safety, security, and compliance are essential requirements when aligning large language models (LLMs). However, many seemingly aligned LLMs are soon shown to be susceptible to jailbreak attacks. These attacks aim to circumvent the models' safety guardrai"&amp;"ls and security mechanisms by introducing jailbreak prompts into malicious queries. In response to these challenges, this paper introduces **Defensive Prompt Patch** (DPP), a novel prompt-based defense mechanism specifically designed to protect LLMs again"&amp;"st such sophisticated jailbreak strategies. Unlike previous approaches, which have often compromised the utility of the model for the sake of safety, DPP is designed to achieve a minimal Attack Success Rate (ASR) while preserving the high utility of LLMs."&amp;" Our method uses strategically designed suffix prompts that effectively thwart a wide range of standard and adaptive jailbreak techniques. Empirical results conducted on Llama-2-7B-Chat and Mistral-7B-Instruct-v0.2 demonstrate the robustness and adaptabil"&amp;"ity of DPP, showing significant reductions in ASR with negligible impact on utility. Our approach not only outperforms existing defense strategies in balancing safety and functionality, but also provides a scalable and robust solution to various LLM platf"&amp;"orms.")</f>
        <v>Safety, security, and compliance are essential requirements when aligning large language models (LLMs). However, many seemingly aligned LLMs are soon shown to be susceptible to jailbreak attacks. These attacks aim to circumvent the models' safety guardrails and security mechanisms by introducing jailbreak prompts into malicious queries. In response to these challenges, this paper introduces **Defensive Prompt Patch** (DPP), a novel prompt-based defense mechanism specifically designed to protect LLMs against such sophisticated jailbreak strategies. Unlike previous approaches, which have often compromised the utility of the model for the sake of safety, DPP is designed to achieve a minimal Attack Success Rate (ASR) while preserving the high utility of LLMs. Our method uses strategically designed suffix prompts that effectively thwart a wide range of standard and adaptive jailbreak techniques. Empirical results conducted on Llama-2-7B-Chat and Mistral-7B-Instruct-v0.2 demonstrate the robustness and adaptability of DPP, showing significant reductions in ASR with negligible impact on utility. Our approach not only outperforms existing defense strategies in balancing safety and functionality, but also provides a scalable and robust solution to various LLM platforms.</v>
      </c>
      <c r="D107" s="7" t="str">
        <f>IFERROR(__xludf.DUMMYFUNCTION("""COMPUTED_VALUE"""),"Chen Xiong")</f>
        <v>Chen Xiong</v>
      </c>
      <c r="E107" s="7" t="str">
        <f>IFERROR(__xludf.DUMMYFUNCTION("""COMPUTED_VALUE"""),"Yes")</f>
        <v>Yes</v>
      </c>
      <c r="F107" s="7" t="str">
        <f>IFERROR(__xludf.DUMMYFUNCTION("""COMPUTED_VALUE"""),"IP-Poster")</f>
        <v>IP-Poster</v>
      </c>
      <c r="G107" s="7" t="str">
        <f>IFERROR(__xludf.DUMMYFUNCTION("""COMPUTED_VALUE"""),"In-Person")</f>
        <v>In-Person</v>
      </c>
      <c r="H107" s="7" t="str">
        <f>IFERROR(__xludf.DUMMYFUNCTION("""COMPUTED_VALUE"""),"Hall 4/5")</f>
        <v>Hall 4/5</v>
      </c>
      <c r="I107" s="7" t="str">
        <f>IFERROR(__xludf.DUMMYFUNCTION("""COMPUTED_VALUE"""),"Session 5 :IP-Posters Find ")</f>
        <v>Session 5 :IP-Posters Find </v>
      </c>
      <c r="J107" s="7" t="str">
        <f>IFERROR(__xludf.DUMMYFUNCTION("""COMPUTED_VALUE"""),"Findings Posters - In-Person 1")</f>
        <v>Findings Posters - In-Person 1</v>
      </c>
      <c r="K107" s="7"/>
      <c r="L107" s="8">
        <f>IFERROR(__xludf.DUMMYFUNCTION("""COMPUTED_VALUE"""),45866.0)</f>
        <v>45866</v>
      </c>
      <c r="M107" s="7" t="str">
        <f>IFERROR(__xludf.DUMMYFUNCTION("""COMPUTED_VALUE"""),"18:00-19:30")</f>
        <v>18:00-19:30</v>
      </c>
      <c r="N107" s="7"/>
    </row>
    <row r="108">
      <c r="A108" s="7" t="str">
        <f>IFERROR(__xludf.DUMMYFUNCTION("""COMPUTED_VALUE"""),"121-FIND")</f>
        <v>121-FIND</v>
      </c>
      <c r="B108" s="7" t="str">
        <f>IFERROR(__xludf.DUMMYFUNCTION("""COMPUTED_VALUE"""),"GUM-SAGE: A Novel Dataset and Approach for Graded Entity Salience Prediction")</f>
        <v>GUM-SAGE: A Novel Dataset and Approach for Graded Entity Salience Prediction</v>
      </c>
      <c r="C108" s="7" t="str">
        <f>IFERROR(__xludf.DUMMYFUNCTION("""COMPUTED_VALUE"""),"Determining and ranking the most salient entities in a text is critical for user-facing systems, especially as users increasingly rely on models to interpret long documents they only partially read. Graded entity salience addresses this need by assigning "&amp;"entities scores that reflect their relative importance in a text. Existing approaches fall into two main categories: subjective judgments of salience, which allow for gradient scoring but lack consistency, and summarization-based methods, which define sal"&amp;"ience as mention-worthiness in a summary, promoting explainability but limiting outputs to binary labels (entities are either summary-worthy or not). In this paper, we introduce a novel approach for graded entity salience that combines the strengths of bo"&amp;"th approaches. Using an English dataset spanning 12 spoken and written genres, we collect 5 summaries per document and calculate each entity's salience score based on its presence across these summaries. Our approach shows stronger correlation with scores"&amp;" based on human summaries and alignments, and outperforms existing techniques, including large language models. We release our data and code to support further research on graded salient entity extraction.")</f>
        <v>Determining and ranking the most salient entities in a text is critical for user-facing systems, especially as users increasingly rely on models to interpret long documents they only partially read. Graded entity salience addresses this need by assigning entities scores that reflect their relative importance in a text. Existing approaches fall into two main categories: subjective judgments of salience, which allow for gradient scoring but lack consistency, and summarization-based methods, which define salience as mention-worthiness in a summary, promoting explainability but limiting outputs to binary labels (entities are either summary-worthy or not). In this paper, we introduce a novel approach for graded entity salience that combines the strengths of both approaches. Using an English dataset spanning 12 spoken and written genres, we collect 5 summaries per document and calculate each entity's salience score based on its presence across these summaries. Our approach shows stronger correlation with scores based on human summaries and alignments, and outperforms existing techniques, including large language models. We release our data and code to support further research on graded salient entity extraction.</v>
      </c>
      <c r="D108" s="7" t="str">
        <f>IFERROR(__xludf.DUMMYFUNCTION("""COMPUTED_VALUE"""),"Jessica Lin")</f>
        <v>Jessica Lin</v>
      </c>
      <c r="E108" s="7" t="str">
        <f>IFERROR(__xludf.DUMMYFUNCTION("""COMPUTED_VALUE"""),"Yes")</f>
        <v>Yes</v>
      </c>
      <c r="F108" s="7" t="str">
        <f>IFERROR(__xludf.DUMMYFUNCTION("""COMPUTED_VALUE"""),"IP-Poster")</f>
        <v>IP-Poster</v>
      </c>
      <c r="G108" s="7" t="str">
        <f>IFERROR(__xludf.DUMMYFUNCTION("""COMPUTED_VALUE"""),"In-Person")</f>
        <v>In-Person</v>
      </c>
      <c r="H108" s="7" t="str">
        <f>IFERROR(__xludf.DUMMYFUNCTION("""COMPUTED_VALUE"""),"Hall 4/5")</f>
        <v>Hall 4/5</v>
      </c>
      <c r="I108" s="7" t="str">
        <f>IFERROR(__xludf.DUMMYFUNCTION("""COMPUTED_VALUE"""),"Session 5 :IP-Posters Find ")</f>
        <v>Session 5 :IP-Posters Find </v>
      </c>
      <c r="J108" s="7" t="str">
        <f>IFERROR(__xludf.DUMMYFUNCTION("""COMPUTED_VALUE"""),"Findings Posters - In-Person 1")</f>
        <v>Findings Posters - In-Person 1</v>
      </c>
      <c r="K108" s="7"/>
      <c r="L108" s="8">
        <f>IFERROR(__xludf.DUMMYFUNCTION("""COMPUTED_VALUE"""),45866.0)</f>
        <v>45866</v>
      </c>
      <c r="M108" s="7" t="str">
        <f>IFERROR(__xludf.DUMMYFUNCTION("""COMPUTED_VALUE"""),"18:00-19:30")</f>
        <v>18:00-19:30</v>
      </c>
      <c r="N108" s="7"/>
    </row>
    <row r="109">
      <c r="A109" s="7" t="str">
        <f>IFERROR(__xludf.DUMMYFUNCTION("""COMPUTED_VALUE"""),"122-FIND")</f>
        <v>122-FIND</v>
      </c>
      <c r="B109" s="7" t="str">
        <f>IFERROR(__xludf.DUMMYFUNCTION("""COMPUTED_VALUE"""),"Verifying the Steps of Deductive Reasoning Chains")</f>
        <v>Verifying the Steps of Deductive Reasoning Chains</v>
      </c>
      <c r="C109" s="7" t="str">
        <f>IFERROR(__xludf.DUMMYFUNCTION("""COMPUTED_VALUE"""),"As Large Language Models penetrate everyday life more and more, it becomes essential to measure the correctness of their output. In this paper, we propose a novel task: the automatic verification of the reasoning steps in a Chain-of-Thought. This task add"&amp;"resses two well-known problems of LLMs, hallucination and incorrect reasoning. We propose a new dataset of manually annotated correct and incorrect logical reasoning chains, and benchmark several methods on it. We find that LLMs can detect correct reasoni"&amp;"ng steps well, but argue that this is of little comfort, as LLMs are the models that we want to verify in the first place. We test symbolic methods, but find that they under-perform. We develop a neuro-symbolic baseline called VANESSA that comes closer to"&amp;" the performance of LLMs. Our work is a first step to assess how well language models actually reason.")</f>
        <v>As Large Language Models penetrate everyday life more and more, it becomes essential to measure the correctness of their output. In this paper, we propose a novel task: the automatic verification of the reasoning steps in a Chain-of-Thought. This task addresses two well-known problems of LLMs, hallucination and incorrect reasoning. We propose a new dataset of manually annotated correct and incorrect logical reasoning chains, and benchmark several methods on it. We find that LLMs can detect correct reasoning steps well, but argue that this is of little comfort, as LLMs are the models that we want to verify in the first place. We test symbolic methods, but find that they under-perform. We develop a neuro-symbolic baseline called VANESSA that comes closer to the performance of LLMs. Our work is a first step to assess how well language models actually reason.</v>
      </c>
      <c r="D109" s="7" t="str">
        <f>IFERROR(__xludf.DUMMYFUNCTION("""COMPUTED_VALUE"""),"Zacchary Sadeddine")</f>
        <v>Zacchary Sadeddine</v>
      </c>
      <c r="E109" s="7" t="str">
        <f>IFERROR(__xludf.DUMMYFUNCTION("""COMPUTED_VALUE"""),"Yes")</f>
        <v>Yes</v>
      </c>
      <c r="F109" s="7" t="str">
        <f>IFERROR(__xludf.DUMMYFUNCTION("""COMPUTED_VALUE"""),"IP-Poster")</f>
        <v>IP-Poster</v>
      </c>
      <c r="G109" s="7" t="str">
        <f>IFERROR(__xludf.DUMMYFUNCTION("""COMPUTED_VALUE"""),"In-Person")</f>
        <v>In-Person</v>
      </c>
      <c r="H109" s="7" t="str">
        <f>IFERROR(__xludf.DUMMYFUNCTION("""COMPUTED_VALUE"""),"Hall 4/5")</f>
        <v>Hall 4/5</v>
      </c>
      <c r="I109" s="7" t="str">
        <f>IFERROR(__xludf.DUMMYFUNCTION("""COMPUTED_VALUE"""),"Session 5 :IP-Posters Find ")</f>
        <v>Session 5 :IP-Posters Find </v>
      </c>
      <c r="J109" s="7" t="str">
        <f>IFERROR(__xludf.DUMMYFUNCTION("""COMPUTED_VALUE"""),"Findings Posters - In-Person 1")</f>
        <v>Findings Posters - In-Person 1</v>
      </c>
      <c r="K109" s="7"/>
      <c r="L109" s="8">
        <f>IFERROR(__xludf.DUMMYFUNCTION("""COMPUTED_VALUE"""),45866.0)</f>
        <v>45866</v>
      </c>
      <c r="M109" s="7" t="str">
        <f>IFERROR(__xludf.DUMMYFUNCTION("""COMPUTED_VALUE"""),"18:00-19:30")</f>
        <v>18:00-19:30</v>
      </c>
      <c r="N109" s="7"/>
    </row>
    <row r="110">
      <c r="A110" s="7" t="str">
        <f>IFERROR(__xludf.DUMMYFUNCTION("""COMPUTED_VALUE"""),"126-FIND")</f>
        <v>126-FIND</v>
      </c>
      <c r="B110" s="7" t="str">
        <f>IFERROR(__xludf.DUMMYFUNCTION("""COMPUTED_VALUE"""),"Translate With Care: Addressing Gender Bias, Neutrality, and Reasoning in Large Language Model Translations")</f>
        <v>Translate With Care: Addressing Gender Bias, Neutrality, and Reasoning in Large Language Model Translations</v>
      </c>
      <c r="C110" s="7" t="str">
        <f>IFERROR(__xludf.DUMMYFUNCTION("""COMPUTED_VALUE"""),"Addressing gender bias and maintaining logical coherence in machine translation remains challenging, particularly when translating between natural gender languages, like English, and genderless languages, such as Persian, Indonesian, and Finnish. We intro"&amp;"duce the Translate-with-Care (TWC) dataset, comprising 3,950 challenging scenarios across six low- to mid-resource languages, to assess translation systems' performance. Our analysis of diverse technologies, including GPT-4, mBART-50, NLLB-200, and Google"&amp;" Translate, reveals a universal struggle in translating genderless content, resulting in gender stereotyping and reasoning errors. All models preferred masculine pronouns when gender stereotypes could influence choices. Google Translate and GPT-4 showed p"&amp;"articularly strong bias, favoring male pronouns 4-6 times more than feminine ones in leadership and professional success contexts. Fine-tuning mBART-50 on TWC substantially resolved these biases and errors, led to strong generalization, and surpassed prop"&amp;"rietary LLMs while remaining open-source. This work emphasizes the need for targeted approaches to gender and semantic coherence in machine translation, particularly for genderless languages, contributing to more equitable and accurate translation systems"&amp;".")</f>
        <v>Addressing gender bias and maintaining logical coherence in machine translation remains challenging, particularly when translating between natural gender languages, like English, and genderless languages, such as Persian, Indonesian, and Finnish. We introduce the Translate-with-Care (TWC) dataset, comprising 3,950 challenging scenarios across six low- to mid-resource languages, to assess translation systems' performance. Our analysis of diverse technologies, including GPT-4, mBART-50, NLLB-200, and Google Translate, reveals a universal struggle in translating genderless content, resulting in gender stereotyping and reasoning errors. All models preferred masculine pronouns when gender stereotypes could influence choices. Google Translate and GPT-4 showed particularly strong bias, favoring male pronouns 4-6 times more than feminine ones in leadership and professional success contexts. Fine-tuning mBART-50 on TWC substantially resolved these biases and errors, led to strong generalization, and surpassed proprietary LLMs while remaining open-source. This work emphasizes the need for targeted approaches to gender and semantic coherence in machine translation, particularly for genderless languages, contributing to more equitable and accurate translation systems.</v>
      </c>
      <c r="D110" s="7" t="str">
        <f>IFERROR(__xludf.DUMMYFUNCTION("""COMPUTED_VALUE"""),"Pardis Sadat Zahraei")</f>
        <v>Pardis Sadat Zahraei</v>
      </c>
      <c r="E110" s="7" t="str">
        <f>IFERROR(__xludf.DUMMYFUNCTION("""COMPUTED_VALUE"""),"Yes")</f>
        <v>Yes</v>
      </c>
      <c r="F110" s="7" t="str">
        <f>IFERROR(__xludf.DUMMYFUNCTION("""COMPUTED_VALUE"""),"V-Presentation")</f>
        <v>V-Presentation</v>
      </c>
      <c r="G110" s="7" t="str">
        <f>IFERROR(__xludf.DUMMYFUNCTION("""COMPUTED_VALUE"""),"Virtual/Gather")</f>
        <v>Virtual/Gather</v>
      </c>
      <c r="H110" s="7" t="str">
        <f>IFERROR(__xludf.DUMMYFUNCTION("""COMPUTED_VALUE"""),"Gather")</f>
        <v>Gather</v>
      </c>
      <c r="I110" s="7" t="str">
        <f>IFERROR(__xludf.DUMMYFUNCTION("""COMPUTED_VALUE"""),"Session5: V-Gather Find")</f>
        <v>Session5: V-Gather Find</v>
      </c>
      <c r="J110" s="7" t="str">
        <f>IFERROR(__xludf.DUMMYFUNCTION("""COMPUTED_VALUE"""),"Findings Posters - Virtual")</f>
        <v>Findings Posters - Virtual</v>
      </c>
      <c r="K110" s="7"/>
      <c r="L110" s="8">
        <f>IFERROR(__xludf.DUMMYFUNCTION("""COMPUTED_VALUE"""),45866.0)</f>
        <v>45866</v>
      </c>
      <c r="M110" s="7" t="str">
        <f>IFERROR(__xludf.DUMMYFUNCTION("""COMPUTED_VALUE"""),"18:00-19:30")</f>
        <v>18:00-19:30</v>
      </c>
      <c r="N110" s="7"/>
    </row>
    <row r="111">
      <c r="A111" s="7" t="str">
        <f>IFERROR(__xludf.DUMMYFUNCTION("""COMPUTED_VALUE"""),"127-FIND")</f>
        <v>127-FIND</v>
      </c>
      <c r="B111" s="7" t="str">
        <f>IFERROR(__xludf.DUMMYFUNCTION("""COMPUTED_VALUE"""),"Utilizing Semantic Textual Similarity for Clinical Survey Data Feature Selection")</f>
        <v>Utilizing Semantic Textual Similarity for Clinical Survey Data Feature Selection</v>
      </c>
      <c r="C111" s="7" t="str">
        <f>IFERROR(__xludf.DUMMYFUNCTION("""COMPUTED_VALUE"""),"Surveys are widely used to collect patient data in healthcare, and there is significant clinical interest in predicting patient outcomes using survey data. However, surveys often include numerous features that lead to high-dimensional inputs for machine l"&amp;"earning models. This paper exploits a unique source of information in surveys for feature selection. We observe that feature names (i.e., survey questions) are often semantically indicative of what features are most useful. Using language models, we lever"&amp;"age semantic textual similarity (STS) scores between features and targets to select features. The performance of STS scores in directly ranking features as well as in the minimal-redundancy-maximal-relevance (mRMR) algorithm is evaluated using survey data"&amp;" collected as part of a clinical study on persistent post-surgical pain (PPSP) as well as an accessible dataset collected through the NIH All of Us program. Our findings show that features selected with STS can result in higher performance models compared"&amp;" to traditional feature selection algorithms.")</f>
        <v>Surveys are widely used to collect patient data in healthcare, and there is significant clinical interest in predicting patient outcomes using survey data. However, surveys often include numerous features that lead to high-dimensional inputs for machine learning models. This paper exploits a unique source of information in surveys for feature selection. We observe that feature names (i.e., survey questions) are often semantically indicative of what features are most useful. Using language models, we leverage semantic textual similarity (STS) scores between features and targets to select features. The performance of STS scores in directly ranking features as well as in the minimal-redundancy-maximal-relevance (mRMR) algorithm is evaluated using survey data collected as part of a clinical study on persistent post-surgical pain (PPSP) as well as an accessible dataset collected through the NIH All of Us program. Our findings show that features selected with STS can result in higher performance models compared to traditional feature selection algorithms.</v>
      </c>
      <c r="D111" s="7" t="str">
        <f>IFERROR(__xludf.DUMMYFUNCTION("""COMPUTED_VALUE"""),"Benjamin C. Warner")</f>
        <v>Benjamin C. Warner</v>
      </c>
      <c r="E111" s="7" t="str">
        <f>IFERROR(__xludf.DUMMYFUNCTION("""COMPUTED_VALUE"""),"Yes")</f>
        <v>Yes</v>
      </c>
      <c r="F111" s="7" t="str">
        <f>IFERROR(__xludf.DUMMYFUNCTION("""COMPUTED_VALUE"""),"IP-Poster")</f>
        <v>IP-Poster</v>
      </c>
      <c r="G111" s="7" t="str">
        <f>IFERROR(__xludf.DUMMYFUNCTION("""COMPUTED_VALUE"""),"In-Person")</f>
        <v>In-Person</v>
      </c>
      <c r="H111" s="7" t="str">
        <f>IFERROR(__xludf.DUMMYFUNCTION("""COMPUTED_VALUE"""),"Hall 4/5")</f>
        <v>Hall 4/5</v>
      </c>
      <c r="I111" s="7" t="str">
        <f>IFERROR(__xludf.DUMMYFUNCTION("""COMPUTED_VALUE"""),"Session 5 :IP-Posters Find ")</f>
        <v>Session 5 :IP-Posters Find </v>
      </c>
      <c r="J111" s="7" t="str">
        <f>IFERROR(__xludf.DUMMYFUNCTION("""COMPUTED_VALUE"""),"Findings Posters - In-Person 1")</f>
        <v>Findings Posters - In-Person 1</v>
      </c>
      <c r="K111" s="7"/>
      <c r="L111" s="8">
        <f>IFERROR(__xludf.DUMMYFUNCTION("""COMPUTED_VALUE"""),45866.0)</f>
        <v>45866</v>
      </c>
      <c r="M111" s="7" t="str">
        <f>IFERROR(__xludf.DUMMYFUNCTION("""COMPUTED_VALUE"""),"18:00-19:30")</f>
        <v>18:00-19:30</v>
      </c>
      <c r="N111" s="7"/>
    </row>
    <row r="112">
      <c r="A112" s="7" t="str">
        <f>IFERROR(__xludf.DUMMYFUNCTION("""COMPUTED_VALUE"""),"128-FIND")</f>
        <v>128-FIND</v>
      </c>
      <c r="B112" s="7" t="str">
        <f>IFERROR(__xludf.DUMMYFUNCTION("""COMPUTED_VALUE"""),"Distance between Relevant Information Pieces Causes Bias in Long-Context LLMs")</f>
        <v>Distance between Relevant Information Pieces Causes Bias in Long-Context LLMs</v>
      </c>
      <c r="C112" s="7" t="str">
        <f>IFERROR(__xludf.DUMMYFUNCTION("""COMPUTED_VALUE"""),"Positional bias in large language models hinders their ability to effectively process long inputs. A prominent example is the ""lost in the middle"" phenomenon, where LLMs struggle to utilize relevant information situated in the middle of the input. While"&amp;" prior research primarily focuses on single pieces of relevant information, real-world applications often involve multiple relevant information pieces. To bridge this gap, we present LongPiBench, a benchmark designed to assess positional bias involving mu"&amp;"ltiple pieces of relevant information. It includes various tasks and input lengths. Thorough experiments are conducted with three commercial and six open-source models. These experiments reveal that while most current models are more robust against the """&amp;"lost in the middle"" issue, there also exist noticeable biases related to the spacing of relevant information pieces. These findings highlight the importance of evaluating and reducing positional biases for long-context LLMs.")</f>
        <v>Positional bias in large language models hinders their ability to effectively process long inputs. A prominent example is the "lost in the middle" phenomenon, where LLMs struggle to utilize relevant information situated in the middle of the input. While prior research primarily focuses on single pieces of relevant information, real-world applications often involve multiple relevant information pieces. To bridge this gap, we present LongPiBench, a benchmark designed to assess positional bias involving multiple pieces of relevant information. It includes various tasks and input lengths. Thorough experiments are conducted with three commercial and six open-source models. These experiments reveal that while most current models are more robust against the "lost in the middle" issue, there also exist noticeable biases related to the spacing of relevant information pieces. These findings highlight the importance of evaluating and reducing positional biases for long-context LLMs.</v>
      </c>
      <c r="D112" s="7" t="str">
        <f>IFERROR(__xludf.DUMMYFUNCTION("""COMPUTED_VALUE"""),"N/A")</f>
        <v>N/A</v>
      </c>
      <c r="E112" s="7" t="str">
        <f>IFERROR(__xludf.DUMMYFUNCTION("""COMPUTED_VALUE"""),"Yes")</f>
        <v>Yes</v>
      </c>
      <c r="F112" s="7" t="str">
        <f>IFERROR(__xludf.DUMMYFUNCTION("""COMPUTED_VALUE"""),"Not Pres. ")</f>
        <v>Not Pres. </v>
      </c>
      <c r="G112" s="7" t="str">
        <f>IFERROR(__xludf.DUMMYFUNCTION("""COMPUTED_VALUE"""),"NP Findings Not Presenting ")</f>
        <v>NP Findings Not Presenting </v>
      </c>
      <c r="H112" s="7"/>
      <c r="I112" s="7"/>
      <c r="J112" s="7"/>
      <c r="K112" s="7"/>
      <c r="L112" s="8"/>
      <c r="M112" s="7"/>
      <c r="N112" s="7"/>
    </row>
    <row r="113">
      <c r="A113" s="7" t="str">
        <f>IFERROR(__xludf.DUMMYFUNCTION("""COMPUTED_VALUE"""),"130-FIND")</f>
        <v>130-FIND</v>
      </c>
      <c r="B113" s="7" t="str">
        <f>IFERROR(__xludf.DUMMYFUNCTION("""COMPUTED_VALUE"""),"Variable Layerwise Quantization: A Simple and Effective Approach to Quantize LLMs")</f>
        <v>Variable Layerwise Quantization: A Simple and Effective Approach to Quantize LLMs</v>
      </c>
      <c r="C113" s="7" t="str">
        <f>IFERROR(__xludf.DUMMYFUNCTION("""COMPUTED_VALUE"""),"We present a simple meta quantization approach that quantizes different layers of a large language model (LLM) at different bit levels, and is independent of the underlying quantization technique. Specifically, we quantize the most important layers to hig"&amp;"her bit precision and less important layers to lower bits. We propose two effective strategies to measure the importance of layers within LLMs: the first measures the importance of a layer based on how different its output embeddings are from the input em"&amp;"beddings (higher is better); the second estimates the importance of a layer using the number of layer weights that are much larger than average (smaller is better). We show that quantizing different layers at varying bits as per our importance scores resu"&amp;"lts in minimal performance drop with a far more compressed model. Finally, we present several practical key takeaways from our variable layer-wise quantization experiments: (a) LLM performance under variable quantization remains close to the original mode"&amp;"l until 25--50% of layers are moved in lower quantization using our proposed ordering but only until 5--10% if moved using no specific ordering; (b) Adding layer importance to inherently dynamic quantization techniques can further improve their performanc"&amp;"e, showing that our approach is complementary to other dynamic quantization methods; (c) Quantizing LLMs to lower bits performs substantially better than pruning unless extreme quantization (2-bit) is used; and (d) Layer-wise quantization to lower bits wo"&amp;"rks better in the case of larger LLMs with more layers compared to smaller LLMs with fewer layers.")</f>
        <v>We present a simple meta quantization approach that quantizes different layers of a large language model (LLM) at different bit levels, and is independent of the underlying quantization technique. Specifically, we quantize the most important layers to higher bit precision and less important layers to lower bits. We propose two effective strategies to measure the importance of layers within LLMs: the first measures the importance of a layer based on how different its output embeddings are from the input embeddings (higher is better); the second estimates the importance of a layer using the number of layer weights that are much larger than average (smaller is better). We show that quantizing different layers at varying bits as per our importance scores results in minimal performance drop with a far more compressed model. Finally, we present several practical key takeaways from our variable layer-wise quantization experiments: (a) LLM performance under variable quantization remains close to the original model until 25--50% of layers are moved in lower quantization using our proposed ordering but only until 5--10% if moved using no specific ordering; (b) Adding layer importance to inherently dynamic quantization techniques can further improve their performance, showing that our approach is complementary to other dynamic quantization methods; (c) Quantizing LLMs to lower bits performs substantially better than pruning unless extreme quantization (2-bit) is used; and (d) Layer-wise quantization to lower bits works better in the case of larger LLMs with more layers compared to smaller LLMs with fewer layers.</v>
      </c>
      <c r="D113" s="7" t="str">
        <f>IFERROR(__xludf.DUMMYFUNCTION("""COMPUTED_VALUE"""),"Razvan-Gabriel Dumitru")</f>
        <v>Razvan-Gabriel Dumitru</v>
      </c>
      <c r="E113" s="7" t="str">
        <f>IFERROR(__xludf.DUMMYFUNCTION("""COMPUTED_VALUE"""),"Yes")</f>
        <v>Yes</v>
      </c>
      <c r="F113" s="7" t="str">
        <f>IFERROR(__xludf.DUMMYFUNCTION("""COMPUTED_VALUE"""),"IP-Poster")</f>
        <v>IP-Poster</v>
      </c>
      <c r="G113" s="7" t="str">
        <f>IFERROR(__xludf.DUMMYFUNCTION("""COMPUTED_VALUE"""),"In-Person")</f>
        <v>In-Person</v>
      </c>
      <c r="H113" s="7" t="str">
        <f>IFERROR(__xludf.DUMMYFUNCTION("""COMPUTED_VALUE"""),"Hall 4/5")</f>
        <v>Hall 4/5</v>
      </c>
      <c r="I113" s="7" t="str">
        <f>IFERROR(__xludf.DUMMYFUNCTION("""COMPUTED_VALUE"""),"Session 5 :IP-Posters Find ")</f>
        <v>Session 5 :IP-Posters Find </v>
      </c>
      <c r="J113" s="7" t="str">
        <f>IFERROR(__xludf.DUMMYFUNCTION("""COMPUTED_VALUE"""),"Findings Posters - In-Person 1")</f>
        <v>Findings Posters - In-Person 1</v>
      </c>
      <c r="K113" s="7"/>
      <c r="L113" s="8">
        <f>IFERROR(__xludf.DUMMYFUNCTION("""COMPUTED_VALUE"""),45866.0)</f>
        <v>45866</v>
      </c>
      <c r="M113" s="7" t="str">
        <f>IFERROR(__xludf.DUMMYFUNCTION("""COMPUTED_VALUE"""),"18:00-19:30")</f>
        <v>18:00-19:30</v>
      </c>
      <c r="N113" s="7"/>
    </row>
    <row r="114">
      <c r="A114" s="7" t="str">
        <f>IFERROR(__xludf.DUMMYFUNCTION("""COMPUTED_VALUE"""),"132-FIND")</f>
        <v>132-FIND</v>
      </c>
      <c r="B114" s="7" t="str">
        <f>IFERROR(__xludf.DUMMYFUNCTION("""COMPUTED_VALUE"""),"Why Are Positional Encodings Nonessential for Deep Autoregressive Transformers? A Petroglyph Revisited")</f>
        <v>Why Are Positional Encodings Nonessential for Deep Autoregressive Transformers? A Petroglyph Revisited</v>
      </c>
      <c r="C114" s="7" t="str">
        <f>IFERROR(__xludf.DUMMYFUNCTION("""COMPUTED_VALUE"""),"Do autoregressive Transformer language models require explicit positional encodings (PEs)? The answer is no as long as they have more than one layer, they can distinguish sequences with permuted tokens without requiring explicit PEs. This property has bee"&amp;"n known since early efforts adopting the Transformer from machine translation to language modeling, concurrently with GPT-2. However, this result was not widely disseminated and was rediscovered by recent work. This may be partially due to a sudden growth"&amp;" of the language modeling community after the advent of GPT-2, but perhaps also because no clear explanation has been provided in prior work. Here we present a comprehensible explanation why explicit PEs are nonessential for multi-layer autoregressive Tra"&amp;"nsformers (in contrast, one-layer models require positional encodings to discern order information of their input tokens). We review the origin of this result, and hope to establish it as a common knowledge.")</f>
        <v>Do autoregressive Transformer language models require explicit positional encodings (PEs)? The answer is no as long as they have more than one layer, they can distinguish sequences with permuted tokens without requiring explicit PEs. This property has been known since early efforts adopting the Transformer from machine translation to language modeling, concurrently with GPT-2. However, this result was not widely disseminated and was rediscovered by recent work. This may be partially due to a sudden growth of the language modeling community after the advent of GPT-2, but perhaps also because no clear explanation has been provided in prior work. Here we present a comprehensible explanation why explicit PEs are nonessential for multi-layer autoregressive Transformers (in contrast, one-layer models require positional encodings to discern order information of their input tokens). We review the origin of this result, and hope to establish it as a common knowledge.</v>
      </c>
      <c r="D114" s="7" t="str">
        <f>IFERROR(__xludf.DUMMYFUNCTION("""COMPUTED_VALUE"""),"NA")</f>
        <v>NA</v>
      </c>
      <c r="E114" s="7" t="str">
        <f>IFERROR(__xludf.DUMMYFUNCTION("""COMPUTED_VALUE"""),"#N/A")</f>
        <v>#N/A</v>
      </c>
      <c r="F114" s="7" t="str">
        <f>IFERROR(__xludf.DUMMYFUNCTION("""COMPUTED_VALUE"""),"Not Pres. ")</f>
        <v>Not Pres. </v>
      </c>
      <c r="G114" s="7" t="str">
        <f>IFERROR(__xludf.DUMMYFUNCTION("""COMPUTED_VALUE"""),"NP Findings Not Presenting ")</f>
        <v>NP Findings Not Presenting </v>
      </c>
      <c r="H114" s="7"/>
      <c r="I114" s="7" t="str">
        <f>IFERROR(__xludf.DUMMYFUNCTION("""COMPUTED_VALUE"""),"NP-Find")</f>
        <v>NP-Find</v>
      </c>
      <c r="J114" s="7"/>
      <c r="K114" s="7"/>
      <c r="L114" s="8"/>
      <c r="M114" s="7"/>
      <c r="N114" s="7"/>
    </row>
    <row r="115">
      <c r="A115" s="7" t="str">
        <f>IFERROR(__xludf.DUMMYFUNCTION("""COMPUTED_VALUE"""),"134-FIND")</f>
        <v>134-FIND</v>
      </c>
      <c r="B115" s="7" t="str">
        <f>IFERROR(__xludf.DUMMYFUNCTION("""COMPUTED_VALUE"""),"CRPO: Confidence-Reward Driven Preference Optimization for Machine Translation")</f>
        <v>CRPO: Confidence-Reward Driven Preference Optimization for Machine Translation</v>
      </c>
      <c r="C115" s="7" t="str">
        <f>IFERROR(__xludf.DUMMYFUNCTION("""COMPUTED_VALUE"""),"Large language models (LLMs) have shown great potential in natural language processing tasks, but their application to machine translation (MT) remains challenging due to pretraining on English-centric data and the complexity of reinforcement learning fro"&amp;"m human feedback (RLHF). Direct Preference Optimization (DPO) has emerged as a simpler and more efficient alternative, but its performance depends heavily on the quality of preference data. To address this, we propose Confidence-Reward driven Preference O"&amp;"ptimization (CRPO), a novel method that combines reward scores with model confidence to improve data selection for fine-tuning. CRPO selects challenging sentence pairs where the model is uncertain or underperforms, leading to more effective learning. Whil"&amp;"e primarily designed for LLMs, CRPO also generalizes to encoder-decoder models like NLLB, demonstrating its versatility. Empirical results show that CRPO outperforms existing methods such as RS-DPO, RSO and MBR score in both translation accuracy and data "&amp;"efficiency.")</f>
        <v>Large language models (LLMs) have shown great potential in natural language processing tasks, but their application to machine translation (MT) remains challenging due to pretraining on English-centric data and the complexity of reinforcement learning from human feedback (RLHF). Direct Preference Optimization (DPO) has emerged as a simpler and more efficient alternative, but its performance depends heavily on the quality of preference data. To address this, we propose Confidence-Reward driven Preference Optimization (CRPO), a novel method that combines reward scores with model confidence to improve data selection for fine-tuning. CRPO selects challenging sentence pairs where the model is uncertain or underperforms, leading to more effective learning. While primarily designed for LLMs, CRPO also generalizes to encoder-decoder models like NLLB, demonstrating its versatility. Empirical results show that CRPO outperforms existing methods such as RS-DPO, RSO and MBR score in both translation accuracy and data efficiency.</v>
      </c>
      <c r="D115" s="7" t="str">
        <f>IFERROR(__xludf.DUMMYFUNCTION("""COMPUTED_VALUE"""),"Pichao Wang; Zhu Liu")</f>
        <v>Pichao Wang; Zhu Liu</v>
      </c>
      <c r="E115" s="7" t="str">
        <f>IFERROR(__xludf.DUMMYFUNCTION("""COMPUTED_VALUE"""),"Yes")</f>
        <v>Yes</v>
      </c>
      <c r="F115" s="7" t="str">
        <f>IFERROR(__xludf.DUMMYFUNCTION("""COMPUTED_VALUE"""),"IP-Poster")</f>
        <v>IP-Poster</v>
      </c>
      <c r="G115" s="7" t="str">
        <f>IFERROR(__xludf.DUMMYFUNCTION("""COMPUTED_VALUE"""),"In-Person")</f>
        <v>In-Person</v>
      </c>
      <c r="H115" s="7" t="str">
        <f>IFERROR(__xludf.DUMMYFUNCTION("""COMPUTED_VALUE"""),"Hall 4/5")</f>
        <v>Hall 4/5</v>
      </c>
      <c r="I115" s="7" t="str">
        <f>IFERROR(__xludf.DUMMYFUNCTION("""COMPUTED_VALUE"""),"Session 5 :IP-Posters Find ")</f>
        <v>Session 5 :IP-Posters Find </v>
      </c>
      <c r="J115" s="7" t="str">
        <f>IFERROR(__xludf.DUMMYFUNCTION("""COMPUTED_VALUE"""),"Findings Posters - In-Person 1")</f>
        <v>Findings Posters - In-Person 1</v>
      </c>
      <c r="K115" s="7"/>
      <c r="L115" s="8">
        <f>IFERROR(__xludf.DUMMYFUNCTION("""COMPUTED_VALUE"""),45866.0)</f>
        <v>45866</v>
      </c>
      <c r="M115" s="7" t="str">
        <f>IFERROR(__xludf.DUMMYFUNCTION("""COMPUTED_VALUE"""),"18:00-19:30")</f>
        <v>18:00-19:30</v>
      </c>
      <c r="N115" s="7"/>
    </row>
    <row r="116">
      <c r="A116" s="7" t="str">
        <f>IFERROR(__xludf.DUMMYFUNCTION("""COMPUTED_VALUE"""),"137-FIND")</f>
        <v>137-FIND</v>
      </c>
      <c r="B116" s="7" t="str">
        <f>IFERROR(__xludf.DUMMYFUNCTION("""COMPUTED_VALUE"""),"Talking Point based Ideological Discourse Analysis in News Events")</f>
        <v>Talking Point based Ideological Discourse Analysis in News Events</v>
      </c>
      <c r="C116" s="7" t="str">
        <f>IFERROR(__xludf.DUMMYFUNCTION("""COMPUTED_VALUE"""),"Analyzing ideological discourse even in the age of LLMs remains a challenge, as these models often struggle to capture the key elements that shape real-world narratives. Specifically, LLMs fail to focus on characteristic elements driving dominant discours"&amp;"es and lack the ability to integrate contextual information required for understanding abstract ideological views. To address these limitations, we propose a framework motivated by the theory of ideological discourse analysis that constructs a vocabulary "&amp;"of repeating ""talking points"" from a corpus of news articles related to real-world events. Our framework contextualizes these talking points by analyzing the interaction between entities, their roles, and media frames to generate ideology-specific viewp"&amp;"oints (or partisan perspectives). We evaluate our framework’s ability to generate these perspectives through automated tasks— ideology and partisan classification tasks, supplemented by human validation. Additionally, we demonstrate straightforward applic"&amp;"ability of our framework in creating event snapshots, a visual way of interpreting event discourse. We release resulting dataset and model to the community to support further research.")</f>
        <v>Analyzing ideological discourse even in the age of LLMs remains a challenge, as these models often struggle to capture the key elements that shape real-world narratives. Specifically, LLMs fail to focus on characteristic elements driving dominant discourses and lack the ability to integrate contextual information required for understanding abstract ideological views. To address these limitations, we propose a framework motivated by the theory of ideological discourse analysis that constructs a vocabulary of repeating "talking points" from a corpus of news articles related to real-world events. Our framework contextualizes these talking points by analyzing the interaction between entities, their roles, and media frames to generate ideology-specific viewpoints (or partisan perspectives). We evaluate our framework’s ability to generate these perspectives through automated tasks— ideology and partisan classification tasks, supplemented by human validation. Additionally, we demonstrate straightforward applicability of our framework in creating event snapshots, a visual way of interpreting event discourse. We release resulting dataset and model to the community to support further research.</v>
      </c>
      <c r="D116" s="7" t="str">
        <f>IFERROR(__xludf.DUMMYFUNCTION("""COMPUTED_VALUE"""),"Nishanth Sridhar Nakshatri")</f>
        <v>Nishanth Sridhar Nakshatri</v>
      </c>
      <c r="E116" s="7" t="str">
        <f>IFERROR(__xludf.DUMMYFUNCTION("""COMPUTED_VALUE"""),"Yes")</f>
        <v>Yes</v>
      </c>
      <c r="F116" s="7" t="str">
        <f>IFERROR(__xludf.DUMMYFUNCTION("""COMPUTED_VALUE"""),"V-Presentation")</f>
        <v>V-Presentation</v>
      </c>
      <c r="G116" s="7" t="str">
        <f>IFERROR(__xludf.DUMMYFUNCTION("""COMPUTED_VALUE"""),"Virtual/Gather")</f>
        <v>Virtual/Gather</v>
      </c>
      <c r="H116" s="7" t="str">
        <f>IFERROR(__xludf.DUMMYFUNCTION("""COMPUTED_VALUE"""),"Gather")</f>
        <v>Gather</v>
      </c>
      <c r="I116" s="7" t="str">
        <f>IFERROR(__xludf.DUMMYFUNCTION("""COMPUTED_VALUE"""),"Session5: V-Gather Find")</f>
        <v>Session5: V-Gather Find</v>
      </c>
      <c r="J116" s="7" t="str">
        <f>IFERROR(__xludf.DUMMYFUNCTION("""COMPUTED_VALUE"""),"Findings Posters - Virtual")</f>
        <v>Findings Posters - Virtual</v>
      </c>
      <c r="K116" s="7"/>
      <c r="L116" s="8">
        <f>IFERROR(__xludf.DUMMYFUNCTION("""COMPUTED_VALUE"""),45866.0)</f>
        <v>45866</v>
      </c>
      <c r="M116" s="7" t="str">
        <f>IFERROR(__xludf.DUMMYFUNCTION("""COMPUTED_VALUE"""),"18:00-19:30")</f>
        <v>18:00-19:30</v>
      </c>
      <c r="N116" s="7"/>
    </row>
    <row r="117">
      <c r="A117" s="7" t="str">
        <f>IFERROR(__xludf.DUMMYFUNCTION("""COMPUTED_VALUE"""),"143-FIND")</f>
        <v>143-FIND</v>
      </c>
      <c r="B117" s="7" t="str">
        <f>IFERROR(__xludf.DUMMYFUNCTION("""COMPUTED_VALUE"""),"FlashBack: Efficient Retrieval-Augmented Language Modeling for Fast Inference")</f>
        <v>FlashBack: Efficient Retrieval-Augmented Language Modeling for Fast Inference</v>
      </c>
      <c r="C117" s="7" t="str">
        <f>IFERROR(__xludf.DUMMYFUNCTION("""COMPUTED_VALUE"""),"Retrieval-Augmented Language Modeling (RALM) by integrating large language models (LLM) with relevant documents from an external corpus is a proven methodology for enabling the LLM to generate information beyond the scope of its pre-training corpus. Previ"&amp;"ous work by retrieving a set of tokens iteratively with retrieved content prepending to the input poses a high runtime issue, which degrades the inference efficiency of the LLMs because they fail to use the Key-Value (KV) cache efficiently. We propose Fla"&amp;"shBack, a modular RALM designed to improve the inference efficiency of RALM with appending context pattern while maintaining decent performance after fine-tuning by Low-Rank Adaption. FlashBack appends retrieved documents at the end of the context for eff"&amp;"iciently utilizing the KV cache. We also introduce the Marking Token as two special prompt tokens for marking the appending context during fine-tuning. Our experiments show that FlashBack can improve language modeling performance in perplexity metric. We "&amp;"proved the Marking Token is a usable add-on when fine-tuning models on specific context patterns. By bypassing unnecessary re-computation, FlashBack achieves fast inference speed speed with long context input. The inference speed is up to 4× faster than t"&amp;"he prepending counterpart on a 7B LLM (Llama 2) in the runtime test.")</f>
        <v>Retrieval-Augmented Language Modeling (RALM) by integrating large language models (LLM) with relevant documents from an external corpus is a proven methodology for enabling the LLM to generate information beyond the scope of its pre-training corpus. Previous work by retrieving a set of tokens iteratively with retrieved content prepending to the input poses a high runtime issue, which degrades the inference efficiency of the LLMs because they fail to use the Key-Value (KV) cache efficiently. We propose FlashBack, a modular RALM designed to improve the inference efficiency of RALM with appending context pattern while maintaining decent performance after fine-tuning by Low-Rank Adaption. FlashBack appends retrieved documents at the end of the context for efficiently utilizing the KV cache. We also introduce the Marking Token as two special prompt tokens for marking the appending context during fine-tuning. Our experiments show that FlashBack can improve language modeling performance in perplexity metric. We proved the Marking Token is a usable add-on when fine-tuning models on specific context patterns. By bypassing unnecessary re-computation, FlashBack achieves fast inference speed speed with long context input. The inference speed is up to 4× faster than the prepending counterpart on a 7B LLM (Llama 2) in the runtime test.</v>
      </c>
      <c r="D117" s="7" t="str">
        <f>IFERROR(__xludf.DUMMYFUNCTION("""COMPUTED_VALUE"""),"Xingchen Xiao")</f>
        <v>Xingchen Xiao</v>
      </c>
      <c r="E117" s="7" t="str">
        <f>IFERROR(__xludf.DUMMYFUNCTION("""COMPUTED_VALUE"""),"#N/A")</f>
        <v>#N/A</v>
      </c>
      <c r="F117" s="7" t="str">
        <f>IFERROR(__xludf.DUMMYFUNCTION("""COMPUTED_VALUE"""),"Not Pres. ")</f>
        <v>Not Pres. </v>
      </c>
      <c r="G117" s="7" t="str">
        <f>IFERROR(__xludf.DUMMYFUNCTION("""COMPUTED_VALUE"""),"NP Findings Not Presenting ")</f>
        <v>NP Findings Not Presenting </v>
      </c>
      <c r="H117" s="7"/>
      <c r="I117" s="7" t="str">
        <f>IFERROR(__xludf.DUMMYFUNCTION("""COMPUTED_VALUE"""),"NP-Find")</f>
        <v>NP-Find</v>
      </c>
      <c r="J117" s="7"/>
      <c r="K117" s="7"/>
      <c r="L117" s="8"/>
      <c r="M117" s="7"/>
      <c r="N117" s="7"/>
    </row>
    <row r="118">
      <c r="A118" s="7" t="str">
        <f>IFERROR(__xludf.DUMMYFUNCTION("""COMPUTED_VALUE"""),"148-FIND")</f>
        <v>148-FIND</v>
      </c>
      <c r="B118" s="7" t="str">
        <f>IFERROR(__xludf.DUMMYFUNCTION("""COMPUTED_VALUE"""),"CMQCIC-Bench: A Chinese Benchmark for Evaluating Large Language Models in Medical Quality Control Indicator Calculation")</f>
        <v>CMQCIC-Bench: A Chinese Benchmark for Evaluating Large Language Models in Medical Quality Control Indicator Calculation</v>
      </c>
      <c r="C118" s="7" t="str">
        <f>IFERROR(__xludf.DUMMYFUNCTION("""COMPUTED_VALUE"""),"Medical quality control indicators are essential to assess the qualifications of healthcare institutions for medical services. With the impressive performance of large language models (LLMs) like GPT-4 in the medical field, leveraging these technologies f"&amp;"or the Medical Quality Control Indicator Calculation (MQCIC) presents a promising approach. In this work, (1) we introduce a real-world task MQCIC and propose an open-source Chinese electronic medical records (EMRs)-based dataset (CMQCIC-Bench) comprising"&amp;" 785 instances and 76 indicators. (2) We propose a semi-automatic method to enhance the rule representation. Then we propose the Clinical Facts-based Inferential Rule (CF-IR) method that disentangles the clinical fact verification and inferential rule rea"&amp;"soning actions. (3) We conduct comprehensive experiments on 20 representative LLMs, covering general and medical models. Our findings reveal that CF-IR outperforms Chain-of-Thought methods in MQCIC tasks. (4) We conduct an error analysis and investigate t"&amp;"he capabilities of clinical fact verification and inferential rule reasoning, providing insights to improve performance in the MQCIC further. The dataset and code is available in this repository https://github.com/YuY-2001/C-MQCIC.")</f>
        <v>Medical quality control indicators are essential to assess the qualifications of healthcare institutions for medical services. With the impressive performance of large language models (LLMs) like GPT-4 in the medical field, leveraging these technologies for the Medical Quality Control Indicator Calculation (MQCIC) presents a promising approach. In this work, (1) we introduce a real-world task MQCIC and propose an open-source Chinese electronic medical records (EMRs)-based dataset (CMQCIC-Bench) comprising 785 instances and 76 indicators. (2) We propose a semi-automatic method to enhance the rule representation. Then we propose the Clinical Facts-based Inferential Rule (CF-IR) method that disentangles the clinical fact verification and inferential rule reasoning actions. (3) We conduct comprehensive experiments on 20 representative LLMs, covering general and medical models. Our findings reveal that CF-IR outperforms Chain-of-Thought methods in MQCIC tasks. (4) We conduct an error analysis and investigate the capabilities of clinical fact verification and inferential rule reasoning, providing insights to improve performance in the MQCIC further. The dataset and code is available in this repository https://github.com/YuY-2001/C-MQCIC.</v>
      </c>
      <c r="D118" s="7" t="str">
        <f>IFERROR(__xludf.DUMMYFUNCTION("""COMPUTED_VALUE"""),"Guangya Yu")</f>
        <v>Guangya Yu</v>
      </c>
      <c r="E118" s="7" t="str">
        <f>IFERROR(__xludf.DUMMYFUNCTION("""COMPUTED_VALUE"""),"Yes")</f>
        <v>Yes</v>
      </c>
      <c r="F118" s="7" t="str">
        <f>IFERROR(__xludf.DUMMYFUNCTION("""COMPUTED_VALUE"""),"IP-Poster")</f>
        <v>IP-Poster</v>
      </c>
      <c r="G118" s="7" t="str">
        <f>IFERROR(__xludf.DUMMYFUNCTION("""COMPUTED_VALUE"""),"In-Person")</f>
        <v>In-Person</v>
      </c>
      <c r="H118" s="7" t="str">
        <f>IFERROR(__xludf.DUMMYFUNCTION("""COMPUTED_VALUE"""),"Hall 4/5")</f>
        <v>Hall 4/5</v>
      </c>
      <c r="I118" s="7" t="str">
        <f>IFERROR(__xludf.DUMMYFUNCTION("""COMPUTED_VALUE"""),"Session 5 :IP-Posters Find ")</f>
        <v>Session 5 :IP-Posters Find </v>
      </c>
      <c r="J118" s="7" t="str">
        <f>IFERROR(__xludf.DUMMYFUNCTION("""COMPUTED_VALUE"""),"Findings Posters - In-Person 1")</f>
        <v>Findings Posters - In-Person 1</v>
      </c>
      <c r="K118" s="7"/>
      <c r="L118" s="8">
        <f>IFERROR(__xludf.DUMMYFUNCTION("""COMPUTED_VALUE"""),45866.0)</f>
        <v>45866</v>
      </c>
      <c r="M118" s="7" t="str">
        <f>IFERROR(__xludf.DUMMYFUNCTION("""COMPUTED_VALUE"""),"18:00-19:30")</f>
        <v>18:00-19:30</v>
      </c>
      <c r="N118" s="7"/>
    </row>
    <row r="119">
      <c r="A119" s="7" t="str">
        <f>IFERROR(__xludf.DUMMYFUNCTION("""COMPUTED_VALUE"""),"156-FIND")</f>
        <v>156-FIND</v>
      </c>
      <c r="B119" s="7" t="str">
        <f>IFERROR(__xludf.DUMMYFUNCTION("""COMPUTED_VALUE"""),"ConceptEdit: Conceptualization-Augmented Knowledge Editing in Large Language Models for Commonsense Reasoning")</f>
        <v>ConceptEdit: Conceptualization-Augmented Knowledge Editing in Large Language Models for Commonsense Reasoning</v>
      </c>
      <c r="C119" s="7" t="str">
        <f>IFERROR(__xludf.DUMMYFUNCTION("""COMPUTED_VALUE"""),"Knowledge Editing (KE) aims to adjust a Large Language Model’s (LLM) internal representations and parameters to correct inaccuracies and improve output consistency without incurring the computational expense of re-training the entire model. However, editi"&amp;"ng commonsense knowledge still faces difficulties, including limited knowledge coverage in existing resources, the infeasibility of annotating labels for an overabundance of commonsense knowledge, and the strict knowledge formats of current editing method"&amp;"s. In this paper, we address these challenges by presenting ConceptEdit, a framework that integrates conceptualization and instantiation into the KE pipeline for LLMs to enhance their commonsense reasoning capabilities. ConceptEdit dynamically diagnoses i"&amp;"mplausible commonsense knowledge within an LLM using another verifier LLM and augments the source knowledge to be edited with conceptualization for stronger generalizability. Experimental results demonstrate that LLMs enhanced with ConceptEdit successfull"&amp;"y generate commonsense knowledge with improved plausibility compared to other baselines and achieve stronger performance across multiple question answering benchmarks.")</f>
        <v>Knowledge Editing (KE) aims to adjust a Large Language Model’s (LLM) internal representations and parameters to correct inaccuracies and improve output consistency without incurring the computational expense of re-training the entire model. However, editing commonsense knowledge still faces difficulties, including limited knowledge coverage in existing resources, the infeasibility of annotating labels for an overabundance of commonsense knowledge, and the strict knowledge formats of current editing methods. In this paper, we address these challenges by presenting ConceptEdit, a framework that integrates conceptualization and instantiation into the KE pipeline for LLMs to enhance their commonsense reasoning capabilities. ConceptEdit dynamically diagnoses implausible commonsense knowledge within an LLM using another verifier LLM and augments the source knowledge to be edited with conceptualization for stronger generalizability. Experimental results demonstrate that LLMs enhanced with ConceptEdit successfully generate commonsense knowledge with improved plausibility compared to other baselines and achieve stronger performance across multiple question answering benchmarks.</v>
      </c>
      <c r="D119" s="7" t="str">
        <f>IFERROR(__xludf.DUMMYFUNCTION("""COMPUTED_VALUE"""),"Liyu Zhang")</f>
        <v>Liyu Zhang</v>
      </c>
      <c r="E119" s="7" t="str">
        <f>IFERROR(__xludf.DUMMYFUNCTION("""COMPUTED_VALUE"""),"N/A")</f>
        <v>N/A</v>
      </c>
      <c r="F119" s="7" t="str">
        <f>IFERROR(__xludf.DUMMYFUNCTION("""COMPUTED_VALUE"""),"V-Presentation")</f>
        <v>V-Presentation</v>
      </c>
      <c r="G119" s="7" t="str">
        <f>IFERROR(__xludf.DUMMYFUNCTION("""COMPUTED_VALUE"""),"NP Findings Not Presenting ")</f>
        <v>NP Findings Not Presenting </v>
      </c>
      <c r="H119" s="7"/>
      <c r="I119" s="7"/>
      <c r="J119" s="7"/>
      <c r="K119" s="7"/>
      <c r="L119" s="8"/>
      <c r="M119" s="7"/>
      <c r="N119" s="7"/>
    </row>
    <row r="120">
      <c r="A120" s="7" t="str">
        <f>IFERROR(__xludf.DUMMYFUNCTION("""COMPUTED_VALUE"""),"157-FIND")</f>
        <v>157-FIND</v>
      </c>
      <c r="B120" s="7" t="str">
        <f>IFERROR(__xludf.DUMMYFUNCTION("""COMPUTED_VALUE"""),"Exploring Multi-Modal Integration with Tool-Augmented LLM Agents for Precise Causal Discovery")</f>
        <v>Exploring Multi-Modal Integration with Tool-Augmented LLM Agents for Precise Causal Discovery</v>
      </c>
      <c r="C120" s="7" t="str">
        <f>IFERROR(__xludf.DUMMYFUNCTION("""COMPUTED_VALUE"""),"Causal inference is an imperative foundation for decision-making across domains, such as smart health, AI for drug discovery and AIOps. Traditional statistical causal discovery methods, while well-established, predominantly rely on observational data and "&amp;"often overlook the semantic cues inherent in cause-and-effect relationships. The advent of Large Language Models (LLMs) has ushered in an affordable way of leveraging the semantic cues for knowledge-driven causal discovery, but the development of LLMs for"&amp;" causal discovery lags behind other areas, particularly in the exploration of multi-modality data. To bridge the gap, we introduce MatMCD, a multi-agent system powered by tool-augmented LLMs. MatMCD has two key agents: a Data Augmentation agent that retri"&amp;"eves and processes modality-augmented data, and a Causal Constraint agent that integrates multi-modal data for knowledge-driven inference. The proposed design of the inner-workings ensures successful cooperation among the agents. Our empirical study acros"&amp;"s seven datasets suggests the significant potential of multi-modality enhanced causal discovery.")</f>
        <v>Causal inference is an imperative foundation for decision-making across domains, such as smart health, AI for drug discovery and AIOps. Traditional statistical causal discovery methods, while well-established, predominantly rely on observational data and often overlook the semantic cues inherent in cause-and-effect relationships. The advent of Large Language Models (LLMs) has ushered in an affordable way of leveraging the semantic cues for knowledge-driven causal discovery, but the development of LLMs for causal discovery lags behind other areas, particularly in the exploration of multi-modality data. To bridge the gap, we introduce MatMCD, a multi-agent system powered by tool-augmented LLMs. MatMCD has two key agents: a Data Augmentation agent that retrieves and processes modality-augmented data, and a Causal Constraint agent that integrates multi-modal data for knowledge-driven inference. The proposed design of the inner-workings ensures successful cooperation among the agents. Our empirical study across seven datasets suggests the significant potential of multi-modality enhanced causal discovery.</v>
      </c>
      <c r="D120" s="7" t="str">
        <f>IFERROR(__xludf.DUMMYFUNCTION("""COMPUTED_VALUE"""),"None.")</f>
        <v>None.</v>
      </c>
      <c r="E120" s="7" t="str">
        <f>IFERROR(__xludf.DUMMYFUNCTION("""COMPUTED_VALUE"""),"#N/A")</f>
        <v>#N/A</v>
      </c>
      <c r="F120" s="7" t="str">
        <f>IFERROR(__xludf.DUMMYFUNCTION("""COMPUTED_VALUE"""),"Not Pres. ")</f>
        <v>Not Pres. </v>
      </c>
      <c r="G120" s="7" t="str">
        <f>IFERROR(__xludf.DUMMYFUNCTION("""COMPUTED_VALUE"""),"NP Findings Not Presenting ")</f>
        <v>NP Findings Not Presenting </v>
      </c>
      <c r="H120" s="7"/>
      <c r="I120" s="7" t="str">
        <f>IFERROR(__xludf.DUMMYFUNCTION("""COMPUTED_VALUE"""),"NP-Find")</f>
        <v>NP-Find</v>
      </c>
      <c r="J120" s="7"/>
      <c r="K120" s="7"/>
      <c r="L120" s="8"/>
      <c r="M120" s="7"/>
      <c r="N120" s="7"/>
    </row>
    <row r="121">
      <c r="A121" s="7" t="str">
        <f>IFERROR(__xludf.DUMMYFUNCTION("""COMPUTED_VALUE"""),"161-FIND")</f>
        <v>161-FIND</v>
      </c>
      <c r="B121" s="7" t="str">
        <f>IFERROR(__xludf.DUMMYFUNCTION("""COMPUTED_VALUE"""),"PARSQL: Enhancing Text-to-SQL through SQL Parsing and Reasoning")</f>
        <v>PARSQL: Enhancing Text-to-SQL through SQL Parsing and Reasoning</v>
      </c>
      <c r="C121" s="7" t="str">
        <f>IFERROR(__xludf.DUMMYFUNCTION("""COMPUTED_VALUE"""),"Large language models (LLMs) have made significant strides in text-to-SQL tasks; however, small language models (SLMs) are crucial due to their low resource consumption and efficient inference for real-world deployment.  Due to resource limitations, SLMs "&amp;"struggle to accurately interpret natural language questions and may overlook critical constraints, leading to challenges such as generating SQL with incorrect logic or incomplete conditions.  To address these issues, we propose PARSQL, a novel framework t"&amp;"hat leverages SQL parsing and reasoning. Specifically, we design PARSer, an SQL parser that extracts constraints from SQL to generate sub-SQLs for data augmentation and producing step-by-step SQL explanations (reason) via both rule-based and LLM-based met"&amp;"hods.  We define a novel text-to-reason task and incorporate it into multi-task learning, thereby enhancing text-to-SQL performance.  Additionally, we employ an efficient SQL selection strategy that conducts direct similarity computation between the gener"&amp;"ated SQLs and their corresponding reasons to derive the final SQL for post-correction. Extensive experiments show that our PARSQL outperforms models with the same model size on the BIRD and Spider benchmarks.  Notably, PARSQL-3B achieves 56.98% execution "&amp;"accuracy on BIRD, rivaling 7B models with significantly fewer parameters, setting a new state-of-the-art performance.  Code can be found [here](https://github.com/yaxundai/parsql).")</f>
        <v>Large language models (LLMs) have made significant strides in text-to-SQL tasks; however, small language models (SLMs) are crucial due to their low resource consumption and efficient inference for real-world deployment.  Due to resource limitations, SLMs struggle to accurately interpret natural language questions and may overlook critical constraints, leading to challenges such as generating SQL with incorrect logic or incomplete conditions.  To address these issues, we propose PARSQL, a novel framework that leverages SQL parsing and reasoning. Specifically, we design PARSer, an SQL parser that extracts constraints from SQL to generate sub-SQLs for data augmentation and producing step-by-step SQL explanations (reason) via both rule-based and LLM-based methods.  We define a novel text-to-reason task and incorporate it into multi-task learning, thereby enhancing text-to-SQL performance.  Additionally, we employ an efficient SQL selection strategy that conducts direct similarity computation between the generated SQLs and their corresponding reasons to derive the final SQL for post-correction. Extensive experiments show that our PARSQL outperforms models with the same model size on the BIRD and Spider benchmarks.  Notably, PARSQL-3B achieves 56.98% execution accuracy on BIRD, rivaling 7B models with significantly fewer parameters, setting a new state-of-the-art performance.  Code can be found [here](https://github.com/yaxundai/parsql).</v>
      </c>
      <c r="D121" s="7" t="str">
        <f>IFERROR(__xludf.DUMMYFUNCTION("""COMPUTED_VALUE"""),"yaxundai")</f>
        <v>yaxundai</v>
      </c>
      <c r="E121" s="7" t="str">
        <f>IFERROR(__xludf.DUMMYFUNCTION("""COMPUTED_VALUE"""),"#N/A")</f>
        <v>#N/A</v>
      </c>
      <c r="F121" s="7" t="str">
        <f>IFERROR(__xludf.DUMMYFUNCTION("""COMPUTED_VALUE"""),"Not Pres. ")</f>
        <v>Not Pres. </v>
      </c>
      <c r="G121" s="7" t="str">
        <f>IFERROR(__xludf.DUMMYFUNCTION("""COMPUTED_VALUE"""),"NP Findings Not Presenting ")</f>
        <v>NP Findings Not Presenting </v>
      </c>
      <c r="H121" s="7"/>
      <c r="I121" s="7" t="str">
        <f>IFERROR(__xludf.DUMMYFUNCTION("""COMPUTED_VALUE"""),"NP-Find")</f>
        <v>NP-Find</v>
      </c>
      <c r="J121" s="7"/>
      <c r="K121" s="7"/>
      <c r="L121" s="8"/>
      <c r="M121" s="7"/>
      <c r="N121" s="7"/>
    </row>
    <row r="122">
      <c r="A122" s="7" t="str">
        <f>IFERROR(__xludf.DUMMYFUNCTION("""COMPUTED_VALUE"""),"162-FIND")</f>
        <v>162-FIND</v>
      </c>
      <c r="B122" s="7" t="str">
        <f>IFERROR(__xludf.DUMMYFUNCTION("""COMPUTED_VALUE"""),"Revisiting ``The Geometry of Truth'': Emergent Consistent Linear Representation of Truthfulness in Capable Language Models")</f>
        <v>Revisiting ``The Geometry of Truth'': Emergent Consistent Linear Representation of Truthfulness in Capable Language Models</v>
      </c>
      <c r="C122" s="7" t="str">
        <f>IFERROR(__xludf.DUMMYFUNCTION("""COMPUTED_VALUE"""),"Large language models (LLMs) are trained on extensive datasets that encapsulate substantial world knowledge. However, their outputs often include confidently stated inaccuracies. Earlier works suggest that LLMs encode truthfulness as a distinct linear fea"&amp;"ture, termed the ``truth direction'', which can classify truthfulness reliably. We address several open questions about the truth direction: (i) whether LLMs universally exhibit consistent truth directions; (ii) whether sophisticated probing techniques ar"&amp;"e necessary to identify truth directions; and (iii) how the truth direction generalizes across diverse contexts. Our findings reveal that not all LLMs exhibit consistent truth directions, with stronger representations observed in more capable models, part"&amp;"icularly in the context of logical negation. Additionally, we demonstrate that truthfulness probes trained on declarative atomic statements can generalize effectively to logical transformations, question-answering tasks, in-context learning, and external "&amp;"knowledge sources. Finally, we explore the practical application of truthfulness probes in selective question-answering, illustrating their potential to improve user trust in LLM outputs. These results advance our understanding of truth directions and pro"&amp;"vide new insights into the internal representations of LLM beliefs.")</f>
        <v>Large language models (LLMs) are trained on extensive datasets that encapsulate substantial world knowledge. However, their outputs often include confidently stated inaccuracies. Earlier works suggest that LLMs encode truthfulness as a distinct linear feature, termed the ``truth direction'', which can classify truthfulness reliably. We address several open questions about the truth direction: (i) whether LLMs universally exhibit consistent truth directions; (ii) whether sophisticated probing techniques are necessary to identify truth directions; and (iii) how the truth direction generalizes across diverse contexts. Our findings reveal that not all LLMs exhibit consistent truth directions, with stronger representations observed in more capable models, particularly in the context of logical negation. Additionally, we demonstrate that truthfulness probes trained on declarative atomic statements can generalize effectively to logical transformations, question-answering tasks, in-context learning, and external knowledge sources. Finally, we explore the practical application of truthfulness probes in selective question-answering, illustrating their potential to improve user trust in LLM outputs. These results advance our understanding of truth directions and provide new insights into the internal representations of LLM beliefs.</v>
      </c>
      <c r="D122" s="7" t="str">
        <f>IFERROR(__xludf.DUMMYFUNCTION("""COMPUTED_VALUE"""),"N/A")</f>
        <v>N/A</v>
      </c>
      <c r="E122" s="7" t="str">
        <f>IFERROR(__xludf.DUMMYFUNCTION("""COMPUTED_VALUE"""),"#N/A")</f>
        <v>#N/A</v>
      </c>
      <c r="F122" s="7" t="str">
        <f>IFERROR(__xludf.DUMMYFUNCTION("""COMPUTED_VALUE"""),"Not Pres. ")</f>
        <v>Not Pres. </v>
      </c>
      <c r="G122" s="7" t="str">
        <f>IFERROR(__xludf.DUMMYFUNCTION("""COMPUTED_VALUE"""),"NP Findings Not Presenting ")</f>
        <v>NP Findings Not Presenting </v>
      </c>
      <c r="H122" s="7"/>
      <c r="I122" s="7" t="str">
        <f>IFERROR(__xludf.DUMMYFUNCTION("""COMPUTED_VALUE"""),"NP-Find")</f>
        <v>NP-Find</v>
      </c>
      <c r="J122" s="7"/>
      <c r="K122" s="7"/>
      <c r="L122" s="8"/>
      <c r="M122" s="7"/>
      <c r="N122" s="7"/>
    </row>
    <row r="123">
      <c r="A123" s="7" t="str">
        <f>IFERROR(__xludf.DUMMYFUNCTION("""COMPUTED_VALUE"""),"163-FIND")</f>
        <v>163-FIND</v>
      </c>
      <c r="B123" s="7" t="str">
        <f>IFERROR(__xludf.DUMMYFUNCTION("""COMPUTED_VALUE"""),"Comparing Bad Apples to Good Oranges Aligning Large Language Models via Joint Preference Optimization")</f>
        <v>Comparing Bad Apples to Good Oranges Aligning Large Language Models via Joint Preference Optimization</v>
      </c>
      <c r="C123" s="7" t="str">
        <f>IFERROR(__xludf.DUMMYFUNCTION("""COMPUTED_VALUE"""),"A common technique for aligning large language models (LLMs) relies on acquiring human preferences by comparing multiple generations conditioned on a fixed context. This method, however, relies solely on pairwise comparisons, where the generations are eva"&amp;"luated within an identical context. While effective to such conditional preferences often fail to encompass the nuanced and multidimensional nature of human preferences. In this work, we revisit the traditional paradigm of preference acquisition and propo"&amp;"se a new axis based on eliciting preferences jointly over the instruction-response pairs. Unlike prior preference optimizations, which are designed for conditional ranking protocols (e.g., DPO), we propose Joint Preference Optimization (JPO), a new prefer"&amp;"ence optimization objective that upweights the joint probability of the chosen instruction-response pair over the rejected instruction-response pair. Interestingly, LLMs trained with joint instruction-response preference data using JPO outperform LLM trai"&amp;"ned with DPO by 5.2% and 3.3% win-rate for summarization and open-ended dialogue datasets, respectively. Our findings reveal that joint preferences over instruction and response pairs can significantly enhance the alignment of LLMs by tapping into a broad"&amp;"er spectrum of human preference elicitation.We will release the data, code, and models upon acceptance.")</f>
        <v>A common technique for aligning large language models (LLMs) relies on acquiring human preferences by comparing multiple generations conditioned on a fixed context. This method, however, relies solely on pairwise comparisons, where the generations are evaluated within an identical context. While effective to such conditional preferences often fail to encompass the nuanced and multidimensional nature of human preferences. In this work, we revisit the traditional paradigm of preference acquisition and propose a new axis based on eliciting preferences jointly over the instruction-response pairs. Unlike prior preference optimizations, which are designed for conditional ranking protocols (e.g., DPO), we propose Joint Preference Optimization (JPO), a new preference optimization objective that upweights the joint probability of the chosen instruction-response pair over the rejected instruction-response pair. Interestingly, LLMs trained with joint instruction-response preference data using JPO outperform LLM trained with DPO by 5.2% and 3.3% win-rate for summarization and open-ended dialogue datasets, respectively. Our findings reveal that joint preferences over instruction and response pairs can significantly enhance the alignment of LLMs by tapping into a broader spectrum of human preference elicitation.We will release the data, code, and models upon acceptance.</v>
      </c>
      <c r="D123" s="7" t="str">
        <f>IFERROR(__xludf.DUMMYFUNCTION("""COMPUTED_VALUE"""),"N/A")</f>
        <v>N/A</v>
      </c>
      <c r="E123" s="7" t="str">
        <f>IFERROR(__xludf.DUMMYFUNCTION("""COMPUTED_VALUE"""),"#N/A")</f>
        <v>#N/A</v>
      </c>
      <c r="F123" s="7" t="str">
        <f>IFERROR(__xludf.DUMMYFUNCTION("""COMPUTED_VALUE"""),"Not Pres. ")</f>
        <v>Not Pres. </v>
      </c>
      <c r="G123" s="7" t="str">
        <f>IFERROR(__xludf.DUMMYFUNCTION("""COMPUTED_VALUE"""),"NP Findings Not Presenting ")</f>
        <v>NP Findings Not Presenting </v>
      </c>
      <c r="H123" s="7"/>
      <c r="I123" s="7" t="str">
        <f>IFERROR(__xludf.DUMMYFUNCTION("""COMPUTED_VALUE"""),"NP-Find")</f>
        <v>NP-Find</v>
      </c>
      <c r="J123" s="7"/>
      <c r="K123" s="7"/>
      <c r="L123" s="8"/>
      <c r="M123" s="7"/>
      <c r="N123" s="7"/>
    </row>
    <row r="124">
      <c r="A124" s="7" t="str">
        <f>IFERROR(__xludf.DUMMYFUNCTION("""COMPUTED_VALUE"""),"165-FIND")</f>
        <v>165-FIND</v>
      </c>
      <c r="B124" s="7" t="str">
        <f>IFERROR(__xludf.DUMMYFUNCTION("""COMPUTED_VALUE"""),"TestAgent: An Adaptive and Intelligent Expert for Human Assessment")</f>
        <v>TestAgent: An Adaptive and Intelligent Expert for Human Assessment</v>
      </c>
      <c r="C124" s="7" t="str">
        <f>IFERROR(__xludf.DUMMYFUNCTION("""COMPUTED_VALUE"""),"Accurately assessing internal human states is key to understanding preferences, offering personalized services, and identifying challenges in real-world applications. Originating from psychometrics, adaptive testing has become the mainstream method for hu"&amp;"man measurement and has now been widely applied in education, healthcare, sports, and sociology. It customizes assessments by selecting the fewest test questions . However, current adaptive testing methods face several challenges. The mechanized nature of"&amp;" most algorithms leads to guessing behavior and difficulties with open-ended questions. Additionally, subjective assessments suffer from noisy response data and coarse-grained test outputs, further limiting their effectiveness. To move closer to an ideal "&amp;"adaptive testing process, we propose TestAgent, a large language model (LLM)-powered agent designed to enhance adaptive testing through interactive engagement. This is the first application of LLMs in adaptive testing. TestAgent supports personalized ques"&amp;"tion selection, captures test-takers' responses and anomalies, and provides precise outcomes through dynamic, conversational interactions. Experiments on psychological, educational, and lifestyle assessments show our approach achieves more accurate result"&amp;"s with 20% fewer questions than state-of-the-art baselines, and testers preferred it in speed, smoothness, and other dimensions.")</f>
        <v>Accurately assessing internal human states is key to understanding preferences, offering personalized services, and identifying challenges in real-world applications. Originating from psychometrics, adaptive testing has become the mainstream method for human measurement and has now been widely applied in education, healthcare, sports, and sociology. It customizes assessments by selecting the fewest test questions . However, current adaptive testing methods face several challenges. The mechanized nature of most algorithms leads to guessing behavior and difficulties with open-ended questions. Additionally, subjective assessments suffer from noisy response data and coarse-grained test outputs, further limiting their effectiveness. To move closer to an ideal adaptive testing process, we propose TestAgent, a large language model (LLM)-powered agent designed to enhance adaptive testing through interactive engagement. This is the first application of LLMs in adaptive testing. TestAgent supports personalized question selection, captures test-takers' responses and anomalies, and provides precise outcomes through dynamic, conversational interactions. Experiments on psychological, educational, and lifestyle assessments show our approach achieves more accurate results with 20% fewer questions than state-of-the-art baselines, and testers preferred it in speed, smoothness, and other dimensions.</v>
      </c>
      <c r="D124" s="7" t="str">
        <f>IFERROR(__xludf.DUMMYFUNCTION("""COMPUTED_VALUE"""),"Junhao Yu")</f>
        <v>Junhao Yu</v>
      </c>
      <c r="E124" s="7" t="str">
        <f>IFERROR(__xludf.DUMMYFUNCTION("""COMPUTED_VALUE"""),"#N/A")</f>
        <v>#N/A</v>
      </c>
      <c r="F124" s="7" t="str">
        <f>IFERROR(__xludf.DUMMYFUNCTION("""COMPUTED_VALUE"""),"Not Pres. ")</f>
        <v>Not Pres. </v>
      </c>
      <c r="G124" s="7" t="str">
        <f>IFERROR(__xludf.DUMMYFUNCTION("""COMPUTED_VALUE"""),"NP Findings Not Presenting ")</f>
        <v>NP Findings Not Presenting </v>
      </c>
      <c r="H124" s="7"/>
      <c r="I124" s="7" t="str">
        <f>IFERROR(__xludf.DUMMYFUNCTION("""COMPUTED_VALUE"""),"NP-Find")</f>
        <v>NP-Find</v>
      </c>
      <c r="J124" s="7"/>
      <c r="K124" s="7"/>
      <c r="L124" s="8"/>
      <c r="M124" s="7"/>
      <c r="N124" s="7"/>
    </row>
    <row r="125">
      <c r="A125" s="7" t="str">
        <f>IFERROR(__xludf.DUMMYFUNCTION("""COMPUTED_VALUE"""),"168-FIND")</f>
        <v>168-FIND</v>
      </c>
      <c r="B125" s="7" t="str">
        <f>IFERROR(__xludf.DUMMYFUNCTION("""COMPUTED_VALUE"""),"SPICA: Retrieving Scenarios for Pluralistic In-Context Alignment")</f>
        <v>SPICA: Retrieving Scenarios for Pluralistic In-Context Alignment</v>
      </c>
      <c r="C125" s="7" t="str">
        <f>IFERROR(__xludf.DUMMYFUNCTION("""COMPUTED_VALUE"""),"When different groups’ values differ, one approach to model alignment is to steer models at inference time towards each group’s preferences. However, techniques like in-context learning only consider similarity when drawing few-shot examples and not cross"&amp;"-group differences in values. We propose SPICA, a framework that accounts for group-level differences during in-context example retrieval. SPICA introduces three designs: scenario banks, group-informed retrieval metrics, and in-context alignment prompts. "&amp;"From an evaluation of SPICA on an alignment task collecting inputs from four demographic groups (n = 544), our metrics retrieve in-context examples that more closely match observed preferences, with the best prompt configuration using multiple contrastive"&amp;" responses to demonstrate examples. In an end-to-end evaluation (n = 120), we observe that SPICA is higher rated than similarity-based retrieval, with groups seeing up to a +0.16 point improvement on a 5 point scale. Additionally, gains from SPICA were mo"&amp;"re uniform, with all groups benefiting from alignment rather than only some. Finally, we find that while a group-agnostic approach can align to aggregated values, it is not most suited for divergent groups.")</f>
        <v>When different groups’ values differ, one approach to model alignment is to steer models at inference time towards each group’s preferences. However, techniques like in-context learning only consider similarity when drawing few-shot examples and not cross-group differences in values. We propose SPICA, a framework that accounts for group-level differences during in-context example retrieval. SPICA introduces three designs: scenario banks, group-informed retrieval metrics, and in-context alignment prompts. From an evaluation of SPICA on an alignment task collecting inputs from four demographic groups (n = 544), our metrics retrieve in-context examples that more closely match observed preferences, with the best prompt configuration using multiple contrastive responses to demonstrate examples. In an end-to-end evaluation (n = 120), we observe that SPICA is higher rated than similarity-based retrieval, with groups seeing up to a +0.16 point improvement on a 5 point scale. Additionally, gains from SPICA were more uniform, with all groups benefiting from alignment rather than only some. Finally, we find that while a group-agnostic approach can align to aggregated values, it is not most suited for divergent groups.</v>
      </c>
      <c r="D125" s="7" t="str">
        <f>IFERROR(__xludf.DUMMYFUNCTION("""COMPUTED_VALUE"""),"Quan Ze Chen")</f>
        <v>Quan Ze Chen</v>
      </c>
      <c r="E125" s="7" t="str">
        <f>IFERROR(__xludf.DUMMYFUNCTION("""COMPUTED_VALUE"""),"Yes")</f>
        <v>Yes</v>
      </c>
      <c r="F125" s="7" t="str">
        <f>IFERROR(__xludf.DUMMYFUNCTION("""COMPUTED_VALUE"""),"IP-Poster")</f>
        <v>IP-Poster</v>
      </c>
      <c r="G125" s="7" t="str">
        <f>IFERROR(__xludf.DUMMYFUNCTION("""COMPUTED_VALUE"""),"In-Person")</f>
        <v>In-Person</v>
      </c>
      <c r="H125" s="7" t="str">
        <f>IFERROR(__xludf.DUMMYFUNCTION("""COMPUTED_VALUE"""),"Hall 4/5")</f>
        <v>Hall 4/5</v>
      </c>
      <c r="I125" s="7" t="str">
        <f>IFERROR(__xludf.DUMMYFUNCTION("""COMPUTED_VALUE"""),"Session 5 :IP-Posters Find ")</f>
        <v>Session 5 :IP-Posters Find </v>
      </c>
      <c r="J125" s="7" t="str">
        <f>IFERROR(__xludf.DUMMYFUNCTION("""COMPUTED_VALUE"""),"Findings Posters - In-Person 1")</f>
        <v>Findings Posters - In-Person 1</v>
      </c>
      <c r="K125" s="7"/>
      <c r="L125" s="8">
        <f>IFERROR(__xludf.DUMMYFUNCTION("""COMPUTED_VALUE"""),45866.0)</f>
        <v>45866</v>
      </c>
      <c r="M125" s="7" t="str">
        <f>IFERROR(__xludf.DUMMYFUNCTION("""COMPUTED_VALUE"""),"18:00-19:30")</f>
        <v>18:00-19:30</v>
      </c>
      <c r="N125" s="7"/>
    </row>
    <row r="126">
      <c r="A126" s="7" t="str">
        <f>IFERROR(__xludf.DUMMYFUNCTION("""COMPUTED_VALUE"""),"170-FIND")</f>
        <v>170-FIND</v>
      </c>
      <c r="B126" s="7" t="str">
        <f>IFERROR(__xludf.DUMMYFUNCTION("""COMPUTED_VALUE"""),"First-Step Advantage: Importance of Starting Right in Multi-Step Math Reasoning")</f>
        <v>First-Step Advantage: Importance of Starting Right in Multi-Step Math Reasoning</v>
      </c>
      <c r="C126" s="7" t="str">
        <f>IFERROR(__xludf.DUMMYFUNCTION("""COMPUTED_VALUE"""),"Language models can solve complex reasoning tasks better by learning to generate rationales for their predictions. Often these models know how to solve a task but their auto-regressive decoding nature leads to incorrect results if started incorrectly. We "&amp;"observe that smaller models in particular, when corrected, can solve a task that they would otherwise struggle with. We demonstrate this phenomenon by using a larger model to guide smaller models, which leads to significantly improved performance (up to +"&amp;"24 points on the GSM8K dataset by 7B models). To assist smaller models in initiating the starting step, we propose QuestCoT, where a smaller model first asks how to start before proceeding with a chain of reasoning. On various multistep mathematical reaso"&amp;"ning datasets over multiple smaller models, we show that getting the start right can lead to significant performance gains across all models (gains of up to +6 points on GSM8K, +9 on SVAMP, +5 on ASDiv, and +7 on MultiArith).")</f>
        <v>Language models can solve complex reasoning tasks better by learning to generate rationales for their predictions. Often these models know how to solve a task but their auto-regressive decoding nature leads to incorrect results if started incorrectly. We observe that smaller models in particular, when corrected, can solve a task that they would otherwise struggle with. We demonstrate this phenomenon by using a larger model to guide smaller models, which leads to significantly improved performance (up to +24 points on the GSM8K dataset by 7B models). To assist smaller models in initiating the starting step, we propose QuestCoT, where a smaller model first asks how to start before proceeding with a chain of reasoning. On various multistep mathematical reasoning datasets over multiple smaller models, we show that getting the start right can lead to significant performance gains across all models (gains of up to +6 points on GSM8K, +9 on SVAMP, +5 on ASDiv, and +7 on MultiArith).</v>
      </c>
      <c r="D126" s="7" t="str">
        <f>IFERROR(__xludf.DUMMYFUNCTION("""COMPUTED_VALUE"""),"N/A")</f>
        <v>N/A</v>
      </c>
      <c r="E126" s="7" t="str">
        <f>IFERROR(__xludf.DUMMYFUNCTION("""COMPUTED_VALUE"""),"#N/A")</f>
        <v>#N/A</v>
      </c>
      <c r="F126" s="7" t="str">
        <f>IFERROR(__xludf.DUMMYFUNCTION("""COMPUTED_VALUE"""),"Not Pres. ")</f>
        <v>Not Pres. </v>
      </c>
      <c r="G126" s="7" t="str">
        <f>IFERROR(__xludf.DUMMYFUNCTION("""COMPUTED_VALUE"""),"NP Findings Not Presenting ")</f>
        <v>NP Findings Not Presenting </v>
      </c>
      <c r="H126" s="7"/>
      <c r="I126" s="7" t="str">
        <f>IFERROR(__xludf.DUMMYFUNCTION("""COMPUTED_VALUE"""),"NP-Find")</f>
        <v>NP-Find</v>
      </c>
      <c r="J126" s="7"/>
      <c r="K126" s="7"/>
      <c r="L126" s="8"/>
      <c r="M126" s="7"/>
      <c r="N126" s="7"/>
    </row>
    <row r="127">
      <c r="A127" s="7" t="str">
        <f>IFERROR(__xludf.DUMMYFUNCTION("""COMPUTED_VALUE"""),"179-FIND")</f>
        <v>179-FIND</v>
      </c>
      <c r="B127" s="7" t="str">
        <f>IFERROR(__xludf.DUMMYFUNCTION("""COMPUTED_VALUE"""),"Evaluating Instructively Generated Statement by Large Language Models for Directional Event Causality Identification")</f>
        <v>Evaluating Instructively Generated Statement by Large Language Models for Directional Event Causality Identification</v>
      </c>
      <c r="C127" s="7" t="str">
        <f>IFERROR(__xludf.DUMMYFUNCTION("""COMPUTED_VALUE"""),"This paper aims to identify directional causal relations between events, including the existence and direction of causality. Previous studies mainly adopt prompt learning paradigm to predict a causal answer word based on a Pre-trained Language Model (PLM)"&amp;" for causality existence identification. However, the indecision in selecting answer words from some synonyms and the confusion of indicating opposite causal directions with the same answer word raise more challenges in directional causality identificatio"&amp;"n. Inspired by the strong capabilities of pre-trained Generative Language Models (GLMs) in generating responses or statements, we propose to instruct a GLM to generate causality statements and identify directional event causality by evaluating the generat"&amp;"ed statements. Specifically, we propose an Instructive Generation and Statement Evaluation method to identify both the existence and direction of causality. We first fine-tune a GLM to instructively generate causality statements based on event description"&amp;" inputs. Then, we evaluate the rationality of the generated statements to determine the existence and direction of event causalities. Experiments on the ESC and MAVEN datasets show that our method significantly outperforms state-of-the-art algorithms, eve"&amp;"n with fewer training data.")</f>
        <v>This paper aims to identify directional causal relations between events, including the existence and direction of causality. Previous studies mainly adopt prompt learning paradigm to predict a causal answer word based on a Pre-trained Language Model (PLM) for causality existence identification. However, the indecision in selecting answer words from some synonyms and the confusion of indicating opposite causal directions with the same answer word raise more challenges in directional causality identification. Inspired by the strong capabilities of pre-trained Generative Language Models (GLMs) in generating responses or statements, we propose to instruct a GLM to generate causality statements and identify directional event causality by evaluating the generated statements. Specifically, we propose an Instructive Generation and Statement Evaluation method to identify both the existence and direction of causality. We first fine-tune a GLM to instructively generate causality statements based on event description inputs. Then, we evaluate the rationality of the generated statements to determine the existence and direction of event causalities. Experiments on the ESC and MAVEN datasets show that our method significantly outperforms state-of-the-art algorithms, even with fewer training data.</v>
      </c>
      <c r="D127" s="7" t="str">
        <f>IFERROR(__xludf.DUMMYFUNCTION("""COMPUTED_VALUE"""),"Wei Xiang")</f>
        <v>Wei Xiang</v>
      </c>
      <c r="E127" s="7" t="str">
        <f>IFERROR(__xludf.DUMMYFUNCTION("""COMPUTED_VALUE"""),"#N/A")</f>
        <v>#N/A</v>
      </c>
      <c r="F127" s="7" t="str">
        <f>IFERROR(__xludf.DUMMYFUNCTION("""COMPUTED_VALUE"""),"Not Pres. ")</f>
        <v>Not Pres. </v>
      </c>
      <c r="G127" s="7" t="str">
        <f>IFERROR(__xludf.DUMMYFUNCTION("""COMPUTED_VALUE"""),"NP Findings Not Presenting ")</f>
        <v>NP Findings Not Presenting </v>
      </c>
      <c r="H127" s="7"/>
      <c r="I127" s="7" t="str">
        <f>IFERROR(__xludf.DUMMYFUNCTION("""COMPUTED_VALUE"""),"NP-Find")</f>
        <v>NP-Find</v>
      </c>
      <c r="J127" s="7"/>
      <c r="K127" s="7"/>
      <c r="L127" s="8"/>
      <c r="M127" s="7"/>
      <c r="N127" s="7"/>
    </row>
    <row r="128">
      <c r="A128" s="7" t="str">
        <f>IFERROR(__xludf.DUMMYFUNCTION("""COMPUTED_VALUE"""),"193-FIND")</f>
        <v>193-FIND</v>
      </c>
      <c r="B128" s="7" t="str">
        <f>IFERROR(__xludf.DUMMYFUNCTION("""COMPUTED_VALUE"""),"CoinMath: Harnessing the Power of Coding Instruction for Math LLM")</f>
        <v>CoinMath: Harnessing the Power of Coding Instruction for Math LLM</v>
      </c>
      <c r="C128" s="7" t="str">
        <f>IFERROR(__xludf.DUMMYFUNCTION("""COMPUTED_VALUE"""),"Large Language Models (LLMs) have shown strong performance in solving mathematical problems, with code-based solutions proving particularly effective. However, the best practice to leverage coding instruction data to enhance mathematical reasoning remains"&amp;" underexplored. This study investigates three key questions: (1) How do different coding styles of mathematical code-based rationales impact LLMs' learning performance? (2) Can general-domain coding instructions improve performance? (3) How does integrati"&amp;"ng textual rationales with code-based ones during training enhance mathematical reasoning abilities? Our findings reveal that code-based rationales with concise comments, descriptive naming, and hardcoded solutions are beneficial, while improvements from "&amp;"general-domain coding instructions and textual rationales are relatively minor. Based on these insights, we propose CoinMath, a learning strategy designed to enhance mathematical reasoning by diversifying the coding styles of code-based rationales. CoinMa"&amp;"th generates a variety of code-based rationales incorporating concise comments, descriptive naming conventions, and hardcoded solutions. Experimental results demonstrate that CoinMath significantly outperforms its baseline model, MAmmoTH, one of the SOTA "&amp;"math LLMs.")</f>
        <v>Large Language Models (LLMs) have shown strong performance in solving mathematical problems, with code-based solutions proving particularly effective. However, the best practice to leverage coding instruction data to enhance mathematical reasoning remains underexplored. This study investigates three key questions: (1) How do different coding styles of mathematical code-based rationales impact LLMs' learning performance? (2) Can general-domain coding instructions improve performance? (3) How does integrating textual rationales with code-based ones during training enhance mathematical reasoning abilities? Our findings reveal that code-based rationales with concise comments, descriptive naming, and hardcoded solutions are beneficial, while improvements from general-domain coding instructions and textual rationales are relatively minor. Based on these insights, we propose CoinMath, a learning strategy designed to enhance mathematical reasoning by diversifying the coding styles of code-based rationales. CoinMath generates a variety of code-based rationales incorporating concise comments, descriptive naming conventions, and hardcoded solutions. Experimental results demonstrate that CoinMath significantly outperforms its baseline model, MAmmoTH, one of the SOTA math LLMs.</v>
      </c>
      <c r="D128" s="7" t="str">
        <f>IFERROR(__xludf.DUMMYFUNCTION("""COMPUTED_VALUE"""),"Chengwei Wei")</f>
        <v>Chengwei Wei</v>
      </c>
      <c r="E128" s="7" t="str">
        <f>IFERROR(__xludf.DUMMYFUNCTION("""COMPUTED_VALUE"""),"Yes")</f>
        <v>Yes</v>
      </c>
      <c r="F128" s="7" t="str">
        <f>IFERROR(__xludf.DUMMYFUNCTION("""COMPUTED_VALUE"""),"IP-Poster")</f>
        <v>IP-Poster</v>
      </c>
      <c r="G128" s="7" t="str">
        <f>IFERROR(__xludf.DUMMYFUNCTION("""COMPUTED_VALUE"""),"In-Person")</f>
        <v>In-Person</v>
      </c>
      <c r="H128" s="7" t="str">
        <f>IFERROR(__xludf.DUMMYFUNCTION("""COMPUTED_VALUE"""),"Hall 4/5")</f>
        <v>Hall 4/5</v>
      </c>
      <c r="I128" s="7" t="str">
        <f>IFERROR(__xludf.DUMMYFUNCTION("""COMPUTED_VALUE"""),"Session 5 :IP-Posters Find ")</f>
        <v>Session 5 :IP-Posters Find </v>
      </c>
      <c r="J128" s="7" t="str">
        <f>IFERROR(__xludf.DUMMYFUNCTION("""COMPUTED_VALUE"""),"Findings Posters - In-Person 1")</f>
        <v>Findings Posters - In-Person 1</v>
      </c>
      <c r="K128" s="7"/>
      <c r="L128" s="8">
        <f>IFERROR(__xludf.DUMMYFUNCTION("""COMPUTED_VALUE"""),45866.0)</f>
        <v>45866</v>
      </c>
      <c r="M128" s="7" t="str">
        <f>IFERROR(__xludf.DUMMYFUNCTION("""COMPUTED_VALUE"""),"18:00-19:30")</f>
        <v>18:00-19:30</v>
      </c>
      <c r="N128" s="7"/>
    </row>
    <row r="129">
      <c r="A129" s="7" t="str">
        <f>IFERROR(__xludf.DUMMYFUNCTION("""COMPUTED_VALUE"""),"204-FIND")</f>
        <v>204-FIND</v>
      </c>
      <c r="B129" s="7" t="str">
        <f>IFERROR(__xludf.DUMMYFUNCTION("""COMPUTED_VALUE"""),"Profiling News Media for Factuality and Bias Using LLMs and the Fact-Checking Methodology of Human Experts")</f>
        <v>Profiling News Media for Factuality and Bias Using LLMs and the Fact-Checking Methodology of Human Experts</v>
      </c>
      <c r="C129" s="7" t="str">
        <f>IFERROR(__xludf.DUMMYFUNCTION("""COMPUTED_VALUE"""),"In an age characterized by the proliferation of mis- and disinformation online, it is critical to empower readers to understand the content they are reading. Important efforts in this direction rely on manual or automatic fact-checking, which can be chall"&amp;"enging for emerging claims with limited information. Such scenarios can be handled by assessing the reliability and the political bias of the source of the claim, i.e., characterizing entire news outlets rather than individual claims or articles. This is "&amp;"an important but understudied research direction. While prior work has looked into linguistic and social contexts, we do not analyze individual articles or information in social media. Instead, we propose a novel methodology that mimics the criteria that "&amp;"professional fact-checkers use to assess the factuality and political bias of an entire outlet. Specifically, we design a variety of prompts based on these criteria, and we elicit responses from large language models (LLMs), which we aggregate to make pre"&amp;"dictions. In addition to demonstrating sizable improvements over strong baselines via extensive experiments with multiple LLMs, we provide an in-depth error analysis of the effect of media popularity and region on model performance. We further conduct an "&amp;"ablation study to highlight the key components of our dataset that contribute to these improvements. To facilitate future research, we release our dataset and code.")</f>
        <v>In an age characterized by the proliferation of mis- and disinformation online, it is critical to empower readers to understand the content they are reading. Important efforts in this direction rely on manual or automatic fact-checking, which can be challenging for emerging claims with limited information. Such scenarios can be handled by assessing the reliability and the political bias of the source of the claim, i.e., characterizing entire news outlets rather than individual claims or articles. This is an important but understudied research direction. While prior work has looked into linguistic and social contexts, we do not analyze individual articles or information in social media. Instead, we propose a novel methodology that mimics the criteria that professional fact-checkers use to assess the factuality and political bias of an entire outlet. Specifically, we design a variety of prompts based on these criteria, and we elicit responses from large language models (LLMs), which we aggregate to make predictions. In addition to demonstrating sizable improvements over strong baselines via extensive experiments with multiple LLMs, we provide an in-depth error analysis of the effect of media popularity and region on model performance. We further conduct an ablation study to highlight the key components of our dataset that contribute to these improvements. To facilitate future research, we release our dataset and code.</v>
      </c>
      <c r="D129" s="7" t="str">
        <f>IFERROR(__xludf.DUMMYFUNCTION("""COMPUTED_VALUE"""),"Zain Muhammad Mujahid")</f>
        <v>Zain Muhammad Mujahid</v>
      </c>
      <c r="E129" s="7" t="str">
        <f>IFERROR(__xludf.DUMMYFUNCTION("""COMPUTED_VALUE"""),"Yes")</f>
        <v>Yes</v>
      </c>
      <c r="F129" s="7" t="str">
        <f>IFERROR(__xludf.DUMMYFUNCTION("""COMPUTED_VALUE"""),"IP-Poster")</f>
        <v>IP-Poster</v>
      </c>
      <c r="G129" s="7" t="str">
        <f>IFERROR(__xludf.DUMMYFUNCTION("""COMPUTED_VALUE"""),"In-Person")</f>
        <v>In-Person</v>
      </c>
      <c r="H129" s="7" t="str">
        <f>IFERROR(__xludf.DUMMYFUNCTION("""COMPUTED_VALUE"""),"Hall 4/5")</f>
        <v>Hall 4/5</v>
      </c>
      <c r="I129" s="7" t="str">
        <f>IFERROR(__xludf.DUMMYFUNCTION("""COMPUTED_VALUE"""),"Session 5 :IP-Posters Find ")</f>
        <v>Session 5 :IP-Posters Find </v>
      </c>
      <c r="J129" s="7" t="str">
        <f>IFERROR(__xludf.DUMMYFUNCTION("""COMPUTED_VALUE"""),"Findings Posters - In-Person 1")</f>
        <v>Findings Posters - In-Person 1</v>
      </c>
      <c r="K129" s="7"/>
      <c r="L129" s="8">
        <f>IFERROR(__xludf.DUMMYFUNCTION("""COMPUTED_VALUE"""),45866.0)</f>
        <v>45866</v>
      </c>
      <c r="M129" s="7" t="str">
        <f>IFERROR(__xludf.DUMMYFUNCTION("""COMPUTED_VALUE"""),"18:00-19:30")</f>
        <v>18:00-19:30</v>
      </c>
      <c r="N129" s="7"/>
    </row>
    <row r="130">
      <c r="A130" s="7" t="str">
        <f>IFERROR(__xludf.DUMMYFUNCTION("""COMPUTED_VALUE"""),"210-FIND")</f>
        <v>210-FIND</v>
      </c>
      <c r="B130" s="7" t="str">
        <f>IFERROR(__xludf.DUMMYFUNCTION("""COMPUTED_VALUE"""),"Structured Discourse Representation for Factual Consistency Verification")</f>
        <v>Structured Discourse Representation for Factual Consistency Verification</v>
      </c>
      <c r="C130" s="7" t="str">
        <f>IFERROR(__xludf.DUMMYFUNCTION("""COMPUTED_VALUE"""),"Analysing differences between how events are represented in different texts, or verifying if large language models hallucinate, requires the ability to compare two texts. For this, a more structured representation of language can help by identifying disti"&amp;"nct atomic facts, and the discourse relationships connecting them, in each text. In this work, we first present an approach for extracting structured facts and the relation between them, and then how to leverage this information to compare two texts. In a"&amp;"ddition, we show that the task of evaluating if the relation between facts has changed is challenging for SOTA LLMs. We believe that this work advances research on sentence similarity, by grounding it in linguistics and decomposing it in explainable modul"&amp;"es. We demonstrate its potential in two downstream tasks: text generation and text summarization.")</f>
        <v>Analysing differences between how events are represented in different texts, or verifying if large language models hallucinate, requires the ability to compare two texts. For this, a more structured representation of language can help by identifying distinct atomic facts, and the discourse relationships connecting them, in each text. In this work, we first present an approach for extracting structured facts and the relation between them, and then how to leverage this information to compare two texts. In addition, we show that the task of evaluating if the relation between facts has changed is challenging for SOTA LLMs. We believe that this work advances research on sentence similarity, by grounding it in linguistics and decomposing it in explainable modules. We demonstrate its potential in two downstream tasks: text generation and text summarization.</v>
      </c>
      <c r="D130" s="7" t="str">
        <f>IFERROR(__xludf.DUMMYFUNCTION("""COMPUTED_VALUE"""),"Kun Zhang")</f>
        <v>Kun Zhang</v>
      </c>
      <c r="E130" s="7" t="str">
        <f>IFERROR(__xludf.DUMMYFUNCTION("""COMPUTED_VALUE"""),"Yes")</f>
        <v>Yes</v>
      </c>
      <c r="F130" s="7" t="str">
        <f>IFERROR(__xludf.DUMMYFUNCTION("""COMPUTED_VALUE"""),"IP-Poster")</f>
        <v>IP-Poster</v>
      </c>
      <c r="G130" s="7" t="str">
        <f>IFERROR(__xludf.DUMMYFUNCTION("""COMPUTED_VALUE"""),"In-Person")</f>
        <v>In-Person</v>
      </c>
      <c r="H130" s="7" t="str">
        <f>IFERROR(__xludf.DUMMYFUNCTION("""COMPUTED_VALUE"""),"Hall 4/5")</f>
        <v>Hall 4/5</v>
      </c>
      <c r="I130" s="7" t="str">
        <f>IFERROR(__xludf.DUMMYFUNCTION("""COMPUTED_VALUE"""),"Session 10: IP-Posters")</f>
        <v>Session 10: IP-Posters</v>
      </c>
      <c r="J130" s="7" t="str">
        <f>IFERROR(__xludf.DUMMYFUNCTION("""COMPUTED_VALUE"""),"Findings Posters - In-Person 3")</f>
        <v>Findings Posters - In-Person 3</v>
      </c>
      <c r="K130" s="7"/>
      <c r="L130" s="8">
        <f>IFERROR(__xludf.DUMMYFUNCTION("""COMPUTED_VALUE"""),45867.0)</f>
        <v>45867</v>
      </c>
      <c r="M130" s="7" t="str">
        <f>IFERROR(__xludf.DUMMYFUNCTION("""COMPUTED_VALUE"""),"16:00-17:30")</f>
        <v>16:00-17:30</v>
      </c>
      <c r="N130" s="7"/>
    </row>
    <row r="131">
      <c r="A131" s="7" t="str">
        <f>IFERROR(__xludf.DUMMYFUNCTION("""COMPUTED_VALUE"""),"214-FIND")</f>
        <v>214-FIND</v>
      </c>
      <c r="B131" s="7" t="str">
        <f>IFERROR(__xludf.DUMMYFUNCTION("""COMPUTED_VALUE"""),"SHARP: Unlocking Interactive Hallucination via Stance Transfer in Role-Playing LLMs")</f>
        <v>SHARP: Unlocking Interactive Hallucination via Stance Transfer in Role-Playing LLMs</v>
      </c>
      <c r="C131" s="7" t="str">
        <f>IFERROR(__xludf.DUMMYFUNCTION("""COMPUTED_VALUE"""),"The advanced role-playing capabilities of Large Language Models (LLMs) have enabled rich interactive scenarios, yet existing research in social interactions neglects hallucination while struggling with poor generalizability and implicit character fidelity"&amp;" judgments. To bridge this gap, motivated by human behaviour, we introduce a generalizable and explicit paradigm for uncovering interactive patterns of LLMs across diverse worldviews. Specifically, we first define interactive hallucination through stance "&amp;"transfer, then construct SHARP, a benchmark built by extracting relations from commonsense knowledge graphs and utilizing LLMs' inherent hallucination properties to simulate multi-role interactions. Extensive experiments confirm our paradigm's effectivene"&amp;"ss and stability, examine the factors that influence these metrics, and challenge conventional hallucination mitigation solutions. More broadly, our work reveals a fundamental limitation in popular post-training methods for role-playing LLMs: the tendency"&amp;" to obscure knowledge beneath style, resulting in monotonous yet human-like behaviors—interactive hallucination.")</f>
        <v>The advanced role-playing capabilities of Large Language Models (LLMs) have enabled rich interactive scenarios, yet existing research in social interactions neglects hallucination while struggling with poor generalizability and implicit character fidelity judgments. To bridge this gap, motivated by human behaviour, we introduce a generalizable and explicit paradigm for uncovering interactive patterns of LLMs across diverse worldviews. Specifically, we first define interactive hallucination through stance transfer, then construct SHARP, a benchmark built by extracting relations from commonsense knowledge graphs and utilizing LLMs' inherent hallucination properties to simulate multi-role interactions. Extensive experiments confirm our paradigm's effectiveness and stability, examine the factors that influence these metrics, and challenge conventional hallucination mitigation solutions. More broadly, our work reveals a fundamental limitation in popular post-training methods for role-playing LLMs: the tendency to obscure knowledge beneath style, resulting in monotonous yet human-like behaviors—interactive hallucination.</v>
      </c>
      <c r="D131" s="7" t="str">
        <f>IFERROR(__xludf.DUMMYFUNCTION("""COMPUTED_VALUE"""),"Hongzhan Lin")</f>
        <v>Hongzhan Lin</v>
      </c>
      <c r="E131" s="7" t="str">
        <f>IFERROR(__xludf.DUMMYFUNCTION("""COMPUTED_VALUE"""),"Yes")</f>
        <v>Yes</v>
      </c>
      <c r="F131" s="7" t="str">
        <f>IFERROR(__xludf.DUMMYFUNCTION("""COMPUTED_VALUE"""),"V-Presentation")</f>
        <v>V-Presentation</v>
      </c>
      <c r="G131" s="7" t="str">
        <f>IFERROR(__xludf.DUMMYFUNCTION("""COMPUTED_VALUE"""),"Virtual/Gather")</f>
        <v>Virtual/Gather</v>
      </c>
      <c r="H131" s="7" t="str">
        <f>IFERROR(__xludf.DUMMYFUNCTION("""COMPUTED_VALUE"""),"Gather")</f>
        <v>Gather</v>
      </c>
      <c r="I131" s="7" t="str">
        <f>IFERROR(__xludf.DUMMYFUNCTION("""COMPUTED_VALUE"""),"Session5: V-Gather Find")</f>
        <v>Session5: V-Gather Find</v>
      </c>
      <c r="J131" s="7" t="str">
        <f>IFERROR(__xludf.DUMMYFUNCTION("""COMPUTED_VALUE"""),"Findings Posters - Virtual")</f>
        <v>Findings Posters - Virtual</v>
      </c>
      <c r="K131" s="7"/>
      <c r="L131" s="8">
        <f>IFERROR(__xludf.DUMMYFUNCTION("""COMPUTED_VALUE"""),45866.0)</f>
        <v>45866</v>
      </c>
      <c r="M131" s="7" t="str">
        <f>IFERROR(__xludf.DUMMYFUNCTION("""COMPUTED_VALUE"""),"18:00-19:30")</f>
        <v>18:00-19:30</v>
      </c>
      <c r="N131" s="7"/>
    </row>
    <row r="132">
      <c r="A132" s="7" t="str">
        <f>IFERROR(__xludf.DUMMYFUNCTION("""COMPUTED_VALUE"""),"215-FIND")</f>
        <v>215-FIND</v>
      </c>
      <c r="B132" s="7" t="str">
        <f>IFERROR(__xludf.DUMMYFUNCTION("""COMPUTED_VALUE"""),"Understanding the Gap: an Empirical Study of Research Collaborations in NLP and Language Documentation")</f>
        <v>Understanding the Gap: an Empirical Study of Research Collaborations in NLP and Language Documentation</v>
      </c>
      <c r="C132" s="7" t="str">
        <f>IFERROR(__xludf.DUMMYFUNCTION("""COMPUTED_VALUE"""),"Despite over 20 years of NLP work explicitly intended for application in language documentation (LD), practical use of this work remains vanishingly scarce. This issue has been noted and discussed over the past 10 years, but without the benefit of data to"&amp;" inform the discourse. To address this lack in the literature, we present an empirical study of the lack of adoption of NLP in LD, focusing on the matter of collaborations between documentary linguists and NLP researchers. Our data show support for ideas "&amp;"from previous work but also reveal the importance of little-discussed factors such as misaligned professional incentives, technical knowledge burdens, and LD software.")</f>
        <v>Despite over 20 years of NLP work explicitly intended for application in language documentation (LD), practical use of this work remains vanishingly scarce. This issue has been noted and discussed over the past 10 years, but without the benefit of data to inform the discourse. To address this lack in the literature, we present an empirical study of the lack of adoption of NLP in LD, focusing on the matter of collaborations between documentary linguists and NLP researchers. Our data show support for ideas from previous work but also reveal the importance of little-discussed factors such as misaligned professional incentives, technical knowledge burdens, and LD software.</v>
      </c>
      <c r="D132" s="7" t="str">
        <f>IFERROR(__xludf.DUMMYFUNCTION("""COMPUTED_VALUE"""),"Luke Gessler")</f>
        <v>Luke Gessler</v>
      </c>
      <c r="E132" s="7" t="str">
        <f>IFERROR(__xludf.DUMMYFUNCTION("""COMPUTED_VALUE"""),"Yes")</f>
        <v>Yes</v>
      </c>
      <c r="F132" s="7" t="str">
        <f>IFERROR(__xludf.DUMMYFUNCTION("""COMPUTED_VALUE"""),"Not Pres. ")</f>
        <v>Not Pres. </v>
      </c>
      <c r="G132" s="7" t="str">
        <f>IFERROR(__xludf.DUMMYFUNCTION("""COMPUTED_VALUE"""),"NP Findings Not Presenting ")</f>
        <v>NP Findings Not Presenting </v>
      </c>
      <c r="H132" s="7"/>
      <c r="I132" s="7"/>
      <c r="J132" s="7"/>
      <c r="K132" s="7"/>
      <c r="L132" s="8"/>
      <c r="M132" s="7"/>
      <c r="N132" s="7"/>
    </row>
    <row r="133">
      <c r="A133" s="7" t="str">
        <f>IFERROR(__xludf.DUMMYFUNCTION("""COMPUTED_VALUE"""),"224-FIND")</f>
        <v>224-FIND</v>
      </c>
      <c r="B133" s="7" t="str">
        <f>IFERROR(__xludf.DUMMYFUNCTION("""COMPUTED_VALUE"""),"PersonaBench: Evaluating AI Models on Understanding Personal Information through Accessing (Synthetic) Private User Data")</f>
        <v>PersonaBench: Evaluating AI Models on Understanding Personal Information through Accessing (Synthetic) Private User Data</v>
      </c>
      <c r="C133" s="7" t="str">
        <f>IFERROR(__xludf.DUMMYFUNCTION("""COMPUTED_VALUE"""),"Personalization is critical in AI assistants, particularly in the context of private AI models that work with individual users. A key scenario in this domain involves enabling AI models to access and interpret a user’s private data (e.g., conversation his"&amp;"tory, user–AI interactions, app usage) to understand personal details such as biographical information, preferences, and social connections. However, due to the sensitive nature of such data, there are no publicly available datasets that allow us to asses"&amp;"s an AI model’s ability to understand users through direct access to personal information.
To address this gap, we introduce a synthetic data generation pipeline that creates diverse, realistic user profiles and private documents simulating human activit"&amp;"ies. Leveraging this synthetic data, we present PersonaBench, a benchmark designed to evaluate AI models’ performance in understanding personal information derived from simulated private user data.
We evaluate Retrieval-Augmented Generation (RAG) pipelin"&amp;"es using questions directly related to a user’s personal information, supported by the relevant private documents provided to the models. Our results reveal that current retrieval-augmented AI models struggle to answer private questions by extracting pers"&amp;"onal information from user documents, highlighting the need for improved methodologies to enhance personalization capabilities in AI.")</f>
        <v>Personalization is critical in AI assistants, particularly in the context of private AI models that work with individual users. A key scenario in this domain involves enabling AI models to access and interpret a user’s private data (e.g., conversation history, user–AI interactions, app usage) to understand personal details such as biographical information, preferences, and social connections. However, due to the sensitive nature of such data, there are no publicly available datasets that allow us to assess an AI model’s ability to understand users through direct access to personal information.
To address this gap, we introduce a synthetic data generation pipeline that creates diverse, realistic user profiles and private documents simulating human activities. Leveraging this synthetic data, we present PersonaBench, a benchmark designed to evaluate AI models’ performance in understanding personal information derived from simulated private user data.
We evaluate Retrieval-Augmented Generation (RAG) pipelines using questions directly related to a user’s personal information, supported by the relevant private documents provided to the models. Our results reveal that current retrieval-augmented AI models struggle to answer private questions by extracting personal information from user documents, highlighting the need for improved methodologies to enhance personalization capabilities in AI.</v>
      </c>
      <c r="D133" s="7" t="str">
        <f>IFERROR(__xludf.DUMMYFUNCTION("""COMPUTED_VALUE"""),"Juntao Tan")</f>
        <v>Juntao Tan</v>
      </c>
      <c r="E133" s="7" t="str">
        <f>IFERROR(__xludf.DUMMYFUNCTION("""COMPUTED_VALUE"""),"Yes")</f>
        <v>Yes</v>
      </c>
      <c r="F133" s="7" t="str">
        <f>IFERROR(__xludf.DUMMYFUNCTION("""COMPUTED_VALUE"""),"IP-Poster")</f>
        <v>IP-Poster</v>
      </c>
      <c r="G133" s="7" t="str">
        <f>IFERROR(__xludf.DUMMYFUNCTION("""COMPUTED_VALUE"""),"In-Person")</f>
        <v>In-Person</v>
      </c>
      <c r="H133" s="7" t="str">
        <f>IFERROR(__xludf.DUMMYFUNCTION("""COMPUTED_VALUE"""),"Hall 4/5")</f>
        <v>Hall 4/5</v>
      </c>
      <c r="I133" s="7" t="str">
        <f>IFERROR(__xludf.DUMMYFUNCTION("""COMPUTED_VALUE"""),"Session 10: IP-Posters")</f>
        <v>Session 10: IP-Posters</v>
      </c>
      <c r="J133" s="7" t="str">
        <f>IFERROR(__xludf.DUMMYFUNCTION("""COMPUTED_VALUE"""),"Findings Posters - In-Person 3")</f>
        <v>Findings Posters - In-Person 3</v>
      </c>
      <c r="K133" s="7"/>
      <c r="L133" s="8">
        <f>IFERROR(__xludf.DUMMYFUNCTION("""COMPUTED_VALUE"""),45867.0)</f>
        <v>45867</v>
      </c>
      <c r="M133" s="7" t="str">
        <f>IFERROR(__xludf.DUMMYFUNCTION("""COMPUTED_VALUE"""),"16:00-17:30")</f>
        <v>16:00-17:30</v>
      </c>
      <c r="N133" s="7"/>
    </row>
    <row r="134">
      <c r="A134" s="7" t="str">
        <f>IFERROR(__xludf.DUMMYFUNCTION("""COMPUTED_VALUE"""),"225-FIND")</f>
        <v>225-FIND</v>
      </c>
      <c r="B134" s="7" t="str">
        <f>IFERROR(__xludf.DUMMYFUNCTION("""COMPUTED_VALUE"""),"Leveraging Variation Theory in Counterfactual Data Augmentation for Optimized Active Learning")</f>
        <v>Leveraging Variation Theory in Counterfactual Data Augmentation for Optimized Active Learning</v>
      </c>
      <c r="C134" s="7" t="str">
        <f>IFERROR(__xludf.DUMMYFUNCTION("""COMPUTED_VALUE"""),"Active Learning (AL) allows models to learn interactively from user feedback. This paper introduces a counterfactual data augmentation approach to AL, particularly addressing the selection of datapoints for user querying, a pivotal concern in enhancing da"&amp;"ta efficiency. Our approach is inspired by Variation Theory, a theory of human concept learning that emphasizes the essential features of a concept by focusing on what stays the same and what changes. Instead of just querying with existing datapoints, our"&amp;" approach synthesizes artificial datapoints that highlight potential key similarities and differences among labels using a neuro-symbolic pipeline combining large language models (LLMs) and rule-based models. Through an experiment in the example domain of"&amp;" text classification, we show that our approach achieves significantly higher performance when there are fewer annotated data. As the annotated training data gets larger the impact of the generated data starts to diminish showing its capability to address"&amp;" the cold start problem in AL. This research sheds light on integrating theories of human learning into the optimization of AL.")</f>
        <v>Active Learning (AL) allows models to learn interactively from user feedback. This paper introduces a counterfactual data augmentation approach to AL, particularly addressing the selection of datapoints for user querying, a pivotal concern in enhancing data efficiency. Our approach is inspired by Variation Theory, a theory of human concept learning that emphasizes the essential features of a concept by focusing on what stays the same and what changes. Instead of just querying with existing datapoints, our approach synthesizes artificial datapoints that highlight potential key similarities and differences among labels using a neuro-symbolic pipeline combining large language models (LLMs) and rule-based models. Through an experiment in the example domain of text classification, we show that our approach achieves significantly higher performance when there are fewer annotated data. As the annotated training data gets larger the impact of the generated data starts to diminish showing its capability to address the cold start problem in AL. This research sheds light on integrating theories of human learning into the optimization of AL.</v>
      </c>
      <c r="D134" s="7" t="str">
        <f>IFERROR(__xludf.DUMMYFUNCTION("""COMPUTED_VALUE"""),"Toby Li 
or
Simret Gebreegziabher")</f>
        <v>Toby Li 
or
Simret Gebreegziabher</v>
      </c>
      <c r="E134" s="7" t="str">
        <f>IFERROR(__xludf.DUMMYFUNCTION("""COMPUTED_VALUE"""),"Yes")</f>
        <v>Yes</v>
      </c>
      <c r="F134" s="7" t="str">
        <f>IFERROR(__xludf.DUMMYFUNCTION("""COMPUTED_VALUE"""),"V-Presentation")</f>
        <v>V-Presentation</v>
      </c>
      <c r="G134" s="7" t="str">
        <f>IFERROR(__xludf.DUMMYFUNCTION("""COMPUTED_VALUE"""),"Virtual/Gather")</f>
        <v>Virtual/Gather</v>
      </c>
      <c r="H134" s="7"/>
      <c r="I134" s="7"/>
      <c r="J134" s="7" t="str">
        <f>IFERROR(__xludf.DUMMYFUNCTION("""COMPUTED_VALUE"""),"please complete survey https://acl-2025-virtual-presentation-time.paperform.co/")</f>
        <v>please complete survey https://acl-2025-virtual-presentation-time.paperform.co/</v>
      </c>
      <c r="K134" s="7"/>
      <c r="L134" s="8"/>
      <c r="M134" s="7"/>
      <c r="N134" s="7"/>
    </row>
    <row r="135">
      <c r="A135" s="7" t="str">
        <f>IFERROR(__xludf.DUMMYFUNCTION("""COMPUTED_VALUE"""),"226-FIND")</f>
        <v>226-FIND</v>
      </c>
      <c r="B135" s="7" t="str">
        <f>IFERROR(__xludf.DUMMYFUNCTION("""COMPUTED_VALUE"""),"ORBIT: Cost-Effective Dataset Curation for Large Language Model Domain Adaptation with an Astronomy Case Study")</f>
        <v>ORBIT: Cost-Effective Dataset Curation for Large Language Model Domain Adaptation with an Astronomy Case Study</v>
      </c>
      <c r="C135" s="7" t="str">
        <f>IFERROR(__xludf.DUMMYFUNCTION("""COMPUTED_VALUE"""),"Recent advances in language modeling demonstrate the need for high-quality domain-specific training data, especially for tasks that require specialized knowledge. General-purpose models, while versatile, often lack the depth needed for expert-level tasks "&amp;"because of limited domain-specific information. Domain adaptation training can enhance these models, but it demands substantial, high-quality data. To address this, we propose ORBIT, a cost-efficient methodology for curating massive, high-quality domain-s"&amp;"pecific datasets from noisy web sources, tailored for training specialist large language models. Using astronomy as a primary case study, we refined the 1.3T-token FineWeb-Edu dataset into a high-quality, 10B-token subset focused on astronomy. Fine-tuning"&amp;" \textsc{LLaMA-3-8B} on a 1B-token astronomy subset improved performance on the MMLU astronomy benchmark from 69% to 76% and achieved top results on AstroBench, an astronomy-specific benchmark. Moreover, our model (Orbit-LLaMA) outperformed \textsc{LLaMA-"&amp;"3-8B-base}, with GPT-4o evaluations preferring it in 73% of cases across 1000 astronomy-specific questions. Additionally, we validated ORBIT's generalizability by applying it to law and medicine, achieving a significant improvement of data quality compare"&amp;"d to an unfiltered baseline. We open-source the ORBIT methodology, including the curated datasets, the codebase, and the resulting model.")</f>
        <v>Recent advances in language modeling demonstrate the need for high-quality domain-specific training data, especially for tasks that require specialized knowledge. General-purpose models, while versatile, often lack the depth needed for expert-level tasks because of limited domain-specific information. Domain adaptation training can enhance these models, but it demands substantial, high-quality data. To address this, we propose ORBIT, a cost-efficient methodology for curating massive, high-quality domain-specific datasets from noisy web sources, tailored for training specialist large language models. Using astronomy as a primary case study, we refined the 1.3T-token FineWeb-Edu dataset into a high-quality, 10B-token subset focused on astronomy. Fine-tuning \textsc{LLaMA-3-8B} on a 1B-token astronomy subset improved performance on the MMLU astronomy benchmark from 69% to 76% and achieved top results on AstroBench, an astronomy-specific benchmark. Moreover, our model (Orbit-LLaMA) outperformed \textsc{LLaMA-3-8B-base}, with GPT-4o evaluations preferring it in 73% of cases across 1000 astronomy-specific questions. Additionally, we validated ORBIT's generalizability by applying it to law and medicine, achieving a significant improvement of data quality compared to an unfiltered baseline. We open-source the ORBIT methodology, including the curated datasets, the codebase, and the resulting model.</v>
      </c>
      <c r="D135" s="7" t="str">
        <f>IFERROR(__xludf.DUMMYFUNCTION("""COMPUTED_VALUE"""),"Eric Modesitt")</f>
        <v>Eric Modesitt</v>
      </c>
      <c r="E135" s="7" t="str">
        <f>IFERROR(__xludf.DUMMYFUNCTION("""COMPUTED_VALUE"""),"Yes")</f>
        <v>Yes</v>
      </c>
      <c r="F135" s="7" t="str">
        <f>IFERROR(__xludf.DUMMYFUNCTION("""COMPUTED_VALUE"""),"IP-Poster")</f>
        <v>IP-Poster</v>
      </c>
      <c r="G135" s="7" t="str">
        <f>IFERROR(__xludf.DUMMYFUNCTION("""COMPUTED_VALUE"""),"In-Person")</f>
        <v>In-Person</v>
      </c>
      <c r="H135" s="7" t="str">
        <f>IFERROR(__xludf.DUMMYFUNCTION("""COMPUTED_VALUE"""),"Hall 4/5")</f>
        <v>Hall 4/5</v>
      </c>
      <c r="I135" s="7" t="str">
        <f>IFERROR(__xludf.DUMMYFUNCTION("""COMPUTED_VALUE"""),"Session 5 :IP-Posters Find ")</f>
        <v>Session 5 :IP-Posters Find </v>
      </c>
      <c r="J135" s="7" t="str">
        <f>IFERROR(__xludf.DUMMYFUNCTION("""COMPUTED_VALUE"""),"Findings Posters - In-Person 1")</f>
        <v>Findings Posters - In-Person 1</v>
      </c>
      <c r="K135" s="7"/>
      <c r="L135" s="8">
        <f>IFERROR(__xludf.DUMMYFUNCTION("""COMPUTED_VALUE"""),45866.0)</f>
        <v>45866</v>
      </c>
      <c r="M135" s="7" t="str">
        <f>IFERROR(__xludf.DUMMYFUNCTION("""COMPUTED_VALUE"""),"18:00-19:30")</f>
        <v>18:00-19:30</v>
      </c>
      <c r="N135" s="7"/>
    </row>
    <row r="136">
      <c r="A136" s="7" t="str">
        <f>IFERROR(__xludf.DUMMYFUNCTION("""COMPUTED_VALUE"""),"230-FIND")</f>
        <v>230-FIND</v>
      </c>
      <c r="B136" s="7" t="str">
        <f>IFERROR(__xludf.DUMMYFUNCTION("""COMPUTED_VALUE"""),"Serial Position Effects of Large Language Models")</f>
        <v>Serial Position Effects of Large Language Models</v>
      </c>
      <c r="C136" s="7" t="str">
        <f>IFERROR(__xludf.DUMMYFUNCTION("""COMPUTED_VALUE"""),"We would like to express our gratitude to the Reviewers and the Area Chair for their insightful comments and for recognizing the robustness of our proposed framework for analyzing the serial position effects (SPE) in LLMs. We appreciate the acknowledgment"&amp;" of our work in demonstrating the widespread existence of this effect across various LLMs and the experiments we conducted to mitigate SPE.
We acknowledge the concerns raised regarding the significance of the mitigation methods, including training-side s"&amp;"olutions, CoT, and prompt engineering. The varying degrees of effectiveness observed in these methods highlight both the complexity and importance of addressing this cognitive bias. We believe these effects are inherently rooted in LLMs, and a comprehensi"&amp;"ve solution that fully addresses SPE may be beyond the scope of this work. However, we have proposed practical strategies, such as using binary choices instead of multiple choices where feasible, limiting prompt length, and placing crucial information at "&amp;"the beginning of prompts. These suggestions are intended to help users, particularly those who may not be experts in the domain of LLMs, to better utilize these models.
We agree with the suggestion that a deeper analysis of the relationship between task "&amp;"characteristics and SPE could enhance the manuscript. As it stands, our findings indicate that higher model accuracy tends to correlate with a reduction in SPE, which aligns with expectations—if a model achieves 100% accuracy, it is unlikely to be influen"&amp;"ced by SPE. Beyond this, we did not observe any clear relationships, which suggests that SPE may be influenced by a combination of factors, including the specific task, the model used, and the nature of the prompts. We will clarify this point in the final"&amp;" version of the manuscript.")</f>
        <v>We would like to express our gratitude to the Reviewers and the Area Chair for their insightful comments and for recognizing the robustness of our proposed framework for analyzing the serial position effects (SPE) in LLMs. We appreciate the acknowledgment of our work in demonstrating the widespread existence of this effect across various LLMs and the experiments we conducted to mitigate SPE.
We acknowledge the concerns raised regarding the significance of the mitigation methods, including training-side solutions, CoT, and prompt engineering. The varying degrees of effectiveness observed in these methods highlight both the complexity and importance of addressing this cognitive bias. We believe these effects are inherently rooted in LLMs, and a comprehensive solution that fully addresses SPE may be beyond the scope of this work. However, we have proposed practical strategies, such as using binary choices instead of multiple choices where feasible, limiting prompt length, and placing crucial information at the beginning of prompts. These suggestions are intended to help users, particularly those who may not be experts in the domain of LLMs, to better utilize these models.
We agree with the suggestion that a deeper analysis of the relationship between task characteristics and SPE could enhance the manuscript. As it stands, our findings indicate that higher model accuracy tends to correlate with a reduction in SPE, which aligns with expectations—if a model achieves 100% accuracy, it is unlikely to be influenced by SPE. Beyond this, we did not observe any clear relationships, which suggests that SPE may be influenced by a combination of factors, including the specific task, the model used, and the nature of the prompts. We will clarify this point in the final version of the manuscript.</v>
      </c>
      <c r="D136" s="7" t="str">
        <f>IFERROR(__xludf.DUMMYFUNCTION("""COMPUTED_VALUE"""),"N/A")</f>
        <v>N/A</v>
      </c>
      <c r="E136" s="7" t="str">
        <f>IFERROR(__xludf.DUMMYFUNCTION("""COMPUTED_VALUE"""),"#N/A")</f>
        <v>#N/A</v>
      </c>
      <c r="F136" s="7" t="str">
        <f>IFERROR(__xludf.DUMMYFUNCTION("""COMPUTED_VALUE"""),"Not Pres. ")</f>
        <v>Not Pres. </v>
      </c>
      <c r="G136" s="7" t="str">
        <f>IFERROR(__xludf.DUMMYFUNCTION("""COMPUTED_VALUE"""),"NP Findings Not Presenting ")</f>
        <v>NP Findings Not Presenting </v>
      </c>
      <c r="H136" s="7"/>
      <c r="I136" s="7" t="str">
        <f>IFERROR(__xludf.DUMMYFUNCTION("""COMPUTED_VALUE"""),"NP-Find")</f>
        <v>NP-Find</v>
      </c>
      <c r="J136" s="7"/>
      <c r="K136" s="7"/>
      <c r="L136" s="8"/>
      <c r="M136" s="7"/>
      <c r="N136" s="7"/>
    </row>
    <row r="137">
      <c r="A137" s="7" t="str">
        <f>IFERROR(__xludf.DUMMYFUNCTION("""COMPUTED_VALUE"""),"233-FIND")</f>
        <v>233-FIND</v>
      </c>
      <c r="B137" s="7" t="str">
        <f>IFERROR(__xludf.DUMMYFUNCTION("""COMPUTED_VALUE"""),"scRAG: Hybrid Retrieval-Augmented Generation for LLM-based Cross-Tissue Single-Cell Annotation")</f>
        <v>scRAG: Hybrid Retrieval-Augmented Generation for LLM-based Cross-Tissue Single-Cell Annotation</v>
      </c>
      <c r="C137" s="7" t="str">
        <f>IFERROR(__xludf.DUMMYFUNCTION("""COMPUTED_VALUE"""),"In recent years, large language models (LLMs) such as GPT-4 have demonstrated impressive potential in a wide range of fields, including biology, genomics and healthcare. Numerous studies have attempted to apply pre-trained LLMs to single-cell data analysi"&amp;"s within one tissue. However, when it comes to cross-tissue cell annotation, LLMs often suffer from unsatisfactory performance due to the lack of specialized biological knowledge regarding genes and tissues. In this paper, we introduce scRAG, a novel fram"&amp;"ework that incorporates advanced LLM-based RAG techniques into cross-tissue single-cell annotation. scRAG utilizes LLMs to retrieve structured triples from knowledge graphs and unstructured similar cell information from the reference cell database, and it"&amp;" generates candidate cell types. The framework further optimizes predictions by retrieving marker genes from both candidate cells and similar cells to refine its results. Extensive experiments on a cross-tissue dataset demonstrate that our scRAG framework"&amp;" outperforms various baselines, including generalist models, domain-specific methods, and trained classifiers. The source code is available at https://github.com/YuZhiyin/scRAG.")</f>
        <v>In recent years, large language models (LLMs) such as GPT-4 have demonstrated impressive potential in a wide range of fields, including biology, genomics and healthcare. Numerous studies have attempted to apply pre-trained LLMs to single-cell data analysis within one tissue. However, when it comes to cross-tissue cell annotation, LLMs often suffer from unsatisfactory performance due to the lack of specialized biological knowledge regarding genes and tissues. In this paper, we introduce scRAG, a novel framework that incorporates advanced LLM-based RAG techniques into cross-tissue single-cell annotation. scRAG utilizes LLMs to retrieve structured triples from knowledge graphs and unstructured similar cell information from the reference cell database, and it generates candidate cell types. The framework further optimizes predictions by retrieving marker genes from both candidate cells and similar cells to refine its results. Extensive experiments on a cross-tissue dataset demonstrate that our scRAG framework outperforms various baselines, including generalist models, domain-specific methods, and trained classifiers. The source code is available at https://github.com/YuZhiyin/scRAG.</v>
      </c>
      <c r="D137" s="7" t="str">
        <f>IFERROR(__xludf.DUMMYFUNCTION("""COMPUTED_VALUE"""),"None.")</f>
        <v>None.</v>
      </c>
      <c r="E137" s="7" t="str">
        <f>IFERROR(__xludf.DUMMYFUNCTION("""COMPUTED_VALUE"""),"#N/A")</f>
        <v>#N/A</v>
      </c>
      <c r="F137" s="7" t="str">
        <f>IFERROR(__xludf.DUMMYFUNCTION("""COMPUTED_VALUE"""),"Not Pres. ")</f>
        <v>Not Pres. </v>
      </c>
      <c r="G137" s="7" t="str">
        <f>IFERROR(__xludf.DUMMYFUNCTION("""COMPUTED_VALUE"""),"NP Findings Not Presenting ")</f>
        <v>NP Findings Not Presenting </v>
      </c>
      <c r="H137" s="7"/>
      <c r="I137" s="7" t="str">
        <f>IFERROR(__xludf.DUMMYFUNCTION("""COMPUTED_VALUE"""),"NP-Find")</f>
        <v>NP-Find</v>
      </c>
      <c r="J137" s="7"/>
      <c r="K137" s="7"/>
      <c r="L137" s="8"/>
      <c r="M137" s="7"/>
      <c r="N137" s="7"/>
    </row>
    <row r="138">
      <c r="A138" s="7" t="str">
        <f>IFERROR(__xludf.DUMMYFUNCTION("""COMPUTED_VALUE"""),"238-FIND")</f>
        <v>238-FIND</v>
      </c>
      <c r="B138" s="7" t="str">
        <f>IFERROR(__xludf.DUMMYFUNCTION("""COMPUTED_VALUE"""),"Can Large Language Models Address Open-Target Stance Detection?")</f>
        <v>Can Large Language Models Address Open-Target Stance Detection?</v>
      </c>
      <c r="C138" s="7" t="str">
        <f>IFERROR(__xludf.DUMMYFUNCTION("""COMPUTED_VALUE"""),"Stance detection (SD) identifies a text's position towards a target, typically labeled as favor, against, or none. We introduce Open-Target Stance Detection (OTSD), the most realistic task where targets are neither seen during training nor provided as inp"&amp;"ut. We evaluate Large Language Models (LLMs) from GPT, Gemini, Llama, and Mistral families, comparing their performance to the only existing work, Target-Stance Extraction (TSE), which benefits from predefined targets. Unlike TSE, OTSD removes the depende"&amp;"ncy of a predefined list, making target generation and evaluation more challenging. We also provide a metric for evaluating target quality that correlates well with human judgment. Our experiments reveal that LLMs outperform TSE in target generation, both"&amp;" when the real target is explicitly and not explicitly mentioned in the text. Similarly, LLMs overall surpass TSE in stance detection for both explicit and non-explicit cases. However, LLMs struggle in both target generation and stance detection when the "&amp;"target is not explicit.")</f>
        <v>Stance detection (SD) identifies a text's position towards a target, typically labeled as favor, against, or none. We introduce Open-Target Stance Detection (OTSD), the most realistic task where targets are neither seen during training nor provided as input. We evaluate Large Language Models (LLMs) from GPT, Gemini, Llama, and Mistral families, comparing their performance to the only existing work, Target-Stance Extraction (TSE), which benefits from predefined targets. Unlike TSE, OTSD removes the dependency of a predefined list, making target generation and evaluation more challenging. We also provide a metric for evaluating target quality that correlates well with human judgment. Our experiments reveal that LLMs outperform TSE in target generation, both when the real target is explicitly and not explicitly mentioned in the text. Similarly, LLMs overall surpass TSE in stance detection for both explicit and non-explicit cases. However, LLMs struggle in both target generation and stance detection when the target is not explicit.</v>
      </c>
      <c r="D138" s="7" t="str">
        <f>IFERROR(__xludf.DUMMYFUNCTION("""COMPUTED_VALUE"""),"Amine Trabelsi")</f>
        <v>Amine Trabelsi</v>
      </c>
      <c r="E138" s="7" t="str">
        <f>IFERROR(__xludf.DUMMYFUNCTION("""COMPUTED_VALUE"""),"Yes")</f>
        <v>Yes</v>
      </c>
      <c r="F138" s="7" t="str">
        <f>IFERROR(__xludf.DUMMYFUNCTION("""COMPUTED_VALUE"""),"IP-Poster")</f>
        <v>IP-Poster</v>
      </c>
      <c r="G138" s="7" t="str">
        <f>IFERROR(__xludf.DUMMYFUNCTION("""COMPUTED_VALUE"""),"In-Person")</f>
        <v>In-Person</v>
      </c>
      <c r="H138" s="7" t="str">
        <f>IFERROR(__xludf.DUMMYFUNCTION("""COMPUTED_VALUE"""),"Hall 4/5")</f>
        <v>Hall 4/5</v>
      </c>
      <c r="I138" s="7" t="str">
        <f>IFERROR(__xludf.DUMMYFUNCTION("""COMPUTED_VALUE"""),"Session 5 :IP-Posters Find ")</f>
        <v>Session 5 :IP-Posters Find </v>
      </c>
      <c r="J138" s="7" t="str">
        <f>IFERROR(__xludf.DUMMYFUNCTION("""COMPUTED_VALUE"""),"Findings Posters - In-Person 1")</f>
        <v>Findings Posters - In-Person 1</v>
      </c>
      <c r="K138" s="7"/>
      <c r="L138" s="8">
        <f>IFERROR(__xludf.DUMMYFUNCTION("""COMPUTED_VALUE"""),45866.0)</f>
        <v>45866</v>
      </c>
      <c r="M138" s="7" t="str">
        <f>IFERROR(__xludf.DUMMYFUNCTION("""COMPUTED_VALUE"""),"18:00-19:30")</f>
        <v>18:00-19:30</v>
      </c>
      <c r="N138" s="7"/>
    </row>
    <row r="139">
      <c r="A139" s="7" t="str">
        <f>IFERROR(__xludf.DUMMYFUNCTION("""COMPUTED_VALUE"""),"239-FIND")</f>
        <v>239-FIND</v>
      </c>
      <c r="B139" s="7" t="str">
        <f>IFERROR(__xludf.DUMMYFUNCTION("""COMPUTED_VALUE"""),"Improve Language Model and Brain Alignment via Associative Memory")</f>
        <v>Improve Language Model and Brain Alignment via Associative Memory</v>
      </c>
      <c r="C139" s="7" t="str">
        <f>IFERROR(__xludf.DUMMYFUNCTION("""COMPUTED_VALUE"""),"Associative memory engages in the integration of relevant information for comprehension in the human cognition system. In this work, we seek to improve alignment between language models and human brain while processing speech information by integrating as"&amp;"sociative memory. After verifying the alignment between language model and brain by mapping language model activations to brain activity, the original text stimuli expanded with simulated associative memory are regarded as input to computational language "&amp;"models. We find the alignment between language model and brain is improved in brain regions closely related to associative memory processing. We also demonstrate large language models after specific supervised fine-tuning better align with brain response,"&amp;" by building the Association dataset containing 1000 samples of stories, with instructions encouraging associative memory as input and associated content as output.")</f>
        <v>Associative memory engages in the integration of relevant information for comprehension in the human cognition system. In this work, we seek to improve alignment between language models and human brain while processing speech information by integrating associative memory. After verifying the alignment between language model and brain by mapping language model activations to brain activity, the original text stimuli expanded with simulated associative memory are regarded as input to computational language models. We find the alignment between language model and brain is improved in brain regions closely related to associative memory processing. We also demonstrate large language models after specific supervised fine-tuning better align with brain response, by building the Association dataset containing 1000 samples of stories, with instructions encouraging associative memory as input and associated content as output.</v>
      </c>
      <c r="D139" s="7" t="str">
        <f>IFERROR(__xludf.DUMMYFUNCTION("""COMPUTED_VALUE"""),"NA")</f>
        <v>NA</v>
      </c>
      <c r="E139" s="7" t="str">
        <f>IFERROR(__xludf.DUMMYFUNCTION("""COMPUTED_VALUE"""),"#N/A")</f>
        <v>#N/A</v>
      </c>
      <c r="F139" s="7" t="str">
        <f>IFERROR(__xludf.DUMMYFUNCTION("""COMPUTED_VALUE"""),"Not Pres. ")</f>
        <v>Not Pres. </v>
      </c>
      <c r="G139" s="7" t="str">
        <f>IFERROR(__xludf.DUMMYFUNCTION("""COMPUTED_VALUE"""),"NP Findings Not Presenting ")</f>
        <v>NP Findings Not Presenting </v>
      </c>
      <c r="H139" s="7"/>
      <c r="I139" s="7" t="str">
        <f>IFERROR(__xludf.DUMMYFUNCTION("""COMPUTED_VALUE"""),"NP-Find")</f>
        <v>NP-Find</v>
      </c>
      <c r="J139" s="7"/>
      <c r="K139" s="7"/>
      <c r="L139" s="8"/>
      <c r="M139" s="7"/>
      <c r="N139" s="7"/>
    </row>
    <row r="140">
      <c r="A140" s="7" t="str">
        <f>IFERROR(__xludf.DUMMYFUNCTION("""COMPUTED_VALUE"""),"250-FIND")</f>
        <v>250-FIND</v>
      </c>
      <c r="B140" s="7" t="str">
        <f>IFERROR(__xludf.DUMMYFUNCTION("""COMPUTED_VALUE"""),"Towards Reliable Large Audio Language Model")</f>
        <v>Towards Reliable Large Audio Language Model</v>
      </c>
      <c r="C140" s="7" t="str">
        <f>IFERROR(__xludf.DUMMYFUNCTION("""COMPUTED_VALUE"""),"Recent advancements in large audio language models (LALMs) have demonstrated impressive results and promising prospects in universal understanding and reasoning across speech, music, and general sound. However, these models still lack the ability to recog"&amp;"nize their knowledge boundaries and refuse to answer questions they don't know proactively. While there have been successful attempts to enhance the reliability of LLMs, reliable LALMs remain largely unexplored. In this paper, we systematically investigat"&amp;"e various approaches towards reliable LALMs, including training-free methods such as multi-modal chain-of-thought (MCoT), and training-based methods such as supervised fine-tuning (SFT). Besides, we identify the limitations of previous evaluation metrics "&amp;"and propose a new metric, the Reliability Gain Index (RGI), to assess the effectiveness of different reliable methods. Our findings suggest that both training-free and training-based methods enhance the reliability of LALMs to different extents. Moreover,"&amp;" we find that awareness of reliability is a ""meta ability"", which can be transferred across different audio modalities, although significant structural and content differences exist among sound, music, and speech.")</f>
        <v>Recent advancements in large audio language models (LALMs) have demonstrated impressive results and promising prospects in universal understanding and reasoning across speech, music, and general sound. However, these models still lack the ability to recognize their knowledge boundaries and refuse to answer questions they don't know proactively. While there have been successful attempts to enhance the reliability of LLMs, reliable LALMs remain largely unexplored. In this paper, we systematically investigate various approaches towards reliable LALMs, including training-free methods such as multi-modal chain-of-thought (MCoT), and training-based methods such as supervised fine-tuning (SFT). Besides, we identify the limitations of previous evaluation metrics and propose a new metric, the Reliability Gain Index (RGI), to assess the effectiveness of different reliable methods. Our findings suggest that both training-free and training-based methods enhance the reliability of LALMs to different extents. Moreover, we find that awareness of reliability is a "meta ability", which can be transferred across different audio modalities, although significant structural and content differences exist among sound, music, and speech.</v>
      </c>
      <c r="D140" s="7" t="str">
        <f>IFERROR(__xludf.DUMMYFUNCTION("""COMPUTED_VALUE"""),"Wenxi Chen")</f>
        <v>Wenxi Chen</v>
      </c>
      <c r="E140" s="7" t="str">
        <f>IFERROR(__xludf.DUMMYFUNCTION("""COMPUTED_VALUE"""),"Yes")</f>
        <v>Yes</v>
      </c>
      <c r="F140" s="7" t="str">
        <f>IFERROR(__xludf.DUMMYFUNCTION("""COMPUTED_VALUE"""),"IP-Poster")</f>
        <v>IP-Poster</v>
      </c>
      <c r="G140" s="7" t="str">
        <f>IFERROR(__xludf.DUMMYFUNCTION("""COMPUTED_VALUE"""),"In-Person")</f>
        <v>In-Person</v>
      </c>
      <c r="H140" s="7" t="str">
        <f>IFERROR(__xludf.DUMMYFUNCTION("""COMPUTED_VALUE"""),"Hall 4/5")</f>
        <v>Hall 4/5</v>
      </c>
      <c r="I140" s="7" t="str">
        <f>IFERROR(__xludf.DUMMYFUNCTION("""COMPUTED_VALUE"""),"Session 5 :IP-Posters Find ")</f>
        <v>Session 5 :IP-Posters Find </v>
      </c>
      <c r="J140" s="7" t="str">
        <f>IFERROR(__xludf.DUMMYFUNCTION("""COMPUTED_VALUE"""),"Findings Posters - In-Person 1")</f>
        <v>Findings Posters - In-Person 1</v>
      </c>
      <c r="K140" s="7"/>
      <c r="L140" s="8">
        <f>IFERROR(__xludf.DUMMYFUNCTION("""COMPUTED_VALUE"""),45866.0)</f>
        <v>45866</v>
      </c>
      <c r="M140" s="7" t="str">
        <f>IFERROR(__xludf.DUMMYFUNCTION("""COMPUTED_VALUE"""),"18:00-19:30")</f>
        <v>18:00-19:30</v>
      </c>
      <c r="N140" s="7"/>
    </row>
    <row r="141">
      <c r="A141" s="7" t="str">
        <f>IFERROR(__xludf.DUMMYFUNCTION("""COMPUTED_VALUE"""),"251-FIND")</f>
        <v>251-FIND</v>
      </c>
      <c r="B141" s="7" t="str">
        <f>IFERROR(__xludf.DUMMYFUNCTION("""COMPUTED_VALUE"""),"Large Vocabulary Size Improves Large Language Models")</f>
        <v>Large Vocabulary Size Improves Large Language Models</v>
      </c>
      <c r="C141" s="7" t="str">
        <f>IFERROR(__xludf.DUMMYFUNCTION("""COMPUTED_VALUE"""),"This paper empirically investigates the relationship between subword vocabulary size and the performance of large language models (LLMs) to provide insights on how to define the vocabulary size. Experimental results show that larger vocabulary sizes lead "&amp;"to better performance in LLMs. Moreover, we consider a continual training scenario where a pre-trained language model is trained on a different target language. We introduce a simple method to use a new vocabulary instead of the pre-defined one. We show t"&amp;"hat using the new vocabulary outperforms the model with the vocabulary used in pre-training.")</f>
        <v>This paper empirically investigates the relationship between subword vocabulary size and the performance of large language models (LLMs) to provide insights on how to define the vocabulary size. Experimental results show that larger vocabulary sizes lead to better performance in LLMs. Moreover, we consider a continual training scenario where a pre-trained language model is trained on a different target language. We introduce a simple method to use a new vocabulary instead of the pre-defined one. We show that using the new vocabulary outperforms the model with the vocabulary used in pre-training.</v>
      </c>
      <c r="D141" s="7" t="str">
        <f>IFERROR(__xludf.DUMMYFUNCTION("""COMPUTED_VALUE"""),"Shun Kiyono")</f>
        <v>Shun Kiyono</v>
      </c>
      <c r="E141" s="7" t="str">
        <f>IFERROR(__xludf.DUMMYFUNCTION("""COMPUTED_VALUE"""),"Yes")</f>
        <v>Yes</v>
      </c>
      <c r="F141" s="7" t="str">
        <f>IFERROR(__xludf.DUMMYFUNCTION("""COMPUTED_VALUE"""),"IP-Poster")</f>
        <v>IP-Poster</v>
      </c>
      <c r="G141" s="7" t="str">
        <f>IFERROR(__xludf.DUMMYFUNCTION("""COMPUTED_VALUE"""),"In-Person")</f>
        <v>In-Person</v>
      </c>
      <c r="H141" s="7" t="str">
        <f>IFERROR(__xludf.DUMMYFUNCTION("""COMPUTED_VALUE"""),"Hall 4/5")</f>
        <v>Hall 4/5</v>
      </c>
      <c r="I141" s="7" t="str">
        <f>IFERROR(__xludf.DUMMYFUNCTION("""COMPUTED_VALUE"""),"Session 5 :IP-Posters Find ")</f>
        <v>Session 5 :IP-Posters Find </v>
      </c>
      <c r="J141" s="7" t="str">
        <f>IFERROR(__xludf.DUMMYFUNCTION("""COMPUTED_VALUE"""),"Findings Posters - In-Person 1")</f>
        <v>Findings Posters - In-Person 1</v>
      </c>
      <c r="K141" s="7"/>
      <c r="L141" s="8">
        <f>IFERROR(__xludf.DUMMYFUNCTION("""COMPUTED_VALUE"""),45866.0)</f>
        <v>45866</v>
      </c>
      <c r="M141" s="7" t="str">
        <f>IFERROR(__xludf.DUMMYFUNCTION("""COMPUTED_VALUE"""),"18:00-19:30")</f>
        <v>18:00-19:30</v>
      </c>
      <c r="N141" s="7"/>
    </row>
    <row r="142">
      <c r="A142" s="7" t="str">
        <f>IFERROR(__xludf.DUMMYFUNCTION("""COMPUTED_VALUE"""),"258-FIND")</f>
        <v>258-FIND</v>
      </c>
      <c r="B142" s="7" t="str">
        <f>IFERROR(__xludf.DUMMYFUNCTION("""COMPUTED_VALUE"""),"MUSE: A Multimodal Conversational Recommendation Dataset with Scenario-Grounded User Profiles")</f>
        <v>MUSE: A Multimodal Conversational Recommendation Dataset with Scenario-Grounded User Profiles</v>
      </c>
      <c r="C142" s="7" t="str">
        <f>IFERROR(__xludf.DUMMYFUNCTION("""COMPUTED_VALUE"""),"Current conversational recommendation systems focus predominantly on text. 
However, real-world recommendation settings are generally multimodal, causing a significant gap between existing research and practical applications. 
To address this issue, we pr"&amp;"opose Muse, the first multimodal conversational recommendation dataset. 
Muse comprises 83,148 utterances from 7,000 conversations centered around the Clothing domain. 
Each conversation contains comprehensive multimodal interactions, rich elements, and n"&amp;"atural dialogues. 
Data in Muse are automatically synthesized by a multi-agent framework powered by multimodal large language models (MLLMs). 
It innovatively derives user profiles from real-world scenarios rather than depending on manual design and histo"&amp;"ry data for better scalability, and then it fulfills conversation simulation and optimization. 
Both human and LLM evaluations demonstrate the high quality of conversations in Muse. 
Additionally, fine-tuning experiments on three MLLMs demonstrate Muse's "&amp;"learnable patterns for recommendations and responses, confirming its value for multimodal conversational recommendation. Our dataset and codes are available at https://anonymous.4open.science/r/Muse-0086.")</f>
        <v>Current conversational recommendation systems focus predominantly on text. 
However, real-world recommendation settings are generally multimodal, causing a significant gap between existing research and practical applications. 
To address this issue, we propose Muse, the first multimodal conversational recommendation dataset. 
Muse comprises 83,148 utterances from 7,000 conversations centered around the Clothing domain. 
Each conversation contains comprehensive multimodal interactions, rich elements, and natural dialogues. 
Data in Muse are automatically synthesized by a multi-agent framework powered by multimodal large language models (MLLMs). 
It innovatively derives user profiles from real-world scenarios rather than depending on manual design and history data for better scalability, and then it fulfills conversation simulation and optimization. 
Both human and LLM evaluations demonstrate the high quality of conversations in Muse. 
Additionally, fine-tuning experiments on three MLLMs demonstrate Muse's learnable patterns for recommendations and responses, confirming its value for multimodal conversational recommendation. Our dataset and codes are available at https://anonymous.4open.science/r/Muse-0086.</v>
      </c>
      <c r="D142" s="7" t="str">
        <f>IFERROR(__xludf.DUMMYFUNCTION("""COMPUTED_VALUE"""),"No Presentation")</f>
        <v>No Presentation</v>
      </c>
      <c r="E142" s="7" t="str">
        <f>IFERROR(__xludf.DUMMYFUNCTION("""COMPUTED_VALUE"""),"#N/A")</f>
        <v>#N/A</v>
      </c>
      <c r="F142" s="7" t="str">
        <f>IFERROR(__xludf.DUMMYFUNCTION("""COMPUTED_VALUE"""),"Not Pres. ")</f>
        <v>Not Pres. </v>
      </c>
      <c r="G142" s="7" t="str">
        <f>IFERROR(__xludf.DUMMYFUNCTION("""COMPUTED_VALUE"""),"NP Findings Not Presenting ")</f>
        <v>NP Findings Not Presenting </v>
      </c>
      <c r="H142" s="7"/>
      <c r="I142" s="7" t="str">
        <f>IFERROR(__xludf.DUMMYFUNCTION("""COMPUTED_VALUE"""),"NP-Find")</f>
        <v>NP-Find</v>
      </c>
      <c r="J142" s="7"/>
      <c r="K142" s="7"/>
      <c r="L142" s="8"/>
      <c r="M142" s="7"/>
      <c r="N142" s="7"/>
    </row>
    <row r="143">
      <c r="A143" s="7" t="str">
        <f>IFERROR(__xludf.DUMMYFUNCTION("""COMPUTED_VALUE"""),"260-FIND")</f>
        <v>260-FIND</v>
      </c>
      <c r="B143" s="7" t="str">
        <f>IFERROR(__xludf.DUMMYFUNCTION("""COMPUTED_VALUE"""),"Machine Translation Models are Zero-Shot Detectors of Translation Direction")</f>
        <v>Machine Translation Models are Zero-Shot Detectors of Translation Direction</v>
      </c>
      <c r="C143" s="7" t="str">
        <f>IFERROR(__xludf.DUMMYFUNCTION("""COMPUTED_VALUE"""),"Detecting the translation direction of parallel text has applications for machine translation training and evaluation, but also has forensic applications, such as resolving plagiarism or forgery allegations. In this work, we explore an unsupervised approa"&amp;"ch to translation direction detection based on the simple hypothesis that p(translation|original)&gt;p(original|translation), motivated by the well-known simplification effect in translationese or machine-translationese. In experiments with multilingual mach"&amp;"ine translation models across 20 translation directions, we confirm the effectiveness of the approach for high-resource language pairs, achieving document-level accuracies of 82–96% for NMT-produced translations, and 60–81% for human translations, dependi"&amp;"ng on the model used.")</f>
        <v>Detecting the translation direction of parallel text has applications for machine translation training and evaluation, but also has forensic applications, such as resolving plagiarism or forgery allegations. In this work, we explore an unsupervised approach to translation direction detection based on the simple hypothesis that p(translation|original)&gt;p(original|translation), motivated by the well-known simplification effect in translationese or machine-translationese. In experiments with multilingual machine translation models across 20 translation directions, we confirm the effectiveness of the approach for high-resource language pairs, achieving document-level accuracies of 82–96% for NMT-produced translations, and 60–81% for human translations, depending on the model used.</v>
      </c>
      <c r="D143" s="7" t="str">
        <f>IFERROR(__xludf.DUMMYFUNCTION("""COMPUTED_VALUE"""),"Michelle Wastl")</f>
        <v>Michelle Wastl</v>
      </c>
      <c r="E143" s="7" t="str">
        <f>IFERROR(__xludf.DUMMYFUNCTION("""COMPUTED_VALUE"""),"Yes")</f>
        <v>Yes</v>
      </c>
      <c r="F143" s="7" t="str">
        <f>IFERROR(__xludf.DUMMYFUNCTION("""COMPUTED_VALUE"""),"IP-Poster")</f>
        <v>IP-Poster</v>
      </c>
      <c r="G143" s="7" t="str">
        <f>IFERROR(__xludf.DUMMYFUNCTION("""COMPUTED_VALUE"""),"In-Person")</f>
        <v>In-Person</v>
      </c>
      <c r="H143" s="7" t="str">
        <f>IFERROR(__xludf.DUMMYFUNCTION("""COMPUTED_VALUE"""),"Hall 4/5")</f>
        <v>Hall 4/5</v>
      </c>
      <c r="I143" s="7" t="str">
        <f>IFERROR(__xludf.DUMMYFUNCTION("""COMPUTED_VALUE"""),"Session 10: IP-Posters")</f>
        <v>Session 10: IP-Posters</v>
      </c>
      <c r="J143" s="7" t="str">
        <f>IFERROR(__xludf.DUMMYFUNCTION("""COMPUTED_VALUE"""),"Findings Posters - In-Person 3")</f>
        <v>Findings Posters - In-Person 3</v>
      </c>
      <c r="K143" s="7"/>
      <c r="L143" s="8">
        <f>IFERROR(__xludf.DUMMYFUNCTION("""COMPUTED_VALUE"""),45867.0)</f>
        <v>45867</v>
      </c>
      <c r="M143" s="7" t="str">
        <f>IFERROR(__xludf.DUMMYFUNCTION("""COMPUTED_VALUE"""),"16:00-17:30")</f>
        <v>16:00-17:30</v>
      </c>
      <c r="N143" s="7"/>
    </row>
    <row r="144">
      <c r="A144" s="7" t="str">
        <f>IFERROR(__xludf.DUMMYFUNCTION("""COMPUTED_VALUE"""),"262-FIND")</f>
        <v>262-FIND</v>
      </c>
      <c r="B144" s="7" t="str">
        <f>IFERROR(__xludf.DUMMYFUNCTION("""COMPUTED_VALUE"""),"Do Robot Snakes Dream like Electric Sheep? Investigating the Effects of Architectural Inductive Biases on Hallucination")</f>
        <v>Do Robot Snakes Dream like Electric Sheep? Investigating the Effects of Architectural Inductive Biases on Hallucination</v>
      </c>
      <c r="C144" s="7" t="str">
        <f>IFERROR(__xludf.DUMMYFUNCTION("""COMPUTED_VALUE"""),"The growth in prominence of large language models (LLMs) in everyday life can be largely attributed to their generative abilities, yet some of this is also owed to the risks and costs associated with their use. On one front is their tendency to hallucinat"&amp;"e false or misleading information, limiting their reliability. On another is the increasing focus on the computational limitations associated with traditional self-attention based LLMs, which has brought about new alternatives, in particular recurrent mod"&amp;"els, meant to overcome them. Yet it remains uncommon to consider these two concerns simultaneously. Do changes in architecture exacerbate/alleviate existing concerns about hallucinations? Do they affect how and where they occur? Through an extensive evalu"&amp;"ation, we study how these architecture-based inductive biases affect the propensity to hallucinate. While hallucination remains a general phenomenon not limited to specific architectures, the situations in which they occur and the ease with which specific"&amp;" types of hallucinations can be induced can significantly differ based on the model architecture. These findings highlight the need for better understanding both these problems in conjunction with each other, as well as consider how to design more univers"&amp;"al techniques for handling hallucinations.")</f>
        <v>The growth in prominence of large language models (LLMs) in everyday life can be largely attributed to their generative abilities, yet some of this is also owed to the risks and costs associated with their use. On one front is their tendency to hallucinate false or misleading information, limiting their reliability. On another is the increasing focus on the computational limitations associated with traditional self-attention based LLMs, which has brought about new alternatives, in particular recurrent models, meant to overcome them. Yet it remains uncommon to consider these two concerns simultaneously. Do changes in architecture exacerbate/alleviate existing concerns about hallucinations? Do they affect how and where they occur? Through an extensive evaluation, we study how these architecture-based inductive biases affect the propensity to hallucinate. While hallucination remains a general phenomenon not limited to specific architectures, the situations in which they occur and the ease with which specific types of hallucinations can be induced can significantly differ based on the model architecture. These findings highlight the need for better understanding both these problems in conjunction with each other, as well as consider how to design more universal techniques for handling hallucinations.</v>
      </c>
      <c r="D144" s="7" t="str">
        <f>IFERROR(__xludf.DUMMYFUNCTION("""COMPUTED_VALUE"""),"Jerry Huang")</f>
        <v>Jerry Huang</v>
      </c>
      <c r="E144" s="7" t="str">
        <f>IFERROR(__xludf.DUMMYFUNCTION("""COMPUTED_VALUE"""),"Yes")</f>
        <v>Yes</v>
      </c>
      <c r="F144" s="7" t="str">
        <f>IFERROR(__xludf.DUMMYFUNCTION("""COMPUTED_VALUE"""),"Not Pres. ")</f>
        <v>Not Pres. </v>
      </c>
      <c r="G144" s="7" t="str">
        <f>IFERROR(__xludf.DUMMYFUNCTION("""COMPUTED_VALUE"""),"NP Findings Not Presenting ")</f>
        <v>NP Findings Not Presenting </v>
      </c>
      <c r="H144" s="7"/>
      <c r="I144" s="7"/>
      <c r="J144" s="7"/>
      <c r="K144" s="7"/>
      <c r="L144" s="8"/>
      <c r="M144" s="7"/>
      <c r="N144" s="7"/>
    </row>
    <row r="145">
      <c r="A145" s="7" t="str">
        <f>IFERROR(__xludf.DUMMYFUNCTION("""COMPUTED_VALUE"""),"268-FIND")</f>
        <v>268-FIND</v>
      </c>
      <c r="B145" s="7" t="str">
        <f>IFERROR(__xludf.DUMMYFUNCTION("""COMPUTED_VALUE"""),"GenTool: Enhancing Tool Generalization in Language Models through Zero-to-One and Weak-to-Strong Simulation")</f>
        <v>GenTool: Enhancing Tool Generalization in Language Models through Zero-to-One and Weak-to-Strong Simulation</v>
      </c>
      <c r="C145" s="7" t="str">
        <f>IFERROR(__xludf.DUMMYFUNCTION("""COMPUTED_VALUE"""),"Large Language Models (LLMs) can enhance their capabilities as AI assistants by integrating external tools, allowing them to access a wider range of information. While recent LLMs are typically fine-tuned with tool usage examples during supervised fine-tu"&amp;"ning (SFT), questions remain about their ability to develop robust tool-usage skills and can effectively generalize to unseen queries and tools. In this work, we present GenTool, a novel training framework that prepares LLMs for diverse generalization cha"&amp;"llenges in tool utilization. Our approach addresses two fundamental dimensions critical for real-world applications: Zero-to-One Generalization, enabling the model to address queries initially lacking a suitable tool by adopting and utilizing one when it "&amp;"becomes available, and Weak-to-Strong Generalization, allowing models to leverage enhanced versions of existing tools to solve queries. To achieve this, we develop synthetic training data simulating these two dimensions of tool usage and introduce a two-s"&amp;"tage fine-tuning approach: optimizing tool ranking, then refining tool selection. Through extensive experiments across four generalization scenarios, we demonstrate that our method significantly enhances the tool-usage capabilities of LLMs ranging from 1B"&amp;" to 8B parameters, achieving performance that surpasses GPT-4o. Furthermore, our analysis also provides valuable insights into the challenges LLMs encounter in tool generalization.")</f>
        <v>Large Language Models (LLMs) can enhance their capabilities as AI assistants by integrating external tools, allowing them to access a wider range of information. While recent LLMs are typically fine-tuned with tool usage examples during supervised fine-tuning (SFT), questions remain about their ability to develop robust tool-usage skills and can effectively generalize to unseen queries and tools. In this work, we present GenTool, a novel training framework that prepares LLMs for diverse generalization challenges in tool utilization. Our approach addresses two fundamental dimensions critical for real-world applications: Zero-to-One Generalization, enabling the model to address queries initially lacking a suitable tool by adopting and utilizing one when it becomes available, and Weak-to-Strong Generalization, allowing models to leverage enhanced versions of existing tools to solve queries. To achieve this, we develop synthetic training data simulating these two dimensions of tool usage and introduce a two-stage fine-tuning approach: optimizing tool ranking, then refining tool selection. Through extensive experiments across four generalization scenarios, we demonstrate that our method significantly enhances the tool-usage capabilities of LLMs ranging from 1B to 8B parameters, achieving performance that surpasses GPT-4o. Furthermore, our analysis also provides valuable insights into the challenges LLMs encounter in tool generalization.</v>
      </c>
      <c r="D145" s="7" t="str">
        <f>IFERROR(__xludf.DUMMYFUNCTION("""COMPUTED_VALUE"""),"Jie He")</f>
        <v>Jie He</v>
      </c>
      <c r="E145" s="7" t="str">
        <f>IFERROR(__xludf.DUMMYFUNCTION("""COMPUTED_VALUE"""),"#N/A")</f>
        <v>#N/A</v>
      </c>
      <c r="F145" s="7" t="str">
        <f>IFERROR(__xludf.DUMMYFUNCTION("""COMPUTED_VALUE"""),"Not Pres. ")</f>
        <v>Not Pres. </v>
      </c>
      <c r="G145" s="7" t="str">
        <f>IFERROR(__xludf.DUMMYFUNCTION("""COMPUTED_VALUE"""),"NP Findings Not Presenting ")</f>
        <v>NP Findings Not Presenting </v>
      </c>
      <c r="H145" s="7"/>
      <c r="I145" s="7" t="str">
        <f>IFERROR(__xludf.DUMMYFUNCTION("""COMPUTED_VALUE"""),"NP-Find")</f>
        <v>NP-Find</v>
      </c>
      <c r="J145" s="7"/>
      <c r="K145" s="7"/>
      <c r="L145" s="8"/>
      <c r="M145" s="7"/>
      <c r="N145" s="7"/>
    </row>
    <row r="146">
      <c r="A146" s="7" t="str">
        <f>IFERROR(__xludf.DUMMYFUNCTION("""COMPUTED_VALUE"""),"270-FIND")</f>
        <v>270-FIND</v>
      </c>
      <c r="B146" s="7" t="str">
        <f>IFERROR(__xludf.DUMMYFUNCTION("""COMPUTED_VALUE"""),"SWE-Fixer: Training Open-Source LLMs for Effective and Efficient GitHub Issue Resolution")</f>
        <v>SWE-Fixer: Training Open-Source LLMs for Effective and Efficient GitHub Issue Resolution</v>
      </c>
      <c r="C146" s="7" t="str">
        <f>IFERROR(__xludf.DUMMYFUNCTION("""COMPUTED_VALUE"""),"Large Language Models (LLMs) have demonstrated remarkable proficiency across a variety of complex tasks. One significant application of LLMs is in tackling software engineering challenges, particularly in resolving real-world tasks on GitHub by fixing cod"&amp;"e based on the issues reported by the users. However, many current approaches rely on proprietary LLMs, which limits reproducibility, accessibility, and transparency. The critical components of LLMs for addressing software engineering issues and how their"&amp;" capabilities can be effectively enhanced remain unclear. To address these challenges, we introduce SWE-Fixer, a novel open-source framework designed to effectively and efficiently resolve GitHub issues. SWE-Fixer comprises two essential modules: a code f"&amp;"ile retrieval module and a code editing module. The retrieval module employs BM25 along with a lightweight model to achieve coarse-to-fine file retrieval. Subsequently, the code editing module utilizes the other model to generate patches for the identifie"&amp;"d files. To mitigate the lack of publicly available datasets, we compile an extensive dataset that includes 110K GitHub issues along with their corresponding patches and train the two models of SWE-Fixer separately.  
We assess our approach on the SWE-Ben"&amp;"ch Lite and Verified benchmarks, achieving competitive performance among open-source models with scores of 22.0\% and 30.2\%. Furthermore, SWE-Fixer reaches state-of-the-art performance (24.7\% on Lite and 32.8\% on Verified) with PASS\_TO\_PASS (P2P) fil"&amp;"tering. 
Additionally, our approach requires only two model calls per instance, making it significantly more efficient than existing methods. These results highlight the effectiveness of SWE-Fixer in real-world code-fixing scenarios.
We will make our mode"&amp;"l, dataset, and code publicly available at https://github.com/InternLM/SWE-Fixer.")</f>
        <v>Large Language Models (LLMs) have demonstrated remarkable proficiency across a variety of complex tasks. One significant application of LLMs is in tackling software engineering challenges, particularly in resolving real-world tasks on GitHub by fixing code based on the issues reported by the users. However, many current approaches rely on proprietary LLMs, which limits reproducibility, accessibility, and transparency. The critical components of LLMs for addressing software engineering issues and how their capabilities can be effectively enhanced remain unclear. To address these challenges, we introduce SWE-Fixer, a novel open-source framework designed to effectively and efficiently resolve GitHub issues. SWE-Fixer comprises two essential modules: a code file retrieval module and a code editing module. The retrieval module employs BM25 along with a lightweight model to achieve coarse-to-fine file retrieval. Subsequently, the code editing module utilizes the other model to generate patches for the identified files. To mitigate the lack of publicly available datasets, we compile an extensive dataset that includes 110K GitHub issues along with their corresponding patches and train the two models of SWE-Fixer separately.  
We assess our approach on the SWE-Bench Lite and Verified benchmarks, achieving competitive performance among open-source models with scores of 22.0\% and 30.2\%. Furthermore, SWE-Fixer reaches state-of-the-art performance (24.7\% on Lite and 32.8\% on Verified) with PASS\_TO\_PASS (P2P) filtering. 
Additionally, our approach requires only two model calls per instance, making it significantly more efficient than existing methods. These results highlight the effectiveness of SWE-Fixer in real-world code-fixing scenarios.
We will make our model, dataset, and code publicly available at https://github.com/InternLM/SWE-Fixer.</v>
      </c>
      <c r="D146" s="7" t="str">
        <f>IFERROR(__xludf.DUMMYFUNCTION("""COMPUTED_VALUE"""),"Chengxing Xie")</f>
        <v>Chengxing Xie</v>
      </c>
      <c r="E146" s="7" t="str">
        <f>IFERROR(__xludf.DUMMYFUNCTION("""COMPUTED_VALUE"""),"#N/A")</f>
        <v>#N/A</v>
      </c>
      <c r="F146" s="7" t="str">
        <f>IFERROR(__xludf.DUMMYFUNCTION("""COMPUTED_VALUE"""),"Not Pres. ")</f>
        <v>Not Pres. </v>
      </c>
      <c r="G146" s="7" t="str">
        <f>IFERROR(__xludf.DUMMYFUNCTION("""COMPUTED_VALUE"""),"NP Findings Not Presenting ")</f>
        <v>NP Findings Not Presenting </v>
      </c>
      <c r="H146" s="7"/>
      <c r="I146" s="7" t="str">
        <f>IFERROR(__xludf.DUMMYFUNCTION("""COMPUTED_VALUE"""),"NP-Find")</f>
        <v>NP-Find</v>
      </c>
      <c r="J146" s="7"/>
      <c r="K146" s="7"/>
      <c r="L146" s="8"/>
      <c r="M146" s="7"/>
      <c r="N146" s="7"/>
    </row>
    <row r="147">
      <c r="A147" s="7" t="str">
        <f>IFERROR(__xludf.DUMMYFUNCTION("""COMPUTED_VALUE"""),"271-FIND")</f>
        <v>271-FIND</v>
      </c>
      <c r="B147" s="7" t="str">
        <f>IFERROR(__xludf.DUMMYFUNCTION("""COMPUTED_VALUE"""),"GlyphPattern: An Abstract Pattern Recognition for Vision-Language Models")</f>
        <v>GlyphPattern: An Abstract Pattern Recognition for Vision-Language Models</v>
      </c>
      <c r="C147" s="7" t="str">
        <f>IFERROR(__xludf.DUMMYFUNCTION("""COMPUTED_VALUE"""),"Vision-Language Models (VLMs) have made rapid progress in reasoning across visual and textual data. While VLMs perform well on vision tasks that they are trained on, our results highlight key challenges in abstract pattern recognition. We present GlyphPat"&amp;"tern, a 954 item dataset that pairs 318 human-written descriptions of visual patterns from 40 writing systems with three visual presentation styles.
GlyphPattern evaluates abstract pattern recognition in VLMs, requiring models to understand and judge nat"&amp;"ural language descriptions of visual patterns. GlyphPattern patterns are drawn from a large-scale cognitive science investigation of human writing systems; as a result, they are rich in spatial reference and compositionality. Our experiments show that Gly"&amp;"phPattern is challenging for state-of-the-art VLMs (GPT-4o achieves only 55% accuracy), with marginal gains from few-shot prompting. Our detailed analysis reveals errors at multiple levels, including visual processing, natural language understanding, and "&amp;"pattern generalization.")</f>
        <v>Vision-Language Models (VLMs) have made rapid progress in reasoning across visual and textual data. While VLMs perform well on vision tasks that they are trained on, our results highlight key challenges in abstract pattern recognition. We present GlyphPattern, a 954 item dataset that pairs 318 human-written descriptions of visual patterns from 40 writing systems with three visual presentation styles.
GlyphPattern evaluates abstract pattern recognition in VLMs, requiring models to understand and judge natural language descriptions of visual patterns. GlyphPattern patterns are drawn from a large-scale cognitive science investigation of human writing systems; as a result, they are rich in spatial reference and compositionality. Our experiments show that GlyphPattern is challenging for state-of-the-art VLMs (GPT-4o achieves only 55% accuracy), with marginal gains from few-shot prompting. Our detailed analysis reveals errors at multiple levels, including visual processing, natural language understanding, and pattern generalization.</v>
      </c>
      <c r="D147" s="7" t="str">
        <f>IFERROR(__xludf.DUMMYFUNCTION("""COMPUTED_VALUE"""),"Zixuan Wu")</f>
        <v>Zixuan Wu</v>
      </c>
      <c r="E147" s="7" t="str">
        <f>IFERROR(__xludf.DUMMYFUNCTION("""COMPUTED_VALUE"""),"Yes")</f>
        <v>Yes</v>
      </c>
      <c r="F147" s="7" t="str">
        <f>IFERROR(__xludf.DUMMYFUNCTION("""COMPUTED_VALUE"""),"V-Presentation")</f>
        <v>V-Presentation</v>
      </c>
      <c r="G147" s="7" t="str">
        <f>IFERROR(__xludf.DUMMYFUNCTION("""COMPUTED_VALUE"""),"Virtual/Gather")</f>
        <v>Virtual/Gather</v>
      </c>
      <c r="H147" s="7" t="str">
        <f>IFERROR(__xludf.DUMMYFUNCTION("""COMPUTED_VALUE"""),"Gather")</f>
        <v>Gather</v>
      </c>
      <c r="I147" s="7" t="str">
        <f>IFERROR(__xludf.DUMMYFUNCTION("""COMPUTED_VALUE"""),"Session5: V-Gather Find")</f>
        <v>Session5: V-Gather Find</v>
      </c>
      <c r="J147" s="7" t="str">
        <f>IFERROR(__xludf.DUMMYFUNCTION("""COMPUTED_VALUE"""),"Findings Posters - Virtual")</f>
        <v>Findings Posters - Virtual</v>
      </c>
      <c r="K147" s="7"/>
      <c r="L147" s="8">
        <f>IFERROR(__xludf.DUMMYFUNCTION("""COMPUTED_VALUE"""),45866.0)</f>
        <v>45866</v>
      </c>
      <c r="M147" s="7" t="str">
        <f>IFERROR(__xludf.DUMMYFUNCTION("""COMPUTED_VALUE"""),"18:00-19:30")</f>
        <v>18:00-19:30</v>
      </c>
      <c r="N147" s="7"/>
    </row>
    <row r="148">
      <c r="A148" s="7" t="str">
        <f>IFERROR(__xludf.DUMMYFUNCTION("""COMPUTED_VALUE"""),"272-FIND")</f>
        <v>272-FIND</v>
      </c>
      <c r="B148" s="7" t="str">
        <f>IFERROR(__xludf.DUMMYFUNCTION("""COMPUTED_VALUE"""),"FitCF: A Framework for Automatic Feature Importance-guided Counterfactual Example Generation")</f>
        <v>FitCF: A Framework for Automatic Feature Importance-guided Counterfactual Example Generation</v>
      </c>
      <c r="C148" s="7" t="str">
        <f>IFERROR(__xludf.DUMMYFUNCTION("""COMPUTED_VALUE"""),"Counterfactual examples are widely used in natural language processing (NLP) as valuable data to improve models, and in explainable artificial intelligence (XAI) to understand model behavior. The automated generation of counterfactual examples remains a c"&amp;"hallenging task even for large language models (LLMs), despite their impressive performance on many tasks. In this paper, we first introduce ZeroCF, a faithful approach for leveraging important words derived from feature attribution methods to generate co"&amp;"unterfactual examples in a zero-shot setting. Second, we present a new framework, FitCF, which further verifies aforementioned counterfactuals by label flip verification and then inserts them as demonstrations for few-shot prompting, outperforming three s"&amp;"tate-of-the-art baselines. Through ablation studies, we identify the importance of each of FitCF's core components in improving the quality of counterfactuals, as assessed through flip rate, perplexity, and similarity measures. Furthermore, we show the ef"&amp;"fectiveness of LIME and Integrated Gradients as backbone attribution methods for FitCF and find that the number of demonstrations has the largest effect on performance. Finally, we reveal a strong correlation between the faithfulness of feature attributio"&amp;"n scores and the quality of generated counterfactuals, which we hope will serve as an important
finding for future research in this direction.")</f>
        <v>Counterfactual examples are widely used in natural language processing (NLP) as valuable data to improve models, and in explainable artificial intelligence (XAI) to understand model behavior. The automated generation of counterfactual examples remains a challenging task even for large language models (LLMs), despite their impressive performance on many tasks. In this paper, we first introduce ZeroCF, a faithful approach for leveraging important words derived from feature attribution methods to generate counterfactual examples in a zero-shot setting. Second, we present a new framework, FitCF, which further verifies aforementioned counterfactuals by label flip verification and then inserts them as demonstrations for few-shot prompting, outperforming three state-of-the-art baselines. Through ablation studies, we identify the importance of each of FitCF's core components in improving the quality of counterfactuals, as assessed through flip rate, perplexity, and similarity measures. Furthermore, we show the effectiveness of LIME and Integrated Gradients as backbone attribution methods for FitCF and find that the number of demonstrations has the largest effect on performance. Finally, we reveal a strong correlation between the faithfulness of feature attribution scores and the quality of generated counterfactuals, which we hope will serve as an important
finding for future research in this direction.</v>
      </c>
      <c r="D148" s="7" t="str">
        <f>IFERROR(__xludf.DUMMYFUNCTION("""COMPUTED_VALUE"""),"Qianli Wang, Nils Feldhus")</f>
        <v>Qianli Wang, Nils Feldhus</v>
      </c>
      <c r="E148" s="7" t="str">
        <f>IFERROR(__xludf.DUMMYFUNCTION("""COMPUTED_VALUE"""),"Yes")</f>
        <v>Yes</v>
      </c>
      <c r="F148" s="7" t="str">
        <f>IFERROR(__xludf.DUMMYFUNCTION("""COMPUTED_VALUE"""),"IP-Poster")</f>
        <v>IP-Poster</v>
      </c>
      <c r="G148" s="7" t="str">
        <f>IFERROR(__xludf.DUMMYFUNCTION("""COMPUTED_VALUE"""),"In-Person")</f>
        <v>In-Person</v>
      </c>
      <c r="H148" s="7" t="str">
        <f>IFERROR(__xludf.DUMMYFUNCTION("""COMPUTED_VALUE"""),"Hall 4/5")</f>
        <v>Hall 4/5</v>
      </c>
      <c r="I148" s="7" t="str">
        <f>IFERROR(__xludf.DUMMYFUNCTION("""COMPUTED_VALUE"""),"Session 10: IP-Posters")</f>
        <v>Session 10: IP-Posters</v>
      </c>
      <c r="J148" s="7" t="str">
        <f>IFERROR(__xludf.DUMMYFUNCTION("""COMPUTED_VALUE"""),"Findings Posters - In-Person 3")</f>
        <v>Findings Posters - In-Person 3</v>
      </c>
      <c r="K148" s="7"/>
      <c r="L148" s="8">
        <f>IFERROR(__xludf.DUMMYFUNCTION("""COMPUTED_VALUE"""),45867.0)</f>
        <v>45867</v>
      </c>
      <c r="M148" s="7" t="str">
        <f>IFERROR(__xludf.DUMMYFUNCTION("""COMPUTED_VALUE"""),"16:00-17:30")</f>
        <v>16:00-17:30</v>
      </c>
      <c r="N148" s="7"/>
    </row>
    <row r="149">
      <c r="A149" s="7" t="str">
        <f>IFERROR(__xludf.DUMMYFUNCTION("""COMPUTED_VALUE"""),"284-FIND")</f>
        <v>284-FIND</v>
      </c>
      <c r="B149" s="7" t="str">
        <f>IFERROR(__xludf.DUMMYFUNCTION("""COMPUTED_VALUE"""),"From Misleading Queries to Accurate Answers: A Three-Stage Fine-Tuning Method for LLMs")</f>
        <v>From Misleading Queries to Accurate Answers: A Three-Stage Fine-Tuning Method for LLMs</v>
      </c>
      <c r="C149" s="7" t="str">
        <f>IFERROR(__xludf.DUMMYFUNCTION("""COMPUTED_VALUE"""),"Large language models (LLMs) exhibit excellent performance in natural language processing (NLP), but remain highly sensitive to the quality of input queries, especially when these queries contain misleading or inaccurate information. Existing methods focu"&amp;"s on correcting the output, but they often overlook the potential of improving the ability of LLMs to detect and correct misleading content in the input itself. In this paper, we propose a novel three-stage fine-tuning method that enhances the ability of "&amp;"LLMs to detect and correct misleading information in the input, further improving response accuracy and reducing hallucinations. Specifically, the three stages include (1) training LLMs to identify misleading information, (2) training LLMs to correct the "&amp;"misleading information using built-in or external knowledge, and (3) training LLMs to generate accurate answers based on the corrected queries. To evaluate our method, we conducted experiments on three datasets for the hallucination detection task and the"&amp;" question answering (QA) task, as well as two datasets containing misleading information that we constructed. The experimental results demonstrate that our method significantly improves the accuracy and factuality of LLM responses, while also enhancing th"&amp;"e ability to detect hallucinations and reducing the generation of hallucinations in the output, particularly when the query contains misleading information. We will publicly release our code upon acceptance.")</f>
        <v>Large language models (LLMs) exhibit excellent performance in natural language processing (NLP), but remain highly sensitive to the quality of input queries, especially when these queries contain misleading or inaccurate information. Existing methods focus on correcting the output, but they often overlook the potential of improving the ability of LLMs to detect and correct misleading content in the input itself. In this paper, we propose a novel three-stage fine-tuning method that enhances the ability of LLMs to detect and correct misleading information in the input, further improving response accuracy and reducing hallucinations. Specifically, the three stages include (1) training LLMs to identify misleading information, (2) training LLMs to correct the misleading information using built-in or external knowledge, and (3) training LLMs to generate accurate answers based on the corrected queries. To evaluate our method, we conducted experiments on three datasets for the hallucination detection task and the question answering (QA) task, as well as two datasets containing misleading information that we constructed. The experimental results demonstrate that our method significantly improves the accuracy and factuality of LLM responses, while also enhancing the ability to detect hallucinations and reducing the generation of hallucinations in the output, particularly when the query contains misleading information. We will publicly release our code upon acceptance.</v>
      </c>
      <c r="D149" s="7" t="str">
        <f>IFERROR(__xludf.DUMMYFUNCTION("""COMPUTED_VALUE"""),"Guocong Li")</f>
        <v>Guocong Li</v>
      </c>
      <c r="E149" s="7" t="str">
        <f>IFERROR(__xludf.DUMMYFUNCTION("""COMPUTED_VALUE"""),"#N/A")</f>
        <v>#N/A</v>
      </c>
      <c r="F149" s="7" t="str">
        <f>IFERROR(__xludf.DUMMYFUNCTION("""COMPUTED_VALUE"""),"Not Pres. ")</f>
        <v>Not Pres. </v>
      </c>
      <c r="G149" s="7" t="str">
        <f>IFERROR(__xludf.DUMMYFUNCTION("""COMPUTED_VALUE"""),"NP Findings Not Presenting ")</f>
        <v>NP Findings Not Presenting </v>
      </c>
      <c r="H149" s="7"/>
      <c r="I149" s="7" t="str">
        <f>IFERROR(__xludf.DUMMYFUNCTION("""COMPUTED_VALUE"""),"NP-Find")</f>
        <v>NP-Find</v>
      </c>
      <c r="J149" s="7"/>
      <c r="K149" s="7"/>
      <c r="L149" s="8"/>
      <c r="M149" s="7"/>
      <c r="N149" s="7"/>
    </row>
    <row r="150">
      <c r="A150" s="7" t="str">
        <f>IFERROR(__xludf.DUMMYFUNCTION("""COMPUTED_VALUE"""),"289-FIND")</f>
        <v>289-FIND</v>
      </c>
      <c r="B150" s="7" t="str">
        <f>IFERROR(__xludf.DUMMYFUNCTION("""COMPUTED_VALUE"""),"Separate the Wheat from the Chaff: A Post-Hoc Approach to Safety Re-Alignment for Fine-Tuned Language Models")</f>
        <v>Separate the Wheat from the Chaff: A Post-Hoc Approach to Safety Re-Alignment for Fine-Tuned Language Models</v>
      </c>
      <c r="C150" s="7" t="str">
        <f>IFERROR(__xludf.DUMMYFUNCTION("""COMPUTED_VALUE"""),"Although large language models (LLMs) achieve effective safety alignment at the time of release, they still face various safety challenges. A key issue is that fine-tuning often compromises the safety alignment of LLMs. To address this issue, we propose a"&amp;" method named \textbf{IRR} (\textbf{I}dentify, \textbf{R}emove, and \textbf{R}ecalibrate for Safety Realignment) that performs safety realignment for LLMs. The core of IRR is to identify and remove unsafe delta parameters from the fine-tuned models, while"&amp;" recalibrating the retained ones. We evaluate the effectiveness of IRR across various datasets, including both full fine-tuning and LoRA methods. Our results demonstrate that IRR significantly enhances the safety performance of fine-tuned models on safety"&amp;" benchmarks, such as harmful queries and jailbreak attacks, while maintaining their performance on downstream tasks. The source code is available at: \url{https://anonymous.4open.science/r/IRR-BD4F}.")</f>
        <v>Although large language models (LLMs) achieve effective safety alignment at the time of release, they still face various safety challenges. A key issue is that fine-tuning often compromises the safety alignment of LLMs. To address this issue, we propose a method named \textbf{IRR} (\textbf{I}dentify, \textbf{R}emove, and \textbf{R}ecalibrate for Safety Realignment) that performs safety realignment for LLMs. The core of IRR is to identify and remove unsafe delta parameters from the fine-tuned models, while recalibrating the retained ones. We evaluate the effectiveness of IRR across various datasets, including both full fine-tuning and LoRA methods. Our results demonstrate that IRR significantly enhances the safety performance of fine-tuned models on safety benchmarks, such as harmful queries and jailbreak attacks, while maintaining their performance on downstream tasks. The source code is available at: \url{https://anonymous.4open.science/r/IRR-BD4F}.</v>
      </c>
      <c r="D150" s="7" t="str">
        <f>IFERROR(__xludf.DUMMYFUNCTION("""COMPUTED_VALUE"""),"Di Wu")</f>
        <v>Di Wu</v>
      </c>
      <c r="E150" s="7" t="str">
        <f>IFERROR(__xludf.DUMMYFUNCTION("""COMPUTED_VALUE"""),"#N/A")</f>
        <v>#N/A</v>
      </c>
      <c r="F150" s="7" t="str">
        <f>IFERROR(__xludf.DUMMYFUNCTION("""COMPUTED_VALUE"""),"Not Pres. ")</f>
        <v>Not Pres. </v>
      </c>
      <c r="G150" s="7" t="str">
        <f>IFERROR(__xludf.DUMMYFUNCTION("""COMPUTED_VALUE"""),"NP Findings Not Presenting ")</f>
        <v>NP Findings Not Presenting </v>
      </c>
      <c r="H150" s="7"/>
      <c r="I150" s="7" t="str">
        <f>IFERROR(__xludf.DUMMYFUNCTION("""COMPUTED_VALUE"""),"NP-Find")</f>
        <v>NP-Find</v>
      </c>
      <c r="J150" s="7"/>
      <c r="K150" s="7"/>
      <c r="L150" s="8"/>
      <c r="M150" s="7"/>
      <c r="N150" s="7"/>
    </row>
    <row r="151">
      <c r="A151" s="7" t="str">
        <f>IFERROR(__xludf.DUMMYFUNCTION("""COMPUTED_VALUE"""),"290-FIND")</f>
        <v>290-FIND</v>
      </c>
      <c r="B151" s="7" t="str">
        <f>IFERROR(__xludf.DUMMYFUNCTION("""COMPUTED_VALUE"""),"Nuclear Deployed!: Analyzing Catastrophic Risks in Decision-making of Autonomous LLM Agents")</f>
        <v>Nuclear Deployed!: Analyzing Catastrophic Risks in Decision-making of Autonomous LLM Agents</v>
      </c>
      <c r="C151" s="7" t="str">
        <f>IFERROR(__xludf.DUMMYFUNCTION("""COMPUTED_VALUE"""),"Large language models (LLMs) are evolving into autonomous decision-makers, raising concerns about catastrophic risks in high-stakes scenarios, particularly in Chemical, Biological, Radiological and Nuclear (CBRN) domains. Based on the insight that such ri"&amp;"sks can originate from trade-offs between the agent's Helpful, Harmlessness and Honest (HHH) goals, we build a novel three-stage evaluation framework, which is carefully constructed to effectively and naturally expose such risks. We conduct 14,400 agentic"&amp;" simulations across 12 advanced LLMs, with extensive experiments and analysis. Results reveal that LLM agents can autonomously engage in catastrophic behaviors and deception, without being deliberately induced. Furthermore, stronger reasoning abilities of"&amp;"ten increase, rather than mitigate, these risks. We also show that these agents can violate instructions and superior commands. On the whole, we empirically prove the existence of catastrophic risks in autonomous LLM agents.")</f>
        <v>Large language models (LLMs) are evolving into autonomous decision-makers, raising concerns about catastrophic risks in high-stakes scenarios, particularly in Chemical, Biological, Radiological and Nuclear (CBRN) domains. Based on the insight that such risks can originate from trade-offs between the agent's Helpful, Harmlessness and Honest (HHH) goals, we build a novel three-stage evaluation framework, which is carefully constructed to effectively and naturally expose such risks. We conduct 14,400 agentic simulations across 12 advanced LLMs, with extensive experiments and analysis. Results reveal that LLM agents can autonomously engage in catastrophic behaviors and deception, without being deliberately induced. Furthermore, stronger reasoning abilities often increase, rather than mitigate, these risks. We also show that these agents can violate instructions and superior commands. On the whole, we empirically prove the existence of catastrophic risks in autonomous LLM agents.</v>
      </c>
      <c r="D151" s="7" t="str">
        <f>IFERROR(__xludf.DUMMYFUNCTION("""COMPUTED_VALUE"""),"Rongwu Xu")</f>
        <v>Rongwu Xu</v>
      </c>
      <c r="E151" s="7" t="str">
        <f>IFERROR(__xludf.DUMMYFUNCTION("""COMPUTED_VALUE"""),"Yes")</f>
        <v>Yes</v>
      </c>
      <c r="F151" s="7" t="str">
        <f>IFERROR(__xludf.DUMMYFUNCTION("""COMPUTED_VALUE"""),"IP-Poster")</f>
        <v>IP-Poster</v>
      </c>
      <c r="G151" s="7" t="str">
        <f>IFERROR(__xludf.DUMMYFUNCTION("""COMPUTED_VALUE"""),"In-Person")</f>
        <v>In-Person</v>
      </c>
      <c r="H151" s="7" t="str">
        <f>IFERROR(__xludf.DUMMYFUNCTION("""COMPUTED_VALUE"""),"Hall 4/5")</f>
        <v>Hall 4/5</v>
      </c>
      <c r="I151" s="7" t="str">
        <f>IFERROR(__xludf.DUMMYFUNCTION("""COMPUTED_VALUE"""),"Session 5 :IP-Posters Find ")</f>
        <v>Session 5 :IP-Posters Find </v>
      </c>
      <c r="J151" s="7" t="str">
        <f>IFERROR(__xludf.DUMMYFUNCTION("""COMPUTED_VALUE"""),"Findings Posters - In-Person 1")</f>
        <v>Findings Posters - In-Person 1</v>
      </c>
      <c r="K151" s="7"/>
      <c r="L151" s="8">
        <f>IFERROR(__xludf.DUMMYFUNCTION("""COMPUTED_VALUE"""),45866.0)</f>
        <v>45866</v>
      </c>
      <c r="M151" s="7" t="str">
        <f>IFERROR(__xludf.DUMMYFUNCTION("""COMPUTED_VALUE"""),"18:00-19:30")</f>
        <v>18:00-19:30</v>
      </c>
      <c r="N151" s="7"/>
    </row>
    <row r="152">
      <c r="A152" s="7" t="str">
        <f>IFERROR(__xludf.DUMMYFUNCTION("""COMPUTED_VALUE"""),"296-FIND")</f>
        <v>296-FIND</v>
      </c>
      <c r="B152" s="7" t="str">
        <f>IFERROR(__xludf.DUMMYFUNCTION("""COMPUTED_VALUE"""),"MoRE: A Mixture of Low-Rank Experts for Adaptive Multi-Task Learning")</f>
        <v>MoRE: A Mixture of Low-Rank Experts for Adaptive Multi-Task Learning</v>
      </c>
      <c r="C152" s="7" t="str">
        <f>IFERROR(__xludf.DUMMYFUNCTION("""COMPUTED_VALUE"""),"With the rapid development of Large Language Models (LLMs), Parameter-Efficient Fine-Tuning (PEFT) methods have gained significant attention, which aims to achieve efficient fine-tuning of LLMs with fewer parameters. As a representative PEFT method, Low-R"&amp;"ank Adaptation (LoRA) introduces low-rank matrices to approximate the incremental tuning parameters and achieves impressive performance over multiple scenarios. After that, plenty of improvements have been proposed for further improvement. However, these "&amp;"methods either focus on single-task scenarios or separately train multiple LoRA modules for multi-task scenarios, limiting the efficiency and effectiveness of LoRA in multi-task scenarios. To better adapt to multi-task fine-tuning, in this paper, we propo"&amp;"se a novel Mixture of Low-Rank Experts (MoRE) for multi-task PEFT. Specifically, instead of using an individual LoRA for each task, we align different ranks of LoRA module with different tasks, which we named low-rank experts. Moreover, we design a novel "&amp;"adaptive rank selector to select the appropriate expert for each task. By jointly training low-rank experts, MoRE can enhance the adaptability and efficiency of LoRA in multi-task scenarios. Finally, we conduct extensive experiments over multiple multi-ta"&amp;"sk benchmarks along with different LLMs to verify model performance. Experimental results demonstrate that compared to traditional LoRA and its variants, MoRE significantly improves the performance of LLMs in multi-task scenarios and incurs no additional "&amp;"inference cost. We also release the model and code to facilitate the community.")</f>
        <v>With the rapid development of Large Language Models (LLMs), Parameter-Efficient Fine-Tuning (PEFT) methods have gained significant attention, which aims to achieve efficient fine-tuning of LLMs with fewer parameters. As a representative PEFT method, Low-Rank Adaptation (LoRA) introduces low-rank matrices to approximate the incremental tuning parameters and achieves impressive performance over multiple scenarios. After that, plenty of improvements have been proposed for further improvement. However, these methods either focus on single-task scenarios or separately train multiple LoRA modules for multi-task scenarios, limiting the efficiency and effectiveness of LoRA in multi-task scenarios. To better adapt to multi-task fine-tuning, in this paper, we propose a novel Mixture of Low-Rank Experts (MoRE) for multi-task PEFT. Specifically, instead of using an individual LoRA for each task, we align different ranks of LoRA module with different tasks, which we named low-rank experts. Moreover, we design a novel adaptive rank selector to select the appropriate expert for each task. By jointly training low-rank experts, MoRE can enhance the adaptability and efficiency of LoRA in multi-task scenarios. Finally, we conduct extensive experiments over multiple multi-task benchmarks along with different LLMs to verify model performance. Experimental results demonstrate that compared to traditional LoRA and its variants, MoRE significantly improves the performance of LLMs in multi-task scenarios and incurs no additional inference cost. We also release the model and code to facilitate the community.</v>
      </c>
      <c r="D152" s="7" t="str">
        <f>IFERROR(__xludf.DUMMYFUNCTION("""COMPUTED_VALUE"""),"Kun Zhang")</f>
        <v>Kun Zhang</v>
      </c>
      <c r="E152" s="7" t="str">
        <f>IFERROR(__xludf.DUMMYFUNCTION("""COMPUTED_VALUE"""),"Yes")</f>
        <v>Yes</v>
      </c>
      <c r="F152" s="7" t="str">
        <f>IFERROR(__xludf.DUMMYFUNCTION("""COMPUTED_VALUE"""),"IP-Poster")</f>
        <v>IP-Poster</v>
      </c>
      <c r="G152" s="7" t="str">
        <f>IFERROR(__xludf.DUMMYFUNCTION("""COMPUTED_VALUE"""),"In-Person")</f>
        <v>In-Person</v>
      </c>
      <c r="H152" s="7" t="str">
        <f>IFERROR(__xludf.DUMMYFUNCTION("""COMPUTED_VALUE"""),"Hall 4/5")</f>
        <v>Hall 4/5</v>
      </c>
      <c r="I152" s="7" t="str">
        <f>IFERROR(__xludf.DUMMYFUNCTION("""COMPUTED_VALUE"""),"Session 5 :IP-Posters Find ")</f>
        <v>Session 5 :IP-Posters Find </v>
      </c>
      <c r="J152" s="7" t="str">
        <f>IFERROR(__xludf.DUMMYFUNCTION("""COMPUTED_VALUE"""),"Findings Posters - In-Person 1")</f>
        <v>Findings Posters - In-Person 1</v>
      </c>
      <c r="K152" s="7"/>
      <c r="L152" s="8">
        <f>IFERROR(__xludf.DUMMYFUNCTION("""COMPUTED_VALUE"""),45866.0)</f>
        <v>45866</v>
      </c>
      <c r="M152" s="7" t="str">
        <f>IFERROR(__xludf.DUMMYFUNCTION("""COMPUTED_VALUE"""),"18:00-19:30")</f>
        <v>18:00-19:30</v>
      </c>
      <c r="N152" s="7"/>
    </row>
    <row r="153">
      <c r="A153" s="7" t="str">
        <f>IFERROR(__xludf.DUMMYFUNCTION("""COMPUTED_VALUE"""),"299-FIND")</f>
        <v>299-FIND</v>
      </c>
      <c r="B153" s="7" t="str">
        <f>IFERROR(__xludf.DUMMYFUNCTION("""COMPUTED_VALUE"""),"Lunar Twins: We Choose to Go to the Moon with Large Language Models")</f>
        <v>Lunar Twins: We Choose to Go to the Moon with Large Language Models</v>
      </c>
      <c r="C153" s="7" t="str">
        <f>IFERROR(__xludf.DUMMYFUNCTION("""COMPUTED_VALUE"""),"In recent years, the rapid advancement of large language models (LLMs) has significantly reshaped the landscape of scientific research. While LLMs have achieved notable success across various domains, their application in specialized fields such as lunar "&amp;"exploration remains underdeveloped, and their full potential in this domain has yet to be fully realized. To address this gap, we introduce Lunar Twins, the first LLMs designed specifically for lunar exploration, along with a collaborative framework that "&amp;"combines both large and small models. Additionally, we present Lunar GenData, a multi-agent collaborative workflow for generating lunar instructions, and establish the first specialized lunar dataset, which integrates real data from the Chang'e lunar miss"&amp;"ions. Lastly, we developed Lunar Eval, the first comprehensive evaluation suite for assessing the capabilities of LLMs in lunar exploration tasks. Experimental validation demonstrates that our approach not only enhances domain expertise in lunar explorati"&amp;"on but also reveals preliminary indications of embodied intelligence potential.")</f>
        <v>In recent years, the rapid advancement of large language models (LLMs) has significantly reshaped the landscape of scientific research. While LLMs have achieved notable success across various domains, their application in specialized fields such as lunar exploration remains underdeveloped, and their full potential in this domain has yet to be fully realized. To address this gap, we introduce Lunar Twins, the first LLMs designed specifically for lunar exploration, along with a collaborative framework that combines both large and small models. Additionally, we present Lunar GenData, a multi-agent collaborative workflow for generating lunar instructions, and establish the first specialized lunar dataset, which integrates real data from the Chang'e lunar missions. Lastly, we developed Lunar Eval, the first comprehensive evaluation suite for assessing the capabilities of LLMs in lunar exploration tasks. Experimental validation demonstrates that our approach not only enhances domain expertise in lunar exploration but also reveals preliminary indications of embodied intelligence potential.</v>
      </c>
      <c r="D153" s="7" t="str">
        <f>IFERROR(__xludf.DUMMYFUNCTION("""COMPUTED_VALUE"""),"N/A")</f>
        <v>N/A</v>
      </c>
      <c r="E153" s="7" t="str">
        <f>IFERROR(__xludf.DUMMYFUNCTION("""COMPUTED_VALUE"""),"Yes")</f>
        <v>Yes</v>
      </c>
      <c r="F153" s="7" t="str">
        <f>IFERROR(__xludf.DUMMYFUNCTION("""COMPUTED_VALUE"""),"Not Pres. ")</f>
        <v>Not Pres. </v>
      </c>
      <c r="G153" s="7" t="str">
        <f>IFERROR(__xludf.DUMMYFUNCTION("""COMPUTED_VALUE"""),"NP Findings Not Presenting ")</f>
        <v>NP Findings Not Presenting </v>
      </c>
      <c r="H153" s="7"/>
      <c r="I153" s="7"/>
      <c r="J153" s="7"/>
      <c r="K153" s="7"/>
      <c r="L153" s="8"/>
      <c r="M153" s="7"/>
      <c r="N153" s="7"/>
    </row>
    <row r="154">
      <c r="A154" s="7" t="str">
        <f>IFERROR(__xludf.DUMMYFUNCTION("""COMPUTED_VALUE"""),"301-FIND")</f>
        <v>301-FIND</v>
      </c>
      <c r="B154" s="7" t="str">
        <f>IFERROR(__xludf.DUMMYFUNCTION("""COMPUTED_VALUE"""),"SPHERE: An Evaluation Card for Human-AI Systems")</f>
        <v>SPHERE: An Evaluation Card for Human-AI Systems</v>
      </c>
      <c r="C154" s="7" t="str">
        <f>IFERROR(__xludf.DUMMYFUNCTION("""COMPUTED_VALUE"""),"In the era of Large Language Models (LLMs), establishing effective evaluation methods and standards for diverse human-AI interaction systems is increasingly challenging. To encourage more transparent documentation and facilitate discussion on human-AI sys"&amp;"tem evaluation design options, we present an evaluation card SPHERE, which encompasses five key dimensions: 1) What is being evaluated?; 2) How is the evaluation conducted?; 3) Who is participating in the evaluation?; 4) When is evaluation conducted?; 5) "&amp;"How is evaluation validated? We conduct a review of 39 human-AI systems using SPHERE, outlining current evaluation practices and areas for improvement. We provide three recommendations for improving the validity and rigor of evaluation practices.")</f>
        <v>In the era of Large Language Models (LLMs), establishing effective evaluation methods and standards for diverse human-AI interaction systems is increasingly challenging. To encourage more transparent documentation and facilitate discussion on human-AI system evaluation design options, we present an evaluation card SPHERE, which encompasses five key dimensions: 1) What is being evaluated?; 2) How is the evaluation conducted?; 3) Who is participating in the evaluation?; 4) When is evaluation conducted?; 5) How is evaluation validated? We conduct a review of 39 human-AI systems using SPHERE, outlining current evaluation practices and areas for improvement. We provide three recommendations for improving the validity and rigor of evaluation practices.</v>
      </c>
      <c r="D154" s="7" t="str">
        <f>IFERROR(__xludf.DUMMYFUNCTION("""COMPUTED_VALUE"""),"Qianou Ma, Dora Zhao")</f>
        <v>Qianou Ma, Dora Zhao</v>
      </c>
      <c r="E154" s="7" t="str">
        <f>IFERROR(__xludf.DUMMYFUNCTION("""COMPUTED_VALUE"""),"Yes")</f>
        <v>Yes</v>
      </c>
      <c r="F154" s="7" t="str">
        <f>IFERROR(__xludf.DUMMYFUNCTION("""COMPUTED_VALUE"""),"IP-Poster")</f>
        <v>IP-Poster</v>
      </c>
      <c r="G154" s="7" t="str">
        <f>IFERROR(__xludf.DUMMYFUNCTION("""COMPUTED_VALUE"""),"In-Person")</f>
        <v>In-Person</v>
      </c>
      <c r="H154" s="7" t="str">
        <f>IFERROR(__xludf.DUMMYFUNCTION("""COMPUTED_VALUE"""),"Hall 4/5")</f>
        <v>Hall 4/5</v>
      </c>
      <c r="I154" s="7" t="str">
        <f>IFERROR(__xludf.DUMMYFUNCTION("""COMPUTED_VALUE"""),"Session 5 :IP-Posters Find ")</f>
        <v>Session 5 :IP-Posters Find </v>
      </c>
      <c r="J154" s="7" t="str">
        <f>IFERROR(__xludf.DUMMYFUNCTION("""COMPUTED_VALUE"""),"Findings Posters - In-Person 1")</f>
        <v>Findings Posters - In-Person 1</v>
      </c>
      <c r="K154" s="7"/>
      <c r="L154" s="8">
        <f>IFERROR(__xludf.DUMMYFUNCTION("""COMPUTED_VALUE"""),45866.0)</f>
        <v>45866</v>
      </c>
      <c r="M154" s="7" t="str">
        <f>IFERROR(__xludf.DUMMYFUNCTION("""COMPUTED_VALUE"""),"18:00-19:30")</f>
        <v>18:00-19:30</v>
      </c>
      <c r="N154" s="7"/>
    </row>
    <row r="155">
      <c r="A155" s="7" t="str">
        <f>IFERROR(__xludf.DUMMYFUNCTION("""COMPUTED_VALUE"""),"305-FIND")</f>
        <v>305-FIND</v>
      </c>
      <c r="B155" s="7" t="str">
        <f>IFERROR(__xludf.DUMMYFUNCTION("""COMPUTED_VALUE"""),"Data-Centric Improvements for Enhancing Multi-Modal Understanding in Spoken Conversation Modeling")</f>
        <v>Data-Centric Improvements for Enhancing Multi-Modal Understanding in Spoken Conversation Modeling</v>
      </c>
      <c r="C155" s="7" t="str">
        <f>IFERROR(__xludf.DUMMYFUNCTION("""COMPUTED_VALUE"""),"Conversational assistants are increasingly popular across diverse real-world applications, highlighting the need for advanced multimodal speech modeling. Speech, as a natural mode of communication, encodes rich user-specific characteristics such as speaki"&amp;"ng rate and pitch, making it critical for effective interaction. Our work introduces a data-centric customization approach for efficiently enhancing multimodal understanding in conversational speech modeling. Central to our contributions is a novel multi-"&amp;"task learning paradigm that involves designing auxiliary tasks to utilize a small amount of speech data. Our approach achieves state-of-the-art performance on the Spoken-SQuAD benchmark, using only 10% of the training data with open-weight models, establi"&amp;"shing a robust and efficient framework for audio-centric conversational modeling. We also introduce ASK-QA, the first dataset for multi-turn spoken dialogue with ambiguous user requests and dynamic evaluation inputs.")</f>
        <v>Conversational assistants are increasingly popular across diverse real-world applications, highlighting the need for advanced multimodal speech modeling. Speech, as a natural mode of communication, encodes rich user-specific characteristics such as speaking rate and pitch, making it critical for effective interaction. Our work introduces a data-centric customization approach for efficiently enhancing multimodal understanding in conversational speech modeling. Central to our contributions is a novel multi-task learning paradigm that involves designing auxiliary tasks to utilize a small amount of speech data. Our approach achieves state-of-the-art performance on the Spoken-SQuAD benchmark, using only 10% of the training data with open-weight models, establishing a robust and efficient framework for audio-centric conversational modeling. We also introduce ASK-QA, the first dataset for multi-turn spoken dialogue with ambiguous user requests and dynamic evaluation inputs.</v>
      </c>
      <c r="D155" s="7" t="str">
        <f>IFERROR(__xludf.DUMMYFUNCTION("""COMPUTED_VALUE"""),"Maximillian Chen")</f>
        <v>Maximillian Chen</v>
      </c>
      <c r="E155" s="7" t="str">
        <f>IFERROR(__xludf.DUMMYFUNCTION("""COMPUTED_VALUE"""),"#N/A")</f>
        <v>#N/A</v>
      </c>
      <c r="F155" s="7" t="str">
        <f>IFERROR(__xludf.DUMMYFUNCTION("""COMPUTED_VALUE"""),"Not Pres. ")</f>
        <v>Not Pres. </v>
      </c>
      <c r="G155" s="7" t="str">
        <f>IFERROR(__xludf.DUMMYFUNCTION("""COMPUTED_VALUE"""),"NP Findings Not Presenting ")</f>
        <v>NP Findings Not Presenting </v>
      </c>
      <c r="H155" s="7"/>
      <c r="I155" s="7" t="str">
        <f>IFERROR(__xludf.DUMMYFUNCTION("""COMPUTED_VALUE"""),"NP-Find")</f>
        <v>NP-Find</v>
      </c>
      <c r="J155" s="7"/>
      <c r="K155" s="7"/>
      <c r="L155" s="8"/>
      <c r="M155" s="7"/>
      <c r="N155" s="7"/>
    </row>
    <row r="156">
      <c r="A156" s="7" t="str">
        <f>IFERROR(__xludf.DUMMYFUNCTION("""COMPUTED_VALUE"""),"309-FIND")</f>
        <v>309-FIND</v>
      </c>
      <c r="B156" s="7" t="str">
        <f>IFERROR(__xludf.DUMMYFUNCTION("""COMPUTED_VALUE"""),"Question-Aware Knowledge Graph Prompting for Enhancing Large Language Models")</f>
        <v>Question-Aware Knowledge Graph Prompting for Enhancing Large Language Models</v>
      </c>
      <c r="C156" s="7" t="str">
        <f>IFERROR(__xludf.DUMMYFUNCTION("""COMPUTED_VALUE"""),"Large Language Models (LLMs) often struggle with tasks requiring external knowledge, such as knowledge-intensive Multiple Choice Question Answering (MCQA). Integrating Knowledge Graphs (KGs) can enhance reasoning; however, existing methods typically deman"&amp;"d costly fine-tuning or retrieve noisy KG information. Recent approaches leverage Graph Neural Networks (GNNs) to generate KG-based input embedding prefixes as soft prompts for LLMs but fail to account for question relevance, resulting in noisy prompts. M"&amp;"oreover, in MCQA tasks, the absence of relevant KG knowledge for certain answer options remains a significant challenge. To address these issues, we propose Question-Aware Knowledge Graph Prompting (QAP), which incorporates question embeddings into GNN ag"&amp;"gregation to dynamically assess KG relevance. QAP employs global attention to capture inter-option relationships, enriching soft prompts with inferred knowledge. Experimental results demonstrate that QAP outperforms state-of-the-art methods across multipl"&amp;"e datasets, highlighting its effectiveness.")</f>
        <v>Large Language Models (LLMs) often struggle with tasks requiring external knowledge, such as knowledge-intensive Multiple Choice Question Answering (MCQA). Integrating Knowledge Graphs (KGs) can enhance reasoning; however, existing methods typically demand costly fine-tuning or retrieve noisy KG information. Recent approaches leverage Graph Neural Networks (GNNs) to generate KG-based input embedding prefixes as soft prompts for LLMs but fail to account for question relevance, resulting in noisy prompts. Moreover, in MCQA tasks, the absence of relevant KG knowledge for certain answer options remains a significant challenge. To address these issues, we propose Question-Aware Knowledge Graph Prompting (QAP), which incorporates question embeddings into GNN aggregation to dynamically assess KG relevance. QAP employs global attention to capture inter-option relationships, enriching soft prompts with inferred knowledge. Experimental results demonstrate that QAP outperforms state-of-the-art methods across multiple datasets, highlighting its effectiveness.</v>
      </c>
      <c r="D156" s="7" t="str">
        <f>IFERROR(__xludf.DUMMYFUNCTION("""COMPUTED_VALUE"""),"Haochen Liu")</f>
        <v>Haochen Liu</v>
      </c>
      <c r="E156" s="7" t="str">
        <f>IFERROR(__xludf.DUMMYFUNCTION("""COMPUTED_VALUE"""),"#N/A")</f>
        <v>#N/A</v>
      </c>
      <c r="F156" s="7" t="str">
        <f>IFERROR(__xludf.DUMMYFUNCTION("""COMPUTED_VALUE"""),"Not Pres. ")</f>
        <v>Not Pres. </v>
      </c>
      <c r="G156" s="7" t="str">
        <f>IFERROR(__xludf.DUMMYFUNCTION("""COMPUTED_VALUE"""),"NP Findings Not Presenting ")</f>
        <v>NP Findings Not Presenting </v>
      </c>
      <c r="H156" s="7"/>
      <c r="I156" s="7" t="str">
        <f>IFERROR(__xludf.DUMMYFUNCTION("""COMPUTED_VALUE"""),"NP-Find")</f>
        <v>NP-Find</v>
      </c>
      <c r="J156" s="7"/>
      <c r="K156" s="7"/>
      <c r="L156" s="8"/>
      <c r="M156" s="7"/>
      <c r="N156" s="7"/>
    </row>
    <row r="157">
      <c r="A157" s="7" t="str">
        <f>IFERROR(__xludf.DUMMYFUNCTION("""COMPUTED_VALUE"""),"313-FIND")</f>
        <v>313-FIND</v>
      </c>
      <c r="B157" s="7" t="str">
        <f>IFERROR(__xludf.DUMMYFUNCTION("""COMPUTED_VALUE"""),"UQ-Merge: Uncertainty Guided Multimodal Large Language Model Merging")</f>
        <v>UQ-Merge: Uncertainty Guided Multimodal Large Language Model Merging</v>
      </c>
      <c r="C157" s="7" t="str">
        <f>IFERROR(__xludf.DUMMYFUNCTION("""COMPUTED_VALUE"""),"Multimodal Large Language Models (MLLMs) have gained increasing popularity as a promising framework for leveraging the strong language reasoning capabilities in the vision-language domain. Given a wide range of MLLMs, model merging potentially offers a ch"&amp;"eap way to aggregate their diverse knowledge into a single MLLM. However, directly plug-in existing model merging approaches often leads to suboptimal performance due to (1) inclusion of harmful models that have over-confident predictions in the target ta"&amp;"sk; (2) the lack of specialized designs for vision-language inputs. To tackle these pain points, we conduct pioneering investigations to dissect the merging procedures and propose an uncertainty-guided MLLM merging algorithm, i.e., UQ-Merge, which i) iden"&amp;"tifies beneficial candidates for merging, ii) determines the merging order and the number of helpful candidates, and iii) performs appropriate merging. Within our framework, we consider uncertainty quantification on both text and vision inputs to examine "&amp;"the MLLM prediction confidence, and then decide whether and when a MLLM needs to be included. It is worth mentioning that our vision-language uncertainty quantification does not require access to sample labels, making it more practical in various scenario"&amp;"s. Extensive experiments consistently demonstrate the superior MLLM merging performance of UQ-Merge in both held-in and held-out vision-language benchmarks. For example, compared to existing state-of-the-art merging methods, UQ-Merge brings substantial pe"&amp;"rformance improvements of up to 44.3% on average accuracy in 12 datasets. Codes are available at https://anonymous.4open.science/r/UQ-Merge-7CD7.")</f>
        <v>Multimodal Large Language Models (MLLMs) have gained increasing popularity as a promising framework for leveraging the strong language reasoning capabilities in the vision-language domain. Given a wide range of MLLMs, model merging potentially offers a cheap way to aggregate their diverse knowledge into a single MLLM. However, directly plug-in existing model merging approaches often leads to suboptimal performance due to (1) inclusion of harmful models that have over-confident predictions in the target task; (2) the lack of specialized designs for vision-language inputs. To tackle these pain points, we conduct pioneering investigations to dissect the merging procedures and propose an uncertainty-guided MLLM merging algorithm, i.e., UQ-Merge, which i) identifies beneficial candidates for merging, ii) determines the merging order and the number of helpful candidates, and iii) performs appropriate merging. Within our framework, we consider uncertainty quantification on both text and vision inputs to examine the MLLM prediction confidence, and then decide whether and when a MLLM needs to be included. It is worth mentioning that our vision-language uncertainty quantification does not require access to sample labels, making it more practical in various scenarios. Extensive experiments consistently demonstrate the superior MLLM merging performance of UQ-Merge in both held-in and held-out vision-language benchmarks. For example, compared to existing state-of-the-art merging methods, UQ-Merge brings substantial performance improvements of up to 44.3% on average accuracy in 12 datasets. Codes are available at https://anonymous.4open.science/r/UQ-Merge-7CD7.</v>
      </c>
      <c r="D157" s="7" t="str">
        <f>IFERROR(__xludf.DUMMYFUNCTION("""COMPUTED_VALUE"""),"Huaizhi Qu")</f>
        <v>Huaizhi Qu</v>
      </c>
      <c r="E157" s="7" t="str">
        <f>IFERROR(__xludf.DUMMYFUNCTION("""COMPUTED_VALUE"""),"#N/A")</f>
        <v>#N/A</v>
      </c>
      <c r="F157" s="7" t="str">
        <f>IFERROR(__xludf.DUMMYFUNCTION("""COMPUTED_VALUE"""),"Not Pres. ")</f>
        <v>Not Pres. </v>
      </c>
      <c r="G157" s="7" t="str">
        <f>IFERROR(__xludf.DUMMYFUNCTION("""COMPUTED_VALUE"""),"NP Findings Not Presenting ")</f>
        <v>NP Findings Not Presenting </v>
      </c>
      <c r="H157" s="7"/>
      <c r="I157" s="7" t="str">
        <f>IFERROR(__xludf.DUMMYFUNCTION("""COMPUTED_VALUE"""),"NP-Find")</f>
        <v>NP-Find</v>
      </c>
      <c r="J157" s="7"/>
      <c r="K157" s="7"/>
      <c r="L157" s="8"/>
      <c r="M157" s="7"/>
      <c r="N157" s="7"/>
    </row>
    <row r="158">
      <c r="A158" s="7" t="str">
        <f>IFERROR(__xludf.DUMMYFUNCTION("""COMPUTED_VALUE"""),"314-FIND")</f>
        <v>314-FIND</v>
      </c>
      <c r="B158" s="7" t="str">
        <f>IFERROR(__xludf.DUMMYFUNCTION("""COMPUTED_VALUE"""),"AQuAECHR: Attributed Question Answering for European Court of Human Rights")</f>
        <v>AQuAECHR: Attributed Question Answering for European Court of Human Rights</v>
      </c>
      <c r="C158" s="7" t="str">
        <f>IFERROR(__xludf.DUMMYFUNCTION("""COMPUTED_VALUE"""),"LLMs have become prevalent tools for information seeking across various fields, including law. However, their generated responses often suffer from hallucinations, hindering their widespread adoption in high stakes domains such as law, which can potential"&amp;"ly mislead experts and propagate societal harms. To enhance trustworthiness in these systems, one promising approach is to attribute the answer to an actual source, thereby improving the factuality and verifiability of the response. In pursuit of advancin"&amp;"g attributed legal question answering, we introduce AQuAECHR, a benchmark comprising information-seeking questions from ECHR jurisprudence along with attributions to relevant judgments. We present strategies to automatically curate this dataset from ECHR "&amp;"case law guides and utilize an LLM-based filtering pipeline to improve dataset quality, as validated by legal experts. Additionally, we assess several LLMs, including those trained on legal corpora, on this dataset to underscore significant challenges wit"&amp;"h the current models and strategies dealing with attributed QA, both quantitatively and qualitatively.")</f>
        <v>LLMs have become prevalent tools for information seeking across various fields, including law. However, their generated responses often suffer from hallucinations, hindering their widespread adoption in high stakes domains such as law, which can potentially mislead experts and propagate societal harms. To enhance trustworthiness in these systems, one promising approach is to attribute the answer to an actual source, thereby improving the factuality and verifiability of the response. In pursuit of advancing attributed legal question answering, we introduce AQuAECHR, a benchmark comprising information-seeking questions from ECHR jurisprudence along with attributions to relevant judgments. We present strategies to automatically curate this dataset from ECHR case law guides and utilize an LLM-based filtering pipeline to improve dataset quality, as validated by legal experts. Additionally, we assess several LLMs, including those trained on legal corpora, on this dataset to underscore significant challenges with the current models and strategies dealing with attributed QA, both quantitatively and qualitatively.</v>
      </c>
      <c r="D158" s="7" t="str">
        <f>IFERROR(__xludf.DUMMYFUNCTION("""COMPUTED_VALUE"""),"-")</f>
        <v>-</v>
      </c>
      <c r="E158" s="7" t="str">
        <f>IFERROR(__xludf.DUMMYFUNCTION("""COMPUTED_VALUE"""),"#N/A")</f>
        <v>#N/A</v>
      </c>
      <c r="F158" s="7" t="str">
        <f>IFERROR(__xludf.DUMMYFUNCTION("""COMPUTED_VALUE"""),"Not Pres. ")</f>
        <v>Not Pres. </v>
      </c>
      <c r="G158" s="7" t="str">
        <f>IFERROR(__xludf.DUMMYFUNCTION("""COMPUTED_VALUE"""),"NP Findings Not Presenting ")</f>
        <v>NP Findings Not Presenting </v>
      </c>
      <c r="H158" s="7"/>
      <c r="I158" s="7" t="str">
        <f>IFERROR(__xludf.DUMMYFUNCTION("""COMPUTED_VALUE"""),"NP-Find")</f>
        <v>NP-Find</v>
      </c>
      <c r="J158" s="7"/>
      <c r="K158" s="7"/>
      <c r="L158" s="8"/>
      <c r="M158" s="7"/>
      <c r="N158" s="7"/>
    </row>
    <row r="159">
      <c r="A159" s="7" t="str">
        <f>IFERROR(__xludf.DUMMYFUNCTION("""COMPUTED_VALUE"""),"319-FIND")</f>
        <v>319-FIND</v>
      </c>
      <c r="B159" s="7" t="str">
        <f>IFERROR(__xludf.DUMMYFUNCTION("""COMPUTED_VALUE"""),"Leveraging Unit Language Guidance to Advance Speech Modeling in Textless Speech-to-Speech Translation")</f>
        <v>Leveraging Unit Language Guidance to Advance Speech Modeling in Textless Speech-to-Speech Translation</v>
      </c>
      <c r="C159" s="7" t="str">
        <f>IFERROR(__xludf.DUMMYFUNCTION("""COMPUTED_VALUE"""),"The success of building textless speech-to-speech translation (S2ST) models has attracted much attention. However, S2ST still faces two main challenges: 1) extracting linguistic features for various speech signals, called cross-modal (CM), and 2) learning"&amp;" alignment of difference languages in long sequences, called cross-lingual (CL). We propose the unit language to overcome the two modeling challenges. The unit language can be considered a text-like representation format, constructed using n-gram language"&amp;" modeling. We implement multi-task learning to utilize the unit language in guiding the speech modeling process. Our initial results reveal a conflict when applying source and target unit languages simultaneously. We propose task prompt modeling to mitiga"&amp;"te this conflict. We conduct experiments on four languages of the Voxpupil dataset. Our method demonstrates significant improvements over a strong baseline and achieves performance comparable to models trained with text.")</f>
        <v>The success of building textless speech-to-speech translation (S2ST) models has attracted much attention. However, S2ST still faces two main challenges: 1) extracting linguistic features for various speech signals, called cross-modal (CM), and 2) learning alignment of difference languages in long sequences, called cross-lingual (CL). We propose the unit language to overcome the two modeling challenges. The unit language can be considered a text-like representation format, constructed using n-gram language modeling. We implement multi-task learning to utilize the unit language in guiding the speech modeling process. Our initial results reveal a conflict when applying source and target unit languages simultaneously. We propose task prompt modeling to mitigate this conflict. We conduct experiments on four languages of the Voxpupil dataset. Our method demonstrates significant improvements over a strong baseline and achieves performance comparable to models trained with text.</v>
      </c>
      <c r="D159" s="7" t="str">
        <f>IFERROR(__xludf.DUMMYFUNCTION("""COMPUTED_VALUE"""),"Yuhao Zhang")</f>
        <v>Yuhao Zhang</v>
      </c>
      <c r="E159" s="7" t="str">
        <f>IFERROR(__xludf.DUMMYFUNCTION("""COMPUTED_VALUE"""),"Yes")</f>
        <v>Yes</v>
      </c>
      <c r="F159" s="7" t="str">
        <f>IFERROR(__xludf.DUMMYFUNCTION("""COMPUTED_VALUE"""),"IP-Poster")</f>
        <v>IP-Poster</v>
      </c>
      <c r="G159" s="7" t="str">
        <f>IFERROR(__xludf.DUMMYFUNCTION("""COMPUTED_VALUE"""),"In-Person")</f>
        <v>In-Person</v>
      </c>
      <c r="H159" s="7" t="str">
        <f>IFERROR(__xludf.DUMMYFUNCTION("""COMPUTED_VALUE"""),"Hall 4/5")</f>
        <v>Hall 4/5</v>
      </c>
      <c r="I159" s="7" t="str">
        <f>IFERROR(__xludf.DUMMYFUNCTION("""COMPUTED_VALUE"""),"Session 5 :IP-Posters Find ")</f>
        <v>Session 5 :IP-Posters Find </v>
      </c>
      <c r="J159" s="7" t="str">
        <f>IFERROR(__xludf.DUMMYFUNCTION("""COMPUTED_VALUE"""),"Findings Posters - In-Person 1")</f>
        <v>Findings Posters - In-Person 1</v>
      </c>
      <c r="K159" s="7"/>
      <c r="L159" s="8">
        <f>IFERROR(__xludf.DUMMYFUNCTION("""COMPUTED_VALUE"""),45866.0)</f>
        <v>45866</v>
      </c>
      <c r="M159" s="7" t="str">
        <f>IFERROR(__xludf.DUMMYFUNCTION("""COMPUTED_VALUE"""),"18:00-19:30")</f>
        <v>18:00-19:30</v>
      </c>
      <c r="N159" s="7"/>
    </row>
    <row r="160">
      <c r="A160" s="7" t="str">
        <f>IFERROR(__xludf.DUMMYFUNCTION("""COMPUTED_VALUE"""),"320-FIND")</f>
        <v>320-FIND</v>
      </c>
      <c r="B160" s="7" t="str">
        <f>IFERROR(__xludf.DUMMYFUNCTION("""COMPUTED_VALUE"""),"Ponder &amp; Press: Advancing Visual GUI Agent towards General Computer Control")</f>
        <v>Ponder &amp; Press: Advancing Visual GUI Agent towards General Computer Control</v>
      </c>
      <c r="C160" s="7" t="str">
        <f>IFERROR(__xludf.DUMMYFUNCTION("""COMPUTED_VALUE"""),"Most existing GUI agents typically depend on non-vision inputs like HTML source code or accessibility trees, limiting flexibility across diverse software environments and platforms. Current multimodal large language models (MLLMs), though excel at using v"&amp;"ision to ground real-world objects, often struggle with accurately localizing GUI elements -- a critical requirement for effective GUI automation -- due to the semantic gap between real-world objects and GUI elements. In this work, we introduce Ponder &amp; P"&amp;"ress, a divide-and-conquer framework for general computer control that uses only visual input. Our approach combines a general-purpose MLLM as an 'interpreter', responsible for translating high-level user instructions into detailed action descriptions, wi"&amp;"th a GUI-specific MLLM as a 'locator' that precisely locates GUI elements for action placement. By leveraging a purely visual input, our agent offers a versatile, human-like interaction paradigm applicable to various applications. Ponder &amp; Press locator o"&amp;"utperforms existing models by +22.5% on the ScreenSpot GUI grounding benchmark. More offline and interactive agent benchmarks across various GUI environments -- including web pages, desktop software, and mobile UIs -- demonstrate that the Ponder &amp; Press f"&amp;"ramework achieves state-of-the-art performance, highlighting the potential of visual GUI agents.")</f>
        <v>Most existing GUI agents typically depend on non-vision inputs like HTML source code or accessibility trees, limiting flexibility across diverse software environments and platforms. Current multimodal large language models (MLLMs), though excel at using vision to ground real-world objects, often struggle with accurately localizing GUI elements -- a critical requirement for effective GUI automation -- due to the semantic gap between real-world objects and GUI elements. In this work, we introduce Ponder &amp; Press, a divide-and-conquer framework for general computer control that uses only visual input. Our approach combines a general-purpose MLLM as an 'interpreter', responsible for translating high-level user instructions into detailed action descriptions, with a GUI-specific MLLM as a 'locator' that precisely locates GUI elements for action placement. By leveraging a purely visual input, our agent offers a versatile, human-like interaction paradigm applicable to various applications. Ponder &amp; Press locator outperforms existing models by +22.5% on the ScreenSpot GUI grounding benchmark. More offline and interactive agent benchmarks across various GUI environments -- including web pages, desktop software, and mobile UIs -- demonstrate that the Ponder &amp; Press framework achieves state-of-the-art performance, highlighting the potential of visual GUI agents.</v>
      </c>
      <c r="D160" s="7" t="str">
        <f>IFERROR(__xludf.DUMMYFUNCTION("""COMPUTED_VALUE"""),"N/A")</f>
        <v>N/A</v>
      </c>
      <c r="E160" s="7" t="str">
        <f>IFERROR(__xludf.DUMMYFUNCTION("""COMPUTED_VALUE"""),"#N/A")</f>
        <v>#N/A</v>
      </c>
      <c r="F160" s="7" t="str">
        <f>IFERROR(__xludf.DUMMYFUNCTION("""COMPUTED_VALUE"""),"Not Pres. ")</f>
        <v>Not Pres. </v>
      </c>
      <c r="G160" s="7" t="str">
        <f>IFERROR(__xludf.DUMMYFUNCTION("""COMPUTED_VALUE"""),"NP Findings Not Presenting ")</f>
        <v>NP Findings Not Presenting </v>
      </c>
      <c r="H160" s="7"/>
      <c r="I160" s="7" t="str">
        <f>IFERROR(__xludf.DUMMYFUNCTION("""COMPUTED_VALUE"""),"NP-Find")</f>
        <v>NP-Find</v>
      </c>
      <c r="J160" s="7"/>
      <c r="K160" s="7"/>
      <c r="L160" s="8"/>
      <c r="M160" s="7"/>
      <c r="N160" s="7"/>
    </row>
    <row r="161">
      <c r="A161" s="7" t="str">
        <f>IFERROR(__xludf.DUMMYFUNCTION("""COMPUTED_VALUE"""),"333-FIND")</f>
        <v>333-FIND</v>
      </c>
      <c r="B161" s="7" t="str">
        <f>IFERROR(__xludf.DUMMYFUNCTION("""COMPUTED_VALUE"""),"LogicGame: Benchmarking Rule-Based Reasoning Abilities of Large Language Models")</f>
        <v>LogicGame: Benchmarking Rule-Based Reasoning Abilities of Large Language Models</v>
      </c>
      <c r="C161" s="7" t="str">
        <f>IFERROR(__xludf.DUMMYFUNCTION("""COMPUTED_VALUE"""),"Large Language Models (LLMs) have demonstrated notable capabilities across various tasks, showcasing complex problem-solving abilities. Understanding and executing complex rules, along with multi-step planning, are fundamental to logical reasoning and cri"&amp;"tical for practical LLM agents and decision-making systems. However, evaluating LLMs as effective rule-based executors and planners remains underexplored. In this paper, we introduce LogicGame, a novel benchmark designed to evaluate the comprehensive rule"&amp;" understanding, execution, and planning capabilities of LLMs. Unlike traditional benchmarks, LogicGame provides diverse games that contain a series of rules with an initial state, requiring models to comprehend and apply predefined regulations to solve pr"&amp;"oblems. We create simulated scenarios in which models execute or plan operations to achieve specific outcomes. These game scenarios are specifically designed to distinguish logical reasoning from mere knowledge by relying exclusively on predefined rules. "&amp;"This separation allows for a pure assessment of rule-based reasoning capabilities. The evaluation considers not only final outcomes but also intermediate steps, providing a comprehensive assessment of model performance. Moreover, these intermediate steps "&amp;"are deterministic and can be automatically verified. LogicGame defines game scenarios with varying difficulty levels, from simple rule applications to complex reasoning chains, in order to offer a precise evaluation of model performance on rule understand"&amp;"ing and multi-step execution. Utilizing LogicGame, we test various LLMs and identify notable shortcomings in their rule-based logical reasoning abilities.")</f>
        <v>Large Language Models (LLMs) have demonstrated notable capabilities across various tasks, showcasing complex problem-solving abilities. Understanding and executing complex rules, along with multi-step planning, are fundamental to logical reasoning and critical for practical LLM agents and decision-making systems. However, evaluating LLMs as effective rule-based executors and planners remains underexplored. In this paper, we introduce LogicGame, a novel benchmark designed to evaluate the comprehensive rule understanding, execution, and planning capabilities of LLMs. Unlike traditional benchmarks, LogicGame provides diverse games that contain a series of rules with an initial state, requiring models to comprehend and apply predefined regulations to solve problems. We create simulated scenarios in which models execute or plan operations to achieve specific outcomes. These game scenarios are specifically designed to distinguish logical reasoning from mere knowledge by relying exclusively on predefined rules. This separation allows for a pure assessment of rule-based reasoning capabilities. The evaluation considers not only final outcomes but also intermediate steps, providing a comprehensive assessment of model performance. Moreover, these intermediate steps are deterministic and can be automatically verified. LogicGame defines game scenarios with varying difficulty levels, from simple rule applications to complex reasoning chains, in order to offer a precise evaluation of model performance on rule understanding and multi-step execution. Utilizing LogicGame, we test various LLMs and identify notable shortcomings in their rule-based logical reasoning abilities.</v>
      </c>
      <c r="D161" s="7" t="str">
        <f>IFERROR(__xludf.DUMMYFUNCTION("""COMPUTED_VALUE"""),"Jiayi Gui")</f>
        <v>Jiayi Gui</v>
      </c>
      <c r="E161" s="7" t="str">
        <f>IFERROR(__xludf.DUMMYFUNCTION("""COMPUTED_VALUE"""),"Yes")</f>
        <v>Yes</v>
      </c>
      <c r="F161" s="7" t="str">
        <f>IFERROR(__xludf.DUMMYFUNCTION("""COMPUTED_VALUE"""),"V-Presentation")</f>
        <v>V-Presentation</v>
      </c>
      <c r="G161" s="7" t="str">
        <f>IFERROR(__xludf.DUMMYFUNCTION("""COMPUTED_VALUE"""),"Virtual/Gather")</f>
        <v>Virtual/Gather</v>
      </c>
      <c r="H161" s="7" t="str">
        <f>IFERROR(__xludf.DUMMYFUNCTION("""COMPUTED_VALUE"""),"Gather")</f>
        <v>Gather</v>
      </c>
      <c r="I161" s="7" t="str">
        <f>IFERROR(__xludf.DUMMYFUNCTION("""COMPUTED_VALUE"""),"Session5: V-Gather Find")</f>
        <v>Session5: V-Gather Find</v>
      </c>
      <c r="J161" s="7" t="str">
        <f>IFERROR(__xludf.DUMMYFUNCTION("""COMPUTED_VALUE"""),"Findings Posters - Virtual")</f>
        <v>Findings Posters - Virtual</v>
      </c>
      <c r="K161" s="7"/>
      <c r="L161" s="8">
        <f>IFERROR(__xludf.DUMMYFUNCTION("""COMPUTED_VALUE"""),45866.0)</f>
        <v>45866</v>
      </c>
      <c r="M161" s="7" t="str">
        <f>IFERROR(__xludf.DUMMYFUNCTION("""COMPUTED_VALUE"""),"18:00-19:30")</f>
        <v>18:00-19:30</v>
      </c>
      <c r="N161" s="7"/>
    </row>
    <row r="162">
      <c r="A162" s="7" t="str">
        <f>IFERROR(__xludf.DUMMYFUNCTION("""COMPUTED_VALUE"""),"341-FIND")</f>
        <v>341-FIND</v>
      </c>
      <c r="B162" s="7" t="str">
        <f>IFERROR(__xludf.DUMMYFUNCTION("""COMPUTED_VALUE"""),"LLM-Based Multi-Agent Systems are Scalable Graph Generative Models")</f>
        <v>LLM-Based Multi-Agent Systems are Scalable Graph Generative Models</v>
      </c>
      <c r="C162" s="7" t="str">
        <f>IFERROR(__xludf.DUMMYFUNCTION("""COMPUTED_VALUE"""),"The structural properties of naturally arising social graphs are extensively studied to understand their evolution. Prior approaches for modeling network dynamics typically rely on rule-based models, which lack realism and generalizability, or deep learni"&amp;"ng-based models, which require large-scale training datasets. As abstract graph representations of entity-wise interactions, social graphs present an opportunity to explore network evolution mechanisms through realistic simulations of human-item interacti"&amp;"ons. Leveraging the pre-trained social consensus knowledge embedded in large language models (LLMs), we present GraphAgent-Generator (GAG), a novel simulation-based framework for dynamic, text-attributed social graph generation. GAG simulates the temporal"&amp;" node and edge generation processes for zero-shot social graph generation. The resulting graphs adhere to seven key macroscopic network properties, achieving an 11\% improvement in microscopic graph structure metrics. Through the node classification bench"&amp;"marking task, we validate that GAG effectively captures the intricate text-structure correlations in graph generation. Furthermore, GAG supports generating graphs with up to nearly 100,000 nodes or 10 million edges through large-scale LLM-based agent simu"&amp;"lation with parallel acceleration, achieving a minimum speed-up of 90.4%. The source code is available at https://github.com/Ji-Cather/GraphAgent.")</f>
        <v>The structural properties of naturally arising social graphs are extensively studied to understand their evolution. Prior approaches for modeling network dynamics typically rely on rule-based models, which lack realism and generalizability, or deep learning-based models, which require large-scale training datasets. As abstract graph representations of entity-wise interactions, social graphs present an opportunity to explore network evolution mechanisms through realistic simulations of human-item interactions. Leveraging the pre-trained social consensus knowledge embedded in large language models (LLMs), we present GraphAgent-Generator (GAG), a novel simulation-based framework for dynamic, text-attributed social graph generation. GAG simulates the temporal node and edge generation processes for zero-shot social graph generation. The resulting graphs adhere to seven key macroscopic network properties, achieving an 11\% improvement in microscopic graph structure metrics. Through the node classification benchmarking task, we validate that GAG effectively captures the intricate text-structure correlations in graph generation. Furthermore, GAG supports generating graphs with up to nearly 100,000 nodes or 10 million edges through large-scale LLM-based agent simulation with parallel acceleration, achieving a minimum speed-up of 90.4%. The source code is available at https://github.com/Ji-Cather/GraphAgent.</v>
      </c>
      <c r="D162" s="7" t="str">
        <f>IFERROR(__xludf.DUMMYFUNCTION("""COMPUTED_VALUE"""),"Jiarui Ji")</f>
        <v>Jiarui Ji</v>
      </c>
      <c r="E162" s="7" t="str">
        <f>IFERROR(__xludf.DUMMYFUNCTION("""COMPUTED_VALUE"""),"Yes")</f>
        <v>Yes</v>
      </c>
      <c r="F162" s="7" t="str">
        <f>IFERROR(__xludf.DUMMYFUNCTION("""COMPUTED_VALUE"""),"IP-Poster")</f>
        <v>IP-Poster</v>
      </c>
      <c r="G162" s="7" t="str">
        <f>IFERROR(__xludf.DUMMYFUNCTION("""COMPUTED_VALUE"""),"In-Person")</f>
        <v>In-Person</v>
      </c>
      <c r="H162" s="7" t="str">
        <f>IFERROR(__xludf.DUMMYFUNCTION("""COMPUTED_VALUE"""),"Hall 4/5")</f>
        <v>Hall 4/5</v>
      </c>
      <c r="I162" s="7" t="str">
        <f>IFERROR(__xludf.DUMMYFUNCTION("""COMPUTED_VALUE"""),"Session 5 :IP-Posters Find ")</f>
        <v>Session 5 :IP-Posters Find </v>
      </c>
      <c r="J162" s="7" t="str">
        <f>IFERROR(__xludf.DUMMYFUNCTION("""COMPUTED_VALUE"""),"Findings Posters - In-Person 1")</f>
        <v>Findings Posters - In-Person 1</v>
      </c>
      <c r="K162" s="7"/>
      <c r="L162" s="8">
        <f>IFERROR(__xludf.DUMMYFUNCTION("""COMPUTED_VALUE"""),45866.0)</f>
        <v>45866</v>
      </c>
      <c r="M162" s="7" t="str">
        <f>IFERROR(__xludf.DUMMYFUNCTION("""COMPUTED_VALUE"""),"18:00-19:30")</f>
        <v>18:00-19:30</v>
      </c>
      <c r="N162" s="7"/>
    </row>
    <row r="163">
      <c r="A163" s="7" t="str">
        <f>IFERROR(__xludf.DUMMYFUNCTION("""COMPUTED_VALUE"""),"344-FIND")</f>
        <v>344-FIND</v>
      </c>
      <c r="B163" s="7" t="str">
        <f>IFERROR(__xludf.DUMMYFUNCTION("""COMPUTED_VALUE"""),"AD-LLM: Benchmarking Large Language Models for Anomaly Detection")</f>
        <v>AD-LLM: Benchmarking Large Language Models for Anomaly Detection</v>
      </c>
      <c r="C163" s="7" t="str">
        <f>IFERROR(__xludf.DUMMYFUNCTION("""COMPUTED_VALUE"""),"Anomaly detection (AD) is an important machine learning task with many real-world uses, including fraud detection, medical diagnosis, and industrial monitoring. Within natural language processing (NLP), AD helps detect issues like spam, misinformation, an"&amp;"d unusual user activity. Although large language models (LLMs) have had a strong impact on tasks such as text generation and summarization, their potential in AD has not been studied enough. This paper introduces AD-LLM, the first benchmark that evaluates"&amp;" how LLMs can help with NLP anomaly detection. We examine three key tasks: (i) zero-shot detection, using LLMs' pre-trained knowledge to perform AD without tasks-specific training; (ii) data augmentation, generating synthetic data and category description"&amp;"s to improve AD models; and (iii) model selection, using LLMs to suggest unsupervised AD models. Through experiments with different datasets, we find that LLMs can work well in zero-shot AD, that carefully designed augmentation methods are useful, and tha"&amp;"t explaining model selection for specific datasets remains challenging. Based on these results, we outline six future research directions on LLMs for AD.")</f>
        <v>Anomaly detection (AD) is an important machine learning task with many real-world uses, including fraud detection, medical diagnosis, and industrial monitoring. Within natural language processing (NLP), AD helps detect issues like spam, misinformation, and unusual user activity. Although large language models (LLMs) have had a strong impact on tasks such as text generation and summarization, their potential in AD has not been studied enough. This paper introduces AD-LLM, the first benchmark that evaluates how LLMs can help with NLP anomaly detection. We examine three key tasks: (i) zero-shot detection, using LLMs' pre-trained knowledge to perform AD without tasks-specific training; (ii) data augmentation, generating synthetic data and category descriptions to improve AD models; and (iii) model selection, using LLMs to suggest unsupervised AD models. Through experiments with different datasets, we find that LLMs can work well in zero-shot AD, that carefully designed augmentation methods are useful, and that explaining model selection for specific datasets remains challenging. Based on these results, we outline six future research directions on LLMs for AD.</v>
      </c>
      <c r="D163" s="7" t="str">
        <f>IFERROR(__xludf.DUMMYFUNCTION("""COMPUTED_VALUE"""),"Tiankai Yang")</f>
        <v>Tiankai Yang</v>
      </c>
      <c r="E163" s="7" t="str">
        <f>IFERROR(__xludf.DUMMYFUNCTION("""COMPUTED_VALUE"""),"Yes")</f>
        <v>Yes</v>
      </c>
      <c r="F163" s="7" t="str">
        <f>IFERROR(__xludf.DUMMYFUNCTION("""COMPUTED_VALUE"""),"IP-Poster")</f>
        <v>IP-Poster</v>
      </c>
      <c r="G163" s="7" t="str">
        <f>IFERROR(__xludf.DUMMYFUNCTION("""COMPUTED_VALUE"""),"In-Person")</f>
        <v>In-Person</v>
      </c>
      <c r="H163" s="7" t="str">
        <f>IFERROR(__xludf.DUMMYFUNCTION("""COMPUTED_VALUE"""),"Hall 4/5")</f>
        <v>Hall 4/5</v>
      </c>
      <c r="I163" s="7" t="str">
        <f>IFERROR(__xludf.DUMMYFUNCTION("""COMPUTED_VALUE"""),"Session 5 :IP-Posters Find ")</f>
        <v>Session 5 :IP-Posters Find </v>
      </c>
      <c r="J163" s="7" t="str">
        <f>IFERROR(__xludf.DUMMYFUNCTION("""COMPUTED_VALUE"""),"Findings Posters - In-Person 1")</f>
        <v>Findings Posters - In-Person 1</v>
      </c>
      <c r="K163" s="7"/>
      <c r="L163" s="8">
        <f>IFERROR(__xludf.DUMMYFUNCTION("""COMPUTED_VALUE"""),45866.0)</f>
        <v>45866</v>
      </c>
      <c r="M163" s="7" t="str">
        <f>IFERROR(__xludf.DUMMYFUNCTION("""COMPUTED_VALUE"""),"18:00-19:30")</f>
        <v>18:00-19:30</v>
      </c>
      <c r="N163" s="7"/>
    </row>
    <row r="164">
      <c r="A164" s="7" t="str">
        <f>IFERROR(__xludf.DUMMYFUNCTION("""COMPUTED_VALUE"""),"346-FIND")</f>
        <v>346-FIND</v>
      </c>
      <c r="B164" s="7" t="str">
        <f>IFERROR(__xludf.DUMMYFUNCTION("""COMPUTED_VALUE"""),"RTADev: Intention Aligned Multi-Agent Framework for Software Development")</f>
        <v>RTADev: Intention Aligned Multi-Agent Framework for Software Development</v>
      </c>
      <c r="C164" s="7" t="str">
        <f>IFERROR(__xludf.DUMMYFUNCTION("""COMPUTED_VALUE"""),"LLM-based Multi-agent frameworks have shown a great potential in solving real-world software development tasks, where the agents of different roles can communicate much more efficiently than humans. Despite their efficiency, LLM-based agents can hardly fu"&amp;"lly understand each other, which frequently causes errors during the development process. Moreover, the accumulation of errors could easily lead to the failure of the whole project. In order to reduce such errors, we introduce an intention aligned multi-a"&amp;"gent framework RTADev, which utilizes a self-correction mechanism to ensure that all agents work based on a consensus. RTADev mimics human teams where individuals are free to start meetings anytime for reaching agreement. Specifically, RTADev integrates a"&amp;"n alignment checking phase and a conditional ad hoc group review phase, so that the errors can be effectively reduced with minimum agent communications. Our experiments on various software development tasks show that RTADev significantly improves the qual"&amp;"ity of generated software code in terms of executability, structural and functional completeness. The code of our project is available at https://github.com/codeagent-rl/RTADev.")</f>
        <v>LLM-based Multi-agent frameworks have shown a great potential in solving real-world software development tasks, where the agents of different roles can communicate much more efficiently than humans. Despite their efficiency, LLM-based agents can hardly fully understand each other, which frequently causes errors during the development process. Moreover, the accumulation of errors could easily lead to the failure of the whole project. In order to reduce such errors, we introduce an intention aligned multi-agent framework RTADev, which utilizes a self-correction mechanism to ensure that all agents work based on a consensus. RTADev mimics human teams where individuals are free to start meetings anytime for reaching agreement. Specifically, RTADev integrates an alignment checking phase and a conditional ad hoc group review phase, so that the errors can be effectively reduced with minimum agent communications. Our experiments on various software development tasks show that RTADev significantly improves the quality of generated software code in terms of executability, structural and functional completeness. The code of our project is available at https://github.com/codeagent-rl/RTADev.</v>
      </c>
      <c r="D164" s="7" t="str">
        <f>IFERROR(__xludf.DUMMYFUNCTION("""COMPUTED_VALUE"""),"Jie Liu")</f>
        <v>Jie Liu</v>
      </c>
      <c r="E164" s="7" t="str">
        <f>IFERROR(__xludf.DUMMYFUNCTION("""COMPUTED_VALUE"""),"#N/A")</f>
        <v>#N/A</v>
      </c>
      <c r="F164" s="7" t="str">
        <f>IFERROR(__xludf.DUMMYFUNCTION("""COMPUTED_VALUE"""),"Not Pres. ")</f>
        <v>Not Pres. </v>
      </c>
      <c r="G164" s="7" t="str">
        <f>IFERROR(__xludf.DUMMYFUNCTION("""COMPUTED_VALUE"""),"NP Findings Not Presenting ")</f>
        <v>NP Findings Not Presenting </v>
      </c>
      <c r="H164" s="7"/>
      <c r="I164" s="7" t="str">
        <f>IFERROR(__xludf.DUMMYFUNCTION("""COMPUTED_VALUE"""),"NP-Find")</f>
        <v>NP-Find</v>
      </c>
      <c r="J164" s="7"/>
      <c r="K164" s="7"/>
      <c r="L164" s="8"/>
      <c r="M164" s="7"/>
      <c r="N164" s="7"/>
    </row>
    <row r="165">
      <c r="A165" s="7" t="str">
        <f>IFERROR(__xludf.DUMMYFUNCTION("""COMPUTED_VALUE"""),"348-FIND")</f>
        <v>348-FIND</v>
      </c>
      <c r="B165" s="7" t="str">
        <f>IFERROR(__xludf.DUMMYFUNCTION("""COMPUTED_VALUE"""),"TACO-RL: Task Aware Prompt Compression Optimization with Reinforcement Learning")</f>
        <v>TACO-RL: Task Aware Prompt Compression Optimization with Reinforcement Learning</v>
      </c>
      <c r="C165" s="7" t="str">
        <f>IFERROR(__xludf.DUMMYFUNCTION("""COMPUTED_VALUE"""),"The increasing prevalence of large language models (LLMs) such as GPT-4 in various applications has led to a surge in the size of prompts required for optimal performance, leading to challenges in computational efficiency. Prompt compression aims to reduc"&amp;"e the inference cost by minimizing input tokens without compromising on the task performance. However, existing prompt compression techniques either rely on sub-optimal metrics such as information entropy or model it as a task-agnostic token classificatio"&amp;"n problem that fails to capture task-specific information.
To address these issues, we propose a novel and efficient reinforcement learning (RL) based task-aware prompt compression method. To ensure low latency requirements, we leverage existing Transfor"&amp;"mer encoder-based token classification model while guiding the learning process with task-specific reward signals using lightweight REINFORCE algorithm. We evaluate the performance of our method on three diverse and challenging tasks including text summar"&amp;"ization, question answering and code summarization. We demonstrate that our RL-guided compression method improves the task performance by 8% - 189% across these three scenarios over state-of-the-art compression techniques while satisfying the same compres"&amp;"sion rate and latency requirements.")</f>
        <v>The increasing prevalence of large language models (LLMs) such as GPT-4 in various applications has led to a surge in the size of prompts required for optimal performance, leading to challenges in computational efficiency. Prompt compression aims to reduce the inference cost by minimizing input tokens without compromising on the task performance. However, existing prompt compression techniques either rely on sub-optimal metrics such as information entropy or model it as a task-agnostic token classification problem that fails to capture task-specific information.
To address these issues, we propose a novel and efficient reinforcement learning (RL) based task-aware prompt compression method. To ensure low latency requirements, we leverage existing Transformer encoder-based token classification model while guiding the learning process with task-specific reward signals using lightweight REINFORCE algorithm. We evaluate the performance of our method on three diverse and challenging tasks including text summarization, question answering and code summarization. We demonstrate that our RL-guided compression method improves the task performance by 8% - 189% across these three scenarios over state-of-the-art compression techniques while satisfying the same compression rate and latency requirements.</v>
      </c>
      <c r="D165" s="7" t="str">
        <f>IFERROR(__xludf.DUMMYFUNCTION("""COMPUTED_VALUE"""),"Shivam Shandilya")</f>
        <v>Shivam Shandilya</v>
      </c>
      <c r="E165" s="7" t="str">
        <f>IFERROR(__xludf.DUMMYFUNCTION("""COMPUTED_VALUE"""),"#N/A")</f>
        <v>#N/A</v>
      </c>
      <c r="F165" s="7" t="str">
        <f>IFERROR(__xludf.DUMMYFUNCTION("""COMPUTED_VALUE"""),"Not Pres. ")</f>
        <v>Not Pres. </v>
      </c>
      <c r="G165" s="7" t="str">
        <f>IFERROR(__xludf.DUMMYFUNCTION("""COMPUTED_VALUE"""),"NP Findings Not Presenting ")</f>
        <v>NP Findings Not Presenting </v>
      </c>
      <c r="H165" s="7"/>
      <c r="I165" s="7" t="str">
        <f>IFERROR(__xludf.DUMMYFUNCTION("""COMPUTED_VALUE"""),"NP-Find")</f>
        <v>NP-Find</v>
      </c>
      <c r="J165" s="7"/>
      <c r="K165" s="7"/>
      <c r="L165" s="8"/>
      <c r="M165" s="7"/>
      <c r="N165" s="7"/>
    </row>
    <row r="166">
      <c r="A166" s="7" t="str">
        <f>IFERROR(__xludf.DUMMYFUNCTION("""COMPUTED_VALUE"""),"351-FIND")</f>
        <v>351-FIND</v>
      </c>
      <c r="B166" s="7" t="str">
        <f>IFERROR(__xludf.DUMMYFUNCTION("""COMPUTED_VALUE"""),"A Character-Centric Creative Story Generation via Imagination")</f>
        <v>A Character-Centric Creative Story Generation via Imagination</v>
      </c>
      <c r="C166" s="7" t="str">
        <f>IFERROR(__xludf.DUMMYFUNCTION("""COMPUTED_VALUE"""),"Creative story generation has long been a goal of NLP research. While existing methodologies have aimed to generate long and coherent stories, they fall significantly short of human capabilities in terms of diversity and character depth. To address this, "&amp;"we introduce a novel story generation framework called CCI (Character-centric Creative story generation via Imagination). CCI features two modules for creative story generation: IG (Image-Guided Imagination) and MW (Multi-Writer model). In the IG module, "&amp;"we utilize a text-to-image model to create visual representations of key story elements, such as characters, backgrounds, and main plots, in a more novel and concrete manner than text-only approaches. The MW module uses these story elements to generate mu"&amp;"ltiple persona-description candidates and selects the best one to insert into the story, thereby enhancing the richness and depth of the narrative. We compared the stories generated by CCI and baseline models through statistical analysis, as well as human"&amp;" and LLM evaluations. The results showed that the IG and MW modules significantly improve various aspects of the stories' creativity. Furthermore, our framework enables interactive multi-modal story generation with users, opening up new possibilities for "&amp;"human-LLM integration in cultural development. Project page : https://www.2024cci.p-e.kr/")</f>
        <v>Creative story generation has long been a goal of NLP research. While existing methodologies have aimed to generate long and coherent stories, they fall significantly short of human capabilities in terms of diversity and character depth. To address this, we introduce a novel story generation framework called CCI (Character-centric Creative story generation via Imagination). CCI features two modules for creative story generation: IG (Image-Guided Imagination) and MW (Multi-Writer model). In the IG module, we utilize a text-to-image model to create visual representations of key story elements, such as characters, backgrounds, and main plots, in a more novel and concrete manner than text-only approaches. The MW module uses these story elements to generate multiple persona-description candidates and selects the best one to insert into the story, thereby enhancing the richness and depth of the narrative. We compared the stories generated by CCI and baseline models through statistical analysis, as well as human and LLM evaluations. The results showed that the IG and MW modules significantly improve various aspects of the stories' creativity. Furthermore, our framework enables interactive multi-modal story generation with users, opening up new possibilities for human-LLM integration in cultural development. Project page : https://www.2024cci.p-e.kr/</v>
      </c>
      <c r="D166" s="7" t="str">
        <f>IFERROR(__xludf.DUMMYFUNCTION("""COMPUTED_VALUE"""),"Kyeongman Park")</f>
        <v>Kyeongman Park</v>
      </c>
      <c r="E166" s="7" t="str">
        <f>IFERROR(__xludf.DUMMYFUNCTION("""COMPUTED_VALUE"""),"Yes")</f>
        <v>Yes</v>
      </c>
      <c r="F166" s="7" t="str">
        <f>IFERROR(__xludf.DUMMYFUNCTION("""COMPUTED_VALUE"""),"IP-Poster")</f>
        <v>IP-Poster</v>
      </c>
      <c r="G166" s="7" t="str">
        <f>IFERROR(__xludf.DUMMYFUNCTION("""COMPUTED_VALUE"""),"In-Person")</f>
        <v>In-Person</v>
      </c>
      <c r="H166" s="7" t="str">
        <f>IFERROR(__xludf.DUMMYFUNCTION("""COMPUTED_VALUE"""),"Hall 4/5")</f>
        <v>Hall 4/5</v>
      </c>
      <c r="I166" s="7" t="str">
        <f>IFERROR(__xludf.DUMMYFUNCTION("""COMPUTED_VALUE"""),"Session 5 :IP-Posters Find ")</f>
        <v>Session 5 :IP-Posters Find </v>
      </c>
      <c r="J166" s="7" t="str">
        <f>IFERROR(__xludf.DUMMYFUNCTION("""COMPUTED_VALUE"""),"Findings Posters - In-Person 1")</f>
        <v>Findings Posters - In-Person 1</v>
      </c>
      <c r="K166" s="7"/>
      <c r="L166" s="8">
        <f>IFERROR(__xludf.DUMMYFUNCTION("""COMPUTED_VALUE"""),45866.0)</f>
        <v>45866</v>
      </c>
      <c r="M166" s="7" t="str">
        <f>IFERROR(__xludf.DUMMYFUNCTION("""COMPUTED_VALUE"""),"18:00-19:30")</f>
        <v>18:00-19:30</v>
      </c>
      <c r="N166" s="7"/>
    </row>
    <row r="167">
      <c r="A167" s="7" t="str">
        <f>IFERROR(__xludf.DUMMYFUNCTION("""COMPUTED_VALUE"""),"356-FIND")</f>
        <v>356-FIND</v>
      </c>
      <c r="B167" s="7" t="str">
        <f>IFERROR(__xludf.DUMMYFUNCTION("""COMPUTED_VALUE"""),"Proverbs Run in Pairs: Evaluating Proverb Translation Capability of Large Language Model")</f>
        <v>Proverbs Run in Pairs: Evaluating Proverb Translation Capability of Large Language Model</v>
      </c>
      <c r="C167" s="7" t="str">
        <f>IFERROR(__xludf.DUMMYFUNCTION("""COMPUTED_VALUE"""),"Despite achieving remarkable performance, machine translation (MT) research remains underexplored in terms of translating cultural elements in languages, such as idioms, proverbs, and colloquial expressions. This paper investigates the capability of state"&amp;"-of-the-art neural machine translation (NMT) and large language models (LLMs) in translating proverbs, which are deeply rooted in cultural contexts. We construct a translation dataset of standalone proverbs and proverbs in conversation for four language p"&amp;"airs. Our experiments show that the studied models can achieve good translation between languages with similar cultural backgrounds, and LLMs generally outperform NMT models in proverb translation. Furthermore, we find that current automatic evaluation me"&amp;"trics such as BLEU, CHRF++ and COMET are inadequate for reliably assessing the quality of proverb translation, highlighting the need for more culturally aware evaluation metrics.")</f>
        <v>Despite achieving remarkable performance, machine translation (MT) research remains underexplored in terms of translating cultural elements in languages, such as idioms, proverbs, and colloquial expressions. This paper investigates the capability of state-of-the-art neural machine translation (NMT) and large language models (LLMs) in translating proverbs, which are deeply rooted in cultural contexts. We construct a translation dataset of standalone proverbs and proverbs in conversation for four language pairs. Our experiments show that the studied models can achieve good translation between languages with similar cultural backgrounds, and LLMs generally outperform NMT models in proverb translation. Furthermore, we find that current automatic evaluation metrics such as BLEU, CHRF++ and COMET are inadequate for reliably assessing the quality of proverb translation, highlighting the need for more culturally aware evaluation metrics.</v>
      </c>
      <c r="D167" s="7" t="str">
        <f>IFERROR(__xludf.DUMMYFUNCTION("""COMPUTED_VALUE"""),"Viet-Thanh Pham")</f>
        <v>Viet-Thanh Pham</v>
      </c>
      <c r="E167" s="7" t="str">
        <f>IFERROR(__xludf.DUMMYFUNCTION("""COMPUTED_VALUE"""),"Yes")</f>
        <v>Yes</v>
      </c>
      <c r="F167" s="7" t="str">
        <f>IFERROR(__xludf.DUMMYFUNCTION("""COMPUTED_VALUE"""),"IP-Poster")</f>
        <v>IP-Poster</v>
      </c>
      <c r="G167" s="7" t="str">
        <f>IFERROR(__xludf.DUMMYFUNCTION("""COMPUTED_VALUE"""),"In-Person")</f>
        <v>In-Person</v>
      </c>
      <c r="H167" s="7" t="str">
        <f>IFERROR(__xludf.DUMMYFUNCTION("""COMPUTED_VALUE"""),"Hall 4/5")</f>
        <v>Hall 4/5</v>
      </c>
      <c r="I167" s="7" t="str">
        <f>IFERROR(__xludf.DUMMYFUNCTION("""COMPUTED_VALUE"""),"Session 5 :IP-Posters Find ")</f>
        <v>Session 5 :IP-Posters Find </v>
      </c>
      <c r="J167" s="7" t="str">
        <f>IFERROR(__xludf.DUMMYFUNCTION("""COMPUTED_VALUE"""),"Findings Posters - In-Person 1")</f>
        <v>Findings Posters - In-Person 1</v>
      </c>
      <c r="K167" s="7"/>
      <c r="L167" s="8">
        <f>IFERROR(__xludf.DUMMYFUNCTION("""COMPUTED_VALUE"""),45866.0)</f>
        <v>45866</v>
      </c>
      <c r="M167" s="7" t="str">
        <f>IFERROR(__xludf.DUMMYFUNCTION("""COMPUTED_VALUE"""),"18:00-19:30")</f>
        <v>18:00-19:30</v>
      </c>
      <c r="N167" s="7"/>
    </row>
    <row r="168">
      <c r="A168" s="7" t="str">
        <f>IFERROR(__xludf.DUMMYFUNCTION("""COMPUTED_VALUE"""),"360-FIND")</f>
        <v>360-FIND</v>
      </c>
      <c r="B168" s="7" t="str">
        <f>IFERROR(__xludf.DUMMYFUNCTION("""COMPUTED_VALUE"""),"Towards Efficient LLM Grounding for Embodied Multi-Agent Collaboration")</f>
        <v>Towards Efficient LLM Grounding for Embodied Multi-Agent Collaboration</v>
      </c>
      <c r="C168" s="7" t="str">
        <f>IFERROR(__xludf.DUMMYFUNCTION("""COMPUTED_VALUE"""),"Grounding the reasoning ability of large language models (LLMs) for embodied tasks is challenging due to the complexity of the physical world. Especially, LLM planning for multi-agent collaboration requires communication of agents or credit assignment as "&amp;"the feedback to re-adjust the proposed plans and achieve effective coordination. However, existing methods that overly rely on physical verification or self-reflection suffer from excessive and inefficient querying of LLMs. In this paper, we propose a nov"&amp;"el framework for multi-agent collaboration that introduces Reinforced Advantage feedback (ReAd) for efficient self-refinement of plans. Specifically, we perform critic regression to learn a sequential advantage function from LLM-planned data, and then tre"&amp;"at the LLM planner as an optimizer to generate actions that maximize the advantage function. It endows the LLM with the foresight to discern whether the action contributes to accomplishing the final task. We provide theoretical analysis by extending advan"&amp;"tage-weighted regression in reinforcement learning to multi-agent systems. Experiments on Overcooked-AI and a difficult variant of RoCoBench show that ReAd surpasses baselines in success rate, and also significantly decreases the interaction steps of agen"&amp;"ts and query rounds of LLMs, demonstrating its high efficiency for grounding LLMs. More results are given at https://read-llm.github.io/.")</f>
        <v>Grounding the reasoning ability of large language models (LLMs) for embodied tasks is challenging due to the complexity of the physical world. Especially, LLM planning for multi-agent collaboration requires communication of agents or credit assignment as the feedback to re-adjust the proposed plans and achieve effective coordination. However, existing methods that overly rely on physical verification or self-reflection suffer from excessive and inefficient querying of LLMs. In this paper, we propose a novel framework for multi-agent collaboration that introduces Reinforced Advantage feedback (ReAd) for efficient self-refinement of plans. Specifically, we perform critic regression to learn a sequential advantage function from LLM-planned data, and then treat the LLM planner as an optimizer to generate actions that maximize the advantage function. It endows the LLM with the foresight to discern whether the action contributes to accomplishing the final task. We provide theoretical analysis by extending advantage-weighted regression in reinforcement learning to multi-agent systems. Experiments on Overcooked-AI and a difficult variant of RoCoBench show that ReAd surpasses baselines in success rate, and also significantly decreases the interaction steps of agents and query rounds of LLMs, demonstrating its high efficiency for grounding LLMs. More results are given at https://read-llm.github.io/.</v>
      </c>
      <c r="D168" s="7" t="str">
        <f>IFERROR(__xludf.DUMMYFUNCTION("""COMPUTED_VALUE"""),"Yang Zhang")</f>
        <v>Yang Zhang</v>
      </c>
      <c r="E168" s="7" t="str">
        <f>IFERROR(__xludf.DUMMYFUNCTION("""COMPUTED_VALUE"""),"Yes")</f>
        <v>Yes</v>
      </c>
      <c r="F168" s="7" t="str">
        <f>IFERROR(__xludf.DUMMYFUNCTION("""COMPUTED_VALUE"""),"V-Presentation")</f>
        <v>V-Presentation</v>
      </c>
      <c r="G168" s="7" t="str">
        <f>IFERROR(__xludf.DUMMYFUNCTION("""COMPUTED_VALUE"""),"Virtual/Gather")</f>
        <v>Virtual/Gather</v>
      </c>
      <c r="H168" s="7" t="str">
        <f>IFERROR(__xludf.DUMMYFUNCTION("""COMPUTED_VALUE"""),"Gather")</f>
        <v>Gather</v>
      </c>
      <c r="I168" s="7" t="str">
        <f>IFERROR(__xludf.DUMMYFUNCTION("""COMPUTED_VALUE"""),"Session5: V-Gather Find")</f>
        <v>Session5: V-Gather Find</v>
      </c>
      <c r="J168" s="7" t="str">
        <f>IFERROR(__xludf.DUMMYFUNCTION("""COMPUTED_VALUE"""),"Findings Posters - Virtual")</f>
        <v>Findings Posters - Virtual</v>
      </c>
      <c r="K168" s="7"/>
      <c r="L168" s="8">
        <f>IFERROR(__xludf.DUMMYFUNCTION("""COMPUTED_VALUE"""),45866.0)</f>
        <v>45866</v>
      </c>
      <c r="M168" s="7" t="str">
        <f>IFERROR(__xludf.DUMMYFUNCTION("""COMPUTED_VALUE"""),"18:00-19:30")</f>
        <v>18:00-19:30</v>
      </c>
      <c r="N168" s="7"/>
    </row>
    <row r="169">
      <c r="A169" s="7" t="str">
        <f>IFERROR(__xludf.DUMMYFUNCTION("""COMPUTED_VALUE"""),"368-FIND")</f>
        <v>368-FIND</v>
      </c>
      <c r="B169" s="7" t="str">
        <f>IFERROR(__xludf.DUMMYFUNCTION("""COMPUTED_VALUE"""),"Evaluating LLMs' Factual Knowledge Utilization on Unanswerable Questions")</f>
        <v>Evaluating LLMs' Factual Knowledge Utilization on Unanswerable Questions</v>
      </c>
      <c r="C169" s="7" t="str">
        <f>IFERROR(__xludf.DUMMYFUNCTION("""COMPUTED_VALUE"""),"Handling unanswerable questions (UAQ) is crucial for LLMs, as it helps prevent misleading responses in complex situations. While previous studies have built several datasets to assess LLMs' performance on UAQ, these datasets lack factual knowledge support"&amp;", which limits the evaluation of LLMs' ability to utilize their factual knowledge when handling UAQ. 
To address the limitation, we introduce a new unanswerable question dataset FUAQ, a bilingual dataset with auxiliary factual knowledge created from a Kno"&amp;"wledge Graph. Based on FUAQ, we further define two new tasks to measure LLMs' ability to utilize internal and external factual knowledge, respectively.
Our experimental results across multiple LLM series show that FUAQ presents significant challenges, as "&amp;"LLMs do not consistently perform well even when they have factual knowledge stored. 
Additionally, we find that incorporating external knowledge may enhance performance, but LLMs still cannot make full use of the knowledge which may result in incorrect re"&amp;"sponses.")</f>
        <v>Handling unanswerable questions (UAQ) is crucial for LLMs, as it helps prevent misleading responses in complex situations. While previous studies have built several datasets to assess LLMs' performance on UAQ, these datasets lack factual knowledge support, which limits the evaluation of LLMs' ability to utilize their factual knowledge when handling UAQ. 
To address the limitation, we introduce a new unanswerable question dataset FUAQ, a bilingual dataset with auxiliary factual knowledge created from a Knowledge Graph. Based on FUAQ, we further define two new tasks to measure LLMs' ability to utilize internal and external factual knowledge, respectively.
Our experimental results across multiple LLM series show that FUAQ presents significant challenges, as LLMs do not consistently perform well even when they have factual knowledge stored. 
Additionally, we find that incorporating external knowledge may enhance performance, but LLMs still cannot make full use of the knowledge which may result in incorrect responses.</v>
      </c>
      <c r="D169" s="7" t="str">
        <f>IFERROR(__xludf.DUMMYFUNCTION("""COMPUTED_VALUE"""),"Chuanyuan Tan")</f>
        <v>Chuanyuan Tan</v>
      </c>
      <c r="E169" s="7" t="str">
        <f>IFERROR(__xludf.DUMMYFUNCTION("""COMPUTED_VALUE"""),"Yes")</f>
        <v>Yes</v>
      </c>
      <c r="F169" s="7" t="str">
        <f>IFERROR(__xludf.DUMMYFUNCTION("""COMPUTED_VALUE"""),"IP-Poster")</f>
        <v>IP-Poster</v>
      </c>
      <c r="G169" s="7" t="str">
        <f>IFERROR(__xludf.DUMMYFUNCTION("""COMPUTED_VALUE"""),"In-Person")</f>
        <v>In-Person</v>
      </c>
      <c r="H169" s="7" t="str">
        <f>IFERROR(__xludf.DUMMYFUNCTION("""COMPUTED_VALUE"""),"Hall 4/5")</f>
        <v>Hall 4/5</v>
      </c>
      <c r="I169" s="7" t="str">
        <f>IFERROR(__xludf.DUMMYFUNCTION("""COMPUTED_VALUE"""),"Session 5 :IP-Posters Find ")</f>
        <v>Session 5 :IP-Posters Find </v>
      </c>
      <c r="J169" s="7" t="str">
        <f>IFERROR(__xludf.DUMMYFUNCTION("""COMPUTED_VALUE"""),"Findings Posters - In-Person 1")</f>
        <v>Findings Posters - In-Person 1</v>
      </c>
      <c r="K169" s="7"/>
      <c r="L169" s="8">
        <f>IFERROR(__xludf.DUMMYFUNCTION("""COMPUTED_VALUE"""),45866.0)</f>
        <v>45866</v>
      </c>
      <c r="M169" s="7" t="str">
        <f>IFERROR(__xludf.DUMMYFUNCTION("""COMPUTED_VALUE"""),"18:00-19:30")</f>
        <v>18:00-19:30</v>
      </c>
      <c r="N169" s="7"/>
    </row>
    <row r="170">
      <c r="A170" s="7" t="str">
        <f>IFERROR(__xludf.DUMMYFUNCTION("""COMPUTED_VALUE"""),"370-FIND")</f>
        <v>370-FIND</v>
      </c>
      <c r="B170" s="7" t="str">
        <f>IFERROR(__xludf.DUMMYFUNCTION("""COMPUTED_VALUE"""),"Exploring Knowledge Filtering for Retrieval-Augmented Discriminative Tasks")</f>
        <v>Exploring Knowledge Filtering for Retrieval-Augmented Discriminative Tasks</v>
      </c>
      <c r="C170" s="7" t="str">
        <f>IFERROR(__xludf.DUMMYFUNCTION("""COMPUTED_VALUE"""),"Retrieval-augmented methods have achieved remarkable advancements in alleviating the hallucination of large language models.
Nevertheless, the introduction of external knowledge does not always lead to the expected improvement in model performance, as irr"&amp;"elevant or harmful information present in the retrieved knowledge can compromise the prediction process.
To address these challenges, we propose a novel framework aimed at improving model performance by incorporating knowledge filtering and prediction fus"&amp;"ion mechanisms.
In particular, our approach first employs a perplexity-based annotation method to collect training data.
Then, we design four distinct strategies to filter out harmful retrieved knowledge.
Finally, we integrate the filtered knowledge to ge"&amp;"nerate the final result via batch-wise predictions.
We conduct extensive experiments across multiple discriminative task datasets to evaluate the proposed framework.
The results demonstrate that our framework can significantly enhance the performance of m"&amp;"odels on discriminative tasks.")</f>
        <v>Retrieval-augmented methods have achieved remarkable advancements in alleviating the hallucination of large language models.
Nevertheless, the introduction of external knowledge does not always lead to the expected improvement in model performance, as irrelevant or harmful information present in the retrieved knowledge can compromise the prediction process.
To address these challenges, we propose a novel framework aimed at improving model performance by incorporating knowledge filtering and prediction fusion mechanisms.
In particular, our approach first employs a perplexity-based annotation method to collect training data.
Then, we design four distinct strategies to filter out harmful retrieved knowledge.
Finally, we integrate the filtered knowledge to generate the final result via batch-wise predictions.
We conduct extensive experiments across multiple discriminative task datasets to evaluate the proposed framework.
The results demonstrate that our framework can significantly enhance the performance of models on discriminative tasks.</v>
      </c>
      <c r="D170" s="7" t="str">
        <f>IFERROR(__xludf.DUMMYFUNCTION("""COMPUTED_VALUE"""),"N/A")</f>
        <v>N/A</v>
      </c>
      <c r="E170" s="7" t="str">
        <f>IFERROR(__xludf.DUMMYFUNCTION("""COMPUTED_VALUE"""),"#N/A")</f>
        <v>#N/A</v>
      </c>
      <c r="F170" s="7" t="str">
        <f>IFERROR(__xludf.DUMMYFUNCTION("""COMPUTED_VALUE"""),"Not Pres. ")</f>
        <v>Not Pres. </v>
      </c>
      <c r="G170" s="7" t="str">
        <f>IFERROR(__xludf.DUMMYFUNCTION("""COMPUTED_VALUE"""),"NP Findings Not Presenting ")</f>
        <v>NP Findings Not Presenting </v>
      </c>
      <c r="H170" s="7"/>
      <c r="I170" s="7" t="str">
        <f>IFERROR(__xludf.DUMMYFUNCTION("""COMPUTED_VALUE"""),"NP-Find")</f>
        <v>NP-Find</v>
      </c>
      <c r="J170" s="7"/>
      <c r="K170" s="7"/>
      <c r="L170" s="8"/>
      <c r="M170" s="7"/>
      <c r="N170" s="7"/>
    </row>
    <row r="171">
      <c r="A171" s="7" t="str">
        <f>IFERROR(__xludf.DUMMYFUNCTION("""COMPUTED_VALUE"""),"375-FIND")</f>
        <v>375-FIND</v>
      </c>
      <c r="B171" s="7" t="str">
        <f>IFERROR(__xludf.DUMMYFUNCTION("""COMPUTED_VALUE"""),"Group then Scale: Dynamic Mixture-of-Experts Multilingual Language Model")</f>
        <v>Group then Scale: Dynamic Mixture-of-Experts Multilingual Language Model</v>
      </c>
      <c r="C171" s="7" t="str">
        <f>IFERROR(__xludf.DUMMYFUNCTION("""COMPUTED_VALUE"""),"The curse of multilinguality phenomenon is a fundamental problem of multilingual Large Language Models (LLMs), where the competition between massive languages results in inferior performance. It mainly comes from limited capacity and negative transfer bet"&amp;"ween dissimilar languages. To address this issue, we propose a method to dynamically group and scale up the parameters of multilingual LLM while boosting positive transfer among similar languages. Specifically, the model is first tuned on monolingual corp"&amp;"us to determine the parameter deviation in each layer and quantify the similarity between languages. Layers with more deviations are extended to mixture-of-experts layers to reduce competition between languages, where one expert module serves one group of"&amp;" similar languages. Experimental results on 18 to 128 languages show that our method reduces the negative transfer between languages and significantly boosts multilingual performance with fewer parameters. Such language group specialization on experts ben"&amp;"efits the new language adaptation and reduces the inference on the previous multilingual knowledge learned.")</f>
        <v>The curse of multilinguality phenomenon is a fundamental problem of multilingual Large Language Models (LLMs), where the competition between massive languages results in inferior performance. It mainly comes from limited capacity and negative transfer between dissimilar languages. To address this issue, we propose a method to dynamically group and scale up the parameters of multilingual LLM while boosting positive transfer among similar languages. Specifically, the model is first tuned on monolingual corpus to determine the parameter deviation in each layer and quantify the similarity between languages. Layers with more deviations are extended to mixture-of-experts layers to reduce competition between languages, where one expert module serves one group of similar languages. Experimental results on 18 to 128 languages show that our method reduces the negative transfer between languages and significantly boosts multilingual performance with fewer parameters. Such language group specialization on experts benefits the new language adaptation and reduces the inference on the previous multilingual knowledge learned.</v>
      </c>
      <c r="D171" s="7" t="str">
        <f>IFERROR(__xludf.DUMMYFUNCTION("""COMPUTED_VALUE"""),"Chong Li")</f>
        <v>Chong Li</v>
      </c>
      <c r="E171" s="7" t="str">
        <f>IFERROR(__xludf.DUMMYFUNCTION("""COMPUTED_VALUE"""),"Yes")</f>
        <v>Yes</v>
      </c>
      <c r="F171" s="7" t="str">
        <f>IFERROR(__xludf.DUMMYFUNCTION("""COMPUTED_VALUE"""),"Not Pres. ")</f>
        <v>Not Pres. </v>
      </c>
      <c r="G171" s="7" t="str">
        <f>IFERROR(__xludf.DUMMYFUNCTION("""COMPUTED_VALUE"""),"NP Findings Not Presenting ")</f>
        <v>NP Findings Not Presenting </v>
      </c>
      <c r="H171" s="7"/>
      <c r="I171" s="7"/>
      <c r="J171" s="7"/>
      <c r="K171" s="7"/>
      <c r="L171" s="8"/>
      <c r="M171" s="7"/>
      <c r="N171" s="7"/>
    </row>
    <row r="172">
      <c r="A172" s="7" t="str">
        <f>IFERROR(__xludf.DUMMYFUNCTION("""COMPUTED_VALUE"""),"391-FIND")</f>
        <v>391-FIND</v>
      </c>
      <c r="B172" s="7" t="str">
        <f>IFERROR(__xludf.DUMMYFUNCTION("""COMPUTED_VALUE"""),"Beyond Verbal Cues: Emotional Contagion Graph Network for Causal Emotion Entailment")</f>
        <v>Beyond Verbal Cues: Emotional Contagion Graph Network for Causal Emotion Entailment</v>
      </c>
      <c r="C172" s="7" t="str">
        <f>IFERROR(__xludf.DUMMYFUNCTION("""COMPUTED_VALUE"""),"Emotions are fundamental to conversational understanding. While significant advancements have been achieved in conversational emotion recognition and emotional response generation, recognizing the causes of eliciting emotions is less explored. Previous st"&amp;"udies have primarily focused on identifying the causes of emotions by understanding verbal contextual utterances, overlooking that non-verbal emotional cues can elicit emotions. To address this issue, we develop an Emotional Contagion Graph Network (ECGN)"&amp;" that simulates the impact of non-verbal implicit emotions on the counterpart's emotions. To achieve this, we construct a heterogeneous graph that simulates the transmission of non-verbal emotions alongside verbal influences. By applying message passing b"&amp;"etween nodes, the constructed graph effectively models both the implicit emotional dynamics and explicit verbal interactions. We evaluate ECGN’s performance through extensive experiments on the benchmark datasets and compare it against multiple state-of-t"&amp;"he-art models. Experimental results demonstrate the effectiveness of the proposed model. Our code is available at https://github.com/Yu-Fangxu/ECGN.")</f>
        <v>Emotions are fundamental to conversational understanding. While significant advancements have been achieved in conversational emotion recognition and emotional response generation, recognizing the causes of eliciting emotions is less explored. Previous studies have primarily focused on identifying the causes of emotions by understanding verbal contextual utterances, overlooking that non-verbal emotional cues can elicit emotions. To address this issue, we develop an Emotional Contagion Graph Network (ECGN) that simulates the impact of non-verbal implicit emotions on the counterpart's emotions. To achieve this, we construct a heterogeneous graph that simulates the transmission of non-verbal emotions alongside verbal influences. By applying message passing between nodes, the constructed graph effectively models both the implicit emotional dynamics and explicit verbal interactions. We evaluate ECGN’s performance through extensive experiments on the benchmark datasets and compare it against multiple state-of-the-art models. Experimental results demonstrate the effectiveness of the proposed model. Our code is available at https://github.com/Yu-Fangxu/ECGN.</v>
      </c>
      <c r="D172" s="7" t="str">
        <f>IFERROR(__xludf.DUMMYFUNCTION("""COMPUTED_VALUE"""),"Fangxu Yu")</f>
        <v>Fangxu Yu</v>
      </c>
      <c r="E172" s="7" t="str">
        <f>IFERROR(__xludf.DUMMYFUNCTION("""COMPUTED_VALUE"""),"#N/A")</f>
        <v>#N/A</v>
      </c>
      <c r="F172" s="7" t="str">
        <f>IFERROR(__xludf.DUMMYFUNCTION("""COMPUTED_VALUE"""),"Not Pres. ")</f>
        <v>Not Pres. </v>
      </c>
      <c r="G172" s="7" t="str">
        <f>IFERROR(__xludf.DUMMYFUNCTION("""COMPUTED_VALUE"""),"NP Findings Not Presenting ")</f>
        <v>NP Findings Not Presenting </v>
      </c>
      <c r="H172" s="7"/>
      <c r="I172" s="7" t="str">
        <f>IFERROR(__xludf.DUMMYFUNCTION("""COMPUTED_VALUE"""),"NP-Find")</f>
        <v>NP-Find</v>
      </c>
      <c r="J172" s="7"/>
      <c r="K172" s="7"/>
      <c r="L172" s="8"/>
      <c r="M172" s="7"/>
      <c r="N172" s="7"/>
    </row>
    <row r="173">
      <c r="A173" s="7" t="str">
        <f>IFERROR(__xludf.DUMMYFUNCTION("""COMPUTED_VALUE"""),"398-FIND")</f>
        <v>398-FIND</v>
      </c>
      <c r="B173" s="7" t="str">
        <f>IFERROR(__xludf.DUMMYFUNCTION("""COMPUTED_VALUE"""),"Critic-CoT: Boosting the Reasoning Abilities of Large Language Model via Chain-of-Thought Critic")</f>
        <v>Critic-CoT: Boosting the Reasoning Abilities of Large Language Model via Chain-of-Thought Critic</v>
      </c>
      <c r="C173" s="7" t="str">
        <f>IFERROR(__xludf.DUMMYFUNCTION("""COMPUTED_VALUE"""),"Self-critic has become a crucial mechanism for enhancing the reasoning performance of LLMs. However, current approaches mainly involve basic prompts for intuitive instance-level feedback, which resembles System-1 processes and limits the reasoning capabil"&amp;"ities. Moreover, there is a lack of in-depth investigations into the relationship between LLM's ability to criticize and its task-solving performance. To address these issues, we propose Critic-CoT, a novel framework that pushes LLMs toward System-2-like "&amp;"critic capability. Through a step-wise CoT reasoning paradigm and the automatic construction of weak-supervision data without human annotation, Critic-CoT enables LLMs to engage in slow, analytic self-critique and refinement, thereby improving their reaso"&amp;"ning abilities. Experiments on GSM8K and MATH and out-of-domain evaluation demonstrate that our enhanced model significantly boosts task-solving performance by filtering out invalid solutions or iterative refinement. Furthermore, we investigate the intrin"&amp;"sic correlation between critique and task-solving abilities within LLMs, discovering that these abilities can mutually reinforce each other rather than conflict.")</f>
        <v>Self-critic has become a crucial mechanism for enhancing the reasoning performance of LLMs. However, current approaches mainly involve basic prompts for intuitive instance-level feedback, which resembles System-1 processes and limits the reasoning capabilities. Moreover, there is a lack of in-depth investigations into the relationship between LLM's ability to criticize and its task-solving performance. To address these issues, we propose Critic-CoT, a novel framework that pushes LLMs toward System-2-like critic capability. Through a step-wise CoT reasoning paradigm and the automatic construction of weak-supervision data without human annotation, Critic-CoT enables LLMs to engage in slow, analytic self-critique and refinement, thereby improving their reasoning abilities. Experiments on GSM8K and MATH and out-of-domain evaluation demonstrate that our enhanced model significantly boosts task-solving performance by filtering out invalid solutions or iterative refinement. Furthermore, we investigate the intrinsic correlation between critique and task-solving abilities within LLMs, discovering that these abilities can mutually reinforce each other rather than conflict.</v>
      </c>
      <c r="D173" s="7" t="str">
        <f>IFERROR(__xludf.DUMMYFUNCTION("""COMPUTED_VALUE"""),"Xin Zheng")</f>
        <v>Xin Zheng</v>
      </c>
      <c r="E173" s="7" t="str">
        <f>IFERROR(__xludf.DUMMYFUNCTION("""COMPUTED_VALUE"""),"N/A")</f>
        <v>N/A</v>
      </c>
      <c r="F173" s="7" t="str">
        <f>IFERROR(__xludf.DUMMYFUNCTION("""COMPUTED_VALUE"""),"Not Pres. ")</f>
        <v>Not Pres. </v>
      </c>
      <c r="G173" s="7" t="str">
        <f>IFERROR(__xludf.DUMMYFUNCTION("""COMPUTED_VALUE"""),"NP Findings Not Presenting ")</f>
        <v>NP Findings Not Presenting </v>
      </c>
      <c r="H173" s="7"/>
      <c r="I173" s="7"/>
      <c r="J173" s="7"/>
      <c r="K173" s="7"/>
      <c r="L173" s="8"/>
      <c r="M173" s="7"/>
      <c r="N173" s="7"/>
    </row>
    <row r="174">
      <c r="A174" s="7" t="str">
        <f>IFERROR(__xludf.DUMMYFUNCTION("""COMPUTED_VALUE"""),"399-FIND")</f>
        <v>399-FIND</v>
      </c>
      <c r="B174" s="7" t="str">
        <f>IFERROR(__xludf.DUMMYFUNCTION("""COMPUTED_VALUE"""),"Systematic Generalization in Language Models Scales with Information Entropy")</f>
        <v>Systematic Generalization in Language Models Scales with Information Entropy</v>
      </c>
      <c r="C174" s="7" t="str">
        <f>IFERROR(__xludf.DUMMYFUNCTION("""COMPUTED_VALUE"""),"Systematic generalization remains challenging for current language models, which are known to be both sensitive to semantically similar permutations of the input and to struggle with known concepts presented in novel contexts. Although benchmarks exist fo"&amp;"r assessing compositional behavior, it is unclear how to measure the difficulty of a systematic generalization problem. In this work, we show how one aspect of systematic generalization can be described by the entropy of the distribution of component part"&amp;"s in the training data. We formalize a framework for measuring entropy in a sequence-to-sequence task and find that the performance of popular model architectures scales with the entropy. Our work connects systematic generalization to information efficien"&amp;"cy, and our results indicate that success at high entropy can be achieved even without built-in priors, and that success at low entropy can serve as a target for assessing progress towards robust systematic generalization.")</f>
        <v>Systematic generalization remains challenging for current language models, which are known to be both sensitive to semantically similar permutations of the input and to struggle with known concepts presented in novel contexts. Although benchmarks exist for assessing compositional behavior, it is unclear how to measure the difficulty of a systematic generalization problem. In this work, we show how one aspect of systematic generalization can be described by the entropy of the distribution of component parts in the training data. We formalize a framework for measuring entropy in a sequence-to-sequence task and find that the performance of popular model architectures scales with the entropy. Our work connects systematic generalization to information efficiency, and our results indicate that success at high entropy can be achieved even without built-in priors, and that success at low entropy can serve as a target for assessing progress towards robust systematic generalization.</v>
      </c>
      <c r="D174" s="7" t="str">
        <f>IFERROR(__xludf.DUMMYFUNCTION("""COMPUTED_VALUE"""),"Sondre Wold")</f>
        <v>Sondre Wold</v>
      </c>
      <c r="E174" s="7" t="str">
        <f>IFERROR(__xludf.DUMMYFUNCTION("""COMPUTED_VALUE"""),"Yes")</f>
        <v>Yes</v>
      </c>
      <c r="F174" s="7" t="str">
        <f>IFERROR(__xludf.DUMMYFUNCTION("""COMPUTED_VALUE"""),"IP-Poster")</f>
        <v>IP-Poster</v>
      </c>
      <c r="G174" s="7" t="str">
        <f>IFERROR(__xludf.DUMMYFUNCTION("""COMPUTED_VALUE"""),"In-Person")</f>
        <v>In-Person</v>
      </c>
      <c r="H174" s="7" t="str">
        <f>IFERROR(__xludf.DUMMYFUNCTION("""COMPUTED_VALUE"""),"Hall 4/5")</f>
        <v>Hall 4/5</v>
      </c>
      <c r="I174" s="7" t="str">
        <f>IFERROR(__xludf.DUMMYFUNCTION("""COMPUTED_VALUE"""),"Session 5 :IP-Posters Find ")</f>
        <v>Session 5 :IP-Posters Find </v>
      </c>
      <c r="J174" s="7" t="str">
        <f>IFERROR(__xludf.DUMMYFUNCTION("""COMPUTED_VALUE"""),"Findings Posters - In-Person 1")</f>
        <v>Findings Posters - In-Person 1</v>
      </c>
      <c r="K174" s="7"/>
      <c r="L174" s="8">
        <f>IFERROR(__xludf.DUMMYFUNCTION("""COMPUTED_VALUE"""),45866.0)</f>
        <v>45866</v>
      </c>
      <c r="M174" s="7" t="str">
        <f>IFERROR(__xludf.DUMMYFUNCTION("""COMPUTED_VALUE"""),"18:00-19:30")</f>
        <v>18:00-19:30</v>
      </c>
      <c r="N174" s="7"/>
    </row>
    <row r="175">
      <c r="A175" s="7" t="str">
        <f>IFERROR(__xludf.DUMMYFUNCTION("""COMPUTED_VALUE"""),"400-FIND")</f>
        <v>400-FIND</v>
      </c>
      <c r="B175" s="7" t="str">
        <f>IFERROR(__xludf.DUMMYFUNCTION("""COMPUTED_VALUE"""),"The Inverse Scaling Effect of Pre-Trained Language Model Surprisal Is Not Due to Data Leakage")</f>
        <v>The Inverse Scaling Effect of Pre-Trained Language Model Surprisal Is Not Due to Data Leakage</v>
      </c>
      <c r="C175" s="7" t="str">
        <f>IFERROR(__xludf.DUMMYFUNCTION("""COMPUTED_VALUE"""),"In psycholinguistic modeling, surprisal from larger pre-trained language models has been shown to be a poorer predictor of naturalistic human reading times. However, it has been speculated that this may be due to data leakage that caused language models t"&amp;"o see the text stimuli during training. This paper presents two studies to address this concern at scale. The first study reveals relatively little leakage of five naturalistic reading time corpora in two pre-training datasets in terms of length and frequ"&amp;"ency of token n-gram overlap. The second study replicates the negative relationship between language model size and the fit of surprisal to reading times using models trained on ‘leakage-free’ data that overlaps only minimally with the reading time corpor"&amp;"a. Taken together, this suggests that previous results using language models trained on these corpora are not driven by the effects of data leakage.")</f>
        <v>In psycholinguistic modeling, surprisal from larger pre-trained language models has been shown to be a poorer predictor of naturalistic human reading times. However, it has been speculated that this may be due to data leakage that caused language models to see the text stimuli during training. This paper presents two studies to address this concern at scale. The first study reveals relatively little leakage of five naturalistic reading time corpora in two pre-training datasets in terms of length and frequency of token n-gram overlap. The second study replicates the negative relationship between language model size and the fit of surprisal to reading times using models trained on ‘leakage-free’ data that overlaps only minimally with the reading time corpora. Taken together, this suggests that previous results using language models trained on these corpora are not driven by the effects of data leakage.</v>
      </c>
      <c r="D175" s="7" t="str">
        <f>IFERROR(__xludf.DUMMYFUNCTION("""COMPUTED_VALUE"""),"Byung-Doh Oh")</f>
        <v>Byung-Doh Oh</v>
      </c>
      <c r="E175" s="7" t="str">
        <f>IFERROR(__xludf.DUMMYFUNCTION("""COMPUTED_VALUE"""),"Yes")</f>
        <v>Yes</v>
      </c>
      <c r="F175" s="7" t="str">
        <f>IFERROR(__xludf.DUMMYFUNCTION("""COMPUTED_VALUE"""),"IP-Poster")</f>
        <v>IP-Poster</v>
      </c>
      <c r="G175" s="7" t="str">
        <f>IFERROR(__xludf.DUMMYFUNCTION("""COMPUTED_VALUE"""),"In-Person")</f>
        <v>In-Person</v>
      </c>
      <c r="H175" s="7" t="str">
        <f>IFERROR(__xludf.DUMMYFUNCTION("""COMPUTED_VALUE"""),"Hall 4/5")</f>
        <v>Hall 4/5</v>
      </c>
      <c r="I175" s="7" t="str">
        <f>IFERROR(__xludf.DUMMYFUNCTION("""COMPUTED_VALUE"""),"Session 5 :IP-Posters Find ")</f>
        <v>Session 5 :IP-Posters Find </v>
      </c>
      <c r="J175" s="7" t="str">
        <f>IFERROR(__xludf.DUMMYFUNCTION("""COMPUTED_VALUE"""),"Findings Posters - In-Person 1")</f>
        <v>Findings Posters - In-Person 1</v>
      </c>
      <c r="K175" s="7"/>
      <c r="L175" s="8">
        <f>IFERROR(__xludf.DUMMYFUNCTION("""COMPUTED_VALUE"""),45866.0)</f>
        <v>45866</v>
      </c>
      <c r="M175" s="7" t="str">
        <f>IFERROR(__xludf.DUMMYFUNCTION("""COMPUTED_VALUE"""),"18:00-19:30")</f>
        <v>18:00-19:30</v>
      </c>
      <c r="N175" s="7"/>
    </row>
    <row r="176">
      <c r="A176" s="7" t="str">
        <f>IFERROR(__xludf.DUMMYFUNCTION("""COMPUTED_VALUE"""),"401-FIND")</f>
        <v>401-FIND</v>
      </c>
      <c r="B176" s="7" t="str">
        <f>IFERROR(__xludf.DUMMYFUNCTION("""COMPUTED_VALUE"""),"Logical Consistency is Vital: Neural-Symbolic Information Retrieval for Negative-Constraint Queries")</f>
        <v>Logical Consistency is Vital: Neural-Symbolic Information Retrieval for Negative-Constraint Queries</v>
      </c>
      <c r="C176" s="7" t="str">
        <f>IFERROR(__xludf.DUMMYFUNCTION("""COMPUTED_VALUE"""),"Information retrieval plays a crucial role in resource localization. Current dense retrievers retrieve the relevant documents within a corpus via embedding similarities, which compute similarities between dense vectors mainly depending on word co-occurren"&amp;"ce between queries and documents, but overlook the real query intents. Thus, they often retrieve numerous irrelevant documents. Particularly in the scenarios of complex queries such as negative-constraint queries, their retrieval performance could be cata"&amp;"strophic. To address the issue, we propose a neuro-symbolic information retrieval method, namely NS-IR, that leverages first-order logic (FOL) to optimize the embeddings of naive natural language by considering the logical consistency between queries and "&amp;"documents. Specifically, we introduce two novel techniques, logic alignment and connective constraint, to re-rank candidate documents, thereby enhancing retrieval relevance. Furthermore, we construct a new dataset \textbf{NegConstraint} including negative"&amp;"-constraint queries to evaluate our NS-IR's performance on such complex IR scenarios. Our extensive experiments demonstrate that NS-IR not only achieves superior zero-shot retrieval performance on web search and low-resource retrieval tasks, but also perf"&amp;"orms better on negative-constraint queries. Our scource code and dataset are available at https://github.com/xgl-git/NS-IR-main.")</f>
        <v>Information retrieval plays a crucial role in resource localization. Current dense retrievers retrieve the relevant documents within a corpus via embedding similarities, which compute similarities between dense vectors mainly depending on word co-occurrence between queries and documents, but overlook the real query intents. Thus, they often retrieve numerous irrelevant documents. Particularly in the scenarios of complex queries such as negative-constraint queries, their retrieval performance could be catastrophic. To address the issue, we propose a neuro-symbolic information retrieval method, namely NS-IR, that leverages first-order logic (FOL) to optimize the embeddings of naive natural language by considering the logical consistency between queries and documents. Specifically, we introduce two novel techniques, logic alignment and connective constraint, to re-rank candidate documents, thereby enhancing retrieval relevance. Furthermore, we construct a new dataset \textbf{NegConstraint} including negative-constraint queries to evaluate our NS-IR's performance on such complex IR scenarios. Our extensive experiments demonstrate that NS-IR not only achieves superior zero-shot retrieval performance on web search and low-resource retrieval tasks, but also performs better on negative-constraint queries. Our scource code and dataset are available at https://github.com/xgl-git/NS-IR-main.</v>
      </c>
      <c r="D176" s="7" t="str">
        <f>IFERROR(__xludf.DUMMYFUNCTION("""COMPUTED_VALUE"""),"Ganlin Xu")</f>
        <v>Ganlin Xu</v>
      </c>
      <c r="E176" s="7" t="str">
        <f>IFERROR(__xludf.DUMMYFUNCTION("""COMPUTED_VALUE"""),"#N/A")</f>
        <v>#N/A</v>
      </c>
      <c r="F176" s="7" t="str">
        <f>IFERROR(__xludf.DUMMYFUNCTION("""COMPUTED_VALUE"""),"Not Pres. ")</f>
        <v>Not Pres. </v>
      </c>
      <c r="G176" s="7" t="str">
        <f>IFERROR(__xludf.DUMMYFUNCTION("""COMPUTED_VALUE"""),"NP Findings Not Presenting ")</f>
        <v>NP Findings Not Presenting </v>
      </c>
      <c r="H176" s="7"/>
      <c r="I176" s="7" t="str">
        <f>IFERROR(__xludf.DUMMYFUNCTION("""COMPUTED_VALUE"""),"NP-Find")</f>
        <v>NP-Find</v>
      </c>
      <c r="J176" s="7"/>
      <c r="K176" s="7"/>
      <c r="L176" s="8"/>
      <c r="M176" s="7"/>
      <c r="N176" s="7"/>
    </row>
    <row r="177">
      <c r="A177" s="7" t="str">
        <f>IFERROR(__xludf.DUMMYFUNCTION("""COMPUTED_VALUE"""),"403-FIND")</f>
        <v>403-FIND</v>
      </c>
      <c r="B177" s="7" t="str">
        <f>IFERROR(__xludf.DUMMYFUNCTION("""COMPUTED_VALUE"""),"‘No’ Matters: Out-of-Distribution Detection in Multimodality Multi-Turn Interactive Dialogue Download PDF")</f>
        <v>‘No’ Matters: Out-of-Distribution Detection in Multimodality Multi-Turn Interactive Dialogue Download PDF</v>
      </c>
      <c r="C177" s="7" t="str">
        <f>IFERROR(__xludf.DUMMYFUNCTION("""COMPUTED_VALUE"""),"Out-of-distribution (OOD) detection in multimodal contexts is essential for identifying deviations in different modalities, particularly for interactive dialogue systems in real-life interactions, where the systems are usually infeasible to deploy large l"&amp;"anguage models (LLMs) to generate dialogue responses due to data privacy and ethical issues. This paper aims to improve label detection that involves multi-round long dialogues by efficiently detecting OOD dialogues and images. We introduce a novel scorin"&amp;"g framework named Dialogue Image Aligning and Enhancing Framework (DIAEF) that integrates the visual language models with the novel proposed scores that detect OOD in two key scenarios (1) mismatches between the dialogue and image input pair and (2) input"&amp;" pairs with previously unseen labels. Our experimental results, derived from various benchmarks, demonstrate that integrating image and multi-round dialogue OOD detection is more effective with previously unseen labels than using either modality independe"&amp;"ntly. In the presence of mismatched pairs, our proposed score effectively identifies these mismatches and demonstrates strong robustness in long dialogues. This approach enhances domain-aware, adaptive conversational agents and establishes baselines for f"&amp;"uture studies.")</f>
        <v>Out-of-distribution (OOD) detection in multimodal contexts is essential for identifying deviations in different modalities, particularly for interactive dialogue systems in real-life interactions, where the systems are usually infeasible to deploy large language models (LLMs) to generate dialogue responses due to data privacy and ethical issues. This paper aims to improve label detection that involves multi-round long dialogues by efficiently detecting OOD dialogues and images. We introduce a novel scoring framework named Dialogue Image Aligning and Enhancing Framework (DIAEF) that integrates the visual language models with the novel proposed scores that detect OOD in two key scenarios (1) mismatches between the dialogue and image input pair and (2) input pairs with previously unseen labels. Our experimental results, derived from various benchmarks, demonstrate that integrating image and multi-round dialogue OOD detection is more effective with previously unseen labels than using either modality independently. In the presence of mismatched pairs, our proposed score effectively identifies these mismatches and demonstrates strong robustness in long dialogues. This approach enhances domain-aware, adaptive conversational agents and establishes baselines for future studies.</v>
      </c>
      <c r="D177" s="7" t="str">
        <f>IFERROR(__xludf.DUMMYFUNCTION("""COMPUTED_VALUE"""),"Rena Wei Gao")</f>
        <v>Rena Wei Gao</v>
      </c>
      <c r="E177" s="7" t="str">
        <f>IFERROR(__xludf.DUMMYFUNCTION("""COMPUTED_VALUE"""),"Yes")</f>
        <v>Yes</v>
      </c>
      <c r="F177" s="7" t="str">
        <f>IFERROR(__xludf.DUMMYFUNCTION("""COMPUTED_VALUE"""),"IP-Poster")</f>
        <v>IP-Poster</v>
      </c>
      <c r="G177" s="7" t="str">
        <f>IFERROR(__xludf.DUMMYFUNCTION("""COMPUTED_VALUE"""),"In-Person")</f>
        <v>In-Person</v>
      </c>
      <c r="H177" s="7" t="str">
        <f>IFERROR(__xludf.DUMMYFUNCTION("""COMPUTED_VALUE"""),"Hall 4/5")</f>
        <v>Hall 4/5</v>
      </c>
      <c r="I177" s="7" t="str">
        <f>IFERROR(__xludf.DUMMYFUNCTION("""COMPUTED_VALUE"""),"Session 5 :IP-Posters Find ")</f>
        <v>Session 5 :IP-Posters Find </v>
      </c>
      <c r="J177" s="7" t="str">
        <f>IFERROR(__xludf.DUMMYFUNCTION("""COMPUTED_VALUE"""),"Findings Posters - In-Person 1")</f>
        <v>Findings Posters - In-Person 1</v>
      </c>
      <c r="K177" s="7"/>
      <c r="L177" s="8">
        <f>IFERROR(__xludf.DUMMYFUNCTION("""COMPUTED_VALUE"""),45866.0)</f>
        <v>45866</v>
      </c>
      <c r="M177" s="7" t="str">
        <f>IFERROR(__xludf.DUMMYFUNCTION("""COMPUTED_VALUE"""),"18:00-19:30")</f>
        <v>18:00-19:30</v>
      </c>
      <c r="N177" s="7"/>
    </row>
    <row r="178">
      <c r="A178" s="7" t="str">
        <f>IFERROR(__xludf.DUMMYFUNCTION("""COMPUTED_VALUE"""),"412-FIND")</f>
        <v>412-FIND</v>
      </c>
      <c r="B178" s="7" t="str">
        <f>IFERROR(__xludf.DUMMYFUNCTION("""COMPUTED_VALUE"""),"Event Pattern-Instance Graph: A Multi-Round Role Representation Learning Strategy for Document-Level Event Argument Extraction")</f>
        <v>Event Pattern-Instance Graph: A Multi-Round Role Representation Learning Strategy for Document-Level Event Argument Extraction</v>
      </c>
      <c r="C178" s="7" t="str">
        <f>IFERROR(__xludf.DUMMYFUNCTION("""COMPUTED_VALUE"""),"For document-level event argument extraction, existing role-based span selection strategies suffer from several limitations: (1) ignoring interrelations among arguments within an event instance; (2) relying on pre-trained language models to capture role s"&amp;"emantics at either the event pattern or document, without leveraging pattern-instance associations. To address these limitations, this paper proposes a multi-round role representation learning strategy. First, we construct the event pattern-instance graph"&amp;" (EPIG) to comprehensively capture the role semantics embedded in various direct and indirect associations, including those among roles within event patterns, arguments within event instances, and the alignments between patterns and instances. Second, to "&amp;"enhance the learning of role node representation in the graph, we optimize the update mechanisms for both node and edge representations in the EPIG graph. By leveraging the graph attention network, we iteratively update the representations of role nodes a"&amp;"nd role edges. The role representations extracted from the EPIG are then integrated into the original role representations, further enriching their semantic information. Finally, a role representation memory module and a multi-round learning strategy is p"&amp;"roposed to retain and refine role representations learned from previously analyzed documents. This memory mechanism enhances the prediction performance in subsequent rounds of span selection. Extensive experiments on three datasets verify the effectivenes"&amp;"s of the model.")</f>
        <v>For document-level event argument extraction, existing role-based span selection strategies suffer from several limitations: (1) ignoring interrelations among arguments within an event instance; (2) relying on pre-trained language models to capture role semantics at either the event pattern or document, without leveraging pattern-instance associations. To address these limitations, this paper proposes a multi-round role representation learning strategy. First, we construct the event pattern-instance graph (EPIG) to comprehensively capture the role semantics embedded in various direct and indirect associations, including those among roles within event patterns, arguments within event instances, and the alignments between patterns and instances. Second, to enhance the learning of role node representation in the graph, we optimize the update mechanisms for both node and edge representations in the EPIG graph. By leveraging the graph attention network, we iteratively update the representations of role nodes and role edges. The role representations extracted from the EPIG are then integrated into the original role representations, further enriching their semantic information. Finally, a role representation memory module and a multi-round learning strategy is proposed to retain and refine role representations learned from previously analyzed documents. This memory mechanism enhances the prediction performance in subsequent rounds of span selection. Extensive experiments on three datasets verify the effectiveness of the model.</v>
      </c>
      <c r="D178" s="7" t="str">
        <f>IFERROR(__xludf.DUMMYFUNCTION("""COMPUTED_VALUE"""),"N/A")</f>
        <v>N/A</v>
      </c>
      <c r="E178" s="7" t="str">
        <f>IFERROR(__xludf.DUMMYFUNCTION("""COMPUTED_VALUE"""),"#N/A")</f>
        <v>#N/A</v>
      </c>
      <c r="F178" s="7" t="str">
        <f>IFERROR(__xludf.DUMMYFUNCTION("""COMPUTED_VALUE"""),"Not Pres. ")</f>
        <v>Not Pres. </v>
      </c>
      <c r="G178" s="7" t="str">
        <f>IFERROR(__xludf.DUMMYFUNCTION("""COMPUTED_VALUE"""),"NP Findings Not Presenting ")</f>
        <v>NP Findings Not Presenting </v>
      </c>
      <c r="H178" s="7"/>
      <c r="I178" s="7" t="str">
        <f>IFERROR(__xludf.DUMMYFUNCTION("""COMPUTED_VALUE"""),"NP-Find")</f>
        <v>NP-Find</v>
      </c>
      <c r="J178" s="7"/>
      <c r="K178" s="7"/>
      <c r="L178" s="8"/>
      <c r="M178" s="7"/>
      <c r="N178" s="7"/>
    </row>
    <row r="179">
      <c r="A179" s="7" t="str">
        <f>IFERROR(__xludf.DUMMYFUNCTION("""COMPUTED_VALUE"""),"414-FIND")</f>
        <v>414-FIND</v>
      </c>
      <c r="B179" s="7" t="str">
        <f>IFERROR(__xludf.DUMMYFUNCTION("""COMPUTED_VALUE"""),"EXECUTE: A Multilingual Benchmark for LLM Token Understanding")</f>
        <v>EXECUTE: A Multilingual Benchmark for LLM Token Understanding</v>
      </c>
      <c r="C179" s="7" t="str">
        <f>IFERROR(__xludf.DUMMYFUNCTION("""COMPUTED_VALUE"""),"The CUTE benchmark showed that LLMs struggle with character understanding in English. We extend it to more languages with diverse scripts and writing systems, introducing EXECUTE. Our simplified framework allows easy expansion to any language. Tests acros"&amp;"s multiple LLMs reveal that challenges in other languages are not always on the character level as in English. Some languages show word-level processing issues, some show no issues at all. We also examine sub-character tasks in Chinese, Japanese, and Kore"&amp;"an to assess LLMs' understanding of character components.")</f>
        <v>The CUTE benchmark showed that LLMs struggle with character understanding in English. We extend it to more languages with diverse scripts and writing systems, introducing EXECUTE. Our simplified framework allows easy expansion to any language. Tests across multiple LLMs reveal that challenges in other languages are not always on the character level as in English. Some languages show word-level processing issues, some show no issues at all. We also examine sub-character tasks in Chinese, Japanese, and Korean to assess LLMs' understanding of character components.</v>
      </c>
      <c r="D179" s="7" t="str">
        <f>IFERROR(__xludf.DUMMYFUNCTION("""COMPUTED_VALUE"""),"Lukas Edman")</f>
        <v>Lukas Edman</v>
      </c>
      <c r="E179" s="7" t="str">
        <f>IFERROR(__xludf.DUMMYFUNCTION("""COMPUTED_VALUE"""),"Yes")</f>
        <v>Yes</v>
      </c>
      <c r="F179" s="7" t="str">
        <f>IFERROR(__xludf.DUMMYFUNCTION("""COMPUTED_VALUE"""),"IP-Poster")</f>
        <v>IP-Poster</v>
      </c>
      <c r="G179" s="7" t="str">
        <f>IFERROR(__xludf.DUMMYFUNCTION("""COMPUTED_VALUE"""),"In-Person")</f>
        <v>In-Person</v>
      </c>
      <c r="H179" s="7" t="str">
        <f>IFERROR(__xludf.DUMMYFUNCTION("""COMPUTED_VALUE"""),"Hall 4/5")</f>
        <v>Hall 4/5</v>
      </c>
      <c r="I179" s="7" t="str">
        <f>IFERROR(__xludf.DUMMYFUNCTION("""COMPUTED_VALUE"""),"Session 5 :IP-Posters Find ")</f>
        <v>Session 5 :IP-Posters Find </v>
      </c>
      <c r="J179" s="7" t="str">
        <f>IFERROR(__xludf.DUMMYFUNCTION("""COMPUTED_VALUE"""),"Findings Posters - In-Person 1")</f>
        <v>Findings Posters - In-Person 1</v>
      </c>
      <c r="K179" s="7"/>
      <c r="L179" s="8">
        <f>IFERROR(__xludf.DUMMYFUNCTION("""COMPUTED_VALUE"""),45866.0)</f>
        <v>45866</v>
      </c>
      <c r="M179" s="7" t="str">
        <f>IFERROR(__xludf.DUMMYFUNCTION("""COMPUTED_VALUE"""),"18:00-19:30")</f>
        <v>18:00-19:30</v>
      </c>
      <c r="N179" s="7"/>
    </row>
    <row r="180">
      <c r="A180" s="7" t="str">
        <f>IFERROR(__xludf.DUMMYFUNCTION("""COMPUTED_VALUE"""),"424-FIND")</f>
        <v>424-FIND</v>
      </c>
      <c r="B180" s="7" t="str">
        <f>IFERROR(__xludf.DUMMYFUNCTION("""COMPUTED_VALUE"""),"Explainable Hallucination through Natural Language Inference Mapping")</f>
        <v>Explainable Hallucination through Natural Language Inference Mapping</v>
      </c>
      <c r="C180" s="7" t="str">
        <f>IFERROR(__xludf.DUMMYFUNCTION("""COMPUTED_VALUE"""),"Large language models exhibit high fluency in natural language generation, yet they are prone to hallucinate. Identifying the hallucinated parts of the generated content is a challenging task. We introduce HaluMap, a post-hoc framework that creates heatma"&amp;"p-like relations between the source input and the generated output to identify and quantify hallucinations. HaluMap breaks down the document and summary into sentences, using a natural language inference (NLI) model to analyze entailment and contradiction"&amp;" relations. By calibrating the entailment and contradiction relations, our approach outperforms state-of-the-art NLI-based methods by five percentage points. Furthermore, HaluMap highlights conflicting elements between the source and the output, naturally"&amp;" providing clear and traceable explanations. This interpretability is valuable for spotting subtle hallucinations, offering a practical tool for verifying model outputs.")</f>
        <v>Large language models exhibit high fluency in natural language generation, yet they are prone to hallucinate. Identifying the hallucinated parts of the generated content is a challenging task. We introduce HaluMap, a post-hoc framework that creates heatmap-like relations between the source input and the generated output to identify and quantify hallucinations. HaluMap breaks down the document and summary into sentences, using a natural language inference (NLI) model to analyze entailment and contradiction relations. By calibrating the entailment and contradiction relations, our approach outperforms state-of-the-art NLI-based methods by five percentage points. Furthermore, HaluMap highlights conflicting elements between the source and the output, naturally providing clear and traceable explanations. This interpretability is valuable for spotting subtle hallucinations, offering a practical tool for verifying model outputs.</v>
      </c>
      <c r="D180" s="7" t="str">
        <f>IFERROR(__xludf.DUMMYFUNCTION("""COMPUTED_VALUE"""),"Wei-Fan Chen")</f>
        <v>Wei-Fan Chen</v>
      </c>
      <c r="E180" s="7" t="str">
        <f>IFERROR(__xludf.DUMMYFUNCTION("""COMPUTED_VALUE"""),"Yes")</f>
        <v>Yes</v>
      </c>
      <c r="F180" s="7" t="str">
        <f>IFERROR(__xludf.DUMMYFUNCTION("""COMPUTED_VALUE"""),"IP-Poster")</f>
        <v>IP-Poster</v>
      </c>
      <c r="G180" s="7" t="str">
        <f>IFERROR(__xludf.DUMMYFUNCTION("""COMPUTED_VALUE"""),"In-Person")</f>
        <v>In-Person</v>
      </c>
      <c r="H180" s="7" t="str">
        <f>IFERROR(__xludf.DUMMYFUNCTION("""COMPUTED_VALUE"""),"Hall 4/5")</f>
        <v>Hall 4/5</v>
      </c>
      <c r="I180" s="7" t="str">
        <f>IFERROR(__xludf.DUMMYFUNCTION("""COMPUTED_VALUE"""),"Session 5 :IP-Posters Find ")</f>
        <v>Session 5 :IP-Posters Find </v>
      </c>
      <c r="J180" s="7" t="str">
        <f>IFERROR(__xludf.DUMMYFUNCTION("""COMPUTED_VALUE"""),"Findings Posters - In-Person 1")</f>
        <v>Findings Posters - In-Person 1</v>
      </c>
      <c r="K180" s="7"/>
      <c r="L180" s="8">
        <f>IFERROR(__xludf.DUMMYFUNCTION("""COMPUTED_VALUE"""),45866.0)</f>
        <v>45866</v>
      </c>
      <c r="M180" s="7" t="str">
        <f>IFERROR(__xludf.DUMMYFUNCTION("""COMPUTED_VALUE"""),"18:00-19:30")</f>
        <v>18:00-19:30</v>
      </c>
      <c r="N180" s="7"/>
    </row>
    <row r="181">
      <c r="A181" s="7" t="str">
        <f>IFERROR(__xludf.DUMMYFUNCTION("""COMPUTED_VALUE"""),"426-FIND")</f>
        <v>426-FIND</v>
      </c>
      <c r="B181" s="7" t="str">
        <f>IFERROR(__xludf.DUMMYFUNCTION("""COMPUTED_VALUE"""),"HopRAG: Multi-Hop Reasoning for Logic-Aware Retrieval-Augmented Generation")</f>
        <v>HopRAG: Multi-Hop Reasoning for Logic-Aware Retrieval-Augmented Generation</v>
      </c>
      <c r="C181" s="7" t="str">
        <f>IFERROR(__xludf.DUMMYFUNCTION("""COMPUTED_VALUE"""),"Retrieval-Augmented Generation (RAG) systems often struggle with imperfect retrieval, as traditional retrievers focus on lexical or semantic similarity rather than logical relevance. To address this, we propose HopRAG, a novel RAG framework that augments "&amp;"retrieval with logical reasoning through graph-structured knowledge exploration. During indexing, HopRAG constructs a passage graph, with text chunks as vertices and logical connections established via LLM-generated pseudo-queries as edges. During retriev"&amp;"al, it employs a retrieve-reason-prune mechanism: starting with lexically or semantically similar passages, the system explores multi-hop neighbors guided by pseudo-queries and LLM reasoning to identify truly relevant ones. Experiments on multiple multi-h"&amp;"op benchmarks demonstrate that HopRAG’s retrieve-reason-prune mechanism can expand the retrieval scope based on logical connections and improve final answer quality.")</f>
        <v>Retrieval-Augmented Generation (RAG) systems often struggle with imperfect retrieval, as traditional retrievers focus on lexical or semantic similarity rather than logical relevance. To address this, we propose HopRAG, a novel RAG framework that augments retrieval with logical reasoning through graph-structured knowledge exploration. During indexing, HopRAG constructs a passage graph, with text chunks as vertices and logical connections established via LLM-generated pseudo-queries as edges. During retrieval, it employs a retrieve-reason-prune mechanism: starting with lexically or semantically similar passages, the system explores multi-hop neighbors guided by pseudo-queries and LLM reasoning to identify truly relevant ones. Experiments on multiple multi-hop benchmarks demonstrate that HopRAG’s retrieve-reason-prune mechanism can expand the retrieval scope based on logical connections and improve final answer quality.</v>
      </c>
      <c r="D181" s="7" t="str">
        <f>IFERROR(__xludf.DUMMYFUNCTION("""COMPUTED_VALUE"""),"NA")</f>
        <v>NA</v>
      </c>
      <c r="E181" s="7" t="str">
        <f>IFERROR(__xludf.DUMMYFUNCTION("""COMPUTED_VALUE"""),"#N/A")</f>
        <v>#N/A</v>
      </c>
      <c r="F181" s="7" t="str">
        <f>IFERROR(__xludf.DUMMYFUNCTION("""COMPUTED_VALUE"""),"Not Pres. ")</f>
        <v>Not Pres. </v>
      </c>
      <c r="G181" s="7" t="str">
        <f>IFERROR(__xludf.DUMMYFUNCTION("""COMPUTED_VALUE"""),"NP Findings Not Presenting ")</f>
        <v>NP Findings Not Presenting </v>
      </c>
      <c r="H181" s="7"/>
      <c r="I181" s="7" t="str">
        <f>IFERROR(__xludf.DUMMYFUNCTION("""COMPUTED_VALUE"""),"NP-Find")</f>
        <v>NP-Find</v>
      </c>
      <c r="J181" s="7"/>
      <c r="K181" s="7"/>
      <c r="L181" s="8"/>
      <c r="M181" s="7"/>
      <c r="N181" s="7"/>
    </row>
    <row r="182">
      <c r="A182" s="7" t="str">
        <f>IFERROR(__xludf.DUMMYFUNCTION("""COMPUTED_VALUE"""),"428-FIND")</f>
        <v>428-FIND</v>
      </c>
      <c r="B182" s="7" t="str">
        <f>IFERROR(__xludf.DUMMYFUNCTION("""COMPUTED_VALUE"""),"Double Entendre: Robust Audio-Based AI-Generated Lyrics Detection via Multi-View Fusion")</f>
        <v>Double Entendre: Robust Audio-Based AI-Generated Lyrics Detection via Multi-View Fusion</v>
      </c>
      <c r="C182" s="7" t="str">
        <f>IFERROR(__xludf.DUMMYFUNCTION("""COMPUTED_VALUE"""),"The rapid advancement of AI-based music generation tools is revolutionizing the music industry but also posing challenges to artists, copyright holders, and providers alike. This necessitates reliable methods for detecting such AI-generated content. Howev"&amp;"er, existing detectors, relying on either audio or lyrics, face key practical limitations: audio-based detectors fail to generalize to new or unseen generators and are vulnerable to audio perturbations; lyrics-based methods require cleanly formatted and a"&amp;"ccurate lyrics, unavailable in practice. To overcome these limitations, we propose a novel, practically grounded approach: a multimodal, modular late-fusion pipeline that combines automatically transcribed sung lyrics and speech features capturing lyrics "&amp;"related information within the audio. By relying on lyrical aspects directly from audio, our method enhances robustness, mitigates susceptibility to low-level artifacts, and enables practical applicability. Experiments show that our method, DE-detect, out"&amp;"performs existing lyrics-based detectors while also being more robust to audio perturbations. Thus, it offers an effective, robust solution for detecting AI-generated music in real-world scenarios. Our code is available at https://github.com/deezer/robust"&amp;"-AI-lyrics-detection.")</f>
        <v>The rapid advancement of AI-based music generation tools is revolutionizing the music industry but also posing challenges to artists, copyright holders, and providers alike. This necessitates reliable methods for detecting such AI-generated content. However, existing detectors, relying on either audio or lyrics, face key practical limitations: audio-based detectors fail to generalize to new or unseen generators and are vulnerable to audio perturbations; lyrics-based methods require cleanly formatted and accurate lyrics, unavailable in practice. To overcome these limitations, we propose a novel, practically grounded approach: a multimodal, modular late-fusion pipeline that combines automatically transcribed sung lyrics and speech features capturing lyrics related information within the audio. By relying on lyrical aspects directly from audio, our method enhances robustness, mitigates susceptibility to low-level artifacts, and enables practical applicability. Experiments show that our method, DE-detect, outperforms existing lyrics-based detectors while also being more robust to audio perturbations. Thus, it offers an effective, robust solution for detecting AI-generated music in real-world scenarios. Our code is available at https://github.com/deezer/robust-AI-lyrics-detection.</v>
      </c>
      <c r="D182" s="7" t="str">
        <f>IFERROR(__xludf.DUMMYFUNCTION("""COMPUTED_VALUE"""),"Markus Schedl")</f>
        <v>Markus Schedl</v>
      </c>
      <c r="E182" s="7" t="str">
        <f>IFERROR(__xludf.DUMMYFUNCTION("""COMPUTED_VALUE"""),"yes")</f>
        <v>yes</v>
      </c>
      <c r="F182" s="7" t="str">
        <f>IFERROR(__xludf.DUMMYFUNCTION("""COMPUTED_VALUE"""),"IP-Poster")</f>
        <v>IP-Poster</v>
      </c>
      <c r="G182" s="7" t="str">
        <f>IFERROR(__xludf.DUMMYFUNCTION("""COMPUTED_VALUE"""),"In-Person")</f>
        <v>In-Person</v>
      </c>
      <c r="H182" s="7" t="str">
        <f>IFERROR(__xludf.DUMMYFUNCTION("""COMPUTED_VALUE"""),"Hall 4/5")</f>
        <v>Hall 4/5</v>
      </c>
      <c r="I182" s="7" t="str">
        <f>IFERROR(__xludf.DUMMYFUNCTION("""COMPUTED_VALUE"""),"Session 5 :IP-Posters Find ")</f>
        <v>Session 5 :IP-Posters Find </v>
      </c>
      <c r="J182" s="7" t="str">
        <f>IFERROR(__xludf.DUMMYFUNCTION("""COMPUTED_VALUE"""),"Findings Posters - In-Person 1")</f>
        <v>Findings Posters - In-Person 1</v>
      </c>
      <c r="K182" s="7"/>
      <c r="L182" s="8">
        <f>IFERROR(__xludf.DUMMYFUNCTION("""COMPUTED_VALUE"""),45866.0)</f>
        <v>45866</v>
      </c>
      <c r="M182" s="7" t="str">
        <f>IFERROR(__xludf.DUMMYFUNCTION("""COMPUTED_VALUE"""),"18:00-19:30")</f>
        <v>18:00-19:30</v>
      </c>
      <c r="N182" s="7"/>
    </row>
    <row r="183">
      <c r="A183" s="7" t="str">
        <f>IFERROR(__xludf.DUMMYFUNCTION("""COMPUTED_VALUE"""),"430-FIND")</f>
        <v>430-FIND</v>
      </c>
      <c r="B183" s="7" t="str">
        <f>IFERROR(__xludf.DUMMYFUNCTION("""COMPUTED_VALUE"""),"Don’t Miss the Forest for the Trees: Attentional Vision Calibration for Large Vision Language Models")</f>
        <v>Don’t Miss the Forest for the Trees: Attentional Vision Calibration for Large Vision Language Models</v>
      </c>
      <c r="C183" s="7" t="str">
        <f>IFERROR(__xludf.DUMMYFUNCTION("""COMPUTED_VALUE"""),"Large Vision Language Models (LVLMs) excel at understanding and describing visual inputs but often exhibit hallucinations---attributing incorrect or misleading features---due in part to an inherent misalignment in their attention mechanisms. In particular"&amp;", we observe that LVLMs tend to allocate excessive attention to a small subset of image tokens---termed blind tokens---which do not carry the query-relevant information needed for precise image interpretation. To address this, we propose Attentional Visio"&amp;"n Calibration (AvisC), a test-time approach that dynamically recalibrates the influence of these blind tokens during text generation. AvisC first identifies blind tokens by analyzing the layer-wise attention distribution over image tokens, then applies a "&amp;"contrastive decoding strategy that adjusts the prediction by balancing the original and blind-token-biased logits. Experiments on benchmarks including POPE, MME, and AMBER show that AvisC effectively reduces hallucinations in LVLMs.")</f>
        <v>Large Vision Language Models (LVLMs) excel at understanding and describing visual inputs but often exhibit hallucinations---attributing incorrect or misleading features---due in part to an inherent misalignment in their attention mechanisms. In particular, we observe that LVLMs tend to allocate excessive attention to a small subset of image tokens---termed blind tokens---which do not carry the query-relevant information needed for precise image interpretation. To address this, we propose Attentional Vision Calibration (AvisC), a test-time approach that dynamically recalibrates the influence of these blind tokens during text generation. AvisC first identifies blind tokens by analyzing the layer-wise attention distribution over image tokens, then applies a contrastive decoding strategy that adjusts the prediction by balancing the original and blind-token-biased logits. Experiments on benchmarks including POPE, MME, and AMBER show that AvisC effectively reduces hallucinations in LVLMs.</v>
      </c>
      <c r="D183" s="7" t="str">
        <f>IFERROR(__xludf.DUMMYFUNCTION("""COMPUTED_VALUE"""),"N/A")</f>
        <v>N/A</v>
      </c>
      <c r="E183" s="7" t="str">
        <f>IFERROR(__xludf.DUMMYFUNCTION("""COMPUTED_VALUE"""),"#N/A")</f>
        <v>#N/A</v>
      </c>
      <c r="F183" s="7" t="str">
        <f>IFERROR(__xludf.DUMMYFUNCTION("""COMPUTED_VALUE"""),"Not Pres. ")</f>
        <v>Not Pres. </v>
      </c>
      <c r="G183" s="7" t="str">
        <f>IFERROR(__xludf.DUMMYFUNCTION("""COMPUTED_VALUE"""),"NP Findings Not Presenting ")</f>
        <v>NP Findings Not Presenting </v>
      </c>
      <c r="H183" s="7"/>
      <c r="I183" s="7" t="str">
        <f>IFERROR(__xludf.DUMMYFUNCTION("""COMPUTED_VALUE"""),"NP-Find")</f>
        <v>NP-Find</v>
      </c>
      <c r="J183" s="7"/>
      <c r="K183" s="7"/>
      <c r="L183" s="8"/>
      <c r="M183" s="7"/>
      <c r="N183" s="7"/>
    </row>
    <row r="184">
      <c r="A184" s="7" t="str">
        <f>IFERROR(__xludf.DUMMYFUNCTION("""COMPUTED_VALUE"""),"431-FIND")</f>
        <v>431-FIND</v>
      </c>
      <c r="B184" s="7" t="str">
        <f>IFERROR(__xludf.DUMMYFUNCTION("""COMPUTED_VALUE"""),"SATA: A Paradigm for LLM Jailbreak via Simple Assistive Task Linkage")</f>
        <v>SATA: A Paradigm for LLM Jailbreak via Simple Assistive Task Linkage</v>
      </c>
      <c r="C184" s="7" t="str">
        <f>IFERROR(__xludf.DUMMYFUNCTION("""COMPUTED_VALUE"""),"Large language models (LLMs) have made significant advancements across various tasks, but their safety alignment remains a major concern. Exploring jailbreak prompts can expose LLMs' vulnerabilities and guide efforts to secure them. Existing methods prima"&amp;"rily design sophisticated instructions for the LLM to follow, or rely on multiple iterations, which could hinder the performance and efficiency of jailbreaks. In this work, we propose a novel jailbreak paradigm, Simple Assistive Task Linkage (SATA), which"&amp;" can effectively circumvent LLM safeguards and elicit harmful responses. Specifically, SATA first masks harmful keywords within a malicious query to generate a relatively benign query containing one or multiple [MASK] special tokens. It then employs a sim"&amp;"ple assistive task—such as a masked language model task or an element lookup by position task—to encode the semantics of the masked keywords. Finally, SATA links the assistive task with the masked query to jointly perform the jailbreak. Extensive experime"&amp;"nts show that SATA achieves state-of-the-art performance and outperforms baselines by a large margin. Specifically, on AdvBench dataset, with mask language model (MLM) assistive task, SATA achieves an overall attack success rate (ASR) of 85% and harmful s"&amp;"core (HS) of 4.57, and with element lookup by position (ELP) assistive task, SATA attains an overall ASR of 76% and HS of 4.43.")</f>
        <v>Large language models (LLMs) have made significant advancements across various tasks, but their safety alignment remains a major concern. Exploring jailbreak prompts can expose LLMs' vulnerabilities and guide efforts to secure them. Existing methods primarily design sophisticated instructions for the LLM to follow, or rely on multiple iterations, which could hinder the performance and efficiency of jailbreaks. In this work, we propose a novel jailbreak paradigm, Simple Assistive Task Linkage (SATA), which can effectively circumvent LLM safeguards and elicit harmful responses. Specifically, SATA first masks harmful keywords within a malicious query to generate a relatively benign query containing one or multiple [MASK] special tokens. It then employs a simple assistive task—such as a masked language model task or an element lookup by position task—to encode the semantics of the masked keywords. Finally, SATA links the assistive task with the masked query to jointly perform the jailbreak. Extensive experiments show that SATA achieves state-of-the-art performance and outperforms baselines by a large margin. Specifically, on AdvBench dataset, with mask language model (MLM) assistive task, SATA achieves an overall attack success rate (ASR) of 85% and harmful score (HS) of 4.57, and with element lookup by position (ELP) assistive task, SATA attains an overall ASR of 76% and HS of 4.43.</v>
      </c>
      <c r="D184" s="7" t="str">
        <f>IFERROR(__xludf.DUMMYFUNCTION("""COMPUTED_VALUE"""),"Xiaoning Dong")</f>
        <v>Xiaoning Dong</v>
      </c>
      <c r="E184" s="7" t="str">
        <f>IFERROR(__xludf.DUMMYFUNCTION("""COMPUTED_VALUE"""),"Yes")</f>
        <v>Yes</v>
      </c>
      <c r="F184" s="7" t="str">
        <f>IFERROR(__xludf.DUMMYFUNCTION("""COMPUTED_VALUE"""),"IP-Poster")</f>
        <v>IP-Poster</v>
      </c>
      <c r="G184" s="7" t="str">
        <f>IFERROR(__xludf.DUMMYFUNCTION("""COMPUTED_VALUE"""),"In-Person")</f>
        <v>In-Person</v>
      </c>
      <c r="H184" s="7" t="str">
        <f>IFERROR(__xludf.DUMMYFUNCTION("""COMPUTED_VALUE"""),"Hall 4/5")</f>
        <v>Hall 4/5</v>
      </c>
      <c r="I184" s="7" t="str">
        <f>IFERROR(__xludf.DUMMYFUNCTION("""COMPUTED_VALUE"""),"Session 5 :IP-Posters Find ")</f>
        <v>Session 5 :IP-Posters Find </v>
      </c>
      <c r="J184" s="7" t="str">
        <f>IFERROR(__xludf.DUMMYFUNCTION("""COMPUTED_VALUE"""),"Findings Posters - In-Person 1")</f>
        <v>Findings Posters - In-Person 1</v>
      </c>
      <c r="K184" s="7"/>
      <c r="L184" s="8">
        <f>IFERROR(__xludf.DUMMYFUNCTION("""COMPUTED_VALUE"""),45866.0)</f>
        <v>45866</v>
      </c>
      <c r="M184" s="7" t="str">
        <f>IFERROR(__xludf.DUMMYFUNCTION("""COMPUTED_VALUE"""),"18:00-19:30")</f>
        <v>18:00-19:30</v>
      </c>
      <c r="N184" s="7"/>
    </row>
    <row r="185">
      <c r="A185" s="7" t="str">
        <f>IFERROR(__xludf.DUMMYFUNCTION("""COMPUTED_VALUE"""),"433-FIND")</f>
        <v>433-FIND</v>
      </c>
      <c r="B185" s="7" t="str">
        <f>IFERROR(__xludf.DUMMYFUNCTION("""COMPUTED_VALUE"""),"Chain-Talker: Chain Understanding and Rendering for Empathetic Conversational Speech Synthesis")</f>
        <v>Chain-Talker: Chain Understanding and Rendering for Empathetic Conversational Speech Synthesis</v>
      </c>
      <c r="C185" s="7" t="str">
        <f>IFERROR(__xludf.DUMMYFUNCTION("""COMPUTED_VALUE"""),"Conversational Speech Synthesis (CSS) aims to align synthesized speech with the emotional and stylistic context of user-agent interactions to achieve empathy. Current generative CSS models face interpretability limitations due to insufficient emotional pe"&amp;"rception and redundant discrete speech coding. To address the above issues, we present Chain-Talker, a three-stage framework mimicking human cognition: Emotion Understanding derives context-aware emotion descriptors from dialogue history; Semantic Underst"&amp;"anding generates compact semantic codes via serialized prediction; and Empathetic Rendering synthesizes expressive speech by integrating both components. To support emotion modeling, we develop CSS-EmCap, an LLM-driven automated pipeline for generating pr"&amp;"ecise conversational speech emotion captions. Experiments on three benchmark datasets demonstrate that Chain-Talker produces more expressive and empathetic speech than existing methods, with CSS-EmCap contributing to reliable emotion modeling. The code an"&amp;"d demos are available at: https://github.com/AI-S2-Lab/Chain-Talker.")</f>
        <v>Conversational Speech Synthesis (CSS) aims to align synthesized speech with the emotional and stylistic context of user-agent interactions to achieve empathy. Current generative CSS models face interpretability limitations due to insufficient emotional perception and redundant discrete speech coding. To address the above issues, we present Chain-Talker, a three-stage framework mimicking human cognition: Emotion Understanding derives context-aware emotion descriptors from dialogue history; Semantic Understanding generates compact semantic codes via serialized prediction; and Empathetic Rendering synthesizes expressive speech by integrating both components. To support emotion modeling, we develop CSS-EmCap, an LLM-driven automated pipeline for generating precise conversational speech emotion captions. Experiments on three benchmark datasets demonstrate that Chain-Talker produces more expressive and empathetic speech than existing methods, with CSS-EmCap contributing to reliable emotion modeling. The code and demos are available at: https://github.com/AI-S2-Lab/Chain-Talker.</v>
      </c>
      <c r="D185" s="7" t="str">
        <f>IFERROR(__xludf.DUMMYFUNCTION("""COMPUTED_VALUE"""),"Yifan Hu")</f>
        <v>Yifan Hu</v>
      </c>
      <c r="E185" s="7" t="str">
        <f>IFERROR(__xludf.DUMMYFUNCTION("""COMPUTED_VALUE"""),"#N/A")</f>
        <v>#N/A</v>
      </c>
      <c r="F185" s="7" t="str">
        <f>IFERROR(__xludf.DUMMYFUNCTION("""COMPUTED_VALUE"""),"Not Pres. ")</f>
        <v>Not Pres. </v>
      </c>
      <c r="G185" s="7" t="str">
        <f>IFERROR(__xludf.DUMMYFUNCTION("""COMPUTED_VALUE"""),"NP Findings Not Presenting ")</f>
        <v>NP Findings Not Presenting </v>
      </c>
      <c r="H185" s="7"/>
      <c r="I185" s="7" t="str">
        <f>IFERROR(__xludf.DUMMYFUNCTION("""COMPUTED_VALUE"""),"NP-Find")</f>
        <v>NP-Find</v>
      </c>
      <c r="J185" s="7"/>
      <c r="K185" s="7"/>
      <c r="L185" s="8"/>
      <c r="M185" s="7"/>
      <c r="N185" s="7"/>
    </row>
    <row r="186">
      <c r="A186" s="7" t="str">
        <f>IFERROR(__xludf.DUMMYFUNCTION("""COMPUTED_VALUE"""),"434-FIND")</f>
        <v>434-FIND</v>
      </c>
      <c r="B186" s="7" t="str">
        <f>IFERROR(__xludf.DUMMYFUNCTION("""COMPUTED_VALUE"""),"Parameter-Efficient Fine-Tuning via Circular Convolution")</f>
        <v>Parameter-Efficient Fine-Tuning via Circular Convolution</v>
      </c>
      <c r="C186" s="7" t="str">
        <f>IFERROR(__xludf.DUMMYFUNCTION("""COMPUTED_VALUE"""),"Low-Rank Adaptation (LoRA) has gained popularity for fine-tuning large foundation models, leveraging low-rank matrices \mathbf A and \mathbf B to represent weight changes (i.e., 𝛥 \mathbf W = \mathbf B \mathbf A). This method reduces trainable parameters"&amp;" and mitigates heavy memory consumption associated with full delta matrices by sequentially multiplying \mathbf A and \mathbf B with the activation. Despite its success, the intrinsic low-rank characteristic may limit its performance. Although several var"&amp;"iants have been proposed to address this issue, they often overlook the crucial computational and memory efficiency brought by LoRA. In this paper, we propose Circular Convolution Adaptation (C3A), which not only achieves high-rank adaptation with enhance"&amp;"d performance but also excels in both computational power and memory utilization. Extensive experiments demonstrate that C3A consistently outperforms LoRA and its variants across various fine-tuning tasks.")</f>
        <v>Low-Rank Adaptation (LoRA) has gained popularity for fine-tuning large foundation models, leveraging low-rank matrices \mathbf A and \mathbf B to represent weight changes (i.e., 𝛥 \mathbf W = \mathbf B \mathbf A). This method reduces trainable parameters and mitigates heavy memory consumption associated with full delta matrices by sequentially multiplying \mathbf A and \mathbf B with the activation. Despite its success, the intrinsic low-rank characteristic may limit its performance. Although several variants have been proposed to address this issue, they often overlook the crucial computational and memory efficiency brought by LoRA. In this paper, we propose Circular Convolution Adaptation (C3A), which not only achieves high-rank adaptation with enhanced performance but also excels in both computational power and memory utilization. Extensive experiments demonstrate that C3A consistently outperforms LoRA and its variants across various fine-tuning tasks.</v>
      </c>
      <c r="D186" s="7" t="str">
        <f>IFERROR(__xludf.DUMMYFUNCTION("""COMPUTED_VALUE"""),"N/A")</f>
        <v>N/A</v>
      </c>
      <c r="E186" s="7" t="str">
        <f>IFERROR(__xludf.DUMMYFUNCTION("""COMPUTED_VALUE"""),"#N/A")</f>
        <v>#N/A</v>
      </c>
      <c r="F186" s="7" t="str">
        <f>IFERROR(__xludf.DUMMYFUNCTION("""COMPUTED_VALUE"""),"Not Pres. ")</f>
        <v>Not Pres. </v>
      </c>
      <c r="G186" s="7" t="str">
        <f>IFERROR(__xludf.DUMMYFUNCTION("""COMPUTED_VALUE"""),"NP Findings Not Presenting ")</f>
        <v>NP Findings Not Presenting </v>
      </c>
      <c r="H186" s="7"/>
      <c r="I186" s="7" t="str">
        <f>IFERROR(__xludf.DUMMYFUNCTION("""COMPUTED_VALUE"""),"NP-Find")</f>
        <v>NP-Find</v>
      </c>
      <c r="J186" s="7"/>
      <c r="K186" s="7"/>
      <c r="L186" s="8"/>
      <c r="M186" s="7"/>
      <c r="N186" s="7"/>
    </row>
    <row r="187">
      <c r="A187" s="7" t="str">
        <f>IFERROR(__xludf.DUMMYFUNCTION("""COMPUTED_VALUE"""),"435-FIND")</f>
        <v>435-FIND</v>
      </c>
      <c r="B187" s="7" t="str">
        <f>IFERROR(__xludf.DUMMYFUNCTION("""COMPUTED_VALUE"""),"Alleviating Hallucinations in Large Language Models \via Truthfulness-driven Rank-adaptive LoRA")</f>
        <v>Alleviating Hallucinations in Large Language Models \via Truthfulness-driven Rank-adaptive LoRA</v>
      </c>
      <c r="C187" s="7" t="str">
        <f>IFERROR(__xludf.DUMMYFUNCTION("""COMPUTED_VALUE"""),"Improving the truthfulness of LLMs to alleviate hallucinations has become critical for promoting the practical deployment of LLMs. Current fine-tuning-based methods ignore the intrinsic discrepancy in the truthfulness correlations across LLM internal modu"&amp;"les, and instead treat them equally, which may potentially decrease the performance of truthfulness improvement. In this paper, we propose a truthfulness-driven rank-adaptive LoRA method to improve LLM truthfulness (RaLFiT), which adaptively allocates the"&amp;" ranks in LoRA training according to the truthfulness correlations of modules within LLM. Specifically, it first measures the truthfulness correlation of each LLM module by a probing process, and allocates higher ranks to strongly correlated modules, whic"&amp;"h means a larger update subspace during training. Experimental results on TruthfulQA show that RaLFiT consistently outperforms previous state-of-the-art methods across the Llama LLM family, verifying its effectiveness and superiority, and for the first ti"&amp;"me makes the performance of 7B Llama LLMs exceed GPT-4.")</f>
        <v>Improving the truthfulness of LLMs to alleviate hallucinations has become critical for promoting the practical deployment of LLMs. Current fine-tuning-based methods ignore the intrinsic discrepancy in the truthfulness correlations across LLM internal modules, and instead treat them equally, which may potentially decrease the performance of truthfulness improvement. In this paper, we propose a truthfulness-driven rank-adaptive LoRA method to improve LLM truthfulness (RaLFiT), which adaptively allocates the ranks in LoRA training according to the truthfulness correlations of modules within LLM. Specifically, it first measures the truthfulness correlation of each LLM module by a probing process, and allocates higher ranks to strongly correlated modules, which means a larger update subspace during training. Experimental results on TruthfulQA show that RaLFiT consistently outperforms previous state-of-the-art methods across the Llama LLM family, verifying its effectiveness and superiority, and for the first time makes the performance of 7B Llama LLMs exceed GPT-4.</v>
      </c>
      <c r="D187" s="7" t="str">
        <f>IFERROR(__xludf.DUMMYFUNCTION("""COMPUTED_VALUE"""),"Jiahao Li")</f>
        <v>Jiahao Li</v>
      </c>
      <c r="E187" s="7" t="str">
        <f>IFERROR(__xludf.DUMMYFUNCTION("""COMPUTED_VALUE"""),"#N/A")</f>
        <v>#N/A</v>
      </c>
      <c r="F187" s="7" t="str">
        <f>IFERROR(__xludf.DUMMYFUNCTION("""COMPUTED_VALUE"""),"Not Pres. ")</f>
        <v>Not Pres. </v>
      </c>
      <c r="G187" s="7" t="str">
        <f>IFERROR(__xludf.DUMMYFUNCTION("""COMPUTED_VALUE"""),"NP Findings Not Presenting ")</f>
        <v>NP Findings Not Presenting </v>
      </c>
      <c r="H187" s="7"/>
      <c r="I187" s="7" t="str">
        <f>IFERROR(__xludf.DUMMYFUNCTION("""COMPUTED_VALUE"""),"NP-Find")</f>
        <v>NP-Find</v>
      </c>
      <c r="J187" s="7"/>
      <c r="K187" s="7"/>
      <c r="L187" s="8"/>
      <c r="M187" s="7"/>
      <c r="N187" s="7"/>
    </row>
    <row r="188">
      <c r="A188" s="7" t="str">
        <f>IFERROR(__xludf.DUMMYFUNCTION("""COMPUTED_VALUE"""),"438-FIND")</f>
        <v>438-FIND</v>
      </c>
      <c r="B188" s="7" t="str">
        <f>IFERROR(__xludf.DUMMYFUNCTION("""COMPUTED_VALUE"""),"ScEdit: Script-based Assessment of Knowledge Editing")</f>
        <v>ScEdit: Script-based Assessment of Knowledge Editing</v>
      </c>
      <c r="C188" s="7" t="str">
        <f>IFERROR(__xludf.DUMMYFUNCTION("""COMPUTED_VALUE"""),"Knowledge Editing (KE) has gained increasing attention, yet current KE tasks remain relatively simple. Under current evaluation frameworks, many editing methods achieve exceptionally high scores, sometimes nearing perfection. However, few studies integrat"&amp;"e KE into real-world application scenarios (e.g., recent interest in LLM-as-agent). To support our analysis, we introduce a novel script-based benchmark -- ScEdit (Script-based Knowledge Editing Benchmark) -- which encompasses both counterfactual and temp"&amp;"oral edits. We integrate token-level and text-level evaluation methods, comprehensively analyzing existing KE techniques. The benchmark extends traditional fact-based (“What”-type question) evaluation to action-based (“How”-type question) evaluation. We o"&amp;"bserve that all KE methods exhibit a drop in performance on established metrics and face challenges on text-level metrics, indicating a challenging task. Our benchmark will be made publicly available.")</f>
        <v>Knowledge Editing (KE) has gained increasing attention, yet current KE tasks remain relatively simple. Under current evaluation frameworks, many editing methods achieve exceptionally high scores, sometimes nearing perfection. However, few studies integrate KE into real-world application scenarios (e.g., recent interest in LLM-as-agent). To support our analysis, we introduce a novel script-based benchmark -- ScEdit (Script-based Knowledge Editing Benchmark) -- which encompasses both counterfactual and temporal edits. We integrate token-level and text-level evaluation methods, comprehensively analyzing existing KE techniques. The benchmark extends traditional fact-based (“What”-type question) evaluation to action-based (“How”-type question) evaluation. We observe that all KE methods exhibit a drop in performance on established metrics and face challenges on text-level metrics, indicating a challenging task. Our benchmark will be made publicly available.</v>
      </c>
      <c r="D188" s="7" t="str">
        <f>IFERROR(__xludf.DUMMYFUNCTION("""COMPUTED_VALUE"""),"Xinye Li")</f>
        <v>Xinye Li</v>
      </c>
      <c r="E188" s="7" t="str">
        <f>IFERROR(__xludf.DUMMYFUNCTION("""COMPUTED_VALUE"""),"Yes")</f>
        <v>Yes</v>
      </c>
      <c r="F188" s="7" t="str">
        <f>IFERROR(__xludf.DUMMYFUNCTION("""COMPUTED_VALUE"""),"Not Pres. ")</f>
        <v>Not Pres. </v>
      </c>
      <c r="G188" s="7" t="str">
        <f>IFERROR(__xludf.DUMMYFUNCTION("""COMPUTED_VALUE"""),"NP Findings Not Presenting ")</f>
        <v>NP Findings Not Presenting </v>
      </c>
      <c r="H188" s="7"/>
      <c r="I188" s="7"/>
      <c r="J188" s="7"/>
      <c r="K188" s="7"/>
      <c r="L188" s="8"/>
      <c r="M188" s="7"/>
      <c r="N188" s="7"/>
    </row>
    <row r="189">
      <c r="A189" s="7" t="str">
        <f>IFERROR(__xludf.DUMMYFUNCTION("""COMPUTED_VALUE"""),"440-FIND")</f>
        <v>440-FIND</v>
      </c>
      <c r="B189" s="7" t="str">
        <f>IFERROR(__xludf.DUMMYFUNCTION("""COMPUTED_VALUE"""),"SafeRoute: Adaptive Model Selection for Efficient and Accurate Safety Guardrails in Large Language Models")</f>
        <v>SafeRoute: Adaptive Model Selection for Efficient and Accurate Safety Guardrails in Large Language Models</v>
      </c>
      <c r="C189" s="7" t="str">
        <f>IFERROR(__xludf.DUMMYFUNCTION("""COMPUTED_VALUE"""),"Deploying large language models (LLMs) in real-world applications requires robust safety guard models to detect and block harmful user prompts. While large safety guard models achieve strong performance, their computational cost is substantial. To mitigat"&amp;"e this, smaller distilled models are used, but they often underperform on ``hard'' examples where the larger model provides accurate predictions. We observe that many inputs can be reliably handled by the smaller model, while only a small fraction require"&amp;" the larger model’s capacity. Motivated by this, we propose SafeRoute, a binary router that distinguishes hard examples from easy ones. Our method selectively applies the larger safety guard model to the data that the router considers hard, improving effi"&amp;"ciency while maintaining accuracy compared to solely using the larger safety guard model. Experimental results on multiple benchmark datasets demonstrate that our adaptive model selection significantly enhances the trade-off between computational cost and"&amp;" safety performance, outperforming relevant baselines.")</f>
        <v>Deploying large language models (LLMs) in real-world applications requires robust safety guard models to detect and block harmful user prompts. While large safety guard models achieve strong performance, their computational cost is substantial. To mitigate this, smaller distilled models are used, but they often underperform on ``hard'' examples where the larger model provides accurate predictions. We observe that many inputs can be reliably handled by the smaller model, while only a small fraction require the larger model’s capacity. Motivated by this, we propose SafeRoute, a binary router that distinguishes hard examples from easy ones. Our method selectively applies the larger safety guard model to the data that the router considers hard, improving efficiency while maintaining accuracy compared to solely using the larger safety guard model. Experimental results on multiple benchmark datasets demonstrate that our adaptive model selection significantly enhances the trade-off between computational cost and safety performance, outperforming relevant baselines.</v>
      </c>
      <c r="D189" s="7" t="str">
        <f>IFERROR(__xludf.DUMMYFUNCTION("""COMPUTED_VALUE"""),"Seanie Lee")</f>
        <v>Seanie Lee</v>
      </c>
      <c r="E189" s="7" t="str">
        <f>IFERROR(__xludf.DUMMYFUNCTION("""COMPUTED_VALUE"""),"Yes")</f>
        <v>Yes</v>
      </c>
      <c r="F189" s="7" t="str">
        <f>IFERROR(__xludf.DUMMYFUNCTION("""COMPUTED_VALUE"""),"IP-Poster")</f>
        <v>IP-Poster</v>
      </c>
      <c r="G189" s="7" t="str">
        <f>IFERROR(__xludf.DUMMYFUNCTION("""COMPUTED_VALUE"""),"In-Person")</f>
        <v>In-Person</v>
      </c>
      <c r="H189" s="7" t="str">
        <f>IFERROR(__xludf.DUMMYFUNCTION("""COMPUTED_VALUE"""),"Hall 4/5")</f>
        <v>Hall 4/5</v>
      </c>
      <c r="I189" s="7" t="str">
        <f>IFERROR(__xludf.DUMMYFUNCTION("""COMPUTED_VALUE"""),"Session 5 :IP-Posters Find ")</f>
        <v>Session 5 :IP-Posters Find </v>
      </c>
      <c r="J189" s="7" t="str">
        <f>IFERROR(__xludf.DUMMYFUNCTION("""COMPUTED_VALUE"""),"Findings Posters - In-Person 1")</f>
        <v>Findings Posters - In-Person 1</v>
      </c>
      <c r="K189" s="7"/>
      <c r="L189" s="8">
        <f>IFERROR(__xludf.DUMMYFUNCTION("""COMPUTED_VALUE"""),45866.0)</f>
        <v>45866</v>
      </c>
      <c r="M189" s="7" t="str">
        <f>IFERROR(__xludf.DUMMYFUNCTION("""COMPUTED_VALUE"""),"18:00-19:30")</f>
        <v>18:00-19:30</v>
      </c>
      <c r="N189" s="7"/>
    </row>
    <row r="190">
      <c r="A190" s="7" t="str">
        <f>IFERROR(__xludf.DUMMYFUNCTION("""COMPUTED_VALUE"""),"442-FIND")</f>
        <v>442-FIND</v>
      </c>
      <c r="B190" s="7" t="str">
        <f>IFERROR(__xludf.DUMMYFUNCTION("""COMPUTED_VALUE"""),"Moderation Matters: Measuring Conversational Moderation Impact in English as a Second Language Group Discussion")</f>
        <v>Moderation Matters: Measuring Conversational Moderation Impact in English as a Second Language Group Discussion</v>
      </c>
      <c r="C190" s="7" t="str">
        <f>IFERROR(__xludf.DUMMYFUNCTION("""COMPUTED_VALUE"""),"English as a Second Language (ESL) speakers often struggle to engage in group discussions due to language barriers. While moderators can facilitate participation, few studies assess conversational engagement and evaluate moderation effectiveness. To addre"&amp;"ss this gap, we develop a dataset comprising 17 sessions from an online ESL conversation club, which includes both moderated and non-moderated discussions. We then introduce an approach that integrates automatic ESL dialogue assessment and a framework tha"&amp;"t categorizes moderation strategies. Our findings indicate that moderators help improve the flow of topics and start/end a conversation. Interestingly, we find active acknowledgement and encouragement to be the most effective moderation strategy, while ex"&amp;"cessive information and opinion sharing by moderators has a negative impact. Ultimately, our study paves the way for analyzing ESL group discussions and the role of moderators in non-native conversation settings.")</f>
        <v>English as a Second Language (ESL) speakers often struggle to engage in group discussions due to language barriers. While moderators can facilitate participation, few studies assess conversational engagement and evaluate moderation effectiveness. To address this gap, we develop a dataset comprising 17 sessions from an online ESL conversation club, which includes both moderated and non-moderated discussions. We then introduce an approach that integrates automatic ESL dialogue assessment and a framework that categorizes moderation strategies. Our findings indicate that moderators help improve the flow of topics and start/end a conversation. Interestingly, we find active acknowledgement and encouragement to be the most effective moderation strategy, while excessive information and opinion sharing by moderators has a negative impact. Ultimately, our study paves the way for analyzing ESL group discussions and the role of moderators in non-native conversation settings.</v>
      </c>
      <c r="D190" s="7" t="str">
        <f>IFERROR(__xludf.DUMMYFUNCTION("""COMPUTED_VALUE"""),"Rena Wei Gao")</f>
        <v>Rena Wei Gao</v>
      </c>
      <c r="E190" s="7" t="str">
        <f>IFERROR(__xludf.DUMMYFUNCTION("""COMPUTED_VALUE"""),"Yes")</f>
        <v>Yes</v>
      </c>
      <c r="F190" s="7" t="str">
        <f>IFERROR(__xludf.DUMMYFUNCTION("""COMPUTED_VALUE"""),"IP-Poster")</f>
        <v>IP-Poster</v>
      </c>
      <c r="G190" s="7" t="str">
        <f>IFERROR(__xludf.DUMMYFUNCTION("""COMPUTED_VALUE"""),"In-Person")</f>
        <v>In-Person</v>
      </c>
      <c r="H190" s="7" t="str">
        <f>IFERROR(__xludf.DUMMYFUNCTION("""COMPUTED_VALUE"""),"Hall 4/5")</f>
        <v>Hall 4/5</v>
      </c>
      <c r="I190" s="7" t="str">
        <f>IFERROR(__xludf.DUMMYFUNCTION("""COMPUTED_VALUE"""),"Session 5 :IP-Posters Find ")</f>
        <v>Session 5 :IP-Posters Find </v>
      </c>
      <c r="J190" s="7" t="str">
        <f>IFERROR(__xludf.DUMMYFUNCTION("""COMPUTED_VALUE"""),"Findings Posters - In-Person 1")</f>
        <v>Findings Posters - In-Person 1</v>
      </c>
      <c r="K190" s="7"/>
      <c r="L190" s="8">
        <f>IFERROR(__xludf.DUMMYFUNCTION("""COMPUTED_VALUE"""),45866.0)</f>
        <v>45866</v>
      </c>
      <c r="M190" s="7" t="str">
        <f>IFERROR(__xludf.DUMMYFUNCTION("""COMPUTED_VALUE"""),"18:00-19:30")</f>
        <v>18:00-19:30</v>
      </c>
      <c r="N190" s="7"/>
    </row>
    <row r="191">
      <c r="A191" s="7" t="str">
        <f>IFERROR(__xludf.DUMMYFUNCTION("""COMPUTED_VALUE"""),"445-FIND")</f>
        <v>445-FIND</v>
      </c>
      <c r="B191" s="7" t="str">
        <f>IFERROR(__xludf.DUMMYFUNCTION("""COMPUTED_VALUE"""),"Measuring Bias and Agreement in Large Language Model Presupposition Judgments")</f>
        <v>Measuring Bias and Agreement in Large Language Model Presupposition Judgments</v>
      </c>
      <c r="C191" s="7" t="str">
        <f>IFERROR(__xludf.DUMMYFUNCTION("""COMPUTED_VALUE"""),"Identifying linguistic bias in text requires understanding what is said and what is meant. This requires going beyond what is being asserted directly, and determining what is presupposed. Large language models (LLMs) represent a potential automatic approa"&amp;"ch for identifying presupposed content, but it is unknown how well LLM judgments correspond to human judgments. Further, LLMs may exhibit their own biases in determining what is presupposed. To study this empirically, we prompt multiple LLMs to make presu"&amp;"pposition judgments for texts of varying domains from three different human-labeled datasets. We calculate the agreement between LLMs and human raters, and find several linguistic factors associated with fluctuations in human-model agreement. We also obse"&amp;"rve discrepancies in agreement scores that indicate potential biases from LLMs, related to gender and political ideology.")</f>
        <v>Identifying linguistic bias in text requires understanding what is said and what is meant. This requires going beyond what is being asserted directly, and determining what is presupposed. Large language models (LLMs) represent a potential automatic approach for identifying presupposed content, but it is unknown how well LLM judgments correspond to human judgments. Further, LLMs may exhibit their own biases in determining what is presupposed. To study this empirically, we prompt multiple LLMs to make presupposition judgments for texts of varying domains from three different human-labeled datasets. We calculate the agreement between LLMs and human raters, and find several linguistic factors associated with fluctuations in human-model agreement. We also observe discrepancies in agreement scores that indicate potential biases from LLMs, related to gender and political ideology.</v>
      </c>
      <c r="D191" s="7" t="str">
        <f>IFERROR(__xludf.DUMMYFUNCTION("""COMPUTED_VALUE"""),"Katherine Atwell")</f>
        <v>Katherine Atwell</v>
      </c>
      <c r="E191" s="7" t="str">
        <f>IFERROR(__xludf.DUMMYFUNCTION("""COMPUTED_VALUE"""),"Yes")</f>
        <v>Yes</v>
      </c>
      <c r="F191" s="7" t="str">
        <f>IFERROR(__xludf.DUMMYFUNCTION("""COMPUTED_VALUE"""),"V-Presentation")</f>
        <v>V-Presentation</v>
      </c>
      <c r="G191" s="7" t="str">
        <f>IFERROR(__xludf.DUMMYFUNCTION("""COMPUTED_VALUE"""),"Virtual/Gather")</f>
        <v>Virtual/Gather</v>
      </c>
      <c r="H191" s="7" t="str">
        <f>IFERROR(__xludf.DUMMYFUNCTION("""COMPUTED_VALUE"""),"Gather")</f>
        <v>Gather</v>
      </c>
      <c r="I191" s="7" t="str">
        <f>IFERROR(__xludf.DUMMYFUNCTION("""COMPUTED_VALUE"""),"Session5: V-Gather Find")</f>
        <v>Session5: V-Gather Find</v>
      </c>
      <c r="J191" s="7" t="str">
        <f>IFERROR(__xludf.DUMMYFUNCTION("""COMPUTED_VALUE"""),"Findings Posters - Virtual")</f>
        <v>Findings Posters - Virtual</v>
      </c>
      <c r="K191" s="7"/>
      <c r="L191" s="8">
        <f>IFERROR(__xludf.DUMMYFUNCTION("""COMPUTED_VALUE"""),45866.0)</f>
        <v>45866</v>
      </c>
      <c r="M191" s="7" t="str">
        <f>IFERROR(__xludf.DUMMYFUNCTION("""COMPUTED_VALUE"""),"18:00-19:30")</f>
        <v>18:00-19:30</v>
      </c>
      <c r="N191" s="7"/>
    </row>
    <row r="192">
      <c r="A192" s="7" t="str">
        <f>IFERROR(__xludf.DUMMYFUNCTION("""COMPUTED_VALUE"""),"451-FIND")</f>
        <v>451-FIND</v>
      </c>
      <c r="B192" s="7" t="str">
        <f>IFERROR(__xludf.DUMMYFUNCTION("""COMPUTED_VALUE"""),"Harnessing PDF Data for Improving Japanese Large Multimodal Models")</f>
        <v>Harnessing PDF Data for Improving Japanese Large Multimodal Models</v>
      </c>
      <c r="C192" s="7" t="str">
        <f>IFERROR(__xludf.DUMMYFUNCTION("""COMPUTED_VALUE"""),"Large Multimodal Models (LMMs) have demonstrated strong performance in English, but their effectiveness in Japanese remains limited due to the lack of high-quality training data. Current Japanese LMMs often rely on translated English datasets, restricting"&amp;" their ability to capture Japan-specific cultural knowledge. To address this, we explore the potential of Japanese PDF data as a training resource, an area that remains largely underutilized. We introduce a fully automated pipeline that leverages pretrain"&amp;"ed models to extract image-text pairs from PDFs through layout analysis, OCR, and vision-language alignment, removing the need for manual annotation. Additionally, we construct instruction data from extracted image-text pairs to further diversify the trai"&amp;"ning process. To evaluate the effectiveness of PDF-derived data, we train Japanese LMMs and assess their performance on the Japanese LMM Benchmark. Our results demonstrate substantial improvements, with performance gains ranging from 3.9% to 13.8% on Hero"&amp;"n-Bench. Further analysis highlights the impact of PDF-based data on various factors, such as model size and language models, reinforcing its value as a multimodal resource for Japanese LMMs. We plan to make the source code and data publicly available upo"&amp;"n acceptance.")</f>
        <v>Large Multimodal Models (LMMs) have demonstrated strong performance in English, but their effectiveness in Japanese remains limited due to the lack of high-quality training data. Current Japanese LMMs often rely on translated English datasets, restricting their ability to capture Japan-specific cultural knowledge. To address this, we explore the potential of Japanese PDF data as a training resource, an area that remains largely underutilized. We introduce a fully automated pipeline that leverages pretrained models to extract image-text pairs from PDFs through layout analysis, OCR, and vision-language alignment, removing the need for manual annotation. Additionally, we construct instruction data from extracted image-text pairs to further diversify the training process. To evaluate the effectiveness of PDF-derived data, we train Japanese LMMs and assess their performance on the Japanese LMM Benchmark. Our results demonstrate substantial improvements, with performance gains ranging from 3.9% to 13.8% on Heron-Bench. Further analysis highlights the impact of PDF-based data on various factors, such as model size and language models, reinforcing its value as a multimodal resource for Japanese LMMs. We plan to make the source code and data publicly available upon acceptance.</v>
      </c>
      <c r="D192" s="7" t="str">
        <f>IFERROR(__xludf.DUMMYFUNCTION("""COMPUTED_VALUE"""),"Jeonghun Baek")</f>
        <v>Jeonghun Baek</v>
      </c>
      <c r="E192" s="7" t="str">
        <f>IFERROR(__xludf.DUMMYFUNCTION("""COMPUTED_VALUE"""),"Yes")</f>
        <v>Yes</v>
      </c>
      <c r="F192" s="7" t="str">
        <f>IFERROR(__xludf.DUMMYFUNCTION("""COMPUTED_VALUE"""),"IP-Poster")</f>
        <v>IP-Poster</v>
      </c>
      <c r="G192" s="7" t="str">
        <f>IFERROR(__xludf.DUMMYFUNCTION("""COMPUTED_VALUE"""),"In-Person")</f>
        <v>In-Person</v>
      </c>
      <c r="H192" s="7" t="str">
        <f>IFERROR(__xludf.DUMMYFUNCTION("""COMPUTED_VALUE"""),"Hall 4/5")</f>
        <v>Hall 4/5</v>
      </c>
      <c r="I192" s="7" t="str">
        <f>IFERROR(__xludf.DUMMYFUNCTION("""COMPUTED_VALUE"""),"Session 5 :IP-Posters Find ")</f>
        <v>Session 5 :IP-Posters Find </v>
      </c>
      <c r="J192" s="7" t="str">
        <f>IFERROR(__xludf.DUMMYFUNCTION("""COMPUTED_VALUE"""),"Findings Posters - In-Person 1")</f>
        <v>Findings Posters - In-Person 1</v>
      </c>
      <c r="K192" s="7"/>
      <c r="L192" s="8">
        <f>IFERROR(__xludf.DUMMYFUNCTION("""COMPUTED_VALUE"""),45866.0)</f>
        <v>45866</v>
      </c>
      <c r="M192" s="7" t="str">
        <f>IFERROR(__xludf.DUMMYFUNCTION("""COMPUTED_VALUE"""),"18:00-19:30")</f>
        <v>18:00-19:30</v>
      </c>
      <c r="N192" s="7"/>
    </row>
    <row r="193">
      <c r="A193" s="7" t="str">
        <f>IFERROR(__xludf.DUMMYFUNCTION("""COMPUTED_VALUE"""),"452-FIND")</f>
        <v>452-FIND</v>
      </c>
      <c r="B193" s="7" t="str">
        <f>IFERROR(__xludf.DUMMYFUNCTION("""COMPUTED_VALUE"""),"EnerGIZAr: Leveraging GIZA++ for Effective Tokenizer Initialization")</f>
        <v>EnerGIZAr: Leveraging GIZA++ for Effective Tokenizer Initialization</v>
      </c>
      <c r="C193" s="7" t="str">
        <f>IFERROR(__xludf.DUMMYFUNCTION("""COMPUTED_VALUE"""),"Continual pre-training has long been considered the default strategy for adapting models to non-English languages, but struggles with initializing new embeddings, particularly for non-Latin scripts. In this work, we propose EnerGIZAr, a novel methodology "&amp;"that improves continual pre-training by leveraging statistical word alignment techniques. Our approach utilizes GIZA++ to construct a subword-level alignment matrix between source (English) and target language tokens. This matrix enables informed initiali"&amp;"zation of target tokenizer embeddings, which provides a more effective starting point for adaptation. We evaluate EnerGIZAr against state-of-the-art initialization strategies such as OFA and FOCUS across four typologically diverse languages: Hindi, Basque"&amp;", Arabic and Korean. Experimental results on key NLP tasks -- including POS tagging, Sentiment Analysis, NLI, and NER -- demonstrate that EnerGIZAr achieves superior monolingual performance while also out-performing all methods for cross-lingual transfer "&amp;"when tested on XNLI. With EnerGIZAr, we propose an intuitive, explainable as well as state-of-the-art initialisation technique for continual pre-training of English models.")</f>
        <v>Continual pre-training has long been considered the default strategy for adapting models to non-English languages, but struggles with initializing new embeddings, particularly for non-Latin scripts. In this work, we propose EnerGIZAr, a novel methodology that improves continual pre-training by leveraging statistical word alignment techniques. Our approach utilizes GIZA++ to construct a subword-level alignment matrix between source (English) and target language tokens. This matrix enables informed initialization of target tokenizer embeddings, which provides a more effective starting point for adaptation. We evaluate EnerGIZAr against state-of-the-art initialization strategies such as OFA and FOCUS across four typologically diverse languages: Hindi, Basque, Arabic and Korean. Experimental results on key NLP tasks -- including POS tagging, Sentiment Analysis, NLI, and NER -- demonstrate that EnerGIZAr achieves superior monolingual performance while also out-performing all methods for cross-lingual transfer when tested on XNLI. With EnerGIZAr, we propose an intuitive, explainable as well as state-of-the-art initialisation technique for continual pre-training of English models.</v>
      </c>
      <c r="D193" s="7" t="str">
        <f>IFERROR(__xludf.DUMMYFUNCTION("""COMPUTED_VALUE"""),"Pranaydeep Singh")</f>
        <v>Pranaydeep Singh</v>
      </c>
      <c r="E193" s="7" t="str">
        <f>IFERROR(__xludf.DUMMYFUNCTION("""COMPUTED_VALUE"""),"Yes")</f>
        <v>Yes</v>
      </c>
      <c r="F193" s="7" t="str">
        <f>IFERROR(__xludf.DUMMYFUNCTION("""COMPUTED_VALUE"""),"IP-Poster")</f>
        <v>IP-Poster</v>
      </c>
      <c r="G193" s="7" t="str">
        <f>IFERROR(__xludf.DUMMYFUNCTION("""COMPUTED_VALUE"""),"In-Person")</f>
        <v>In-Person</v>
      </c>
      <c r="H193" s="7" t="str">
        <f>IFERROR(__xludf.DUMMYFUNCTION("""COMPUTED_VALUE"""),"Hall 4/5")</f>
        <v>Hall 4/5</v>
      </c>
      <c r="I193" s="7" t="str">
        <f>IFERROR(__xludf.DUMMYFUNCTION("""COMPUTED_VALUE"""),"Session 5 :IP-Posters Find ")</f>
        <v>Session 5 :IP-Posters Find </v>
      </c>
      <c r="J193" s="7" t="str">
        <f>IFERROR(__xludf.DUMMYFUNCTION("""COMPUTED_VALUE"""),"Findings Posters - In-Person 1")</f>
        <v>Findings Posters - In-Person 1</v>
      </c>
      <c r="K193" s="7"/>
      <c r="L193" s="8">
        <f>IFERROR(__xludf.DUMMYFUNCTION("""COMPUTED_VALUE"""),45866.0)</f>
        <v>45866</v>
      </c>
      <c r="M193" s="7" t="str">
        <f>IFERROR(__xludf.DUMMYFUNCTION("""COMPUTED_VALUE"""),"18:00-19:30")</f>
        <v>18:00-19:30</v>
      </c>
      <c r="N193" s="7"/>
    </row>
    <row r="194">
      <c r="A194" s="7" t="str">
        <f>IFERROR(__xludf.DUMMYFUNCTION("""COMPUTED_VALUE"""),"456-FIND")</f>
        <v>456-FIND</v>
      </c>
      <c r="B194" s="7" t="str">
        <f>IFERROR(__xludf.DUMMYFUNCTION("""COMPUTED_VALUE"""),"AMEX: Android Multi-annotation Expo Dataset for Mobile GUI Agents")</f>
        <v>AMEX: Android Multi-annotation Expo Dataset for Mobile GUI Agents</v>
      </c>
      <c r="C194" s="7" t="str">
        <f>IFERROR(__xludf.DUMMYFUNCTION("""COMPUTED_VALUE"""),"AI agents have drawn increasing attention mostly on their ability to perceive environments, understand tasks, and autonomously achieve goals. To advance research on AI agents in mobile scenarios, we introduce the Android Multi-annotation EXpo (AMEX), a co"&amp;"mprehensive, large-scale dataset designed for generalist mobile GUI-control agents which are capable of completing tasks by directly interacting with the graphical user interface (GUI) on mobile devices. AMEX comprises over 104K high-resolution screenshot"&amp;"s from popular mobile applications, which are annotated at multiple levels. Unlike existing GUI-related datasets, e.g., Rico, AitW, etc., AMEX includes three levels of annotations: GUI interactive element grounding, GUI screen and element functionality de"&amp;"scriptions, and complex natural language instructions with stepwise GUI-action chains. We develop this dataset from a more instructive and detailed perspective, complementing the general settings of existing datasets. Additionally, we finetune a baseline "&amp;"model SPHINX Agent and illustrate the effectiveness of AMEX.")</f>
        <v>AI agents have drawn increasing attention mostly on their ability to perceive environments, understand tasks, and autonomously achieve goals. To advance research on AI agents in mobile scenarios, we introduce the Android Multi-annotation EXpo (AMEX), a comprehensive, large-scale dataset designed for generalist mobile GUI-control agents which are capable of completing tasks by directly interacting with the graphical user interface (GUI) on mobile devices. AMEX comprises over 104K high-resolution screenshots from popular mobile applications, which are annotated at multiple levels. Unlike existing GUI-related datasets, e.g., Rico, AitW, etc., AMEX includes three levels of annotations: GUI interactive element grounding, GUI screen and element functionality descriptions, and complex natural language instructions with stepwise GUI-action chains. We develop this dataset from a more instructive and detailed perspective, complementing the general settings of existing datasets. Additionally, we finetune a baseline model SPHINX Agent and illustrate the effectiveness of AMEX.</v>
      </c>
      <c r="D194" s="7" t="str">
        <f>IFERROR(__xludf.DUMMYFUNCTION("""COMPUTED_VALUE"""),"Yuxiang Chai")</f>
        <v>Yuxiang Chai</v>
      </c>
      <c r="E194" s="7" t="str">
        <f>IFERROR(__xludf.DUMMYFUNCTION("""COMPUTED_VALUE"""),"Yes")</f>
        <v>Yes</v>
      </c>
      <c r="F194" s="7" t="str">
        <f>IFERROR(__xludf.DUMMYFUNCTION("""COMPUTED_VALUE"""),"IP-Poster")</f>
        <v>IP-Poster</v>
      </c>
      <c r="G194" s="7" t="str">
        <f>IFERROR(__xludf.DUMMYFUNCTION("""COMPUTED_VALUE"""),"In-Person")</f>
        <v>In-Person</v>
      </c>
      <c r="H194" s="7" t="str">
        <f>IFERROR(__xludf.DUMMYFUNCTION("""COMPUTED_VALUE"""),"Hall 4/5")</f>
        <v>Hall 4/5</v>
      </c>
      <c r="I194" s="7" t="str">
        <f>IFERROR(__xludf.DUMMYFUNCTION("""COMPUTED_VALUE"""),"Session 5 :IP-Posters Find ")</f>
        <v>Session 5 :IP-Posters Find </v>
      </c>
      <c r="J194" s="7" t="str">
        <f>IFERROR(__xludf.DUMMYFUNCTION("""COMPUTED_VALUE"""),"Findings Posters - In-Person 1")</f>
        <v>Findings Posters - In-Person 1</v>
      </c>
      <c r="K194" s="7"/>
      <c r="L194" s="8">
        <f>IFERROR(__xludf.DUMMYFUNCTION("""COMPUTED_VALUE"""),45866.0)</f>
        <v>45866</v>
      </c>
      <c r="M194" s="7" t="str">
        <f>IFERROR(__xludf.DUMMYFUNCTION("""COMPUTED_VALUE"""),"18:00-19:30")</f>
        <v>18:00-19:30</v>
      </c>
      <c r="N194" s="7"/>
    </row>
    <row r="195">
      <c r="A195" s="7" t="str">
        <f>IFERROR(__xludf.DUMMYFUNCTION("""COMPUTED_VALUE"""),"464-FIND")</f>
        <v>464-FIND</v>
      </c>
      <c r="B195" s="7" t="str">
        <f>IFERROR(__xludf.DUMMYFUNCTION("""COMPUTED_VALUE"""),"Drop Dropout on Single Epoch Language Model Pretraining")</f>
        <v>Drop Dropout on Single Epoch Language Model Pretraining</v>
      </c>
      <c r="C195" s="7" t="str">
        <f>IFERROR(__xludf.DUMMYFUNCTION("""COMPUTED_VALUE"""),"Originally, dropout was seen as a breakthrough regularization technique that reduced overfitting and improved performance in almost all applications of deep learning by reducing overfitting. Yet, single-epoch pretraining tasks common to modern LLMs yield "&amp;"minimal overfitting, leading to dropout not being used for large LLMs. Nevertheless, no thorough empirical investigation has been done on the role of dropout in LM pretraining. Through experiments in single-epoch pretraining of both masked (BERT) and auto"&amp;"regressive (Pythia 160M and 1.4B) LMs with varying levels of dropout, we find that downstream performance in language modeling, morpho-syntax (BLiMP), and question answering (SQuAD) improves when dropout is not applied during pretraining. We additionally "&amp;"find that the recently-introduced ""early dropout"" also degrades performance over applying no dropout at all. We further investigate the models' editability, and find that models trained without dropout are more successful in gradient-based model editing"&amp;" (MEND) and equivalent in representation-based model editing (ReFT). Therefore, we advocate to **drop dropout** during single-epoch pretraining.")</f>
        <v>Originally, dropout was seen as a breakthrough regularization technique that reduced overfitting and improved performance in almost all applications of deep learning by reducing overfitting. Yet, single-epoch pretraining tasks common to modern LLMs yield minimal overfitting, leading to dropout not being used for large LLMs. Nevertheless, no thorough empirical investigation has been done on the role of dropout in LM pretraining. Through experiments in single-epoch pretraining of both masked (BERT) and autoregressive (Pythia 160M and 1.4B) LMs with varying levels of dropout, we find that downstream performance in language modeling, morpho-syntax (BLiMP), and question answering (SQuAD) improves when dropout is not applied during pretraining. We additionally find that the recently-introduced "early dropout" also degrades performance over applying no dropout at all. We further investigate the models' editability, and find that models trained without dropout are more successful in gradient-based model editing (MEND) and equivalent in representation-based model editing (ReFT). Therefore, we advocate to **drop dropout** during single-epoch pretraining.</v>
      </c>
      <c r="D195" s="7" t="str">
        <f>IFERROR(__xludf.DUMMYFUNCTION("""COMPUTED_VALUE"""),"Houjun Liu")</f>
        <v>Houjun Liu</v>
      </c>
      <c r="E195" s="7" t="str">
        <f>IFERROR(__xludf.DUMMYFUNCTION("""COMPUTED_VALUE"""),"Yes")</f>
        <v>Yes</v>
      </c>
      <c r="F195" s="7" t="str">
        <f>IFERROR(__xludf.DUMMYFUNCTION("""COMPUTED_VALUE"""),"IP-Poster")</f>
        <v>IP-Poster</v>
      </c>
      <c r="G195" s="7" t="str">
        <f>IFERROR(__xludf.DUMMYFUNCTION("""COMPUTED_VALUE"""),"In-Person")</f>
        <v>In-Person</v>
      </c>
      <c r="H195" s="7" t="str">
        <f>IFERROR(__xludf.DUMMYFUNCTION("""COMPUTED_VALUE"""),"Hall 4/5")</f>
        <v>Hall 4/5</v>
      </c>
      <c r="I195" s="7" t="str">
        <f>IFERROR(__xludf.DUMMYFUNCTION("""COMPUTED_VALUE"""),"Session 5 :IP-Posters Find ")</f>
        <v>Session 5 :IP-Posters Find </v>
      </c>
      <c r="J195" s="7" t="str">
        <f>IFERROR(__xludf.DUMMYFUNCTION("""COMPUTED_VALUE"""),"Findings Posters - In-Person 1")</f>
        <v>Findings Posters - In-Person 1</v>
      </c>
      <c r="K195" s="7"/>
      <c r="L195" s="8">
        <f>IFERROR(__xludf.DUMMYFUNCTION("""COMPUTED_VALUE"""),45866.0)</f>
        <v>45866</v>
      </c>
      <c r="M195" s="7" t="str">
        <f>IFERROR(__xludf.DUMMYFUNCTION("""COMPUTED_VALUE"""),"18:00-19:30")</f>
        <v>18:00-19:30</v>
      </c>
      <c r="N195" s="7"/>
    </row>
    <row r="196">
      <c r="A196" s="7" t="str">
        <f>IFERROR(__xludf.DUMMYFUNCTION("""COMPUTED_VALUE"""),"473-FIND")</f>
        <v>473-FIND</v>
      </c>
      <c r="B196" s="7" t="str">
        <f>IFERROR(__xludf.DUMMYFUNCTION("""COMPUTED_VALUE"""),"Robust and Minimally Invasive Watermarking for EaaS")</f>
        <v>Robust and Minimally Invasive Watermarking for EaaS</v>
      </c>
      <c r="C196" s="7" t="str">
        <f>IFERROR(__xludf.DUMMYFUNCTION("""COMPUTED_VALUE"""),"Embeddings as a Service (EaaS) is emerging as a crucial role in AI applications. Unfortunately, EaaS is vulnerable to model extraction attacks, highlighting the urgent need for copyright protection. Although some preliminary works propose applying embeddi"&amp;"ng watermarks to protect EaaS, recent research reveals that these watermarks can be easily removed. Hence, it is crucial to inject robust watermarks resistant to watermark removal attacks. Existing watermarking methods typically inject a target embedding "&amp;"into embeddings through linear interpolation when the text contains triggers. However, this mechanism results in each watermarked embedding having the same component, which makes the watermark easy to identify and eliminate. Motivated by this, in this pap"&amp;"er, we propose a novel embedding-specific watermarking (ESpeW) mechanism to offer robust copyright protection for EaaS. Our approach involves injecting unique, yet readily identifiable watermarks into each embedding. Watermarks inserted by ESpeW are desig"&amp;"ned to maintain a significant distance from one another and to avoid sharing common components, thus making it significantly more challenging to remove the watermarks. Moreover, ESpeW is minimally invasive, as it reduces the impact on embeddings to less t"&amp;"han 1\%, setting a new milestone in watermarking for EaaS. Extensive experiments on four popular datasets demonstrate that ESpeW can even watermark successfully against a highly aggressive removal strategy without sacrificing the quality of embeddings.")</f>
        <v>Embeddings as a Service (EaaS) is emerging as a crucial role in AI applications. Unfortunately, EaaS is vulnerable to model extraction attacks, highlighting the urgent need for copyright protection. Although some preliminary works propose applying embedding watermarks to protect EaaS, recent research reveals that these watermarks can be easily removed. Hence, it is crucial to inject robust watermarks resistant to watermark removal attacks. Existing watermarking methods typically inject a target embedding into embeddings through linear interpolation when the text contains triggers. However, this mechanism results in each watermarked embedding having the same component, which makes the watermark easy to identify and eliminate. Motivated by this, in this paper, we propose a novel embedding-specific watermarking (ESpeW) mechanism to offer robust copyright protection for EaaS. Our approach involves injecting unique, yet readily identifiable watermarks into each embedding. Watermarks inserted by ESpeW are designed to maintain a significant distance from one another and to avoid sharing common components, thus making it significantly more challenging to remove the watermarks. Moreover, ESpeW is minimally invasive, as it reduces the impact on embeddings to less than 1\%, setting a new milestone in watermarking for EaaS. Extensive experiments on four popular datasets demonstrate that ESpeW can even watermark successfully against a highly aggressive removal strategy without sacrificing the quality of embeddings.</v>
      </c>
      <c r="D196" s="7" t="str">
        <f>IFERROR(__xludf.DUMMYFUNCTION("""COMPUTED_VALUE"""),"Zongqi Wang")</f>
        <v>Zongqi Wang</v>
      </c>
      <c r="E196" s="7" t="str">
        <f>IFERROR(__xludf.DUMMYFUNCTION("""COMPUTED_VALUE"""),"#N/A")</f>
        <v>#N/A</v>
      </c>
      <c r="F196" s="7" t="str">
        <f>IFERROR(__xludf.DUMMYFUNCTION("""COMPUTED_VALUE"""),"Not Pres. ")</f>
        <v>Not Pres. </v>
      </c>
      <c r="G196" s="7" t="str">
        <f>IFERROR(__xludf.DUMMYFUNCTION("""COMPUTED_VALUE"""),"NP Findings Not Presenting ")</f>
        <v>NP Findings Not Presenting </v>
      </c>
      <c r="H196" s="7"/>
      <c r="I196" s="7" t="str">
        <f>IFERROR(__xludf.DUMMYFUNCTION("""COMPUTED_VALUE"""),"NP-Find")</f>
        <v>NP-Find</v>
      </c>
      <c r="J196" s="7"/>
      <c r="K196" s="7"/>
      <c r="L196" s="8"/>
      <c r="M196" s="7"/>
      <c r="N196" s="7"/>
    </row>
    <row r="197">
      <c r="A197" s="7" t="str">
        <f>IFERROR(__xludf.DUMMYFUNCTION("""COMPUTED_VALUE"""),"474-FIND")</f>
        <v>474-FIND</v>
      </c>
      <c r="B197" s="7" t="str">
        <f>IFERROR(__xludf.DUMMYFUNCTION("""COMPUTED_VALUE"""),"Task-Informed Anti-Curriculum by Masking Improves Downstream Performance on Text")</f>
        <v>Task-Informed Anti-Curriculum by Masking Improves Downstream Performance on Text</v>
      </c>
      <c r="C197" s="7" t="str">
        <f>IFERROR(__xludf.DUMMYFUNCTION("""COMPUTED_VALUE"""),"Masked language modeling has become a widely adopted unsupervised technique to pre-train large language models (LLMs). However, the process of selecting tokens for masking is random, and the percentage of masked tokens is typically fixed for the entire tr"&amp;"aining process. In this paper, we propose to adjust the masking ratio and to decide which tokens to mask based on a novel task-informed anti-curriculum learning scheme. First, we harness task-specific knowledge about useful and harmful tokens in order to "&amp;"determine which tokens to mask. Second, we propose a cyclic decaying masking ratio, which corresponds to an anti-curriculum schedule (from hard to easy). We exemplify our novel task-informed anti-curriculum by masking (TIACBM) approach across three divers"&amp;"e downstream tasks: sentiment analysis, text classification by topic, and authorship attribution. Our findings suggest that TIACBM enhances the ability of the model to focus on key task-relevant features, contributing to statistically significant performa"&amp;"nce gains across tasks. We release our code at https://github.com/JarcaAndrei/TIACBM.")</f>
        <v>Masked language modeling has become a widely adopted unsupervised technique to pre-train large language models (LLMs). However, the process of selecting tokens for masking is random, and the percentage of masked tokens is typically fixed for the entire training process. In this paper, we propose to adjust the masking ratio and to decide which tokens to mask based on a novel task-informed anti-curriculum learning scheme. First, we harness task-specific knowledge about useful and harmful tokens in order to determine which tokens to mask. Second, we propose a cyclic decaying masking ratio, which corresponds to an anti-curriculum schedule (from hard to easy). We exemplify our novel task-informed anti-curriculum by masking (TIACBM) approach across three diverse downstream tasks: sentiment analysis, text classification by topic, and authorship attribution. Our findings suggest that TIACBM enhances the ability of the model to focus on key task-relevant features, contributing to statistically significant performance gains across tasks. We release our code at https://github.com/JarcaAndrei/TIACBM.</v>
      </c>
      <c r="D197" s="7" t="str">
        <f>IFERROR(__xludf.DUMMYFUNCTION("""COMPUTED_VALUE"""),"Radu Tudor Ionescu")</f>
        <v>Radu Tudor Ionescu</v>
      </c>
      <c r="E197" s="7" t="str">
        <f>IFERROR(__xludf.DUMMYFUNCTION("""COMPUTED_VALUE"""),"Yes")</f>
        <v>Yes</v>
      </c>
      <c r="F197" s="7" t="str">
        <f>IFERROR(__xludf.DUMMYFUNCTION("""COMPUTED_VALUE"""),"IP-Poster")</f>
        <v>IP-Poster</v>
      </c>
      <c r="G197" s="7" t="str">
        <f>IFERROR(__xludf.DUMMYFUNCTION("""COMPUTED_VALUE"""),"In-Person")</f>
        <v>In-Person</v>
      </c>
      <c r="H197" s="7" t="str">
        <f>IFERROR(__xludf.DUMMYFUNCTION("""COMPUTED_VALUE"""),"Hall 4/5")</f>
        <v>Hall 4/5</v>
      </c>
      <c r="I197" s="7" t="str">
        <f>IFERROR(__xludf.DUMMYFUNCTION("""COMPUTED_VALUE"""),"Session 5 :IP-Posters Find ")</f>
        <v>Session 5 :IP-Posters Find </v>
      </c>
      <c r="J197" s="7" t="str">
        <f>IFERROR(__xludf.DUMMYFUNCTION("""COMPUTED_VALUE"""),"Findings Posters - In-Person 1")</f>
        <v>Findings Posters - In-Person 1</v>
      </c>
      <c r="K197" s="7"/>
      <c r="L197" s="8">
        <f>IFERROR(__xludf.DUMMYFUNCTION("""COMPUTED_VALUE"""),45866.0)</f>
        <v>45866</v>
      </c>
      <c r="M197" s="7" t="str">
        <f>IFERROR(__xludf.DUMMYFUNCTION("""COMPUTED_VALUE"""),"18:00-19:30")</f>
        <v>18:00-19:30</v>
      </c>
      <c r="N197" s="7"/>
    </row>
    <row r="198">
      <c r="A198" s="7" t="str">
        <f>IFERROR(__xludf.DUMMYFUNCTION("""COMPUTED_VALUE"""),"482-FIND")</f>
        <v>482-FIND</v>
      </c>
      <c r="B198" s="7" t="str">
        <f>IFERROR(__xludf.DUMMYFUNCTION("""COMPUTED_VALUE"""),"CARMO: Dynamic Criteria Generation for Context Aware Reward Modelling")</f>
        <v>CARMO: Dynamic Criteria Generation for Context Aware Reward Modelling</v>
      </c>
      <c r="C198" s="7" t="str">
        <f>IFERROR(__xludf.DUMMYFUNCTION("""COMPUTED_VALUE"""),"Reward modeling in large language models is known to be susceptible to reward hacking, causing models to latch onto superficial features such as the tendency to generate lists or unnecessarily long responses. In RLHF—and more generally during post-trainin"&amp;"g—flawed reward signals often lead to outputs that optimize for these spurious correlates instead of genuine quality or correctness. We propose CARMO (Context-Aware Reward Modeling), a novel approach that first generates dynamic, context-relevant criteria"&amp;" to ground the reward model prior to producing reward scores. Unlike prior methods that use static rubrics, CARMO leverages powerful LLMs to adaptively create evaluation criteria---e.g., logical consistency, clarity, and depth---tailored to the user query"&amp;". Our theoretical analysis shows that such criteria generation can mitigate reward hacking. We further demonstrate how CARMO can be distilled into smaller models, thereby lowering the computational cost of alignment. We establish a new state-of-the-art pe"&amp;"rformance on zero shot settings for generative models, with a 2.1% improvement on Reward Bench.Furthermore, alignment performed on the CARMO-curated preference dataset achieves 22.5% and 21.1% LC-WR (%) and WR (%) on Mistral-Base (7B). We release our data"&amp;"sets (anonymously) at https://huggingface.co/datasets/Multi-preference-Optimization/CARMO-UltraFeedback.")</f>
        <v>Reward modeling in large language models is known to be susceptible to reward hacking, causing models to latch onto superficial features such as the tendency to generate lists or unnecessarily long responses. In RLHF—and more generally during post-training—flawed reward signals often lead to outputs that optimize for these spurious correlates instead of genuine quality or correctness. We propose CARMO (Context-Aware Reward Modeling), a novel approach that first generates dynamic, context-relevant criteria to ground the reward model prior to producing reward scores. Unlike prior methods that use static rubrics, CARMO leverages powerful LLMs to adaptively create evaluation criteria---e.g., logical consistency, clarity, and depth---tailored to the user query. Our theoretical analysis shows that such criteria generation can mitigate reward hacking. We further demonstrate how CARMO can be distilled into smaller models, thereby lowering the computational cost of alignment. We establish a new state-of-the-art performance on zero shot settings for generative models, with a 2.1% improvement on Reward Bench.Furthermore, alignment performed on the CARMO-curated preference dataset achieves 22.5% and 21.1% LC-WR (%) and WR (%) on Mistral-Base (7B). We release our datasets (anonymously) at https://huggingface.co/datasets/Multi-preference-Optimization/CARMO-UltraFeedback.</v>
      </c>
      <c r="D198" s="7" t="str">
        <f>IFERROR(__xludf.DUMMYFUNCTION("""COMPUTED_VALUE"""),"Taneesh Gupta")</f>
        <v>Taneesh Gupta</v>
      </c>
      <c r="E198" s="7" t="str">
        <f>IFERROR(__xludf.DUMMYFUNCTION("""COMPUTED_VALUE"""),"#N/A")</f>
        <v>#N/A</v>
      </c>
      <c r="F198" s="7" t="str">
        <f>IFERROR(__xludf.DUMMYFUNCTION("""COMPUTED_VALUE"""),"Not Pres. ")</f>
        <v>Not Pres. </v>
      </c>
      <c r="G198" s="7" t="str">
        <f>IFERROR(__xludf.DUMMYFUNCTION("""COMPUTED_VALUE"""),"NP Findings Not Presenting ")</f>
        <v>NP Findings Not Presenting </v>
      </c>
      <c r="H198" s="7"/>
      <c r="I198" s="7" t="str">
        <f>IFERROR(__xludf.DUMMYFUNCTION("""COMPUTED_VALUE"""),"NP-Find")</f>
        <v>NP-Find</v>
      </c>
      <c r="J198" s="7"/>
      <c r="K198" s="7"/>
      <c r="L198" s="8"/>
      <c r="M198" s="7"/>
      <c r="N198" s="7"/>
    </row>
    <row r="199">
      <c r="A199" s="7" t="str">
        <f>IFERROR(__xludf.DUMMYFUNCTION("""COMPUTED_VALUE"""),"484-FIND")</f>
        <v>484-FIND</v>
      </c>
      <c r="B199" s="7" t="str">
        <f>IFERROR(__xludf.DUMMYFUNCTION("""COMPUTED_VALUE"""),"SLAM-Omni: Timbre-Controllable Voice Interaction System with Single-Stage Training")</f>
        <v>SLAM-Omni: Timbre-Controllable Voice Interaction System with Single-Stage Training</v>
      </c>
      <c r="C199" s="7" t="str">
        <f>IFERROR(__xludf.DUMMYFUNCTION("""COMPUTED_VALUE"""),"Recent advancements highlight the potential of end-to-end real-time spoken dialogue systems, showcasing their low latency and high quality. In this paper, we introduce SLAM-Omni, a timbre-controllable, end-to-end voice interaction system with single-stage"&amp;" training. SLAM-Omni achieves zero-shot timbre control by modeling spoken language with semantic tokens and decoupling speaker information to a vocoder. By predicting grouped speech semantic tokens at each step, our method significantly reduces the sequen"&amp;"ce length of audio tokens, accelerating both training and inference. Additionally, we propose historical text prompting to compress dialogue history, facilitating efficient multi-round interactions. Comprehensive evaluations reveal that SLAM-Omni outperfo"&amp;"rms prior models of similar scale, requiring only 15 hours of training on 4 GPUs with limited data. Notably, it is the first spoken dialogue system to achieve competitive performance with a single-stage training approach, eliminating the need for pre-trai"&amp;"ning on TTS or ASR tasks. Further experiments validate its multilingual and multi-turn dialogue capabilities on larger datasets.")</f>
        <v>Recent advancements highlight the potential of end-to-end real-time spoken dialogue systems, showcasing their low latency and high quality. In this paper, we introduce SLAM-Omni, a timbre-controllable, end-to-end voice interaction system with single-stage training. SLAM-Omni achieves zero-shot timbre control by modeling spoken language with semantic tokens and decoupling speaker information to a vocoder. By predicting grouped speech semantic tokens at each step, our method significantly reduces the sequence length of audio tokens, accelerating both training and inference. Additionally, we propose historical text prompting to compress dialogue history, facilitating efficient multi-round interactions. Comprehensive evaluations reveal that SLAM-Omni outperforms prior models of similar scale, requiring only 15 hours of training on 4 GPUs with limited data. Notably, it is the first spoken dialogue system to achieve competitive performance with a single-stage training approach, eliminating the need for pre-training on TTS or ASR tasks. Further experiments validate its multilingual and multi-turn dialogue capabilities on larger datasets.</v>
      </c>
      <c r="D199" s="7" t="str">
        <f>IFERROR(__xludf.DUMMYFUNCTION("""COMPUTED_VALUE"""),"Wenxi Chen")</f>
        <v>Wenxi Chen</v>
      </c>
      <c r="E199" s="7" t="str">
        <f>IFERROR(__xludf.DUMMYFUNCTION("""COMPUTED_VALUE"""),"Yes")</f>
        <v>Yes</v>
      </c>
      <c r="F199" s="7" t="str">
        <f>IFERROR(__xludf.DUMMYFUNCTION("""COMPUTED_VALUE"""),"IP-Poster")</f>
        <v>IP-Poster</v>
      </c>
      <c r="G199" s="7" t="str">
        <f>IFERROR(__xludf.DUMMYFUNCTION("""COMPUTED_VALUE"""),"In-Person")</f>
        <v>In-Person</v>
      </c>
      <c r="H199" s="7" t="str">
        <f>IFERROR(__xludf.DUMMYFUNCTION("""COMPUTED_VALUE"""),"Hall 4/5")</f>
        <v>Hall 4/5</v>
      </c>
      <c r="I199" s="7" t="str">
        <f>IFERROR(__xludf.DUMMYFUNCTION("""COMPUTED_VALUE"""),"Session 5 :IP-Posters Find ")</f>
        <v>Session 5 :IP-Posters Find </v>
      </c>
      <c r="J199" s="7" t="str">
        <f>IFERROR(__xludf.DUMMYFUNCTION("""COMPUTED_VALUE"""),"Findings Posters - In-Person 1")</f>
        <v>Findings Posters - In-Person 1</v>
      </c>
      <c r="K199" s="7"/>
      <c r="L199" s="8">
        <f>IFERROR(__xludf.DUMMYFUNCTION("""COMPUTED_VALUE"""),45866.0)</f>
        <v>45866</v>
      </c>
      <c r="M199" s="7" t="str">
        <f>IFERROR(__xludf.DUMMYFUNCTION("""COMPUTED_VALUE"""),"18:00-19:30")</f>
        <v>18:00-19:30</v>
      </c>
      <c r="N199" s="7"/>
    </row>
    <row r="200">
      <c r="A200" s="7" t="str">
        <f>IFERROR(__xludf.DUMMYFUNCTION("""COMPUTED_VALUE"""),"487-FIND")</f>
        <v>487-FIND</v>
      </c>
      <c r="B200" s="7" t="str">
        <f>IFERROR(__xludf.DUMMYFUNCTION("""COMPUTED_VALUE"""),"C2LEVA: Toward Comprehensive and Contamination-Free Language Model Evaluation")</f>
        <v>C2LEVA: Toward Comprehensive and Contamination-Free Language Model Evaluation</v>
      </c>
      <c r="C200" s="7" t="str">
        <f>IFERROR(__xludf.DUMMYFUNCTION("""COMPUTED_VALUE"""),"Recent advances in large language models (LLMs) have shown significant promise, yet their evaluation raises concerns, particularly regarding data contamination due to the lack of access to proprietary training data. To address this issue, we present C2LEV"&amp;"A, a comprehensive bilingual benchmark featuring systematic contamination prevention. C2LEVA firstly offers a holistic evaluation encompassing 22 tasks, each targeting a specific application or ability of LLMs, and secondly a trustworthy assessment due to"&amp;" our contamination-free tasks, ensured by a systematic contamination prevention strategy that fully automates test data renewal and enforces data protection during benchmark data release. Our large-scale evaluation of 15 open-source and proprietary models"&amp;" demonstrates the effectiveness of C2LEVA.")</f>
        <v>Recent advances in large language models (LLMs) have shown significant promise, yet their evaluation raises concerns, particularly regarding data contamination due to the lack of access to proprietary training data. To address this issue, we present C2LEVA, a comprehensive bilingual benchmark featuring systematic contamination prevention. C2LEVA firstly offers a holistic evaluation encompassing 22 tasks, each targeting a specific application or ability of LLMs, and secondly a trustworthy assessment due to our contamination-free tasks, ensured by a systematic contamination prevention strategy that fully automates test data renewal and enforces data protection during benchmark data release. Our large-scale evaluation of 15 open-source and proprietary models demonstrates the effectiveness of C2LEVA.</v>
      </c>
      <c r="D200" s="7" t="str">
        <f>IFERROR(__xludf.DUMMYFUNCTION("""COMPUTED_VALUE"""),"Yanyang Li")</f>
        <v>Yanyang Li</v>
      </c>
      <c r="E200" s="7" t="str">
        <f>IFERROR(__xludf.DUMMYFUNCTION("""COMPUTED_VALUE"""),"Yes")</f>
        <v>Yes</v>
      </c>
      <c r="F200" s="7" t="str">
        <f>IFERROR(__xludf.DUMMYFUNCTION("""COMPUTED_VALUE"""),"IP-Poster")</f>
        <v>IP-Poster</v>
      </c>
      <c r="G200" s="7" t="str">
        <f>IFERROR(__xludf.DUMMYFUNCTION("""COMPUTED_VALUE"""),"In-Person")</f>
        <v>In-Person</v>
      </c>
      <c r="H200" s="7" t="str">
        <f>IFERROR(__xludf.DUMMYFUNCTION("""COMPUTED_VALUE"""),"Hall 4/5")</f>
        <v>Hall 4/5</v>
      </c>
      <c r="I200" s="7" t="str">
        <f>IFERROR(__xludf.DUMMYFUNCTION("""COMPUTED_VALUE"""),"Session 5 :IP-Posters Find ")</f>
        <v>Session 5 :IP-Posters Find </v>
      </c>
      <c r="J200" s="7" t="str">
        <f>IFERROR(__xludf.DUMMYFUNCTION("""COMPUTED_VALUE"""),"Findings Posters - In-Person 1")</f>
        <v>Findings Posters - In-Person 1</v>
      </c>
      <c r="K200" s="7"/>
      <c r="L200" s="8">
        <f>IFERROR(__xludf.DUMMYFUNCTION("""COMPUTED_VALUE"""),45866.0)</f>
        <v>45866</v>
      </c>
      <c r="M200" s="7" t="str">
        <f>IFERROR(__xludf.DUMMYFUNCTION("""COMPUTED_VALUE"""),"18:00-19:30")</f>
        <v>18:00-19:30</v>
      </c>
      <c r="N200" s="7"/>
    </row>
    <row r="201">
      <c r="A201" s="7" t="str">
        <f>IFERROR(__xludf.DUMMYFUNCTION("""COMPUTED_VALUE"""),"500-FIND")</f>
        <v>500-FIND</v>
      </c>
      <c r="B201" s="7" t="str">
        <f>IFERROR(__xludf.DUMMYFUNCTION("""COMPUTED_VALUE"""),"Texts or Images? A Fine-grained Analysis on the Effectiveness of Input Representations and Models for Table Question Answering")</f>
        <v>Texts or Images? A Fine-grained Analysis on the Effectiveness of Input Representations and Models for Table Question Answering</v>
      </c>
      <c r="C201" s="7" t="str">
        <f>IFERROR(__xludf.DUMMYFUNCTION("""COMPUTED_VALUE"""),"In table question answering (TQA), tables are encoded as either texts or images. Prior work suggests that passing images of tables to multi-modal large language models (MLLMs) performs comparably to using textual input with large language models (LLMs). H"&amp;"owever, the lack of controlled setups limits fine-grained distinctions between these approaches. In this paper, we conduct the first controlled study on the effectiveness of several combinations of table representations and model types from two perspectiv"&amp;"es: question complexity and table size. We build a new benchmark based on existing TQA datasets. In a systematic analysis of seven pairs of MLLMs and LLMs, we find that the best combination of table representation and model varies across setups. We propos"&amp;"e FRES, a method selecting table representations dynamically, and observe a 10% average performance improvement compared to using both representations indiscriminately.")</f>
        <v>In table question answering (TQA), tables are encoded as either texts or images. Prior work suggests that passing images of tables to multi-modal large language models (MLLMs) performs comparably to using textual input with large language models (LLMs). However, the lack of controlled setups limits fine-grained distinctions between these approaches. In this paper, we conduct the first controlled study on the effectiveness of several combinations of table representations and model types from two perspectives: question complexity and table size. We build a new benchmark based on existing TQA datasets. In a systematic analysis of seven pairs of MLLMs and LLMs, we find that the best combination of table representation and model varies across setups. We propose FRES, a method selecting table representations dynamically, and observe a 10% average performance improvement compared to using both representations indiscriminately.</v>
      </c>
      <c r="D201" s="7" t="str">
        <f>IFERROR(__xludf.DUMMYFUNCTION("""COMPUTED_VALUE"""),"Wei Zhou")</f>
        <v>Wei Zhou</v>
      </c>
      <c r="E201" s="7" t="str">
        <f>IFERROR(__xludf.DUMMYFUNCTION("""COMPUTED_VALUE"""),"Yes")</f>
        <v>Yes</v>
      </c>
      <c r="F201" s="7" t="str">
        <f>IFERROR(__xludf.DUMMYFUNCTION("""COMPUTED_VALUE"""),"IP-Poster")</f>
        <v>IP-Poster</v>
      </c>
      <c r="G201" s="7" t="str">
        <f>IFERROR(__xludf.DUMMYFUNCTION("""COMPUTED_VALUE"""),"In-Person")</f>
        <v>In-Person</v>
      </c>
      <c r="H201" s="7" t="str">
        <f>IFERROR(__xludf.DUMMYFUNCTION("""COMPUTED_VALUE"""),"Hall 4/5")</f>
        <v>Hall 4/5</v>
      </c>
      <c r="I201" s="7" t="str">
        <f>IFERROR(__xludf.DUMMYFUNCTION("""COMPUTED_VALUE"""),"Session 5 :IP-Posters Find ")</f>
        <v>Session 5 :IP-Posters Find </v>
      </c>
      <c r="J201" s="7" t="str">
        <f>IFERROR(__xludf.DUMMYFUNCTION("""COMPUTED_VALUE"""),"Findings Posters - In-Person 1")</f>
        <v>Findings Posters - In-Person 1</v>
      </c>
      <c r="K201" s="7"/>
      <c r="L201" s="8">
        <f>IFERROR(__xludf.DUMMYFUNCTION("""COMPUTED_VALUE"""),45866.0)</f>
        <v>45866</v>
      </c>
      <c r="M201" s="7" t="str">
        <f>IFERROR(__xludf.DUMMYFUNCTION("""COMPUTED_VALUE"""),"18:00-19:30")</f>
        <v>18:00-19:30</v>
      </c>
      <c r="N201" s="7"/>
    </row>
    <row r="202">
      <c r="A202" s="7" t="str">
        <f>IFERROR(__xludf.DUMMYFUNCTION("""COMPUTED_VALUE"""),"509-FIND")</f>
        <v>509-FIND</v>
      </c>
      <c r="B202" s="7" t="str">
        <f>IFERROR(__xludf.DUMMYFUNCTION("""COMPUTED_VALUE"""),"Adaptive-VP: A Framework for LLM-Based Virtual Patients that Adapts to Trainees' Dialogue to Facilitate Nurse Communication Training")</f>
        <v>Adaptive-VP: A Framework for LLM-Based Virtual Patients that Adapts to Trainees' Dialogue to Facilitate Nurse Communication Training</v>
      </c>
      <c r="C202" s="7" t="str">
        <f>IFERROR(__xludf.DUMMYFUNCTION("""COMPUTED_VALUE"""),"Effective nurse communication is vital for high-quality patient care, yet standardized patient (SP) simulations are costly and inflexible, and virtual patient (VP) systems often fail to adapt dynamically to trainees' communication skills. When a trainee r"&amp;"esponds ineffectively, the VP should escalate hostility or become uncooperative, yet most systems lack this adaptive capability. To address this, we introduce Adaptive-VP, an LLM-based framework that flexibly adjusts VP dialogue. Our framework includes a "&amp;"pipeline for constructing clinically grounded yet adaptable VP cases and implements a modular structure for evaluating trainee communication and dynamically adjusting VP responses, while ensuring learner safety. Specifically, we applied and validated Adap"&amp;"tive-VP by simulating challenging patient conversations. Automated evaluation of the corpus from practicing nurses showed that our evaluation mechanism mirrored real-world communication efficiency levels. Human evaluation with expert nurses further confir"&amp;"med that Adaptive-VP generates more realistic and natural interactions than existing approaches, demonstrating its potential as a scalable and effective tool for nursing communication.")</f>
        <v>Effective nurse communication is vital for high-quality patient care, yet standardized patient (SP) simulations are costly and inflexible, and virtual patient (VP) systems often fail to adapt dynamically to trainees' communication skills. When a trainee responds ineffectively, the VP should escalate hostility or become uncooperative, yet most systems lack this adaptive capability. To address this, we introduce Adaptive-VP, an LLM-based framework that flexibly adjusts VP dialogue. Our framework includes a pipeline for constructing clinically grounded yet adaptable VP cases and implements a modular structure for evaluating trainee communication and dynamically adjusting VP responses, while ensuring learner safety. Specifically, we applied and validated Adaptive-VP by simulating challenging patient conversations. Automated evaluation of the corpus from practicing nurses showed that our evaluation mechanism mirrored real-world communication efficiency levels. Human evaluation with expert nurses further confirmed that Adaptive-VP generates more realistic and natural interactions than existing approaches, demonstrating its potential as a scalable and effective tool for nursing communication.</v>
      </c>
      <c r="D202" s="7" t="str">
        <f>IFERROR(__xludf.DUMMYFUNCTION("""COMPUTED_VALUE"""),"Keyeun Lee")</f>
        <v>Keyeun Lee</v>
      </c>
      <c r="E202" s="7" t="str">
        <f>IFERROR(__xludf.DUMMYFUNCTION("""COMPUTED_VALUE"""),"Yes")</f>
        <v>Yes</v>
      </c>
      <c r="F202" s="7" t="str">
        <f>IFERROR(__xludf.DUMMYFUNCTION("""COMPUTED_VALUE"""),"V-Presentation")</f>
        <v>V-Presentation</v>
      </c>
      <c r="G202" s="7" t="str">
        <f>IFERROR(__xludf.DUMMYFUNCTION("""COMPUTED_VALUE"""),"Virtual/Gather")</f>
        <v>Virtual/Gather</v>
      </c>
      <c r="H202" s="7" t="str">
        <f>IFERROR(__xludf.DUMMYFUNCTION("""COMPUTED_VALUE"""),"Gather")</f>
        <v>Gather</v>
      </c>
      <c r="I202" s="7" t="str">
        <f>IFERROR(__xludf.DUMMYFUNCTION("""COMPUTED_VALUE"""),"Session5: V-Gather Find")</f>
        <v>Session5: V-Gather Find</v>
      </c>
      <c r="J202" s="7" t="str">
        <f>IFERROR(__xludf.DUMMYFUNCTION("""COMPUTED_VALUE"""),"Findings Posters - Virtual")</f>
        <v>Findings Posters - Virtual</v>
      </c>
      <c r="K202" s="7"/>
      <c r="L202" s="8">
        <f>IFERROR(__xludf.DUMMYFUNCTION("""COMPUTED_VALUE"""),45866.0)</f>
        <v>45866</v>
      </c>
      <c r="M202" s="7" t="str">
        <f>IFERROR(__xludf.DUMMYFUNCTION("""COMPUTED_VALUE"""),"18:00-19:30")</f>
        <v>18:00-19:30</v>
      </c>
      <c r="N202" s="7"/>
    </row>
    <row r="203">
      <c r="A203" s="7" t="str">
        <f>IFERROR(__xludf.DUMMYFUNCTION("""COMPUTED_VALUE"""),"510-FIND")</f>
        <v>510-FIND</v>
      </c>
      <c r="B203" s="7" t="str">
        <f>IFERROR(__xludf.DUMMYFUNCTION("""COMPUTED_VALUE"""),"Enhancing Multimodal Unified Representations for Cross Modal Generalization")</f>
        <v>Enhancing Multimodal Unified Representations for Cross Modal Generalization</v>
      </c>
      <c r="C203" s="7" t="str">
        <f>IFERROR(__xludf.DUMMYFUNCTION("""COMPUTED_VALUE"""),"To enhance the interpretability of multimodal unified representations, many studies have focused on discrete unified representations. These efforts typically start with contrastive learning and gradually extend to the disentanglement of modal information,"&amp;" achieving solid multimodal discrete unified representations. However, existing research often overlooks two critical issues: 1) The use of Euclidean distance for quantization in discrete representations often overlooks the important distinctions among di"&amp;"fferent dimensions of features, resulting in redundant representations after quantization; 2) Different modalities have unique characteristics, and a uniform alignment approach does not fully exploit these traits. To address these issues, we propose Train"&amp;"ing-free Optimization of Codebook (TOC) and Fine and Coarse cross-modal Information Disentangling (FCID). These methods refine the unified discrete representations from pretraining and perform fine- and coarse-grained information disentanglement tailored "&amp;"to the specific characteristics of each modality, achieving significant performance improvements over previous state-of-the-art models. We promise that the code will be open-sourced after receiving it.")</f>
        <v>To enhance the interpretability of multimodal unified representations, many studies have focused on discrete unified representations. These efforts typically start with contrastive learning and gradually extend to the disentanglement of modal information, achieving solid multimodal discrete unified representations. However, existing research often overlooks two critical issues: 1) The use of Euclidean distance for quantization in discrete representations often overlooks the important distinctions among different dimensions of features, resulting in redundant representations after quantization; 2) Different modalities have unique characteristics, and a uniform alignment approach does not fully exploit these traits. To address these issues, we propose Training-free Optimization of Codebook (TOC) and Fine and Coarse cross-modal Information Disentangling (FCID). These methods refine the unified discrete representations from pretraining and perform fine- and coarse-grained information disentanglement tailored to the specific characteristics of each modality, achieving significant performance improvements over previous state-of-the-art models. We promise that the code will be open-sourced after receiving it.</v>
      </c>
      <c r="D203" s="7" t="str">
        <f>IFERROR(__xludf.DUMMYFUNCTION("""COMPUTED_VALUE"""),"Hai Huang")</f>
        <v>Hai Huang</v>
      </c>
      <c r="E203" s="7" t="str">
        <f>IFERROR(__xludf.DUMMYFUNCTION("""COMPUTED_VALUE"""),"#N/A")</f>
        <v>#N/A</v>
      </c>
      <c r="F203" s="7" t="str">
        <f>IFERROR(__xludf.DUMMYFUNCTION("""COMPUTED_VALUE"""),"Not Pres. ")</f>
        <v>Not Pres. </v>
      </c>
      <c r="G203" s="7" t="str">
        <f>IFERROR(__xludf.DUMMYFUNCTION("""COMPUTED_VALUE"""),"NP Findings Not Presenting ")</f>
        <v>NP Findings Not Presenting </v>
      </c>
      <c r="H203" s="7"/>
      <c r="I203" s="7" t="str">
        <f>IFERROR(__xludf.DUMMYFUNCTION("""COMPUTED_VALUE"""),"NP-Find")</f>
        <v>NP-Find</v>
      </c>
      <c r="J203" s="7"/>
      <c r="K203" s="7"/>
      <c r="L203" s="8"/>
      <c r="M203" s="7"/>
      <c r="N203" s="7"/>
    </row>
    <row r="204">
      <c r="A204" s="7" t="str">
        <f>IFERROR(__xludf.DUMMYFUNCTION("""COMPUTED_VALUE"""),"519-FIND")</f>
        <v>519-FIND</v>
      </c>
      <c r="B204" s="7" t="str">
        <f>IFERROR(__xludf.DUMMYFUNCTION("""COMPUTED_VALUE"""),"Domain Regeneration: How well do LLMs match syntactic properties of text domains?")</f>
        <v>Domain Regeneration: How well do LLMs match syntactic properties of text domains?</v>
      </c>
      <c r="C204" s="7" t="str">
        <f>IFERROR(__xludf.DUMMYFUNCTION("""COMPUTED_VALUE"""),"Recent improvement in large language model performance have, in all likelihood, been accompanied by improvement in how well they can approximate the distribution of their training data. In this work, we explore the following question: which properties of "&amp;"text domains do LLMs faithfully approximate, and how well do they do so? Applying observational approaches familiar from corpus linguistics, we prompt a commonly used, opensource LLM to regenerate text from two domains of permissively licensed English tex"&amp;"t which are often contained in LLM training data---Wikipedia and news text. This regeneration paradigm allows us to investigate whether LLMs can faithfully match the original human text domains in a fairly semantically-controlled setting. We investigate v"&amp;"arying levels of syntactic abstraction, from more simple properties like sentence length, and article readability, to more complex and higher order properties such as dependency tag distribution, parse depth, and parse complexity. We find that the majorit"&amp;"y of the regenerated distributions show a shifted mean, a lower standard deviation, and a reduction of the long tail, as compared to the human originals.")</f>
        <v>Recent improvement in large language model performance have, in all likelihood, been accompanied by improvement in how well they can approximate the distribution of their training data. In this work, we explore the following question: which properties of text domains do LLMs faithfully approximate, and how well do they do so? Applying observational approaches familiar from corpus linguistics, we prompt a commonly used, opensource LLM to regenerate text from two domains of permissively licensed English text which are often contained in LLM training data---Wikipedia and news text. This regeneration paradigm allows us to investigate whether LLMs can faithfully match the original human text domains in a fairly semantically-controlled setting. We investigate varying levels of syntactic abstraction, from more simple properties like sentence length, and article readability, to more complex and higher order properties such as dependency tag distribution, parse depth, and parse complexity. We find that the majority of the regenerated distributions show a shifted mean, a lower standard deviation, and a reduction of the long tail, as compared to the human originals.</v>
      </c>
      <c r="D204" s="7" t="str">
        <f>IFERROR(__xludf.DUMMYFUNCTION("""COMPUTED_VALUE"""),"Da Ju")</f>
        <v>Da Ju</v>
      </c>
      <c r="E204" s="7" t="str">
        <f>IFERROR(__xludf.DUMMYFUNCTION("""COMPUTED_VALUE"""),"Yes")</f>
        <v>Yes</v>
      </c>
      <c r="F204" s="7" t="str">
        <f>IFERROR(__xludf.DUMMYFUNCTION("""COMPUTED_VALUE"""),"IP-Poster")</f>
        <v>IP-Poster</v>
      </c>
      <c r="G204" s="7" t="str">
        <f>IFERROR(__xludf.DUMMYFUNCTION("""COMPUTED_VALUE"""),"In-Person")</f>
        <v>In-Person</v>
      </c>
      <c r="H204" s="7" t="str">
        <f>IFERROR(__xludf.DUMMYFUNCTION("""COMPUTED_VALUE"""),"Hall 4/5")</f>
        <v>Hall 4/5</v>
      </c>
      <c r="I204" s="7" t="str">
        <f>IFERROR(__xludf.DUMMYFUNCTION("""COMPUTED_VALUE"""),"Session 5 :IP-Posters Find ")</f>
        <v>Session 5 :IP-Posters Find </v>
      </c>
      <c r="J204" s="7" t="str">
        <f>IFERROR(__xludf.DUMMYFUNCTION("""COMPUTED_VALUE"""),"Findings Posters - In-Person 1")</f>
        <v>Findings Posters - In-Person 1</v>
      </c>
      <c r="K204" s="7"/>
      <c r="L204" s="8">
        <f>IFERROR(__xludf.DUMMYFUNCTION("""COMPUTED_VALUE"""),45866.0)</f>
        <v>45866</v>
      </c>
      <c r="M204" s="7" t="str">
        <f>IFERROR(__xludf.DUMMYFUNCTION("""COMPUTED_VALUE"""),"18:00-19:30")</f>
        <v>18:00-19:30</v>
      </c>
      <c r="N204" s="7"/>
    </row>
    <row r="205">
      <c r="A205" s="7" t="str">
        <f>IFERROR(__xludf.DUMMYFUNCTION("""COMPUTED_VALUE"""),"524-FIND")</f>
        <v>524-FIND</v>
      </c>
      <c r="B205" s="7" t="str">
        <f>IFERROR(__xludf.DUMMYFUNCTION("""COMPUTED_VALUE"""),"Structural Deep Encoding for Table Question Answering")</f>
        <v>Structural Deep Encoding for Table Question Answering</v>
      </c>
      <c r="C205" s="7" t="str">
        <f>IFERROR(__xludf.DUMMYFUNCTION("""COMPUTED_VALUE"""),"Although Transformers-based architectures excel at processing textual information, their naive adaptation for tabular data often involves flattening the table structure. This simplification can lead to the loss of essential inter-dependencies between rows"&amp;", columns, and cells, while also posing scalability challenges for large tables. To address these issues, prior works have explored special tokens, structured embeddings, and sparse attention patterns. In this paper, we conduct a comprehensive analysis of"&amp;" tabular encoding techniques used in QA, which highlights the crucial role of attention sparsity in preserving structural information of tables. We also introduce a set of novel sparse attention mask designs for tabular data, that not only enhance computa"&amp;"tional efficiency but also preserve structural integrity, leading to better overall performance.")</f>
        <v>Although Transformers-based architectures excel at processing textual information, their naive adaptation for tabular data often involves flattening the table structure. This simplification can lead to the loss of essential inter-dependencies between rows, columns, and cells, while also posing scalability challenges for large tables. To address these issues, prior works have explored special tokens, structured embeddings, and sparse attention patterns. In this paper, we conduct a comprehensive analysis of tabular encoding techniques used in QA, which highlights the crucial role of attention sparsity in preserving structural information of tables. We also introduce a set of novel sparse attention mask designs for tabular data, that not only enhance computational efficiency but also preserve structural integrity, leading to better overall performance.</v>
      </c>
      <c r="D205" s="7" t="str">
        <f>IFERROR(__xludf.DUMMYFUNCTION("""COMPUTED_VALUE"""),"Raphaël Mouravieff")</f>
        <v>Raphaël Mouravieff</v>
      </c>
      <c r="E205" s="7" t="str">
        <f>IFERROR(__xludf.DUMMYFUNCTION("""COMPUTED_VALUE"""),"Yes")</f>
        <v>Yes</v>
      </c>
      <c r="F205" s="7" t="str">
        <f>IFERROR(__xludf.DUMMYFUNCTION("""COMPUTED_VALUE"""),"IP-Poster")</f>
        <v>IP-Poster</v>
      </c>
      <c r="G205" s="7" t="str">
        <f>IFERROR(__xludf.DUMMYFUNCTION("""COMPUTED_VALUE"""),"In-Person")</f>
        <v>In-Person</v>
      </c>
      <c r="H205" s="7" t="str">
        <f>IFERROR(__xludf.DUMMYFUNCTION("""COMPUTED_VALUE"""),"Hall 4/5")</f>
        <v>Hall 4/5</v>
      </c>
      <c r="I205" s="7" t="str">
        <f>IFERROR(__xludf.DUMMYFUNCTION("""COMPUTED_VALUE"""),"Session 5 :IP-Posters Find ")</f>
        <v>Session 5 :IP-Posters Find </v>
      </c>
      <c r="J205" s="7" t="str">
        <f>IFERROR(__xludf.DUMMYFUNCTION("""COMPUTED_VALUE"""),"Findings Posters - In-Person 1")</f>
        <v>Findings Posters - In-Person 1</v>
      </c>
      <c r="K205" s="7"/>
      <c r="L205" s="8">
        <f>IFERROR(__xludf.DUMMYFUNCTION("""COMPUTED_VALUE"""),45866.0)</f>
        <v>45866</v>
      </c>
      <c r="M205" s="7" t="str">
        <f>IFERROR(__xludf.DUMMYFUNCTION("""COMPUTED_VALUE"""),"18:00-19:30")</f>
        <v>18:00-19:30</v>
      </c>
      <c r="N205" s="7"/>
    </row>
    <row r="206">
      <c r="A206" s="7" t="str">
        <f>IFERROR(__xludf.DUMMYFUNCTION("""COMPUTED_VALUE"""),"530-FIND")</f>
        <v>530-FIND</v>
      </c>
      <c r="B206" s="7" t="str">
        <f>IFERROR(__xludf.DUMMYFUNCTION("""COMPUTED_VALUE"""),"MPL: Multiple Programming Languages with Large Language Models for Information Extraction")</f>
        <v>MPL: Multiple Programming Languages with Large Language Models for Information Extraction</v>
      </c>
      <c r="C206" s="7" t="str">
        <f>IFERROR(__xludf.DUMMYFUNCTION("""COMPUTED_VALUE"""),"Recent research in information extraction (IE) focuses on utilizing code-style inputs to enhance structured output generation. The intuition behind this is that the programming languages (PLs) inherently exhibit greater structural organization than natura"&amp;"l languages (NLs). This structural advantage makes PLs particularly suited for IE tasks. Nevertheless, existing research primarily focuses on Python for code-style simulation, overlooking the potential of other widely-used PLs (e.g., C++ and Java) during "&amp;"the supervised fine-tuning (SFT) phase. In this research, we propose Multiple Programming Languages with large language models for information extraction (abbreviated as MPL), a novel framework that explores the potential of incorporating different PLs in"&amp;" the SFT phase. Additionally, we introduce function-prompt with virtual running to simulate code-style inputs more effectively and efficiently. Experimental results on a wide range of datasets demonstrate the effectiveness of MPL. Furthermore, we conduct "&amp;"extensive experiments to provide a comprehensive analysis. Our code and additional files are in the supplementary materials.")</f>
        <v>Recent research in information extraction (IE) focuses on utilizing code-style inputs to enhance structured output generation. The intuition behind this is that the programming languages (PLs) inherently exhibit greater structural organization than natural languages (NLs). This structural advantage makes PLs particularly suited for IE tasks. Nevertheless, existing research primarily focuses on Python for code-style simulation, overlooking the potential of other widely-used PLs (e.g., C++ and Java) during the supervised fine-tuning (SFT) phase. In this research, we propose Multiple Programming Languages with large language models for information extraction (abbreviated as MPL), a novel framework that explores the potential of incorporating different PLs in the SFT phase. Additionally, we introduce function-prompt with virtual running to simulate code-style inputs more effectively and efficiently. Experimental results on a wide range of datasets demonstrate the effectiveness of MPL. Furthermore, we conduct extensive experiments to provide a comprehensive analysis. Our code and additional files are in the supplementary materials.</v>
      </c>
      <c r="D206" s="7" t="str">
        <f>IFERROR(__xludf.DUMMYFUNCTION("""COMPUTED_VALUE"""),"Zhenghua Xu")</f>
        <v>Zhenghua Xu</v>
      </c>
      <c r="E206" s="7" t="str">
        <f>IFERROR(__xludf.DUMMYFUNCTION("""COMPUTED_VALUE"""),"N/A")</f>
        <v>N/A</v>
      </c>
      <c r="F206" s="7" t="str">
        <f>IFERROR(__xludf.DUMMYFUNCTION("""COMPUTED_VALUE"""),"Not Pres. ")</f>
        <v>Not Pres. </v>
      </c>
      <c r="G206" s="7" t="str">
        <f>IFERROR(__xludf.DUMMYFUNCTION("""COMPUTED_VALUE"""),"NP Findings Not Presenting ")</f>
        <v>NP Findings Not Presenting </v>
      </c>
      <c r="H206" s="7"/>
      <c r="I206" s="7"/>
      <c r="J206" s="7"/>
      <c r="K206" s="7"/>
      <c r="L206" s="8"/>
      <c r="M206" s="7"/>
      <c r="N206" s="7"/>
    </row>
    <row r="207">
      <c r="A207" s="7" t="str">
        <f>IFERROR(__xludf.DUMMYFUNCTION("""COMPUTED_VALUE"""),"537-FIND")</f>
        <v>537-FIND</v>
      </c>
      <c r="B207" s="7" t="str">
        <f>IFERROR(__xludf.DUMMYFUNCTION("""COMPUTED_VALUE"""),"Self-Critique Guided Iterative Reasoning for Multi-hop Question Answering")</f>
        <v>Self-Critique Guided Iterative Reasoning for Multi-hop Question Answering</v>
      </c>
      <c r="C207" s="7" t="str">
        <f>IFERROR(__xludf.DUMMYFUNCTION("""COMPUTED_VALUE"""),"Although large language models (LLMs) have demonstrated remarkable reasoning capabilities, they still face challenges in knowledge-intensive multi-hop reasoning. Recent work explores iterative retrieval to address complex problems. However, the absence of"&amp;" intermediate guidance often leads to inaccurate retrieval and intermediate reasoning errors, leading to incorrect reasoning. To address these, we propose Self-Critique Guided Iterative Reasoning (SiGIR), which uses self-critique feedback to guide the ite"&amp;"rative reasoning process. Specifically, through end-to-end training, we enable the model to iteratively address complex problems via question decomposition, while also being able to self-evaluate its intermediate reasoning steps. During iterative reasonin"&amp;"g, the model engages in branching exploration and employs self-evaluation to guide the selection of promising reasoning trajectories. Extensive experiments on three multi-hop reasoning datasets demonstrate the effectiveness of our proposed method, surpass"&amp;"ing the previous SOTA by 8.6%. Furthermore, our thorough analysis offers insights for future research. 
Our code, data, and models are available at https://github.com/zchuz/SiGIR-MHQA.")</f>
        <v>Although large language models (LLMs) have demonstrated remarkable reasoning capabilities, they still face challenges in knowledge-intensive multi-hop reasoning. Recent work explores iterative retrieval to address complex problems. However, the absence of intermediate guidance often leads to inaccurate retrieval and intermediate reasoning errors, leading to incorrect reasoning. To address these, we propose Self-Critique Guided Iterative Reasoning (SiGIR), which uses self-critique feedback to guide the iterative reasoning process. Specifically, through end-to-end training, we enable the model to iteratively address complex problems via question decomposition, while also being able to self-evaluate its intermediate reasoning steps. During iterative reasoning, the model engages in branching exploration and employs self-evaluation to guide the selection of promising reasoning trajectories. Extensive experiments on three multi-hop reasoning datasets demonstrate the effectiveness of our proposed method, surpassing the previous SOTA by 8.6%. Furthermore, our thorough analysis offers insights for future research. 
Our code, data, and models are available at https://github.com/zchuz/SiGIR-MHQA.</v>
      </c>
      <c r="D207" s="7" t="str">
        <f>IFERROR(__xludf.DUMMYFUNCTION("""COMPUTED_VALUE"""),"Zheng Chu")</f>
        <v>Zheng Chu</v>
      </c>
      <c r="E207" s="7" t="str">
        <f>IFERROR(__xludf.DUMMYFUNCTION("""COMPUTED_VALUE"""),"Yes")</f>
        <v>Yes</v>
      </c>
      <c r="F207" s="7" t="str">
        <f>IFERROR(__xludf.DUMMYFUNCTION("""COMPUTED_VALUE"""),"IP-Poster")</f>
        <v>IP-Poster</v>
      </c>
      <c r="G207" s="7" t="str">
        <f>IFERROR(__xludf.DUMMYFUNCTION("""COMPUTED_VALUE"""),"In-Person")</f>
        <v>In-Person</v>
      </c>
      <c r="H207" s="7" t="str">
        <f>IFERROR(__xludf.DUMMYFUNCTION("""COMPUTED_VALUE"""),"Hall 4/5")</f>
        <v>Hall 4/5</v>
      </c>
      <c r="I207" s="7" t="str">
        <f>IFERROR(__xludf.DUMMYFUNCTION("""COMPUTED_VALUE"""),"Session 5 :IP-Posters Find ")</f>
        <v>Session 5 :IP-Posters Find </v>
      </c>
      <c r="J207" s="7" t="str">
        <f>IFERROR(__xludf.DUMMYFUNCTION("""COMPUTED_VALUE"""),"Findings Posters - In-Person 1")</f>
        <v>Findings Posters - In-Person 1</v>
      </c>
      <c r="K207" s="7"/>
      <c r="L207" s="8">
        <f>IFERROR(__xludf.DUMMYFUNCTION("""COMPUTED_VALUE"""),45866.0)</f>
        <v>45866</v>
      </c>
      <c r="M207" s="7" t="str">
        <f>IFERROR(__xludf.DUMMYFUNCTION("""COMPUTED_VALUE"""),"18:00-19:30")</f>
        <v>18:00-19:30</v>
      </c>
      <c r="N207" s="7"/>
    </row>
    <row r="208">
      <c r="A208" s="7" t="str">
        <f>IFERROR(__xludf.DUMMYFUNCTION("""COMPUTED_VALUE"""),"539-FIND")</f>
        <v>539-FIND</v>
      </c>
      <c r="B208" s="7" t="str">
        <f>IFERROR(__xludf.DUMMYFUNCTION("""COMPUTED_VALUE"""),"Anchored Answers: Unravelling Positional Bias in GPT-2's Multiple-Choice Questions")</f>
        <v>Anchored Answers: Unravelling Positional Bias in GPT-2's Multiple-Choice Questions</v>
      </c>
      <c r="C208" s="7" t="str">
        <f>IFERROR(__xludf.DUMMYFUNCTION("""COMPUTED_VALUE"""),"Large Language Models (LLMs), such as the GPT-4 and LLaMA families, have demonstrated considerable success across diverse tasks, including multiple-choice questions (MCQs). However, these models exhibit a positional bias, particularly an even worse ""anch"&amp;"ored bias"" in the GPT-2 family, where they consistently favour the first choice 'A' in MCQs during inference. This anchored bias challenges the integrity of GPT-2's decision-making process, as it skews performance based on the position rather than the co"&amp;"ntent of the choices in MCQs. In this study, we utilise the mechanistic interpretability approach to identify the internal modules within GPT-2 models responsible for this bias. We focus on the Multi-Layer Perceptron (MLP) layers and attention heads, usin"&amp;"g the ``logit lens'' method to trace and modify the specific value vectors that contribute to the bias. By updating these vectors within MLP and recalibrating attention patterns to neutralise the preference for the first choice 'A', we effectively mitigat"&amp;"e the anchored bias. Our interventions not only mitigate the bias but also improve the overall MCQ prediction accuracy for the GPT-2 family across various datasets. This work represents the first comprehensive mechanistic analysis of anchored bias in MCQs"&amp;" within the GPT-2 models, introducing targeted, minimal-intervention strategies that significantly enhance GPT2 model robustness and accuracy in MCQs.")</f>
        <v>Large Language Models (LLMs), such as the GPT-4 and LLaMA families, have demonstrated considerable success across diverse tasks, including multiple-choice questions (MCQs). However, these models exhibit a positional bias, particularly an even worse "anchored bias" in the GPT-2 family, where they consistently favour the first choice 'A' in MCQs during inference. This anchored bias challenges the integrity of GPT-2's decision-making process, as it skews performance based on the position rather than the content of the choices in MCQs. In this study, we utilise the mechanistic interpretability approach to identify the internal modules within GPT-2 models responsible for this bias. We focus on the Multi-Layer Perceptron (MLP) layers and attention heads, using the ``logit lens'' method to trace and modify the specific value vectors that contribute to the bias. By updating these vectors within MLP and recalibrating attention patterns to neutralise the preference for the first choice 'A', we effectively mitigate the anchored bias. Our interventions not only mitigate the bias but also improve the overall MCQ prediction accuracy for the GPT-2 family across various datasets. This work represents the first comprehensive mechanistic analysis of anchored bias in MCQs within the GPT-2 models, introducing targeted, minimal-intervention strategies that significantly enhance GPT2 model robustness and accuracy in MCQs.</v>
      </c>
      <c r="D208" s="7" t="str">
        <f>IFERROR(__xludf.DUMMYFUNCTION("""COMPUTED_VALUE"""),"Ruizhe Li")</f>
        <v>Ruizhe Li</v>
      </c>
      <c r="E208" s="7" t="str">
        <f>IFERROR(__xludf.DUMMYFUNCTION("""COMPUTED_VALUE"""),"Yes")</f>
        <v>Yes</v>
      </c>
      <c r="F208" s="7" t="str">
        <f>IFERROR(__xludf.DUMMYFUNCTION("""COMPUTED_VALUE"""),"IP-Poster")</f>
        <v>IP-Poster</v>
      </c>
      <c r="G208" s="7" t="str">
        <f>IFERROR(__xludf.DUMMYFUNCTION("""COMPUTED_VALUE"""),"In-Person")</f>
        <v>In-Person</v>
      </c>
      <c r="H208" s="7" t="str">
        <f>IFERROR(__xludf.DUMMYFUNCTION("""COMPUTED_VALUE"""),"Hall 4/5")</f>
        <v>Hall 4/5</v>
      </c>
      <c r="I208" s="7" t="str">
        <f>IFERROR(__xludf.DUMMYFUNCTION("""COMPUTED_VALUE"""),"Session 5 :IP-Posters Find ")</f>
        <v>Session 5 :IP-Posters Find </v>
      </c>
      <c r="J208" s="7" t="str">
        <f>IFERROR(__xludf.DUMMYFUNCTION("""COMPUTED_VALUE"""),"Findings Posters - In-Person 1")</f>
        <v>Findings Posters - In-Person 1</v>
      </c>
      <c r="K208" s="7"/>
      <c r="L208" s="8">
        <f>IFERROR(__xludf.DUMMYFUNCTION("""COMPUTED_VALUE"""),45866.0)</f>
        <v>45866</v>
      </c>
      <c r="M208" s="7" t="str">
        <f>IFERROR(__xludf.DUMMYFUNCTION("""COMPUTED_VALUE"""),"18:00-19:30")</f>
        <v>18:00-19:30</v>
      </c>
      <c r="N208" s="7"/>
    </row>
    <row r="209">
      <c r="A209" s="7" t="str">
        <f>IFERROR(__xludf.DUMMYFUNCTION("""COMPUTED_VALUE"""),"546-FIND")</f>
        <v>546-FIND</v>
      </c>
      <c r="B209" s="7" t="str">
        <f>IFERROR(__xludf.DUMMYFUNCTION("""COMPUTED_VALUE"""),"Failing Forward: Improving Generative Error Correction for ASR with Synthetic Data and Retrieval Augmentation")</f>
        <v>Failing Forward: Improving Generative Error Correction for ASR with Synthetic Data and Retrieval Augmentation</v>
      </c>
      <c r="C209" s="7" t="str">
        <f>IFERROR(__xludf.DUMMYFUNCTION("""COMPUTED_VALUE"""),"Generative Error Correction (GEC) has emerged as a powerful post-processing method to boost the performance of Automatic Speech Recognition (ASR) systems. In this paper, we first show that GEC models struggle to generalize beyond the specific types of err"&amp;"ors encountered during training, limiting their ability to correct new, unseen errors at test time, particularly in out-of-domain (OOD) scenarios. This phenomenon amplifies with named entities (NEs), where, in addition to insufficient contextual informati"&amp;"on or knowledge about the NEs, novel NEs keep emerging. To address these issues, we propose DARAG (Data- and Retrieval-Augmented Generative Error Correction), a novel approach designed to improve GEC for ASR in in-domain (ID) and OOD scenarios. First, we "&amp;"augment the GEC training dataset with synthetic data generated using foundational generative models, thereby simulating additional errors from which the model can learn from. For out-of-domain scenarios, we simulate test-time errors from new domains simil"&amp;"arly and in an unsupervised fashion. Additionally, to better handle NEs, we introduce retrieval-augmented correction wherein we augment the model input with entities retrieved from a datastore of NEs. Our approach is simple, scalable, and both domain- and"&amp;" language-agnostic. We experiment on multiple datasets and settings, showing that DARAG outperforms all our baselines, achieving 8%–30% relative WER improvements in ID and 10%–33% improvements in OOD settings.")</f>
        <v>Generative Error Correction (GEC) has emerged as a powerful post-processing method to boost the performance of Automatic Speech Recognition (ASR) systems. In this paper, we first show that GEC models struggle to generalize beyond the specific types of errors encountered during training, limiting their ability to correct new, unseen errors at test time, particularly in out-of-domain (OOD) scenarios. This phenomenon amplifies with named entities (NEs), where, in addition to insufficient contextual information or knowledge about the NEs, novel NEs keep emerging. To address these issues, we propose DARAG (Data- and Retrieval-Augmented Generative Error Correction), a novel approach designed to improve GEC for ASR in in-domain (ID) and OOD scenarios. First, we augment the GEC training dataset with synthetic data generated using foundational generative models, thereby simulating additional errors from which the model can learn from. For out-of-domain scenarios, we simulate test-time errors from new domains similarly and in an unsupervised fashion. Additionally, to better handle NEs, we introduce retrieval-augmented correction wherein we augment the model input with entities retrieved from a datastore of NEs. Our approach is simple, scalable, and both domain- and language-agnostic. We experiment on multiple datasets and settings, showing that DARAG outperforms all our baselines, achieving 8%–30% relative WER improvements in ID and 10%–33% improvements in OOD settings.</v>
      </c>
      <c r="D209" s="7" t="str">
        <f>IFERROR(__xludf.DUMMYFUNCTION("""COMPUTED_VALUE"""),"Sreyan Ghosh")</f>
        <v>Sreyan Ghosh</v>
      </c>
      <c r="E209" s="7" t="str">
        <f>IFERROR(__xludf.DUMMYFUNCTION("""COMPUTED_VALUE"""),"Yes")</f>
        <v>Yes</v>
      </c>
      <c r="F209" s="7" t="str">
        <f>IFERROR(__xludf.DUMMYFUNCTION("""COMPUTED_VALUE"""),"Not Pres. ")</f>
        <v>Not Pres. </v>
      </c>
      <c r="G209" s="7" t="str">
        <f>IFERROR(__xludf.DUMMYFUNCTION("""COMPUTED_VALUE"""),"NP Findings Not Presenting ")</f>
        <v>NP Findings Not Presenting </v>
      </c>
      <c r="H209" s="7"/>
      <c r="I209" s="7"/>
      <c r="J209" s="7"/>
      <c r="K209" s="7"/>
      <c r="L209" s="8"/>
      <c r="M209" s="7"/>
      <c r="N209" s="7"/>
    </row>
    <row r="210">
      <c r="A210" s="7" t="str">
        <f>IFERROR(__xludf.DUMMYFUNCTION("""COMPUTED_VALUE"""),"550-FIND")</f>
        <v>550-FIND</v>
      </c>
      <c r="B210" s="7" t="str">
        <f>IFERROR(__xludf.DUMMYFUNCTION("""COMPUTED_VALUE"""),"LTRAG: Enhancing autoformalization and self-refinement for logical reasoning with Thought-Guided RAG")</f>
        <v>LTRAG: Enhancing autoformalization and self-refinement for logical reasoning with Thought-Guided RAG</v>
      </c>
      <c r="C210" s="7" t="str">
        <f>IFERROR(__xludf.DUMMYFUNCTION("""COMPUTED_VALUE"""),"Logical reasoning is fundamental to intelligent systems. Large language models (LLMs) have demonstrated promise in natural language (NL) reasoning, especially with techniques like chain-of-thought (CoT) prompting. Neuro-symbolic methods like Logic-LM and "&amp;"LINC further enhance performance on challenging datasets FOLIO and AR-LSAT by integrating formalization with LLMs and symbolic solvers, and possibly refinement with LLMs. However, these methods still struggle with the accurate formalization of complex NL "&amp;"problems. In this paper, we introduce LTRAG, a framework to enhance autoformalization and self-refinement for logical reasoning with Retrieval-Augmented Generation (RAG), by building knowledge bases of thought-guided examples. Experimental results on FOLI"&amp;"O and AR-LSAT show that LTRAG consistently outperforms Logic-LM and LINC across different models. On GPT-4 and AR-LSAT, it achieves an accuracy gain of 13% over Logic-LM.")</f>
        <v>Logical reasoning is fundamental to intelligent systems. Large language models (LLMs) have demonstrated promise in natural language (NL) reasoning, especially with techniques like chain-of-thought (CoT) prompting. Neuro-symbolic methods like Logic-LM and LINC further enhance performance on challenging datasets FOLIO and AR-LSAT by integrating formalization with LLMs and symbolic solvers, and possibly refinement with LLMs. However, these methods still struggle with the accurate formalization of complex NL problems. In this paper, we introduce LTRAG, a framework to enhance autoformalization and self-refinement for logical reasoning with Retrieval-Augmented Generation (RAG), by building knowledge bases of thought-guided examples. Experimental results on FOLIO and AR-LSAT show that LTRAG consistently outperforms Logic-LM and LINC across different models. On GPT-4 and AR-LSAT, it achieves an accuracy gain of 13% over Logic-LM.</v>
      </c>
      <c r="D210" s="7" t="str">
        <f>IFERROR(__xludf.DUMMYFUNCTION("""COMPUTED_VALUE"""),"Shaoyu Lin")</f>
        <v>Shaoyu Lin</v>
      </c>
      <c r="E210" s="7" t="str">
        <f>IFERROR(__xludf.DUMMYFUNCTION("""COMPUTED_VALUE"""),"Yes")</f>
        <v>Yes</v>
      </c>
      <c r="F210" s="7" t="str">
        <f>IFERROR(__xludf.DUMMYFUNCTION("""COMPUTED_VALUE"""),"V-Presentation")</f>
        <v>V-Presentation</v>
      </c>
      <c r="G210" s="7" t="str">
        <f>IFERROR(__xludf.DUMMYFUNCTION("""COMPUTED_VALUE"""),"Virtual/Gather")</f>
        <v>Virtual/Gather</v>
      </c>
      <c r="H210" s="7" t="str">
        <f>IFERROR(__xludf.DUMMYFUNCTION("""COMPUTED_VALUE"""),"Gather")</f>
        <v>Gather</v>
      </c>
      <c r="I210" s="7" t="str">
        <f>IFERROR(__xludf.DUMMYFUNCTION("""COMPUTED_VALUE"""),"Session5: V-Gather Find")</f>
        <v>Session5: V-Gather Find</v>
      </c>
      <c r="J210" s="7" t="str">
        <f>IFERROR(__xludf.DUMMYFUNCTION("""COMPUTED_VALUE"""),"Findings Posters - Virtual")</f>
        <v>Findings Posters - Virtual</v>
      </c>
      <c r="K210" s="7"/>
      <c r="L210" s="8">
        <f>IFERROR(__xludf.DUMMYFUNCTION("""COMPUTED_VALUE"""),45866.0)</f>
        <v>45866</v>
      </c>
      <c r="M210" s="7" t="str">
        <f>IFERROR(__xludf.DUMMYFUNCTION("""COMPUTED_VALUE"""),"18:00-19:30")</f>
        <v>18:00-19:30</v>
      </c>
      <c r="N210" s="7"/>
    </row>
    <row r="211">
      <c r="A211" s="7" t="str">
        <f>IFERROR(__xludf.DUMMYFUNCTION("""COMPUTED_VALUE"""),"552-FIND")</f>
        <v>552-FIND</v>
      </c>
      <c r="B211" s="7" t="str">
        <f>IFERROR(__xludf.DUMMYFUNCTION("""COMPUTED_VALUE"""),"Eta-WavLM: Efficient Speaker Identity Removal in Self-Supervised Speech Representations Using a Simple Linear Equation")</f>
        <v>Eta-WavLM: Efficient Speaker Identity Removal in Self-Supervised Speech Representations Using a Simple Linear Equation</v>
      </c>
      <c r="C211" s="7" t="str">
        <f>IFERROR(__xludf.DUMMYFUNCTION("""COMPUTED_VALUE"""),"Self-supervised learning (SSL) has reduced the reliance on expensive labeling in speech technologies by learning meaningful representations from unannotated data. Since most SSL-based downstream tasks prioritize content information in speech, ideal repres"&amp;"entations should disentangle content from unwanted variations like speaker characteristics in the SSL representations. However, removing speaker information often degrades other speech components, and existing methods either fail to fully disentangle spea"&amp;"ker identity or require resource-intensive models. In this paper, we propose a novel disentanglement method that linearly decomposes SSL representations into speaker-specific and speaker-independent components, effectively generating speaker disentangled "&amp;"representations. Comprehensive experiments show that our approach achieves speaker independence and as such, when applied to content-driven tasks such as voice conversion, our representations yield significant improvements over state-of-the-art methods.")</f>
        <v>Self-supervised learning (SSL) has reduced the reliance on expensive labeling in speech technologies by learning meaningful representations from unannotated data. Since most SSL-based downstream tasks prioritize content information in speech, ideal representations should disentangle content from unwanted variations like speaker characteristics in the SSL representations. However, removing speaker information often degrades other speech components, and existing methods either fail to fully disentangle speaker identity or require resource-intensive models. In this paper, we propose a novel disentanglement method that linearly decomposes SSL representations into speaker-specific and speaker-independent components, effectively generating speaker disentangled representations. Comprehensive experiments show that our approach achieves speaker independence and as such, when applied to content-driven tasks such as voice conversion, our representations yield significant improvements over state-of-the-art methods.</v>
      </c>
      <c r="D211" s="7" t="str">
        <f>IFERROR(__xludf.DUMMYFUNCTION("""COMPUTED_VALUE"""),"Giuseppe Ruggiero")</f>
        <v>Giuseppe Ruggiero</v>
      </c>
      <c r="E211" s="7" t="str">
        <f>IFERROR(__xludf.DUMMYFUNCTION("""COMPUTED_VALUE"""),"Yes")</f>
        <v>Yes</v>
      </c>
      <c r="F211" s="7" t="str">
        <f>IFERROR(__xludf.DUMMYFUNCTION("""COMPUTED_VALUE"""),"IP-Poster")</f>
        <v>IP-Poster</v>
      </c>
      <c r="G211" s="7" t="str">
        <f>IFERROR(__xludf.DUMMYFUNCTION("""COMPUTED_VALUE"""),"In-Person")</f>
        <v>In-Person</v>
      </c>
      <c r="H211" s="7" t="str">
        <f>IFERROR(__xludf.DUMMYFUNCTION("""COMPUTED_VALUE"""),"Hall 4/5")</f>
        <v>Hall 4/5</v>
      </c>
      <c r="I211" s="7" t="str">
        <f>IFERROR(__xludf.DUMMYFUNCTION("""COMPUTED_VALUE"""),"Session 5 :IP-Posters Find ")</f>
        <v>Session 5 :IP-Posters Find </v>
      </c>
      <c r="J211" s="7" t="str">
        <f>IFERROR(__xludf.DUMMYFUNCTION("""COMPUTED_VALUE"""),"Findings Posters - In-Person 1")</f>
        <v>Findings Posters - In-Person 1</v>
      </c>
      <c r="K211" s="7"/>
      <c r="L211" s="8">
        <f>IFERROR(__xludf.DUMMYFUNCTION("""COMPUTED_VALUE"""),45866.0)</f>
        <v>45866</v>
      </c>
      <c r="M211" s="7" t="str">
        <f>IFERROR(__xludf.DUMMYFUNCTION("""COMPUTED_VALUE"""),"18:00-19:30")</f>
        <v>18:00-19:30</v>
      </c>
      <c r="N211" s="7"/>
    </row>
    <row r="212">
      <c r="A212" s="7" t="str">
        <f>IFERROR(__xludf.DUMMYFUNCTION("""COMPUTED_VALUE"""),"560-FIND")</f>
        <v>560-FIND</v>
      </c>
      <c r="B212" s="7" t="str">
        <f>IFERROR(__xludf.DUMMYFUNCTION("""COMPUTED_VALUE"""),"MathCoder-VL: Bridging Vision and Code for Enhanced Multimodal Mathematical Reasoning")</f>
        <v>MathCoder-VL: Bridging Vision and Code for Enhanced Multimodal Mathematical Reasoning</v>
      </c>
      <c r="C212" s="7" t="str">
        <f>IFERROR(__xludf.DUMMYFUNCTION("""COMPUTED_VALUE"""),"Natural language image-caption datasets, widely used for training Large Multimodal Models, mainly focus on natural scenarios and overlook the intricate details of mathematical figures that are critical for problem-solving, hindering the advancement of cur"&amp;"rent LMMs in multimodal mathematical reasoning. To this end, we propose leveraging code as supervision for cross-modal alignment, since code inherently encodes all information needed to generate corresponding figures, establishing a precise connection bet"&amp;"ween the two modalities. Specifically, we co-develop our image-to-code model and dataset with model-in-the-loop approach, resulting in an image-to-code model, FigCodifier and ImgCode-8.6M dataset, the largest image-code dataset to date. Furthermore, we ut"&amp;"ilize FigCodifier to synthesize novel mathematical figures and then construct MM-MathInstruct-3M, a high-quality multimodal math instruction fine-tuning dataset. Finally, we present MathCoder-VL, trained with ImgCode-8.6M for cross-modal alignment and sub"&amp;"sequently fine-tuned on MM-MathInstruct-3M for multimodal math problem solving. Our model achieves a new open-source SOTA across all six metrics. Notably, it surpasses GPT-4o and Claude 3.5 Sonnet in the geometry problem-solving subset of MathVista, achie"&amp;"ving improvements of 8.9% and 9.2%.")</f>
        <v>Natural language image-caption datasets, widely used for training Large Multimodal Models, mainly focus on natural scenarios and overlook the intricate details of mathematical figures that are critical for problem-solving, hindering the advancement of current LMMs in multimodal mathematical reasoning. To this end, we propose leveraging code as supervision for cross-modal alignment, since code inherently encodes all information needed to generate corresponding figures, establishing a precise connection between the two modalities. Specifically, we co-develop our image-to-code model and dataset with model-in-the-loop approach, resulting in an image-to-code model, FigCodifier and ImgCode-8.6M dataset, the largest image-code dataset to date. Furthermore, we utilize FigCodifier to synthesize novel mathematical figures and then construct MM-MathInstruct-3M, a high-quality multimodal math instruction fine-tuning dataset. Finally, we present MathCoder-VL, trained with ImgCode-8.6M for cross-modal alignment and subsequently fine-tuned on MM-MathInstruct-3M for multimodal math problem solving. Our model achieves a new open-source SOTA across all six metrics. Notably, it surpasses GPT-4o and Claude 3.5 Sonnet in the geometry problem-solving subset of MathVista, achieving improvements of 8.9% and 9.2%.</v>
      </c>
      <c r="D212" s="7" t="str">
        <f>IFERROR(__xludf.DUMMYFUNCTION("""COMPUTED_VALUE"""),"Wang Ke")</f>
        <v>Wang Ke</v>
      </c>
      <c r="E212" s="7" t="str">
        <f>IFERROR(__xludf.DUMMYFUNCTION("""COMPUTED_VALUE"""),"Yes")</f>
        <v>Yes</v>
      </c>
      <c r="F212" s="7" t="str">
        <f>IFERROR(__xludf.DUMMYFUNCTION("""COMPUTED_VALUE"""),"IP-Poster")</f>
        <v>IP-Poster</v>
      </c>
      <c r="G212" s="7" t="str">
        <f>IFERROR(__xludf.DUMMYFUNCTION("""COMPUTED_VALUE"""),"In-Person")</f>
        <v>In-Person</v>
      </c>
      <c r="H212" s="7" t="str">
        <f>IFERROR(__xludf.DUMMYFUNCTION("""COMPUTED_VALUE"""),"Hall 4/5")</f>
        <v>Hall 4/5</v>
      </c>
      <c r="I212" s="7" t="str">
        <f>IFERROR(__xludf.DUMMYFUNCTION("""COMPUTED_VALUE"""),"Session 5 :IP-Posters Find ")</f>
        <v>Session 5 :IP-Posters Find </v>
      </c>
      <c r="J212" s="7" t="str">
        <f>IFERROR(__xludf.DUMMYFUNCTION("""COMPUTED_VALUE"""),"Findings Posters - In-Person 1")</f>
        <v>Findings Posters - In-Person 1</v>
      </c>
      <c r="K212" s="7"/>
      <c r="L212" s="8">
        <f>IFERROR(__xludf.DUMMYFUNCTION("""COMPUTED_VALUE"""),45866.0)</f>
        <v>45866</v>
      </c>
      <c r="M212" s="7" t="str">
        <f>IFERROR(__xludf.DUMMYFUNCTION("""COMPUTED_VALUE"""),"18:00-19:30")</f>
        <v>18:00-19:30</v>
      </c>
      <c r="N212" s="7"/>
    </row>
    <row r="213">
      <c r="A213" s="7" t="str">
        <f>IFERROR(__xludf.DUMMYFUNCTION("""COMPUTED_VALUE"""),"564-FIND")</f>
        <v>564-FIND</v>
      </c>
      <c r="B213" s="7" t="str">
        <f>IFERROR(__xludf.DUMMYFUNCTION("""COMPUTED_VALUE"""),"MlingConf: A Comprehensive Study of Multilingual Confidence Estimation on Large Language Models")</f>
        <v>MlingConf: A Comprehensive Study of Multilingual Confidence Estimation on Large Language Models</v>
      </c>
      <c r="C213" s="7" t="str">
        <f>IFERROR(__xludf.DUMMYFUNCTION("""COMPUTED_VALUE"""),"The tendency of Large Language Models (LLMs) to generate hallucinations raises concerns regarding their reliability. Therefore, confidence estimations indicating the extent of trustworthiness of the generations become essential. However, current LLM confi"&amp;"dence estimations in languages other than English remain underexplored. This paper addresses this gap by introducing a comprehensive investigation of Multilingual Confidence estimation (MlingConf) on LLMs, focusing on both language-agnostic (LA) and langu"&amp;"age-specific (LS) tasks to explore the performance and language dominance effects of multilingual confidence estimations on different tasks. The benchmark comprises four meticulously checked and human-evaluated high-quality multilingual datasets for LA ta"&amp;"sks and one for the LS task tailored to specific social, cultural, and geographical contexts of a language. Our experiments reveal that on LA tasks English exhibits notable linguistic dominance in confidence estimations than other languages, while on LS t"&amp;"asks, using question-related language to prompt LLMs demonstrates better linguistic dominance in multilingual confidence estimations. The phenomena inspire a simple yet effective native-tone prompting strategy by employing language-specific prompts for LS"&amp;" tasks, effectively improving LLMs’ reliability and accuracy in LS scenarios.")</f>
        <v>The tendency of Large Language Models (LLMs) to generate hallucinations raises concerns regarding their reliability. Therefore, confidence estimations indicating the extent of trustworthiness of the generations become essential. However, current LLM confidence estimations in languages other than English remain underexplored. This paper addresses this gap by introducing a comprehensive investigation of Multilingual Confidence estimation (MlingConf) on LLMs, focusing on both language-agnostic (LA) and language-specific (LS) tasks to explore the performance and language dominance effects of multilingual confidence estimations on different tasks. The benchmark comprises four meticulously checked and human-evaluated high-quality multilingual datasets for LA tasks and one for the LS task tailored to specific social, cultural, and geographical contexts of a language. Our experiments reveal that on LA tasks English exhibits notable linguistic dominance in confidence estimations than other languages, while on LS tasks, using question-related language to prompt LLMs demonstrates better linguistic dominance in multilingual confidence estimations. The phenomena inspire a simple yet effective native-tone prompting strategy by employing language-specific prompts for LS tasks, effectively improving LLMs’ reliability and accuracy in LS scenarios.</v>
      </c>
      <c r="D213" s="7" t="str">
        <f>IFERROR(__xludf.DUMMYFUNCTION("""COMPUTED_VALUE"""),"Boyang Xue")</f>
        <v>Boyang Xue</v>
      </c>
      <c r="E213" s="7" t="str">
        <f>IFERROR(__xludf.DUMMYFUNCTION("""COMPUTED_VALUE"""),"Yes")</f>
        <v>Yes</v>
      </c>
      <c r="F213" s="7" t="str">
        <f>IFERROR(__xludf.DUMMYFUNCTION("""COMPUTED_VALUE"""),"IP-Poster")</f>
        <v>IP-Poster</v>
      </c>
      <c r="G213" s="7" t="str">
        <f>IFERROR(__xludf.DUMMYFUNCTION("""COMPUTED_VALUE"""),"In-Person")</f>
        <v>In-Person</v>
      </c>
      <c r="H213" s="7" t="str">
        <f>IFERROR(__xludf.DUMMYFUNCTION("""COMPUTED_VALUE"""),"Hall 4/5")</f>
        <v>Hall 4/5</v>
      </c>
      <c r="I213" s="7" t="str">
        <f>IFERROR(__xludf.DUMMYFUNCTION("""COMPUTED_VALUE"""),"Session 5 :IP-Posters Find ")</f>
        <v>Session 5 :IP-Posters Find </v>
      </c>
      <c r="J213" s="7" t="str">
        <f>IFERROR(__xludf.DUMMYFUNCTION("""COMPUTED_VALUE"""),"Findings Posters - In-Person 1")</f>
        <v>Findings Posters - In-Person 1</v>
      </c>
      <c r="K213" s="7"/>
      <c r="L213" s="8">
        <f>IFERROR(__xludf.DUMMYFUNCTION("""COMPUTED_VALUE"""),45866.0)</f>
        <v>45866</v>
      </c>
      <c r="M213" s="7" t="str">
        <f>IFERROR(__xludf.DUMMYFUNCTION("""COMPUTED_VALUE"""),"18:00-19:30")</f>
        <v>18:00-19:30</v>
      </c>
      <c r="N213" s="7"/>
    </row>
    <row r="214">
      <c r="A214" s="7" t="str">
        <f>IFERROR(__xludf.DUMMYFUNCTION("""COMPUTED_VALUE"""),"565-FIND")</f>
        <v>565-FIND</v>
      </c>
      <c r="B214" s="7" t="str">
        <f>IFERROR(__xludf.DUMMYFUNCTION("""COMPUTED_VALUE"""),"COMPKE: Complex Question Answering under Knowledge Editing")</f>
        <v>COMPKE: Complex Question Answering under Knowledge Editing</v>
      </c>
      <c r="C214" s="7" t="str">
        <f>IFERROR(__xludf.DUMMYFUNCTION("""COMPUTED_VALUE"""),"Knowledge Editing-Efficiently modifying the knowledge in large language models has gathered great attention. Current benchmarks primarily use multi-hop question answering to assess and analyze newly injected or updated knowledge. However, we argue that th"&amp;"ese benchmarks fail to effectively evaluate how well the updated models apply this knowledge in real-life scenarios, particularly when questions require complex reasoning involving one-to-many relationships or multi-step logical intersections. To fill in "&amp;"this gap, we introduce a new benchmark, COMPKE: Complex Question Answering under Knowledge Editing, which includes 11,924 complex questions that reflect real-life situations. We perform a comprehensive evaluation of four different knowledge editing method"&amp;"s in COMPKE, and our results show that the performance of these methods varies between different models. For example, MeLLo achieves an accuracy of 39.47 on GPT-4o-mini but drops significantly to 3.83 on Qwen2.5-3B. We further analyze the reasons behind t"&amp;"hese results from both methodological and model perspectives. Our dataset will be publicly available on GitHub.")</f>
        <v>Knowledge Editing-Efficiently modifying the knowledge in large language models has gathered great attention. Current benchmarks primarily use multi-hop question answering to assess and analyze newly injected or updated knowledge. However, we argue that these benchmarks fail to effectively evaluate how well the updated models apply this knowledge in real-life scenarios, particularly when questions require complex reasoning involving one-to-many relationships or multi-step logical intersections. To fill in this gap, we introduce a new benchmark, COMPKE: Complex Question Answering under Knowledge Editing, which includes 11,924 complex questions that reflect real-life situations. We perform a comprehensive evaluation of four different knowledge editing methods in COMPKE, and our results show that the performance of these methods varies between different models. For example, MeLLo achieves an accuracy of 39.47 on GPT-4o-mini but drops significantly to 3.83 on Qwen2.5-3B. We further analyze the reasons behind these results from both methodological and model perspectives. Our dataset will be publicly available on GitHub.</v>
      </c>
      <c r="D214" s="7" t="str">
        <f>IFERROR(__xludf.DUMMYFUNCTION("""COMPUTED_VALUE"""),"Yidi Miao")</f>
        <v>Yidi Miao</v>
      </c>
      <c r="E214" s="7" t="str">
        <f>IFERROR(__xludf.DUMMYFUNCTION("""COMPUTED_VALUE"""),"Yes")</f>
        <v>Yes</v>
      </c>
      <c r="F214" s="7"/>
      <c r="G214" s="7"/>
      <c r="H214" s="7"/>
      <c r="I214" s="7"/>
      <c r="J214" s="7"/>
      <c r="K214" s="7"/>
      <c r="L214" s="8"/>
      <c r="M214" s="7"/>
      <c r="N214" s="7"/>
    </row>
    <row r="215">
      <c r="A215" s="7" t="str">
        <f>IFERROR(__xludf.DUMMYFUNCTION("""COMPUTED_VALUE"""),"571-FIND")</f>
        <v>571-FIND</v>
      </c>
      <c r="B215" s="7" t="str">
        <f>IFERROR(__xludf.DUMMYFUNCTION("""COMPUTED_VALUE"""),"RaaS: Reasoning-Aware Attention Sparsity for Efficient LLM Inference with Long Decoding Chains")</f>
        <v>RaaS: Reasoning-Aware Attention Sparsity for Efficient LLM Inference with Long Decoding Chains</v>
      </c>
      <c r="C215" s="7" t="str">
        <f>IFERROR(__xludf.DUMMYFUNCTION("""COMPUTED_VALUE"""),"Large Language Models (LLMs) have demonstrated strong capabilities across various domains, with recent advancements in challenging reasoning tasks such as mathematics and programming. However, solving reasoning tasks often requires long decoding chains (o"&amp;"f thoughts), which incur O(N) time and memory consumption, where N is the chain length. To mitigate O(N) time and memory consumption, existing sparsity-based algorithms propose retaining only the most critical token's intermediate data (i.e., key-value ca"&amp;"che) and discarding the rest. However, these existing algorithms struggle with the ``impossible trinity'' of accuracy, time, and memory. For example, the state-of-the-art algorithm, Quest, achieves high accuracy with O(L) time but O(N) memory (L is the ca"&amp;"che budget, L &lt;&lt; N). To address this issue, in this paper, we identify a new attention pattern during the decode stage of reasoning tasks, where milestone tokens (analogous to lemmas in mathematical proofs) emerge, are utilized, and then become unimportan"&amp;"t afterward. Based on this pattern, we propose a new algorithm named RaaS that identifies and retains milestone tokens only until they are no longer needed, achieving high accuracy with O(L) time and O(L) memory complexity.")</f>
        <v>Large Language Models (LLMs) have demonstrated strong capabilities across various domains, with recent advancements in challenging reasoning tasks such as mathematics and programming. However, solving reasoning tasks often requires long decoding chains (of thoughts), which incur O(N) time and memory consumption, where N is the chain length. To mitigate O(N) time and memory consumption, existing sparsity-based algorithms propose retaining only the most critical token's intermediate data (i.e., key-value cache) and discarding the rest. However, these existing algorithms struggle with the ``impossible trinity'' of accuracy, time, and memory. For example, the state-of-the-art algorithm, Quest, achieves high accuracy with O(L) time but O(N) memory (L is the cache budget, L &lt;&lt; N). To address this issue, in this paper, we identify a new attention pattern during the decode stage of reasoning tasks, where milestone tokens (analogous to lemmas in mathematical proofs) emerge, are utilized, and then become unimportant afterward. Based on this pattern, we propose a new algorithm named RaaS that identifies and retains milestone tokens only until they are no longer needed, achieving high accuracy with O(L) time and O(L) memory complexity.</v>
      </c>
      <c r="D215" s="7" t="str">
        <f>IFERROR(__xludf.DUMMYFUNCTION("""COMPUTED_VALUE"""),"JUNHAO HU")</f>
        <v>JUNHAO HU</v>
      </c>
      <c r="E215" s="7" t="str">
        <f>IFERROR(__xludf.DUMMYFUNCTION("""COMPUTED_VALUE"""),"Yes")</f>
        <v>Yes</v>
      </c>
      <c r="F215" s="7" t="str">
        <f>IFERROR(__xludf.DUMMYFUNCTION("""COMPUTED_VALUE"""),"IP-Poster")</f>
        <v>IP-Poster</v>
      </c>
      <c r="G215" s="7" t="str">
        <f>IFERROR(__xludf.DUMMYFUNCTION("""COMPUTED_VALUE"""),"In-Person")</f>
        <v>In-Person</v>
      </c>
      <c r="H215" s="7" t="str">
        <f>IFERROR(__xludf.DUMMYFUNCTION("""COMPUTED_VALUE"""),"Hall 4/5")</f>
        <v>Hall 4/5</v>
      </c>
      <c r="I215" s="7" t="str">
        <f>IFERROR(__xludf.DUMMYFUNCTION("""COMPUTED_VALUE"""),"Session 5 :IP-Posters Find ")</f>
        <v>Session 5 :IP-Posters Find </v>
      </c>
      <c r="J215" s="7" t="str">
        <f>IFERROR(__xludf.DUMMYFUNCTION("""COMPUTED_VALUE"""),"Findings Posters - In-Person 1")</f>
        <v>Findings Posters - In-Person 1</v>
      </c>
      <c r="K215" s="7"/>
      <c r="L215" s="8">
        <f>IFERROR(__xludf.DUMMYFUNCTION("""COMPUTED_VALUE"""),45866.0)</f>
        <v>45866</v>
      </c>
      <c r="M215" s="7" t="str">
        <f>IFERROR(__xludf.DUMMYFUNCTION("""COMPUTED_VALUE"""),"18:00-19:30")</f>
        <v>18:00-19:30</v>
      </c>
      <c r="N215" s="7"/>
    </row>
    <row r="216">
      <c r="A216" s="7" t="str">
        <f>IFERROR(__xludf.DUMMYFUNCTION("""COMPUTED_VALUE"""),"574-FIND")</f>
        <v>574-FIND</v>
      </c>
      <c r="B216" s="7" t="str">
        <f>IFERROR(__xludf.DUMMYFUNCTION("""COMPUTED_VALUE"""),"One-for-All Pruning: A Universal Model for Customized Compression of Large Language Models")</f>
        <v>One-for-All Pruning: A Universal Model for Customized Compression of Large Language Models</v>
      </c>
      <c r="C216" s="7" t="str">
        <f>IFERROR(__xludf.DUMMYFUNCTION("""COMPUTED_VALUE"""),"Existing pruning methods for large language models (LLMs) focus on achieving high compression rates while maintaining model performance. Although these methods have demonstrated satisfactory performance in handling a single user’s compression request, the"&amp;"ir processing time increases linearly with the number of requests, making them inefficient for real-world scenarios with multiple simultaneous requests. To address this limitation, we propose a Univeral Model for Customized Compression (UniCuCo) for LLMs,"&amp;" which introduces a StratNet that learns to map arbitrary requests to their optimal pruning strategy. The challenge in training StratNet lies in the high computational cost of evaluating pruning strategies and the non-differentiable nature of the pruning "&amp;"process, which hinders gradient backpropagation for StratNet updates. To overcome these challenges, we leverage a Gaussian process to approximate the evaluation process. Since the gradient of the Gaussian process is computable, we can use it to approximat"&amp;"e the gradient of the non-differentiable pruning process, thereby enabling StratNet updates. Experimental results show that UniCuCo is 28 times faster than baselines in processing 64 requests, while maintaining comparable accuracy to baselines.")</f>
        <v>Existing pruning methods for large language models (LLMs) focus on achieving high compression rates while maintaining model performance. Although these methods have demonstrated satisfactory performance in handling a single user’s compression request, their processing time increases linearly with the number of requests, making them inefficient for real-world scenarios with multiple simultaneous requests. To address this limitation, we propose a Univeral Model for Customized Compression (UniCuCo) for LLMs, which introduces a StratNet that learns to map arbitrary requests to their optimal pruning strategy. The challenge in training StratNet lies in the high computational cost of evaluating pruning strategies and the non-differentiable nature of the pruning process, which hinders gradient backpropagation for StratNet updates. To overcome these challenges, we leverage a Gaussian process to approximate the evaluation process. Since the gradient of the Gaussian process is computable, we can use it to approximate the gradient of the non-differentiable pruning process, thereby enabling StratNet updates. Experimental results show that UniCuCo is 28 times faster than baselines in processing 64 requests, while maintaining comparable accuracy to baselines.</v>
      </c>
      <c r="D216" s="7" t="str">
        <f>IFERROR(__xludf.DUMMYFUNCTION("""COMPUTED_VALUE"""),"None")</f>
        <v>None</v>
      </c>
      <c r="E216" s="7" t="str">
        <f>IFERROR(__xludf.DUMMYFUNCTION("""COMPUTED_VALUE"""),"#N/A")</f>
        <v>#N/A</v>
      </c>
      <c r="F216" s="7" t="str">
        <f>IFERROR(__xludf.DUMMYFUNCTION("""COMPUTED_VALUE"""),"Not Pres. ")</f>
        <v>Not Pres. </v>
      </c>
      <c r="G216" s="7" t="str">
        <f>IFERROR(__xludf.DUMMYFUNCTION("""COMPUTED_VALUE"""),"NP Findings Not Presenting ")</f>
        <v>NP Findings Not Presenting </v>
      </c>
      <c r="H216" s="7"/>
      <c r="I216" s="7" t="str">
        <f>IFERROR(__xludf.DUMMYFUNCTION("""COMPUTED_VALUE"""),"NP-Find")</f>
        <v>NP-Find</v>
      </c>
      <c r="J216" s="7"/>
      <c r="K216" s="7"/>
      <c r="L216" s="8"/>
      <c r="M216" s="7"/>
      <c r="N216" s="7"/>
    </row>
    <row r="217">
      <c r="A217" s="7" t="str">
        <f>IFERROR(__xludf.DUMMYFUNCTION("""COMPUTED_VALUE"""),"579-FIND")</f>
        <v>579-FIND</v>
      </c>
      <c r="B217" s="7" t="str">
        <f>IFERROR(__xludf.DUMMYFUNCTION("""COMPUTED_VALUE"""),"CLaMP 3: Universal Music Information Retrieval Across Unaligned Modalities and Unseen Languages")</f>
        <v>CLaMP 3: Universal Music Information Retrieval Across Unaligned Modalities and Unseen Languages</v>
      </c>
      <c r="C217" s="7" t="str">
        <f>IFERROR(__xludf.DUMMYFUNCTION("""COMPUTED_VALUE"""),"CLaMP 3 is a unified framework developed to address challenges of cross-modal and cross-lingual generalization in music information retrieval. Using contrastive learning, it aligns all major music modalities--including sheet music, performance signals, an"&amp;"d audio recordings--with multilingual text in a shared representation space, enabling retrieval across unaligned modalities with text as a bridge. It features a multilingual text encoder adaptable to unseen languages, exhibiting strong cross-lingual gener"&amp;"alization. Leveraging retrieval-augmented generation, we curated M4-RAG, a web-scale dataset consisting of 2.31 million music-text pairs. This dataset is enriched with detailed metadata that represents a wide array of global musical traditions. To advance"&amp;" future research, we release WikiMT-X, a benchmark comprising 1,000 triplets of sheet music, audio, and richly varied text descriptions. Experiments show that CLaMP 3 achieves state-of-the-art performance on multiple MIR tasks, significantly surpassing pr"&amp;"evious strong baselines and demonstrating excellent generalization in multimodal and multilingual music contexts.")</f>
        <v>CLaMP 3 is a unified framework developed to address challenges of cross-modal and cross-lingual generalization in music information retrieval. Using contrastive learning, it aligns all major music modalities--including sheet music, performance signals, and audio recordings--with multilingual text in a shared representation space, enabling retrieval across unaligned modalities with text as a bridge. It features a multilingual text encoder adaptable to unseen languages, exhibiting strong cross-lingual generalization. Leveraging retrieval-augmented generation, we curated M4-RAG, a web-scale dataset consisting of 2.31 million music-text pairs. This dataset is enriched with detailed metadata that represents a wide array of global musical traditions. To advance future research, we release WikiMT-X, a benchmark comprising 1,000 triplets of sheet music, audio, and richly varied text descriptions. Experiments show that CLaMP 3 achieves state-of-the-art performance on multiple MIR tasks, significantly surpassing previous strong baselines and demonstrating excellent generalization in multimodal and multilingual music contexts.</v>
      </c>
      <c r="D217" s="7" t="str">
        <f>IFERROR(__xludf.DUMMYFUNCTION("""COMPUTED_VALUE"""),"Zhancheng Guo")</f>
        <v>Zhancheng Guo</v>
      </c>
      <c r="E217" s="7" t="str">
        <f>IFERROR(__xludf.DUMMYFUNCTION("""COMPUTED_VALUE"""),"Yes")</f>
        <v>Yes</v>
      </c>
      <c r="F217" s="7" t="str">
        <f>IFERROR(__xludf.DUMMYFUNCTION("""COMPUTED_VALUE"""),"IP-Poster")</f>
        <v>IP-Poster</v>
      </c>
      <c r="G217" s="7" t="str">
        <f>IFERROR(__xludf.DUMMYFUNCTION("""COMPUTED_VALUE"""),"In-Person")</f>
        <v>In-Person</v>
      </c>
      <c r="H217" s="7" t="str">
        <f>IFERROR(__xludf.DUMMYFUNCTION("""COMPUTED_VALUE"""),"Hall 4/5")</f>
        <v>Hall 4/5</v>
      </c>
      <c r="I217" s="7" t="str">
        <f>IFERROR(__xludf.DUMMYFUNCTION("""COMPUTED_VALUE"""),"Session 5 :IP-Posters Find ")</f>
        <v>Session 5 :IP-Posters Find </v>
      </c>
      <c r="J217" s="7" t="str">
        <f>IFERROR(__xludf.DUMMYFUNCTION("""COMPUTED_VALUE"""),"Findings Posters - In-Person 1")</f>
        <v>Findings Posters - In-Person 1</v>
      </c>
      <c r="K217" s="7"/>
      <c r="L217" s="8">
        <f>IFERROR(__xludf.DUMMYFUNCTION("""COMPUTED_VALUE"""),45866.0)</f>
        <v>45866</v>
      </c>
      <c r="M217" s="7" t="str">
        <f>IFERROR(__xludf.DUMMYFUNCTION("""COMPUTED_VALUE"""),"18:00-19:30")</f>
        <v>18:00-19:30</v>
      </c>
      <c r="N217" s="7"/>
    </row>
    <row r="218">
      <c r="A218" s="7" t="str">
        <f>IFERROR(__xludf.DUMMYFUNCTION("""COMPUTED_VALUE"""),"584-FIND")</f>
        <v>584-FIND</v>
      </c>
      <c r="B218" s="7" t="str">
        <f>IFERROR(__xludf.DUMMYFUNCTION("""COMPUTED_VALUE"""),"PFDial: A Structured Dialogue Instruction Fine-tuning Method Based on UML Flowcharts")</f>
        <v>PFDial: A Structured Dialogue Instruction Fine-tuning Method Based on UML Flowcharts</v>
      </c>
      <c r="C218" s="7" t="str">
        <f>IFERROR(__xludf.DUMMYFUNCTION("""COMPUTED_VALUE"""),"Process-driven dialogue systems, which operate under strict predefined process constraints, are essential in customer service and equipment maintenance scenarios. Although Large Language Models (LLMs) have shown remarkable progress in dialogue and reasoni"&amp;"ng, they still struggle to solve these strictly constrained dialogue tasks. To address this challenge, we construct **P**rocess **F**low **Dial**ogue (**PFDial**) dataset, which contains 12,705 high-quality Chinese dialogue instructions derived from 440 f"&amp;"lowcharts containing 5,055 process nodes. Based on PlantUML specification, each UML flowchart is converted into atomic dialogue units i.e., structured five-tuples. Experimental results demonstrate that a 7B model trained with merely 800 samples, and a 0.5"&amp;"B model trained on total data both can surpass 90\% accuracy. Additionally, the 8B model can surpass GPT-4o up to 43.88\% with an average of 11.00\%. We further evaluate models' performance on challenging backward transitions in process flows and conduct "&amp;"an in-depth analysis of various dataset formats to reveal their impact on model performance in handling decision and sequential branches. The data is released in https://github.com/KongLongGeFDU/PFDial.")</f>
        <v>Process-driven dialogue systems, which operate under strict predefined process constraints, are essential in customer service and equipment maintenance scenarios. Although Large Language Models (LLMs) have shown remarkable progress in dialogue and reasoning, they still struggle to solve these strictly constrained dialogue tasks. To address this challenge, we construct **P**rocess **F**low **Dial**ogue (**PFDial**) dataset, which contains 12,705 high-quality Chinese dialogue instructions derived from 440 flowcharts containing 5,055 process nodes. Based on PlantUML specification, each UML flowchart is converted into atomic dialogue units i.e., structured five-tuples. Experimental results demonstrate that a 7B model trained with merely 800 samples, and a 0.5B model trained on total data both can surpass 90\% accuracy. Additionally, the 8B model can surpass GPT-4o up to 43.88\% with an average of 11.00\%. We further evaluate models' performance on challenging backward transitions in process flows and conduct an in-depth analysis of various dataset formats to reveal their impact on model performance in handling decision and sequential branches. The data is released in https://github.com/KongLongGeFDU/PFDial.</v>
      </c>
      <c r="D218" s="7" t="str">
        <f>IFERROR(__xludf.DUMMYFUNCTION("""COMPUTED_VALUE"""),"I do not plan to present.")</f>
        <v>I do not plan to present.</v>
      </c>
      <c r="E218" s="7" t="str">
        <f>IFERROR(__xludf.DUMMYFUNCTION("""COMPUTED_VALUE"""),"#N/A")</f>
        <v>#N/A</v>
      </c>
      <c r="F218" s="7" t="str">
        <f>IFERROR(__xludf.DUMMYFUNCTION("""COMPUTED_VALUE"""),"Not Pres. ")</f>
        <v>Not Pres. </v>
      </c>
      <c r="G218" s="7" t="str">
        <f>IFERROR(__xludf.DUMMYFUNCTION("""COMPUTED_VALUE"""),"NP Findings Not Presenting ")</f>
        <v>NP Findings Not Presenting </v>
      </c>
      <c r="H218" s="7"/>
      <c r="I218" s="7" t="str">
        <f>IFERROR(__xludf.DUMMYFUNCTION("""COMPUTED_VALUE"""),"NP-Find")</f>
        <v>NP-Find</v>
      </c>
      <c r="J218" s="7"/>
      <c r="K218" s="7"/>
      <c r="L218" s="8"/>
      <c r="M218" s="7"/>
      <c r="N218" s="7"/>
    </row>
    <row r="219">
      <c r="A219" s="7" t="str">
        <f>IFERROR(__xludf.DUMMYFUNCTION("""COMPUTED_VALUE"""),"586-FIND")</f>
        <v>586-FIND</v>
      </c>
      <c r="B219" s="7" t="str">
        <f>IFERROR(__xludf.DUMMYFUNCTION("""COMPUTED_VALUE"""),"Listening to Patients: Detecting and Mitigating Patient Misreport in Medical Dialogue System")</f>
        <v>Listening to Patients: Detecting and Mitigating Patient Misreport in Medical Dialogue System</v>
      </c>
      <c r="C219" s="7" t="str">
        <f>IFERROR(__xludf.DUMMYFUNCTION("""COMPUTED_VALUE"""),"Medical Dialogue Systems~(MDSs) have emerged as promising tools for automated healthcare support through patient-agent interactions. Previous efforts typically relied on an idealized assumption --- patients can accurately report symptoms aligned with thei"&amp;"r actual health conditions. However, in reality, patients often misreport their symptoms, due to cognitive limitations, emotional factors, etc. Overlooking patient misreports can significantly compromise the diagnostic accuracy of MDSs. To address this cr"&amp;"itical issue, we emphasize the importance of enabling MDSs to ""listen to patients'' by tackling two key challenges: how to detect misreport and mitigate misreport effectively. In this work, we propose PaMis, a novel framework that can detect patient misr"&amp;"eports based on calculating the structural entropy of the dialogue entity graph, and mitigate them through generating controlled clarifying questions. Our experimental results demonstrate that PaMis effectively enhances MDSs reliability by effectively add"&amp;"ressing patient misreports during the medical response generation process.")</f>
        <v>Medical Dialogue Systems~(MDSs) have emerged as promising tools for automated healthcare support through patient-agent interactions. Previous efforts typically relied on an idealized assumption --- patients can accurately report symptoms aligned with their actual health conditions. However, in reality, patients often misreport their symptoms, due to cognitive limitations, emotional factors, etc. Overlooking patient misreports can significantly compromise the diagnostic accuracy of MDSs. To address this critical issue, we emphasize the importance of enabling MDSs to "listen to patients'' by tackling two key challenges: how to detect misreport and mitigate misreport effectively. In this work, we propose PaMis, a novel framework that can detect patient misreports based on calculating the structural entropy of the dialogue entity graph, and mitigate them through generating controlled clarifying questions. Our experimental results demonstrate that PaMis effectively enhances MDSs reliability by effectively addressing patient misreports during the medical response generation process.</v>
      </c>
      <c r="D219" s="7" t="str">
        <f>IFERROR(__xludf.DUMMYFUNCTION("""COMPUTED_VALUE"""),"N/A")</f>
        <v>N/A</v>
      </c>
      <c r="E219" s="7" t="str">
        <f>IFERROR(__xludf.DUMMYFUNCTION("""COMPUTED_VALUE"""),"#N/A")</f>
        <v>#N/A</v>
      </c>
      <c r="F219" s="7" t="str">
        <f>IFERROR(__xludf.DUMMYFUNCTION("""COMPUTED_VALUE"""),"Not Pres. ")</f>
        <v>Not Pres. </v>
      </c>
      <c r="G219" s="7" t="str">
        <f>IFERROR(__xludf.DUMMYFUNCTION("""COMPUTED_VALUE"""),"NP Findings Not Presenting ")</f>
        <v>NP Findings Not Presenting </v>
      </c>
      <c r="H219" s="7"/>
      <c r="I219" s="7" t="str">
        <f>IFERROR(__xludf.DUMMYFUNCTION("""COMPUTED_VALUE"""),"NP-Find")</f>
        <v>NP-Find</v>
      </c>
      <c r="J219" s="7"/>
      <c r="K219" s="7"/>
      <c r="L219" s="8"/>
      <c r="M219" s="7"/>
      <c r="N219" s="7"/>
    </row>
    <row r="220">
      <c r="A220" s="7" t="str">
        <f>IFERROR(__xludf.DUMMYFUNCTION("""COMPUTED_VALUE"""),"587-FIND")</f>
        <v>587-FIND</v>
      </c>
      <c r="B220" s="7" t="str">
        <f>IFERROR(__xludf.DUMMYFUNCTION("""COMPUTED_VALUE"""),"Do Language Models Understand the Cognitive Tasks Given to Them? Investigations with the N-Back Paradigm")</f>
        <v>Do Language Models Understand the Cognitive Tasks Given to Them? Investigations with the N-Back Paradigm</v>
      </c>
      <c r="C220" s="7" t="str">
        <f>IFERROR(__xludf.DUMMYFUNCTION("""COMPUTED_VALUE"""),"Cognitive tasks originally developed for humans are now increasingly used to study language models. While applying these tasks is often straightforward, interpreting their results can be challenging. In particular, when a model underperforms, it is often "&amp;"unclear whether this results from a limitation in the cognitive ability being tested or a failure to understand the task itself. A recent study argues that GPT 3.5’s declining performance on 2-back and 3-back tasks reflects a working memory capacity limit"&amp;" similar to humans (Gong et al., 2024). By analyzing a range of open-source language models of varying performance levels on these tasks, we show that the poor performance is due at least in part to a limitation in task comprehension and task set maintena"&amp;"nce. We challenge the best-performing model with progressively harder versions of the task (up to 10-back) and experiment with alternative prompting strategies, before analyzing model attentions. Our larger aim is to contribute to the ongoing conversation"&amp;" around refining methodologies for the cognitive evaluation of language models.")</f>
        <v>Cognitive tasks originally developed for humans are now increasingly used to study language models. While applying these tasks is often straightforward, interpreting their results can be challenging. In particular, when a model underperforms, it is often unclear whether this results from a limitation in the cognitive ability being tested or a failure to understand the task itself. A recent study argues that GPT 3.5’s declining performance on 2-back and 3-back tasks reflects a working memory capacity limit similar to humans (Gong et al., 2024). By analyzing a range of open-source language models of varying performance levels on these tasks, we show that the poor performance is due at least in part to a limitation in task comprehension and task set maintenance. We challenge the best-performing model with progressively harder versions of the task (up to 10-back) and experiment with alternative prompting strategies, before analyzing model attentions. Our larger aim is to contribute to the ongoing conversation around refining methodologies for the cognitive evaluation of language models.</v>
      </c>
      <c r="D220" s="7" t="str">
        <f>IFERROR(__xludf.DUMMYFUNCTION("""COMPUTED_VALUE"""),"Xiaoyang Hu")</f>
        <v>Xiaoyang Hu</v>
      </c>
      <c r="E220" s="7" t="str">
        <f>IFERROR(__xludf.DUMMYFUNCTION("""COMPUTED_VALUE"""),"#N/A")</f>
        <v>#N/A</v>
      </c>
      <c r="F220" s="7" t="str">
        <f>IFERROR(__xludf.DUMMYFUNCTION("""COMPUTED_VALUE"""),"Not Pres. ")</f>
        <v>Not Pres. </v>
      </c>
      <c r="G220" s="7" t="str">
        <f>IFERROR(__xludf.DUMMYFUNCTION("""COMPUTED_VALUE"""),"Virtual/Gather")</f>
        <v>Virtual/Gather</v>
      </c>
      <c r="H220" s="7" t="str">
        <f>IFERROR(__xludf.DUMMYFUNCTION("""COMPUTED_VALUE"""),"Gather")</f>
        <v>Gather</v>
      </c>
      <c r="I220" s="7" t="str">
        <f>IFERROR(__xludf.DUMMYFUNCTION("""COMPUTED_VALUE"""),"Session5: V-Gather Find")</f>
        <v>Session5: V-Gather Find</v>
      </c>
      <c r="J220" s="7" t="str">
        <f>IFERROR(__xludf.DUMMYFUNCTION("""COMPUTED_VALUE"""),"Findings Posters - Virtual")</f>
        <v>Findings Posters - Virtual</v>
      </c>
      <c r="K220" s="7"/>
      <c r="L220" s="8">
        <f>IFERROR(__xludf.DUMMYFUNCTION("""COMPUTED_VALUE"""),45866.0)</f>
        <v>45866</v>
      </c>
      <c r="M220" s="7" t="str">
        <f>IFERROR(__xludf.DUMMYFUNCTION("""COMPUTED_VALUE"""),"18:00-19:30")</f>
        <v>18:00-19:30</v>
      </c>
      <c r="N220" s="7"/>
    </row>
    <row r="221">
      <c r="A221" s="7" t="str">
        <f>IFERROR(__xludf.DUMMYFUNCTION("""COMPUTED_VALUE"""),"589-FIND")</f>
        <v>589-FIND</v>
      </c>
      <c r="B221" s="7" t="str">
        <f>IFERROR(__xludf.DUMMYFUNCTION("""COMPUTED_VALUE"""),"Graph-guided Cross-composition Feature Disentanglement for Compositional Zero-shot Learning")</f>
        <v>Graph-guided Cross-composition Feature Disentanglement for Compositional Zero-shot Learning</v>
      </c>
      <c r="C221" s="7" t="str">
        <f>IFERROR(__xludf.DUMMYFUNCTION("""COMPUTED_VALUE"""),"Disentanglement of visual features of primitives (i.e., attributes and objects) has shown exceptional results in Compositional Zero-shot Learning (CZSL). However, due to the feature divergence of an attribute (resp. object) when combined with different ob"&amp;"jects (resp. attributes), it is challenging to learn disentangled primitive features that are general across different compositions. To this end, we propose the solution of cross-composition feature disentanglement, which takes multiple primitive-sharing "&amp;"compositions as inputs and constrains the disentangled primitive features to be general across these compositions. More specifically, we leverage a compositional graph to define the overall primitive-sharing relationships between compositions, and build a"&amp;" task-specific architecture upon the recently successful large pre-trained vision-language model (VLM) CLIP, with dual cross-composition disentangling adapters (called L-Adapter and V-Adapter) inserted into CLIP’s frozen text and image encoders, respectiv"&amp;"ely. Evaluation on three popular CZSL benchmarks shows that our proposed solution significantly improves the performance of CZSL, and its components have been verified by solid ablation studies. Our code and data are available at: https://github.com/zhuru"&amp;"nkai/DCDA.")</f>
        <v>Disentanglement of visual features of primitives (i.e., attributes and objects) has shown exceptional results in Compositional Zero-shot Learning (CZSL). However, due to the feature divergence of an attribute (resp. object) when combined with different objects (resp. attributes), it is challenging to learn disentangled primitive features that are general across different compositions. To this end, we propose the solution of cross-composition feature disentanglement, which takes multiple primitive-sharing compositions as inputs and constrains the disentangled primitive features to be general across these compositions. More specifically, we leverage a compositional graph to define the overall primitive-sharing relationships between compositions, and build a task-specific architecture upon the recently successful large pre-trained vision-language model (VLM) CLIP, with dual cross-composition disentangling adapters (called L-Adapter and V-Adapter) inserted into CLIP’s frozen text and image encoders, respectively. Evaluation on three popular CZSL benchmarks shows that our proposed solution significantly improves the performance of CZSL, and its components have been verified by solid ablation studies. Our code and data are available at: https://github.com/zhurunkai/DCDA.</v>
      </c>
      <c r="D221" s="7" t="str">
        <f>IFERROR(__xludf.DUMMYFUNCTION("""COMPUTED_VALUE"""),"N/A")</f>
        <v>N/A</v>
      </c>
      <c r="E221" s="7" t="str">
        <f>IFERROR(__xludf.DUMMYFUNCTION("""COMPUTED_VALUE"""),"#N/A")</f>
        <v>#N/A</v>
      </c>
      <c r="F221" s="7" t="str">
        <f>IFERROR(__xludf.DUMMYFUNCTION("""COMPUTED_VALUE"""),"Not Pres. ")</f>
        <v>Not Pres. </v>
      </c>
      <c r="G221" s="7" t="str">
        <f>IFERROR(__xludf.DUMMYFUNCTION("""COMPUTED_VALUE"""),"NP Findings Not Presenting ")</f>
        <v>NP Findings Not Presenting </v>
      </c>
      <c r="H221" s="7"/>
      <c r="I221" s="7" t="str">
        <f>IFERROR(__xludf.DUMMYFUNCTION("""COMPUTED_VALUE"""),"NP-Find")</f>
        <v>NP-Find</v>
      </c>
      <c r="J221" s="7"/>
      <c r="K221" s="7"/>
      <c r="L221" s="8"/>
      <c r="M221" s="7"/>
      <c r="N221" s="7"/>
    </row>
    <row r="222">
      <c r="A222" s="7" t="str">
        <f>IFERROR(__xludf.DUMMYFUNCTION("""COMPUTED_VALUE"""),"592-FIND")</f>
        <v>592-FIND</v>
      </c>
      <c r="B222" s="7" t="str">
        <f>IFERROR(__xludf.DUMMYFUNCTION("""COMPUTED_VALUE"""),"Training Long-Context LLMs Efficiently via Chunk-wise Optimization")</f>
        <v>Training Long-Context LLMs Efficiently via Chunk-wise Optimization</v>
      </c>
      <c r="C222" s="7" t="str">
        <f>IFERROR(__xludf.DUMMYFUNCTION("""COMPUTED_VALUE"""),"While long-context large language models (LLMs) exhibit remarkable document processing capabilities, their prohibitively high training costs often hinder customized applications. To mitigate this issue, we propose __Sequential Chunk-wise Optimization (SeC"&amp;"O)__, a memory-efficient training paradigm that partitions lengthy inputs into manageable chunks. Each chunk independently constructs its computational graph and performs localized backpropagation, ensuring that only one chunk's forward activations are st"&amp;"ored in memory. Building on SeCO, we further introduce __Sparse Chunk-wise Optimization (SpaCO)__, which reduces computational overhead by selectively propagating gradients to specific chunks and incorporates a carefully designed compensation factor to en"&amp;"sure unbiased gradient estimation. SpaCO decouples the computational cost of backpropagation from the context length, enabling training time to gradually converge to inference time as sequences become longer. Implemented as lightweight training wrappers, "&amp;"both SeCO and SpaCO offer substantial practical benefits. For example, when fine-tuning an 8B model with LoRA on a single RTX 3090 GPU, SeCO expands maximum sequence length from 1K to 16K tokens, while SpaCO demonstrates accelerated training speed---achie"&amp;"ving up to 3× faster than SeCO under the same experimental setup. These innovations provide new insights into optimizing long-context models, making them more accessible for practical applications. We have open-sourced the code at https://anonymous.4open."&amp;"science/r/seco-CCBD.")</f>
        <v>While long-context large language models (LLMs) exhibit remarkable document processing capabilities, their prohibitively high training costs often hinder customized applications. To mitigate this issue, we propose __Sequential Chunk-wise Optimization (SeCO)__, a memory-efficient training paradigm that partitions lengthy inputs into manageable chunks. Each chunk independently constructs its computational graph and performs localized backpropagation, ensuring that only one chunk's forward activations are stored in memory. Building on SeCO, we further introduce __Sparse Chunk-wise Optimization (SpaCO)__, which reduces computational overhead by selectively propagating gradients to specific chunks and incorporates a carefully designed compensation factor to ensure unbiased gradient estimation. SpaCO decouples the computational cost of backpropagation from the context length, enabling training time to gradually converge to inference time as sequences become longer. Implemented as lightweight training wrappers, both SeCO and SpaCO offer substantial practical benefits. For example, when fine-tuning an 8B model with LoRA on a single RTX 3090 GPU, SeCO expands maximum sequence length from 1K to 16K tokens, while SpaCO demonstrates accelerated training speed---achieving up to 3× faster than SeCO under the same experimental setup. These innovations provide new insights into optimizing long-context models, making them more accessible for practical applications. We have open-sourced the code at https://anonymous.4open.science/r/seco-CCBD.</v>
      </c>
      <c r="D222" s="7" t="str">
        <f>IFERROR(__xludf.DUMMYFUNCTION("""COMPUTED_VALUE"""),"I do not plan to present.")</f>
        <v>I do not plan to present.</v>
      </c>
      <c r="E222" s="7" t="str">
        <f>IFERROR(__xludf.DUMMYFUNCTION("""COMPUTED_VALUE"""),"#N/A")</f>
        <v>#N/A</v>
      </c>
      <c r="F222" s="7" t="str">
        <f>IFERROR(__xludf.DUMMYFUNCTION("""COMPUTED_VALUE"""),"Not Pres. ")</f>
        <v>Not Pres. </v>
      </c>
      <c r="G222" s="7" t="str">
        <f>IFERROR(__xludf.DUMMYFUNCTION("""COMPUTED_VALUE"""),"NP Findings Not Presenting ")</f>
        <v>NP Findings Not Presenting </v>
      </c>
      <c r="H222" s="7"/>
      <c r="I222" s="7" t="str">
        <f>IFERROR(__xludf.DUMMYFUNCTION("""COMPUTED_VALUE"""),"NP-Find")</f>
        <v>NP-Find</v>
      </c>
      <c r="J222" s="7"/>
      <c r="K222" s="7"/>
      <c r="L222" s="8"/>
      <c r="M222" s="7"/>
      <c r="N222" s="7"/>
    </row>
    <row r="223">
      <c r="A223" s="7" t="str">
        <f>IFERROR(__xludf.DUMMYFUNCTION("""COMPUTED_VALUE"""),"601-FIND")</f>
        <v>601-FIND</v>
      </c>
      <c r="B223" s="7" t="str">
        <f>IFERROR(__xludf.DUMMYFUNCTION("""COMPUTED_VALUE"""),"Revisiting LoRA through the Lens of Parameter Redundancy: Spectral Encoding Helps")</f>
        <v>Revisiting LoRA through the Lens of Parameter Redundancy: Spectral Encoding Helps</v>
      </c>
      <c r="C223" s="7" t="str">
        <f>IFERROR(__xludf.DUMMYFUNCTION("""COMPUTED_VALUE"""),"Low-Rank Adaptation (LoRA) has emerged as a prominent technique for fine-tuning large foundation models. Despite its successes, the substantial parameter redundancy, which limits the capacity and efficiency of LoRA, has been recognized as a bottleneck. In"&amp;" this work, we systematically investigate the impact of redundancy in fine-tuning LoRA and reveal that reducing density redundancy does not degrade expressiveness. Based on this insight, we introduce Spectral-encoding Low-Rank Adaptation (SeLoRA), which h"&amp;"arnesses the robust expressiveness of spectral bases to re-parameterize LoRA from a sparse spectral subspace. Designed with simplicity, SeLoRA enables seamless integration with various LoRA variants for performance boosting, serving as a scalable plug-and"&amp;"-play framework. Extensive experiments substantiate that SeLoRA achieves greater efficiency with fewer parameters, delivering superior performance enhancements over strong baselines on various downstream tasks, including commonsense reasoning, math reason"&amp;"ing, and code generation.")</f>
        <v>Low-Rank Adaptation (LoRA) has emerged as a prominent technique for fine-tuning large foundation models. Despite its successes, the substantial parameter redundancy, which limits the capacity and efficiency of LoRA, has been recognized as a bottleneck. In this work, we systematically investigate the impact of redundancy in fine-tuning LoRA and reveal that reducing density redundancy does not degrade expressiveness. Based on this insight, we introduce Spectral-encoding Low-Rank Adaptation (SeLoRA), which harnesses the robust expressiveness of spectral bases to re-parameterize LoRA from a sparse spectral subspace. Designed with simplicity, SeLoRA enables seamless integration with various LoRA variants for performance boosting, serving as a scalable plug-and-play framework. Extensive experiments substantiate that SeLoRA achieves greater efficiency with fewer parameters, delivering superior performance enhancements over strong baselines on various downstream tasks, including commonsense reasoning, math reasoning, and code generation.</v>
      </c>
      <c r="D223" s="7" t="str">
        <f>IFERROR(__xludf.DUMMYFUNCTION("""COMPUTED_VALUE"""),"NA")</f>
        <v>NA</v>
      </c>
      <c r="E223" s="7" t="str">
        <f>IFERROR(__xludf.DUMMYFUNCTION("""COMPUTED_VALUE"""),"#N/A")</f>
        <v>#N/A</v>
      </c>
      <c r="F223" s="7" t="str">
        <f>IFERROR(__xludf.DUMMYFUNCTION("""COMPUTED_VALUE"""),"Not Pres. ")</f>
        <v>Not Pres. </v>
      </c>
      <c r="G223" s="7" t="str">
        <f>IFERROR(__xludf.DUMMYFUNCTION("""COMPUTED_VALUE"""),"NP Findings Not Presenting ")</f>
        <v>NP Findings Not Presenting </v>
      </c>
      <c r="H223" s="7"/>
      <c r="I223" s="7" t="str">
        <f>IFERROR(__xludf.DUMMYFUNCTION("""COMPUTED_VALUE"""),"NP-Find")</f>
        <v>NP-Find</v>
      </c>
      <c r="J223" s="7"/>
      <c r="K223" s="7"/>
      <c r="L223" s="8"/>
      <c r="M223" s="7"/>
      <c r="N223" s="7"/>
    </row>
    <row r="224">
      <c r="A224" s="7" t="str">
        <f>IFERROR(__xludf.DUMMYFUNCTION("""COMPUTED_VALUE"""),"610-FIND")</f>
        <v>610-FIND</v>
      </c>
      <c r="B224" s="7" t="str">
        <f>IFERROR(__xludf.DUMMYFUNCTION("""COMPUTED_VALUE"""),"Can Language Models Be Used for Code Migration?")</f>
        <v>Can Language Models Be Used for Code Migration?</v>
      </c>
      <c r="C224" s="7" t="str">
        <f>IFERROR(__xludf.DUMMYFUNCTION("""COMPUTED_VALUE"""),"Large language models (LLMs) have demonstrated remarkable proficiency in handling a wide range of tasks within the software engineering domain, but their ability to perform code migration—adapting code to different environments—remains underexplored. In t"&amp;"his work, we propose a novel benchmark, \OurDATA{}: \underline{\textbf{Code}} \underline{\textbf{M}}igration Across \underline{\textbf{Env}}ironment, designed to evaluate LLMs' performance in handling code migration tasks. The benchmark comprises 922 data"&amp;" points across 19 Python and Java packages, offering three tasks to systematically evaluate code migration: identifying version-incompatible functions, determining function changes, and adapting code to target environments. Experimental evaluation of \Our"&amp;"DATA{} across seven LLMs revealed an average pass@1 rate of 26.50%, with \textsc{GPT-4o} performing best at 43.84%. We highlight our key findings as follows: (i) LLMs are more familiar with newer function versions, making them better at migrating legacy c"&amp;"ode, and (ii) a logical inconsistency where LLMs sometimes identify irrelevant function changes for the target migration environment.")</f>
        <v>Large language models (LLMs) have demonstrated remarkable proficiency in handling a wide range of tasks within the software engineering domain, but their ability to perform code migration—adapting code to different environments—remains underexplored. In this work, we propose a novel benchmark, \OurDATA{}: \underline{\textbf{Code}} \underline{\textbf{M}}igration Across \underline{\textbf{Env}}ironment, designed to evaluate LLMs' performance in handling code migration tasks. The benchmark comprises 922 data points across 19 Python and Java packages, offering three tasks to systematically evaluate code migration: identifying version-incompatible functions, determining function changes, and adapting code to target environments. Experimental evaluation of \OurDATA{} across seven LLMs revealed an average pass@1 rate of 26.50%, with \textsc{GPT-4o} performing best at 43.84%. We highlight our key findings as follows: (i) LLMs are more familiar with newer function versions, making them better at migrating legacy code, and (ii) a logical inconsistency where LLMs sometimes identify irrelevant function changes for the target migration environment.</v>
      </c>
      <c r="D224" s="7" t="str">
        <f>IFERROR(__xludf.DUMMYFUNCTION("""COMPUTED_VALUE"""),"Lijie Hu")</f>
        <v>Lijie Hu</v>
      </c>
      <c r="E224" s="7" t="str">
        <f>IFERROR(__xludf.DUMMYFUNCTION("""COMPUTED_VALUE"""),"yes")</f>
        <v>yes</v>
      </c>
      <c r="F224" s="7" t="str">
        <f>IFERROR(__xludf.DUMMYFUNCTION("""COMPUTED_VALUE"""),"V-Presentation")</f>
        <v>V-Presentation</v>
      </c>
      <c r="G224" s="7" t="str">
        <f>IFERROR(__xludf.DUMMYFUNCTION("""COMPUTED_VALUE"""),"Virtual/Gather")</f>
        <v>Virtual/Gather</v>
      </c>
      <c r="H224" s="7" t="str">
        <f>IFERROR(__xludf.DUMMYFUNCTION("""COMPUTED_VALUE"""),"Gather")</f>
        <v>Gather</v>
      </c>
      <c r="I224" s="7" t="str">
        <f>IFERROR(__xludf.DUMMYFUNCTION("""COMPUTED_VALUE"""),"Session5: V-Gather Find")</f>
        <v>Session5: V-Gather Find</v>
      </c>
      <c r="J224" s="7" t="str">
        <f>IFERROR(__xludf.DUMMYFUNCTION("""COMPUTED_VALUE"""),"Findings Posters - Virtual")</f>
        <v>Findings Posters - Virtual</v>
      </c>
      <c r="K224" s="7"/>
      <c r="L224" s="8">
        <f>IFERROR(__xludf.DUMMYFUNCTION("""COMPUTED_VALUE"""),45866.0)</f>
        <v>45866</v>
      </c>
      <c r="M224" s="7" t="str">
        <f>IFERROR(__xludf.DUMMYFUNCTION("""COMPUTED_VALUE"""),"18:00-19:30")</f>
        <v>18:00-19:30</v>
      </c>
      <c r="N224" s="7"/>
    </row>
    <row r="225">
      <c r="A225" s="7" t="str">
        <f>IFERROR(__xludf.DUMMYFUNCTION("""COMPUTED_VALUE"""),"615-FIND")</f>
        <v>615-FIND</v>
      </c>
      <c r="B225" s="7" t="str">
        <f>IFERROR(__xludf.DUMMYFUNCTION("""COMPUTED_VALUE"""),"A Case Study of Cross-Lingual Zero-Shot Generalization for Classical Languages in LLMs")</f>
        <v>A Case Study of Cross-Lingual Zero-Shot Generalization for Classical Languages in LLMs</v>
      </c>
      <c r="C225" s="7" t="str">
        <f>IFERROR(__xludf.DUMMYFUNCTION("""COMPUTED_VALUE"""),"Large Language Models (LLMs) have demonstrated remarkable generalization capabilities across diverse tasks and languages. In this study, we focus on natural language understanding in three classical languages---Sanskrit, Ancient Greek and Latin---to inves"&amp;"tigate the factors affecting cross-lingual zero-shot generalization. First, we explore named entity recognition and machine translation into English. While LLMs perform equal to or better than fine-tuned baselines on out-of-domain data, smaller models oft"&amp;"en struggle, especially with niche or abstract entity types. In addition, we concentrate on Sanskrit by presenting a factoid question–answering (QA) dataset and show that incorporating context via retrieval-augmented generation approach significantly boos"&amp;"ts performance. In contrast, we observe pronounced performance drops for smaller LLMs across these QA tasks. These results suggest model scale as an important factor influencing cross-lingual generalization. Assuming that models used such as GPT-4o and Ll"&amp;"ama-3.1 are not instruction fine-tuned on classical languages, our findings provide insights into how LLMs may generalize on these languages and their consequent utility in classical studies.")</f>
        <v>Large Language Models (LLMs) have demonstrated remarkable generalization capabilities across diverse tasks and languages. In this study, we focus on natural language understanding in three classical languages---Sanskrit, Ancient Greek and Latin---to investigate the factors affecting cross-lingual zero-shot generalization. First, we explore named entity recognition and machine translation into English. While LLMs perform equal to or better than fine-tuned baselines on out-of-domain data, smaller models often struggle, especially with niche or abstract entity types. In addition, we concentrate on Sanskrit by presenting a factoid question–answering (QA) dataset and show that incorporating context via retrieval-augmented generation approach significantly boosts performance. In contrast, we observe pronounced performance drops for smaller LLMs across these QA tasks. These results suggest model scale as an important factor influencing cross-lingual generalization. Assuming that models used such as GPT-4o and Llama-3.1 are not instruction fine-tuned on classical languages, our findings provide insights into how LLMs may generalize on these languages and their consequent utility in classical studies.</v>
      </c>
      <c r="D225" s="7" t="str">
        <f>IFERROR(__xludf.DUMMYFUNCTION("""COMPUTED_VALUE"""),"V.S.D.S.Mahesh Akavarapu")</f>
        <v>V.S.D.S.Mahesh Akavarapu</v>
      </c>
      <c r="E225" s="7" t="str">
        <f>IFERROR(__xludf.DUMMYFUNCTION("""COMPUTED_VALUE"""),"Yes")</f>
        <v>Yes</v>
      </c>
      <c r="F225" s="7" t="str">
        <f>IFERROR(__xludf.DUMMYFUNCTION("""COMPUTED_VALUE"""),"IP-Poster")</f>
        <v>IP-Poster</v>
      </c>
      <c r="G225" s="7" t="str">
        <f>IFERROR(__xludf.DUMMYFUNCTION("""COMPUTED_VALUE"""),"In-Person")</f>
        <v>In-Person</v>
      </c>
      <c r="H225" s="7" t="str">
        <f>IFERROR(__xludf.DUMMYFUNCTION("""COMPUTED_VALUE"""),"Hall 4/5")</f>
        <v>Hall 4/5</v>
      </c>
      <c r="I225" s="7" t="str">
        <f>IFERROR(__xludf.DUMMYFUNCTION("""COMPUTED_VALUE"""),"Session 5 :IP-Posters Find ")</f>
        <v>Session 5 :IP-Posters Find </v>
      </c>
      <c r="J225" s="7" t="str">
        <f>IFERROR(__xludf.DUMMYFUNCTION("""COMPUTED_VALUE"""),"Findings Posters - In-Person 1")</f>
        <v>Findings Posters - In-Person 1</v>
      </c>
      <c r="K225" s="7"/>
      <c r="L225" s="8">
        <f>IFERROR(__xludf.DUMMYFUNCTION("""COMPUTED_VALUE"""),45866.0)</f>
        <v>45866</v>
      </c>
      <c r="M225" s="7" t="str">
        <f>IFERROR(__xludf.DUMMYFUNCTION("""COMPUTED_VALUE"""),"18:00-19:30")</f>
        <v>18:00-19:30</v>
      </c>
      <c r="N225" s="7"/>
    </row>
    <row r="226">
      <c r="A226" s="7" t="str">
        <f>IFERROR(__xludf.DUMMYFUNCTION("""COMPUTED_VALUE"""),"616-FIND")</f>
        <v>616-FIND</v>
      </c>
      <c r="B226" s="7" t="str">
        <f>IFERROR(__xludf.DUMMYFUNCTION("""COMPUTED_VALUE"""),"BrainECHO: Semantic Brain Signal Decoding through Vector-Quantized Spectrogram Reconstruction for Whisper-Enhanced Text Generation")</f>
        <v>BrainECHO: Semantic Brain Signal Decoding through Vector-Quantized Spectrogram Reconstruction for Whisper-Enhanced Text Generation</v>
      </c>
      <c r="C226" s="7" t="str">
        <f>IFERROR(__xludf.DUMMYFUNCTION("""COMPUTED_VALUE"""),"Current EEG/MEG-to-text decoding systems suffer from three key limitations: (1) reliance on teacher-forcing methods, which compromises robustness during inference, (2) sensitivity to session-specific noise, hindering generalization across subjects, and (3"&amp;") misalignment between brain signals and linguistic representations due to pre-trained language model over-dominance. To overcome these challenges, we propose BrainECHO (Brain signal decoding via vEctor-quantized speCtrogram reconstruction for WHisper-enh"&amp;"anced text generatiOn), a multi-stage framework that employs decoupled representation learning to achieve state-of-the-art performance on both EEG and MEG datasets. Specifically, BrainECHO consists of three stages: (1) Discrete autoencoding, which transfo"&amp;"rms continuous Mel spectrograms into a finite set of high-quality discrete representations for subsequent stages. (2) Frozen alignment, where brain signal embeddings are mapped to corresponding Mel spectrogram embeddings in a frozen latent space, effectiv"&amp;"ely filtering session-specific noise through vector-quantized reconstruction, yielding a 3.65% improvement in BLEU-4 score. (3) Constrained decoding fine-tuning, which leverages the pre-trained Whisper model for audio-to-text translation, balancing signal"&amp;" adaptation with knowledge preservation, and achieving 74%-89% decoding BLEU scores without excessive reliance on teacher forcing. BrainECHO demonstrates robustness across sentence, session, and subject-independent conditions, passing Gaussian noise tests"&amp;" and showcasing its potential for enhancing language-based brain-computer interfaces.")</f>
        <v>Current EEG/MEG-to-text decoding systems suffer from three key limitations: (1) reliance on teacher-forcing methods, which compromises robustness during inference, (2) sensitivity to session-specific noise, hindering generalization across subjects, and (3) misalignment between brain signals and linguistic representations due to pre-trained language model over-dominance. To overcome these challenges, we propose BrainECHO (Brain signal decoding via vEctor-quantized speCtrogram reconstruction for WHisper-enhanced text generatiOn), a multi-stage framework that employs decoupled representation learning to achieve state-of-the-art performance on both EEG and MEG datasets. Specifically, BrainECHO consists of three stages: (1) Discrete autoencoding, which transforms continuous Mel spectrograms into a finite set of high-quality discrete representations for subsequent stages. (2) Frozen alignment, where brain signal embeddings are mapped to corresponding Mel spectrogram embeddings in a frozen latent space, effectively filtering session-specific noise through vector-quantized reconstruction, yielding a 3.65% improvement in BLEU-4 score. (3) Constrained decoding fine-tuning, which leverages the pre-trained Whisper model for audio-to-text translation, balancing signal adaptation with knowledge preservation, and achieving 74%-89% decoding BLEU scores without excessive reliance on teacher forcing. BrainECHO demonstrates robustness across sentence, session, and subject-independent conditions, passing Gaussian noise tests and showcasing its potential for enhancing language-based brain-computer interfaces.</v>
      </c>
      <c r="D226" s="7" t="str">
        <f>IFERROR(__xludf.DUMMYFUNCTION("""COMPUTED_VALUE"""),"N/A")</f>
        <v>N/A</v>
      </c>
      <c r="E226" s="7" t="str">
        <f>IFERROR(__xludf.DUMMYFUNCTION("""COMPUTED_VALUE"""),"#N/A")</f>
        <v>#N/A</v>
      </c>
      <c r="F226" s="7" t="str">
        <f>IFERROR(__xludf.DUMMYFUNCTION("""COMPUTED_VALUE"""),"Not Pres. ")</f>
        <v>Not Pres. </v>
      </c>
      <c r="G226" s="7" t="str">
        <f>IFERROR(__xludf.DUMMYFUNCTION("""COMPUTED_VALUE"""),"NP Findings Not Presenting ")</f>
        <v>NP Findings Not Presenting </v>
      </c>
      <c r="H226" s="7"/>
      <c r="I226" s="7" t="str">
        <f>IFERROR(__xludf.DUMMYFUNCTION("""COMPUTED_VALUE"""),"NP-Find")</f>
        <v>NP-Find</v>
      </c>
      <c r="J226" s="7"/>
      <c r="K226" s="7"/>
      <c r="L226" s="8"/>
      <c r="M226" s="7"/>
      <c r="N226" s="7"/>
    </row>
    <row r="227">
      <c r="A227" s="7" t="str">
        <f>IFERROR(__xludf.DUMMYFUNCTION("""COMPUTED_VALUE"""),"617-FIND")</f>
        <v>617-FIND</v>
      </c>
      <c r="B227" s="7" t="str">
        <f>IFERROR(__xludf.DUMMYFUNCTION("""COMPUTED_VALUE"""),"Progressive LoRA for Multimodal Continual Instruction Tuning")</f>
        <v>Progressive LoRA for Multimodal Continual Instruction Tuning</v>
      </c>
      <c r="C227" s="7" t="str">
        <f>IFERROR(__xludf.DUMMYFUNCTION("""COMPUTED_VALUE"""),"Multimodal Continual Instruction Tuning (MCIT) empowers Multimodal Large Language Models (MLLMs) to adapt to ever-evolving requirements without continuous costly retraining. However, MCIT faces challenges in mitigating Catastrophic Forgetting (CF) and enh"&amp;"ancing Knowledge Transfer (KT). Existing works combine Mixture-of-Expert (MoE) and LoRA to address these. However, using a fixed number of shared LoRA blocks across tasks can lead to the overwriting of acquired knowledge, making MLLMs harder to handle CF "&amp;"and KT. Therefore, we propose the **Prog**ressive **LoRA** framework (ProgLoRA), which contains a progressive LoRA pool and trains a new LoRA block for each incremental task to reduce knowledge interference. Specifically, ProgLoRA has two key mechanisms: "&amp;"task-aware allocation for effectively leveraging acquired knowledge at current task and task recall for realigning the model with learned tasks. Additionally, considering different application scenarios, we design a static ProgLoRA for the more idealized "&amp;"basic setting and a dynamic ProgLoRA for the more realistic challenging setting. Experiments on the latest MCIT benchmark demonstrate that ProgLoRA outperforms existing approaches.")</f>
        <v>Multimodal Continual Instruction Tuning (MCIT) empowers Multimodal Large Language Models (MLLMs) to adapt to ever-evolving requirements without continuous costly retraining. However, MCIT faces challenges in mitigating Catastrophic Forgetting (CF) and enhancing Knowledge Transfer (KT). Existing works combine Mixture-of-Expert (MoE) and LoRA to address these. However, using a fixed number of shared LoRA blocks across tasks can lead to the overwriting of acquired knowledge, making MLLMs harder to handle CF and KT. Therefore, we propose the **Prog**ressive **LoRA** framework (ProgLoRA), which contains a progressive LoRA pool and trains a new LoRA block for each incremental task to reduce knowledge interference. Specifically, ProgLoRA has two key mechanisms: task-aware allocation for effectively leveraging acquired knowledge at current task and task recall for realigning the model with learned tasks. Additionally, considering different application scenarios, we design a static ProgLoRA for the more idealized basic setting and a dynamic ProgLoRA for the more realistic challenging setting. Experiments on the latest MCIT benchmark demonstrate that ProgLoRA outperforms existing approaches.</v>
      </c>
      <c r="D227" s="7" t="str">
        <f>IFERROR(__xludf.DUMMYFUNCTION("""COMPUTED_VALUE"""),"Yahan Yu")</f>
        <v>Yahan Yu</v>
      </c>
      <c r="E227" s="7" t="str">
        <f>IFERROR(__xludf.DUMMYFUNCTION("""COMPUTED_VALUE"""),"Yes")</f>
        <v>Yes</v>
      </c>
      <c r="F227" s="7" t="str">
        <f>IFERROR(__xludf.DUMMYFUNCTION("""COMPUTED_VALUE"""),"IP-Poster")</f>
        <v>IP-Poster</v>
      </c>
      <c r="G227" s="7" t="str">
        <f>IFERROR(__xludf.DUMMYFUNCTION("""COMPUTED_VALUE"""),"In-Person")</f>
        <v>In-Person</v>
      </c>
      <c r="H227" s="7" t="str">
        <f>IFERROR(__xludf.DUMMYFUNCTION("""COMPUTED_VALUE"""),"Hall 4/5")</f>
        <v>Hall 4/5</v>
      </c>
      <c r="I227" s="7" t="str">
        <f>IFERROR(__xludf.DUMMYFUNCTION("""COMPUTED_VALUE"""),"Session 5 :IP-Posters Find ")</f>
        <v>Session 5 :IP-Posters Find </v>
      </c>
      <c r="J227" s="7" t="str">
        <f>IFERROR(__xludf.DUMMYFUNCTION("""COMPUTED_VALUE"""),"Findings Posters - In-Person 1")</f>
        <v>Findings Posters - In-Person 1</v>
      </c>
      <c r="K227" s="7"/>
      <c r="L227" s="8">
        <f>IFERROR(__xludf.DUMMYFUNCTION("""COMPUTED_VALUE"""),45866.0)</f>
        <v>45866</v>
      </c>
      <c r="M227" s="7" t="str">
        <f>IFERROR(__xludf.DUMMYFUNCTION("""COMPUTED_VALUE"""),"18:00-19:30")</f>
        <v>18:00-19:30</v>
      </c>
      <c r="N227" s="7"/>
    </row>
    <row r="228">
      <c r="A228" s="7" t="str">
        <f>IFERROR(__xludf.DUMMYFUNCTION("""COMPUTED_VALUE"""),"618-FIND")</f>
        <v>618-FIND</v>
      </c>
      <c r="B228" s="7" t="str">
        <f>IFERROR(__xludf.DUMMYFUNCTION("""COMPUTED_VALUE"""),"ARC 'Challenge' Is Not That Challenging")</f>
        <v>ARC 'Challenge' Is Not That Challenging</v>
      </c>
      <c r="C228" s="7" t="str">
        <f>IFERROR(__xludf.DUMMYFUNCTION("""COMPUTED_VALUE"""),"ARC Challenge appears more difficult than ARC Easy for modern LLMs primarily due to an evaluation setup that prevents direct comparison of answer choices rather than inherent complexity. Although some researchers have quietly shifted to a more appropriate"&amp;" scheme over the last year, the implications of this change have yet to be widely acknowledged. We highlight this overlooked shift, show how similar evaluation practices falsely imply reasoning deficits in other benchmarks, and demonstrate that fairer met"&amp;"hods dramatically reduce performance gaps (e.g. on SIQA) and even yield superhuman results (OpenBookQA). In doing so, we reveal how evaluation shapes perceived difficulty and offer guidelines to ensure that multiple-choice evaluations accurately reflect a"&amp;"ctual model capabilities.")</f>
        <v>ARC Challenge appears more difficult than ARC Easy for modern LLMs primarily due to an evaluation setup that prevents direct comparison of answer choices rather than inherent complexity. Although some researchers have quietly shifted to a more appropriate scheme over the last year, the implications of this change have yet to be widely acknowledged. We highlight this overlooked shift, show how similar evaluation practices falsely imply reasoning deficits in other benchmarks, and demonstrate that fairer methods dramatically reduce performance gaps (e.g. on SIQA) and even yield superhuman results (OpenBookQA). In doing so, we reveal how evaluation shapes perceived difficulty and offer guidelines to ensure that multiple-choice evaluations accurately reflect actual model capabilities.</v>
      </c>
      <c r="D228" s="7" t="str">
        <f>IFERROR(__xludf.DUMMYFUNCTION("""COMPUTED_VALUE"""),"Łukasz Borchmann")</f>
        <v>Łukasz Borchmann</v>
      </c>
      <c r="E228" s="7" t="str">
        <f>IFERROR(__xludf.DUMMYFUNCTION("""COMPUTED_VALUE"""),"Yes")</f>
        <v>Yes</v>
      </c>
      <c r="F228" s="7" t="str">
        <f>IFERROR(__xludf.DUMMYFUNCTION("""COMPUTED_VALUE"""),"IP-Poster")</f>
        <v>IP-Poster</v>
      </c>
      <c r="G228" s="7" t="str">
        <f>IFERROR(__xludf.DUMMYFUNCTION("""COMPUTED_VALUE"""),"In-Person")</f>
        <v>In-Person</v>
      </c>
      <c r="H228" s="7" t="str">
        <f>IFERROR(__xludf.DUMMYFUNCTION("""COMPUTED_VALUE"""),"Hall 4/5")</f>
        <v>Hall 4/5</v>
      </c>
      <c r="I228" s="7" t="str">
        <f>IFERROR(__xludf.DUMMYFUNCTION("""COMPUTED_VALUE"""),"Session 5 :IP-Posters Find ")</f>
        <v>Session 5 :IP-Posters Find </v>
      </c>
      <c r="J228" s="7" t="str">
        <f>IFERROR(__xludf.DUMMYFUNCTION("""COMPUTED_VALUE"""),"Findings Posters - In-Person 1")</f>
        <v>Findings Posters - In-Person 1</v>
      </c>
      <c r="K228" s="7"/>
      <c r="L228" s="8">
        <f>IFERROR(__xludf.DUMMYFUNCTION("""COMPUTED_VALUE"""),45866.0)</f>
        <v>45866</v>
      </c>
      <c r="M228" s="7" t="str">
        <f>IFERROR(__xludf.DUMMYFUNCTION("""COMPUTED_VALUE"""),"18:00-19:30")</f>
        <v>18:00-19:30</v>
      </c>
      <c r="N228" s="7"/>
    </row>
    <row r="229">
      <c r="A229" s="7" t="str">
        <f>IFERROR(__xludf.DUMMYFUNCTION("""COMPUTED_VALUE"""),"619-FIND")</f>
        <v>619-FIND</v>
      </c>
      <c r="B229" s="7" t="str">
        <f>IFERROR(__xludf.DUMMYFUNCTION("""COMPUTED_VALUE"""),"Cross-Lingual Transfer of Debiasing and Detoxification in Multilingual LLMs: An Extensive Investigation")</f>
        <v>Cross-Lingual Transfer of Debiasing and Detoxification in Multilingual LLMs: An Extensive Investigation</v>
      </c>
      <c r="C229" s="7" t="str">
        <f>IFERROR(__xludf.DUMMYFUNCTION("""COMPUTED_VALUE"""),"Recent generative large language models (LLMs) show remarkable performance in non-English languages, but when prompted in those languages they tend to express higher harmful social biases and toxicity levels. Prior work has shown that finetuning on specia"&amp;"lized datasets can mitigate this behavior, and doing so in English can transfer to other languages. In this work, we investigate the impact of different finetuning methods on the model's bias and toxicity, but also on its ability to produce fluent and div"&amp;"erse text. We reduce biases by finetuning on curated non-harmful text, but find only direct preference optimization to be effective for mitigating toxicity. The mitigation caused by applying these methods in English also transfers to non-English languages"&amp;". We find evidence that the extent to which transfer takes place can be predicted by the amount of data in a given language present in the model's pretraining data. However, this transfer of bias and toxicity mitigation often comes at the expense of decre"&amp;"ased language generation ability in non-English languages, highlighting the importance of developing language-specific bias and toxicity mitigation methods.")</f>
        <v>Recent generative large language models (LLMs) show remarkable performance in non-English languages, but when prompted in those languages they tend to express higher harmful social biases and toxicity levels. Prior work has shown that finetuning on specialized datasets can mitigate this behavior, and doing so in English can transfer to other languages. In this work, we investigate the impact of different finetuning methods on the model's bias and toxicity, but also on its ability to produce fluent and diverse text. We reduce biases by finetuning on curated non-harmful text, but find only direct preference optimization to be effective for mitigating toxicity. The mitigation caused by applying these methods in English also transfers to non-English languages. We find evidence that the extent to which transfer takes place can be predicted by the amount of data in a given language present in the model's pretraining data. However, this transfer of bias and toxicity mitigation often comes at the expense of decreased language generation ability in non-English languages, highlighting the importance of developing language-specific bias and toxicity mitigation methods.</v>
      </c>
      <c r="D229" s="7" t="str">
        <f>IFERROR(__xludf.DUMMYFUNCTION("""COMPUTED_VALUE"""),"Vera Neplenbroek")</f>
        <v>Vera Neplenbroek</v>
      </c>
      <c r="E229" s="7" t="str">
        <f>IFERROR(__xludf.DUMMYFUNCTION("""COMPUTED_VALUE"""),"Yes")</f>
        <v>Yes</v>
      </c>
      <c r="F229" s="7" t="str">
        <f>IFERROR(__xludf.DUMMYFUNCTION("""COMPUTED_VALUE"""),"IP-Poster")</f>
        <v>IP-Poster</v>
      </c>
      <c r="G229" s="7" t="str">
        <f>IFERROR(__xludf.DUMMYFUNCTION("""COMPUTED_VALUE"""),"In-Person")</f>
        <v>In-Person</v>
      </c>
      <c r="H229" s="7" t="str">
        <f>IFERROR(__xludf.DUMMYFUNCTION("""COMPUTED_VALUE"""),"Hall 4/5")</f>
        <v>Hall 4/5</v>
      </c>
      <c r="I229" s="7" t="str">
        <f>IFERROR(__xludf.DUMMYFUNCTION("""COMPUTED_VALUE"""),"Session 5 :IP-Posters Find ")</f>
        <v>Session 5 :IP-Posters Find </v>
      </c>
      <c r="J229" s="7" t="str">
        <f>IFERROR(__xludf.DUMMYFUNCTION("""COMPUTED_VALUE"""),"Findings Posters - In-Person 1")</f>
        <v>Findings Posters - In-Person 1</v>
      </c>
      <c r="K229" s="7"/>
      <c r="L229" s="8">
        <f>IFERROR(__xludf.DUMMYFUNCTION("""COMPUTED_VALUE"""),45866.0)</f>
        <v>45866</v>
      </c>
      <c r="M229" s="7" t="str">
        <f>IFERROR(__xludf.DUMMYFUNCTION("""COMPUTED_VALUE"""),"18:00-19:30")</f>
        <v>18:00-19:30</v>
      </c>
      <c r="N229" s="7"/>
    </row>
    <row r="230">
      <c r="A230" s="7" t="str">
        <f>IFERROR(__xludf.DUMMYFUNCTION("""COMPUTED_VALUE"""),"624-FIND")</f>
        <v>624-FIND</v>
      </c>
      <c r="B230" s="7" t="str">
        <f>IFERROR(__xludf.DUMMYFUNCTION("""COMPUTED_VALUE"""),"Tracr-Injection: Distilling Algorithms into Pre-trained Language Models")</f>
        <v>Tracr-Injection: Distilling Algorithms into Pre-trained Language Models</v>
      </c>
      <c r="C230" s="7" t="str">
        <f>IFERROR(__xludf.DUMMYFUNCTION("""COMPUTED_VALUE"""),"Motivated by the surge of large language models, there has been a push to formally characterize the symbolic abilities intrinsic to the transformer architecture. A programming language, called RASP, has been proposed, which can be directly compiled into t"&amp;"ransformer weights to implement these algorithms. However, the tasks that can be implemented in RASP are often uncommon to learn from natural unsupervised data, showing a mismatch between theoretical capabilities of the transformer architecture, and the p"&amp;"ractical learnability of these capabilities from unsupervised data. We propose tracr-injection, a method that allows us to distill algorithms written in RASP directly into a pre-trained language model. We showcase our method by injecting 3 different algor"&amp;"ithms into a language model. We show how our method creates an interpretable subspace within the model's residual stream, which can be decoded into the variables present in the code of the RASP algorithm. Additionally, we found that the proposed method ca"&amp;"n improve out-of-distribution performance compared to our baseline, indicating that indeed a more symbolic mechanism is taking place in the inner workings of the model. We release the code used to run our experiments.")</f>
        <v>Motivated by the surge of large language models, there has been a push to formally characterize the symbolic abilities intrinsic to the transformer architecture. A programming language, called RASP, has been proposed, which can be directly compiled into transformer weights to implement these algorithms. However, the tasks that can be implemented in RASP are often uncommon to learn from natural unsupervised data, showing a mismatch between theoretical capabilities of the transformer architecture, and the practical learnability of these capabilities from unsupervised data. We propose tracr-injection, a method that allows us to distill algorithms written in RASP directly into a pre-trained language model. We showcase our method by injecting 3 different algorithms into a language model. We show how our method creates an interpretable subspace within the model's residual stream, which can be decoded into the variables present in the code of the RASP algorithm. Additionally, we found that the proposed method can improve out-of-distribution performance compared to our baseline, indicating that indeed a more symbolic mechanism is taking place in the inner workings of the model. We release the code used to run our experiments.</v>
      </c>
      <c r="D230" s="7" t="str">
        <f>IFERROR(__xludf.DUMMYFUNCTION("""COMPUTED_VALUE"""),"Tomás Vergara Browne")</f>
        <v>Tomás Vergara Browne</v>
      </c>
      <c r="E230" s="7" t="str">
        <f>IFERROR(__xludf.DUMMYFUNCTION("""COMPUTED_VALUE"""),"Yes")</f>
        <v>Yes</v>
      </c>
      <c r="F230" s="7" t="str">
        <f>IFERROR(__xludf.DUMMYFUNCTION("""COMPUTED_VALUE"""),"IP-Poster")</f>
        <v>IP-Poster</v>
      </c>
      <c r="G230" s="7" t="str">
        <f>IFERROR(__xludf.DUMMYFUNCTION("""COMPUTED_VALUE"""),"In-Person")</f>
        <v>In-Person</v>
      </c>
      <c r="H230" s="7" t="str">
        <f>IFERROR(__xludf.DUMMYFUNCTION("""COMPUTED_VALUE"""),"Hall 4/5")</f>
        <v>Hall 4/5</v>
      </c>
      <c r="I230" s="7" t="str">
        <f>IFERROR(__xludf.DUMMYFUNCTION("""COMPUTED_VALUE"""),"Session 5 :IP-Posters Find ")</f>
        <v>Session 5 :IP-Posters Find </v>
      </c>
      <c r="J230" s="7" t="str">
        <f>IFERROR(__xludf.DUMMYFUNCTION("""COMPUTED_VALUE"""),"Findings Posters - In-Person 1")</f>
        <v>Findings Posters - In-Person 1</v>
      </c>
      <c r="K230" s="7"/>
      <c r="L230" s="8">
        <f>IFERROR(__xludf.DUMMYFUNCTION("""COMPUTED_VALUE"""),45866.0)</f>
        <v>45866</v>
      </c>
      <c r="M230" s="7" t="str">
        <f>IFERROR(__xludf.DUMMYFUNCTION("""COMPUTED_VALUE"""),"18:00-19:30")</f>
        <v>18:00-19:30</v>
      </c>
      <c r="N230" s="7"/>
    </row>
    <row r="231">
      <c r="A231" s="7" t="str">
        <f>IFERROR(__xludf.DUMMYFUNCTION("""COMPUTED_VALUE"""),"625-FIND")</f>
        <v>625-FIND</v>
      </c>
      <c r="B231" s="7" t="str">
        <f>IFERROR(__xludf.DUMMYFUNCTION("""COMPUTED_VALUE"""),"Model Performance-Guided Evaluation Data Selection for Effective Prompt Optimization")</f>
        <v>Model Performance-Guided Evaluation Data Selection for Effective Prompt Optimization</v>
      </c>
      <c r="C231" s="7" t="str">
        <f>IFERROR(__xludf.DUMMYFUNCTION("""COMPUTED_VALUE"""),"Optimizing Large Language Model (LLM) performance requires well-crafted prompts, but manual prompt engineering is labor-intensive and often ineffective. Automated prompt optimization techniques address this challenge but the major of them rely on randomly"&amp;" selected evaluation subsets, which fail to represent the full dataset, leading to unreliable evaluations and suboptimal prompts. Existing coreset selection methods, designed for LLM benchmarking, are unsuitable for prompt optimization due to challenges i"&amp;"n clustering similar samples, high data collection costs, and the unavailability of performance data for new or private datasets. To overcome these issues, we propose IPOMP, an Iterative evaluation data selection approach for effective Prompt Optimization"&amp;" using real time Model Performance.  IPOMP is a two-stage approach that selects representative and diverse samples using semantic clustering and boundary analysis, followed by iterative refinement with real-time model performance data to replace redundant"&amp;" samples. Evaluations on two datasets BIG-bench and LIAR, and two models GPT-3.5 and GPT-4o-mini, show that IPOMP improves effectiveness by at least 1.6% to 3.1%, and stability by at least 50% to 55.5% compared with the best baseline across the studied da"&amp;"tasets and models, with minimal computational overhead below 1%. Furthermore, the results demonstrate that our real-time performance-guided refinement approach can be universally applied to enhance existing coreset selection methods.")</f>
        <v>Optimizing Large Language Model (LLM) performance requires well-crafted prompts, but manual prompt engineering is labor-intensive and often ineffective. Automated prompt optimization techniques address this challenge but the major of them rely on randomly selected evaluation subsets, which fail to represent the full dataset, leading to unreliable evaluations and suboptimal prompts. Existing coreset selection methods, designed for LLM benchmarking, are unsuitable for prompt optimization due to challenges in clustering similar samples, high data collection costs, and the unavailability of performance data for new or private datasets. To overcome these issues, we propose IPOMP, an Iterative evaluation data selection approach for effective Prompt Optimization using real time Model Performance.  IPOMP is a two-stage approach that selects representative and diverse samples using semantic clustering and boundary analysis, followed by iterative refinement with real-time model performance data to replace redundant samples. Evaluations on two datasets BIG-bench and LIAR, and two models GPT-3.5 and GPT-4o-mini, show that IPOMP improves effectiveness by at least 1.6% to 3.1%, and stability by at least 50% to 55.5% compared with the best baseline across the studied datasets and models, with minimal computational overhead below 1%. Furthermore, the results demonstrate that our real-time performance-guided refinement approach can be universally applied to enhance existing coreset selection methods.</v>
      </c>
      <c r="D231" s="7" t="str">
        <f>IFERROR(__xludf.DUMMYFUNCTION("""COMPUTED_VALUE"""),"Dayi Lin")</f>
        <v>Dayi Lin</v>
      </c>
      <c r="E231" s="7" t="str">
        <f>IFERROR(__xludf.DUMMYFUNCTION("""COMPUTED_VALUE"""),"Yes")</f>
        <v>Yes</v>
      </c>
      <c r="F231" s="7" t="str">
        <f>IFERROR(__xludf.DUMMYFUNCTION("""COMPUTED_VALUE"""),"IP-Poster")</f>
        <v>IP-Poster</v>
      </c>
      <c r="G231" s="7" t="str">
        <f>IFERROR(__xludf.DUMMYFUNCTION("""COMPUTED_VALUE"""),"In-Person")</f>
        <v>In-Person</v>
      </c>
      <c r="H231" s="7" t="str">
        <f>IFERROR(__xludf.DUMMYFUNCTION("""COMPUTED_VALUE"""),"Hall 4/5")</f>
        <v>Hall 4/5</v>
      </c>
      <c r="I231" s="7" t="str">
        <f>IFERROR(__xludf.DUMMYFUNCTION("""COMPUTED_VALUE"""),"Session 10: IP-Posters")</f>
        <v>Session 10: IP-Posters</v>
      </c>
      <c r="J231" s="7" t="str">
        <f>IFERROR(__xludf.DUMMYFUNCTION("""COMPUTED_VALUE"""),"Findings Posters - In-Person 3")</f>
        <v>Findings Posters - In-Person 3</v>
      </c>
      <c r="K231" s="7"/>
      <c r="L231" s="8">
        <f>IFERROR(__xludf.DUMMYFUNCTION("""COMPUTED_VALUE"""),45867.0)</f>
        <v>45867</v>
      </c>
      <c r="M231" s="7" t="str">
        <f>IFERROR(__xludf.DUMMYFUNCTION("""COMPUTED_VALUE"""),"16:00-17:30")</f>
        <v>16:00-17:30</v>
      </c>
      <c r="N231" s="7"/>
    </row>
    <row r="232">
      <c r="A232" s="7" t="str">
        <f>IFERROR(__xludf.DUMMYFUNCTION("""COMPUTED_VALUE"""),"629-FIND")</f>
        <v>629-FIND</v>
      </c>
      <c r="B232" s="7" t="str">
        <f>IFERROR(__xludf.DUMMYFUNCTION("""COMPUTED_VALUE"""),"Revisiting Weak-to-Strong Generalization in Theory and Practice: Reverse KL vs. Forward KL")</f>
        <v>Revisiting Weak-to-Strong Generalization in Theory and Practice: Reverse KL vs. Forward KL</v>
      </c>
      <c r="C232" s="7" t="str">
        <f>IFERROR(__xludf.DUMMYFUNCTION("""COMPUTED_VALUE"""),"As large language models advance toward superhuman performance, ensuring their alignment with human values and abilities grows increasingly complex. Weak-to-strong generalization offers a promising approach by leveraging predictions from weaker models to "&amp;"guide stronger systems, but its effectiveness could be constrained by the inherent noise and inaccuracies in these weak predictions. To address this, we propose a theoretically grounded approach that replaces forward KL divergence—whose mass-covering beha"&amp;"vior risks overfitting to imperfect weak signals—with reverse KL divergence. Reverse KL divergence’s zero-forcing effect prioritizes high-confidence predictions, effectively mitigating the influence of unreliable weak supervision. Theoretically, we extend"&amp;" existing bounds and derive tighter lower bounds for both forward and reverse KL divergence. Notably, when a sufficiently pre-trained strong model is fine-tuned on the last linear layer, reverse KL guarantees that it outperforms its weak supervisor by the"&amp;" magnitude of their disagreement. Empirically, we demonstrate that reverse KL and reverse cross-entropy not only enable strong models to outperform those trained with forward KL and standard cross-entropy across most settings, but also exhibit greater rob"&amp;"ustness to noisy labels.")</f>
        <v>As large language models advance toward superhuman performance, ensuring their alignment with human values and abilities grows increasingly complex. Weak-to-strong generalization offers a promising approach by leveraging predictions from weaker models to guide stronger systems, but its effectiveness could be constrained by the inherent noise and inaccuracies in these weak predictions. To address this, we propose a theoretically grounded approach that replaces forward KL divergence—whose mass-covering behavior risks overfitting to imperfect weak signals—with reverse KL divergence. Reverse KL divergence’s zero-forcing effect prioritizes high-confidence predictions, effectively mitigating the influence of unreliable weak supervision. Theoretically, we extend existing bounds and derive tighter lower bounds for both forward and reverse KL divergence. Notably, when a sufficiently pre-trained strong model is fine-tuned on the last linear layer, reverse KL guarantees that it outperforms its weak supervisor by the magnitude of their disagreement. Empirically, we demonstrate that reverse KL and reverse cross-entropy not only enable strong models to outperform those trained with forward KL and standard cross-entropy across most settings, but also exhibit greater robustness to noisy labels.</v>
      </c>
      <c r="D232" s="7" t="str">
        <f>IFERROR(__xludf.DUMMYFUNCTION("""COMPUTED_VALUE"""),"Wei Yao")</f>
        <v>Wei Yao</v>
      </c>
      <c r="E232" s="7" t="str">
        <f>IFERROR(__xludf.DUMMYFUNCTION("""COMPUTED_VALUE"""),"Yes")</f>
        <v>Yes</v>
      </c>
      <c r="F232" s="7" t="str">
        <f>IFERROR(__xludf.DUMMYFUNCTION("""COMPUTED_VALUE"""),"IP-Poster")</f>
        <v>IP-Poster</v>
      </c>
      <c r="G232" s="7" t="str">
        <f>IFERROR(__xludf.DUMMYFUNCTION("""COMPUTED_VALUE"""),"In-Person")</f>
        <v>In-Person</v>
      </c>
      <c r="H232" s="7" t="str">
        <f>IFERROR(__xludf.DUMMYFUNCTION("""COMPUTED_VALUE"""),"Hall 4/5")</f>
        <v>Hall 4/5</v>
      </c>
      <c r="I232" s="7" t="str">
        <f>IFERROR(__xludf.DUMMYFUNCTION("""COMPUTED_VALUE"""),"Session 5 :IP-Posters Find ")</f>
        <v>Session 5 :IP-Posters Find </v>
      </c>
      <c r="J232" s="7" t="str">
        <f>IFERROR(__xludf.DUMMYFUNCTION("""COMPUTED_VALUE"""),"Findings Posters - In-Person 1")</f>
        <v>Findings Posters - In-Person 1</v>
      </c>
      <c r="K232" s="7"/>
      <c r="L232" s="8">
        <f>IFERROR(__xludf.DUMMYFUNCTION("""COMPUTED_VALUE"""),45866.0)</f>
        <v>45866</v>
      </c>
      <c r="M232" s="7" t="str">
        <f>IFERROR(__xludf.DUMMYFUNCTION("""COMPUTED_VALUE"""),"18:00-19:30")</f>
        <v>18:00-19:30</v>
      </c>
      <c r="N232" s="7"/>
    </row>
    <row r="233">
      <c r="A233" s="7" t="str">
        <f>IFERROR(__xludf.DUMMYFUNCTION("""COMPUTED_VALUE"""),"631-FIND")</f>
        <v>631-FIND</v>
      </c>
      <c r="B233" s="7" t="str">
        <f>IFERROR(__xludf.DUMMYFUNCTION("""COMPUTED_VALUE"""),"Stories that (are) Move(d by) Markets: A Causal Exploration of Market Shocks and Semantic Shifts across Different Partisan Groups")</f>
        <v>Stories that (are) Move(d by) Markets: A Causal Exploration of Market Shocks and Semantic Shifts across Different Partisan Groups</v>
      </c>
      <c r="C233" s="7" t="str">
        <f>IFERROR(__xludf.DUMMYFUNCTION("""COMPUTED_VALUE"""),"Macroeconomic fluctuations and the narratives that shape them form a mutually reinforcing cycle: public discourse can spur behavioural changes leading to economic shifts, which then result in changes in the stories that propagate. We show that shifts in s"&amp;"emantic embedding space can be causally linked to real-world market shocks or deviations from the expected market behaviour (\cref{sec:market_shocks}). Furthermore, we show how partisanship can influence the predictive power of text for market fluctuation"&amp;"s and shape reactions to those same shocks. We also provide some evidence that text-based signals are particularly salient during rare events such as COVID-19, highlighting the value of language data as an exogenous variable in economic forecasting. Our f"&amp;"indings underscore the bidirectional relationship between news outlets and market shocks, offering a novel empirical approach to studying their effect on each other.")</f>
        <v>Macroeconomic fluctuations and the narratives that shape them form a mutually reinforcing cycle: public discourse can spur behavioural changes leading to economic shifts, which then result in changes in the stories that propagate. We show that shifts in semantic embedding space can be causally linked to real-world market shocks or deviations from the expected market behaviour (\cref{sec:market_shocks}). Furthermore, we show how partisanship can influence the predictive power of text for market fluctuations and shape reactions to those same shocks. We also provide some evidence that text-based signals are particularly salient during rare events such as COVID-19, highlighting the value of language data as an exogenous variable in economic forecasting. Our findings underscore the bidirectional relationship between news outlets and market shocks, offering a novel empirical approach to studying their effect on each other.</v>
      </c>
      <c r="D233" s="7" t="str">
        <f>IFERROR(__xludf.DUMMYFUNCTION("""COMPUTED_VALUE"""),"Felix Drinkall")</f>
        <v>Felix Drinkall</v>
      </c>
      <c r="E233" s="7" t="str">
        <f>IFERROR(__xludf.DUMMYFUNCTION("""COMPUTED_VALUE"""),"#N/A")</f>
        <v>#N/A</v>
      </c>
      <c r="F233" s="7" t="str">
        <f>IFERROR(__xludf.DUMMYFUNCTION("""COMPUTED_VALUE"""),"Not Pres. ")</f>
        <v>Not Pres. </v>
      </c>
      <c r="G233" s="7" t="str">
        <f>IFERROR(__xludf.DUMMYFUNCTION("""COMPUTED_VALUE"""),"NP Findings Not Presenting ")</f>
        <v>NP Findings Not Presenting </v>
      </c>
      <c r="H233" s="7"/>
      <c r="I233" s="7" t="str">
        <f>IFERROR(__xludf.DUMMYFUNCTION("""COMPUTED_VALUE"""),"NP-Find")</f>
        <v>NP-Find</v>
      </c>
      <c r="J233" s="7"/>
      <c r="K233" s="7"/>
      <c r="L233" s="8"/>
      <c r="M233" s="7"/>
      <c r="N233" s="7"/>
    </row>
    <row r="234">
      <c r="A234" s="7" t="str">
        <f>IFERROR(__xludf.DUMMYFUNCTION("""COMPUTED_VALUE"""),"641-FIND")</f>
        <v>641-FIND</v>
      </c>
      <c r="B234" s="7" t="str">
        <f>IFERROR(__xludf.DUMMYFUNCTION("""COMPUTED_VALUE"""),"NetSafe: Exploring the Topological Safety of Multi-agent System")</f>
        <v>NetSafe: Exploring the Topological Safety of Multi-agent System</v>
      </c>
      <c r="C234" s="7" t="str">
        <f>IFERROR(__xludf.DUMMYFUNCTION("""COMPUTED_VALUE"""),"Large language models (LLMs) have fueled significant progress in intelligent Multi-agent Systems (MAS), with expanding academic and industrial applications. However, safeguarding these systems from malicious queries receives relatively little attention, w"&amp;"hile methods for single-agent safety are challenging to transfer. In this paper, we explore MAS safety from a topological perspective, aiming at identifying structural properties that enhance security. To this end, we propose NetSafe framework, unifying d"&amp;"iverse MAS workflows via iterative RelCom interactions to enable generalized analysis. We identify several critical phenomena for MAS under attacks (misinformation, bias, and harmful content), termed as Agent Hallucination, Aggregation Safety and Security"&amp;" Bottleneck. Furthermore, we verify that highly connected and larger systems are more vulnerable to adversarial spread, with task performance in a Star Graph Topology decreasing by 29.7%. In conclusion, our work introduces a new perspective on MAS safety "&amp;"and discovers unreported phenomena, offering insights and posing challenges to the community.")</f>
        <v>Large language models (LLMs) have fueled significant progress in intelligent Multi-agent Systems (MAS), with expanding academic and industrial applications. However, safeguarding these systems from malicious queries receives relatively little attention, while methods for single-agent safety are challenging to transfer. In this paper, we explore MAS safety from a topological perspective, aiming at identifying structural properties that enhance security. To this end, we propose NetSafe framework, unifying diverse MAS workflows via iterative RelCom interactions to enable generalized analysis. We identify several critical phenomena for MAS under attacks (misinformation, bias, and harmful content), termed as Agent Hallucination, Aggregation Safety and Security Bottleneck. Furthermore, we verify that highly connected and larger systems are more vulnerable to adversarial spread, with task performance in a Star Graph Topology decreasing by 29.7%. In conclusion, our work introduces a new perspective on MAS safety and discovers unreported phenomena, offering insights and posing challenges to the community.</v>
      </c>
      <c r="D234" s="7" t="str">
        <f>IFERROR(__xludf.DUMMYFUNCTION("""COMPUTED_VALUE"""),"Not present")</f>
        <v>Not present</v>
      </c>
      <c r="E234" s="7" t="str">
        <f>IFERROR(__xludf.DUMMYFUNCTION("""COMPUTED_VALUE"""),"#N/A")</f>
        <v>#N/A</v>
      </c>
      <c r="F234" s="7" t="str">
        <f>IFERROR(__xludf.DUMMYFUNCTION("""COMPUTED_VALUE"""),"Not Pres. ")</f>
        <v>Not Pres. </v>
      </c>
      <c r="G234" s="7" t="str">
        <f>IFERROR(__xludf.DUMMYFUNCTION("""COMPUTED_VALUE"""),"NP Findings Not Presenting ")</f>
        <v>NP Findings Not Presenting </v>
      </c>
      <c r="H234" s="7"/>
      <c r="I234" s="7" t="str">
        <f>IFERROR(__xludf.DUMMYFUNCTION("""COMPUTED_VALUE"""),"NP-Find")</f>
        <v>NP-Find</v>
      </c>
      <c r="J234" s="7"/>
      <c r="K234" s="7"/>
      <c r="L234" s="8"/>
      <c r="M234" s="7"/>
      <c r="N234" s="7"/>
    </row>
    <row r="235">
      <c r="A235" s="7" t="str">
        <f>IFERROR(__xludf.DUMMYFUNCTION("""COMPUTED_VALUE"""),"653-FIND")</f>
        <v>653-FIND</v>
      </c>
      <c r="B235" s="7" t="str">
        <f>IFERROR(__xludf.DUMMYFUNCTION("""COMPUTED_VALUE"""),"Reasoning is All You Need for Video Generalization: A Counterfactual Benchmark with Sub-question Evaluation")</f>
        <v>Reasoning is All You Need for Video Generalization: A Counterfactual Benchmark with Sub-question Evaluation</v>
      </c>
      <c r="C235" s="7" t="str">
        <f>IFERROR(__xludf.DUMMYFUNCTION("""COMPUTED_VALUE"""),"Counterfactual reasoning is crucial for robust video understanding but remains underexplored in existing multimodal benchmarks. In this paper, we introduce **COVER** (**CO**unterfactual **V**id**E**o **R**easoning), a multidimensional multimodal benchmark"&amp;" that systematically evaluates MLLMs across the abstract-concrete and perception-cognition dimensions.  Beyond prior multimodal benchmarks, COVER decomposes complex queries into structured sub-questions, enabling fine-grained reasoning analysis. Experimen"&amp;"ts on commercial and open-source models reveal a strong correlation between sub-question accuracy and counterfactual reasoning performance, highlighting the role of structured inference in video understanding. Furthermore, our results suggest a key insigh"&amp;"t: enhancing the reasoning capability of models is essential for improving the robustness of video understanding. COVER establishes a new standard for assessing MLLMs' logical reasoning abilities in dynamic environments. Our work is available at https://g"&amp;"ithub.com/gongyifan-hash/COVER-Benchmark.")</f>
        <v>Counterfactual reasoning is crucial for robust video understanding but remains underexplored in existing multimodal benchmarks. In this paper, we introduce **COVER** (**CO**unterfactual **V**id**E**o **R**easoning), a multidimensional multimodal benchmark that systematically evaluates MLLMs across the abstract-concrete and perception-cognition dimensions.  Beyond prior multimodal benchmarks, COVER decomposes complex queries into structured sub-questions, enabling fine-grained reasoning analysis. Experiments on commercial and open-source models reveal a strong correlation between sub-question accuracy and counterfactual reasoning performance, highlighting the role of structured inference in video understanding. Furthermore, our results suggest a key insight: enhancing the reasoning capability of models is essential for improving the robustness of video understanding. COVER establishes a new standard for assessing MLLMs' logical reasoning abilities in dynamic environments. Our work is available at https://github.com/gongyifan-hash/COVER-Benchmark.</v>
      </c>
      <c r="D235" s="7" t="str">
        <f>IFERROR(__xludf.DUMMYFUNCTION("""COMPUTED_VALUE"""),"Qiji Zhou")</f>
        <v>Qiji Zhou</v>
      </c>
      <c r="E235" s="7" t="str">
        <f>IFERROR(__xludf.DUMMYFUNCTION("""COMPUTED_VALUE"""),"#N/A")</f>
        <v>#N/A</v>
      </c>
      <c r="F235" s="7" t="str">
        <f>IFERROR(__xludf.DUMMYFUNCTION("""COMPUTED_VALUE"""),"Not Pres. ")</f>
        <v>Not Pres. </v>
      </c>
      <c r="G235" s="7" t="str">
        <f>IFERROR(__xludf.DUMMYFUNCTION("""COMPUTED_VALUE"""),"NP Findings Not Presenting ")</f>
        <v>NP Findings Not Presenting </v>
      </c>
      <c r="H235" s="7"/>
      <c r="I235" s="7" t="str">
        <f>IFERROR(__xludf.DUMMYFUNCTION("""COMPUTED_VALUE"""),"NP-Find")</f>
        <v>NP-Find</v>
      </c>
      <c r="J235" s="7"/>
      <c r="K235" s="7"/>
      <c r="L235" s="8"/>
      <c r="M235" s="7"/>
      <c r="N235" s="7"/>
    </row>
    <row r="236">
      <c r="A236" s="7" t="str">
        <f>IFERROR(__xludf.DUMMYFUNCTION("""COMPUTED_VALUE"""),"657-FIND")</f>
        <v>657-FIND</v>
      </c>
      <c r="B236" s="7" t="str">
        <f>IFERROR(__xludf.DUMMYFUNCTION("""COMPUTED_VALUE"""),"Initializing and Retrofitting Key-Value Adaptors for Traceable Model Editing")</f>
        <v>Initializing and Retrofitting Key-Value Adaptors for Traceable Model Editing</v>
      </c>
      <c r="C236" s="7" t="str">
        <f>IFERROR(__xludf.DUMMYFUNCTION("""COMPUTED_VALUE"""),"As the insight of knowledge storage in language models deepens, the ability to perform CRUD (Create, Read, Update, Delete) operations on language models becomes increasingly indispensable for satisfying the demands of managing rapidly updating knowledge. "&amp;"Considering the high cost of fine-tuning language models, model editing methods with low cost are usually required to manipulate models' knowledge. The evidence suggests that modules carrying knowledge in a Transformer module are primarily the MLP blocks,"&amp;" thus we propose iReVa, a method that explicitly initializes and retrofits key-value pairs into MLP blocks to construct a new mapping of a piece of knowledge without damaging the irrelevant knowledge. In comparison to existing methods, iReVa reveals bette"&amp;"r interpretability and a stronger capacity for carrying traceable edits. Experiment results on a series of GPT series models show our prominent performance on edit success and generalization without influencing specificity. We also made the first attempt "&amp;"to conduct a knowledge withdrawal test of iReVa. Our codes are available at https://github.com/timberflow/iReVa.")</f>
        <v>As the insight of knowledge storage in language models deepens, the ability to perform CRUD (Create, Read, Update, Delete) operations on language models becomes increasingly indispensable for satisfying the demands of managing rapidly updating knowledge. Considering the high cost of fine-tuning language models, model editing methods with low cost are usually required to manipulate models' knowledge. The evidence suggests that modules carrying knowledge in a Transformer module are primarily the MLP blocks, thus we propose iReVa, a method that explicitly initializes and retrofits key-value pairs into MLP blocks to construct a new mapping of a piece of knowledge without damaging the irrelevant knowledge. In comparison to existing methods, iReVa reveals better interpretability and a stronger capacity for carrying traceable edits. Experiment results on a series of GPT series models show our prominent performance on edit success and generalization without influencing specificity. We also made the first attempt to conduct a knowledge withdrawal test of iReVa. Our codes are available at https://github.com/timberflow/iReVa.</v>
      </c>
      <c r="D236" s="7" t="str">
        <f>IFERROR(__xludf.DUMMYFUNCTION("""COMPUTED_VALUE"""),"I do not plan to present")</f>
        <v>I do not plan to present</v>
      </c>
      <c r="E236" s="7" t="str">
        <f>IFERROR(__xludf.DUMMYFUNCTION("""COMPUTED_VALUE"""),"#N/A")</f>
        <v>#N/A</v>
      </c>
      <c r="F236" s="7" t="str">
        <f>IFERROR(__xludf.DUMMYFUNCTION("""COMPUTED_VALUE"""),"Not Pres. ")</f>
        <v>Not Pres. </v>
      </c>
      <c r="G236" s="7" t="str">
        <f>IFERROR(__xludf.DUMMYFUNCTION("""COMPUTED_VALUE"""),"NP Findings Not Presenting ")</f>
        <v>NP Findings Not Presenting </v>
      </c>
      <c r="H236" s="7"/>
      <c r="I236" s="7" t="str">
        <f>IFERROR(__xludf.DUMMYFUNCTION("""COMPUTED_VALUE"""),"NP-Find")</f>
        <v>NP-Find</v>
      </c>
      <c r="J236" s="7"/>
      <c r="K236" s="7"/>
      <c r="L236" s="8"/>
      <c r="M236" s="7"/>
      <c r="N236" s="7"/>
    </row>
    <row r="237">
      <c r="A237" s="7" t="str">
        <f>IFERROR(__xludf.DUMMYFUNCTION("""COMPUTED_VALUE"""),"671-FIND")</f>
        <v>671-FIND</v>
      </c>
      <c r="B237" s="7" t="str">
        <f>IFERROR(__xludf.DUMMYFUNCTION("""COMPUTED_VALUE"""),"Know the Unknown: An Uncertainty-Sensitive Method for LLM Instruction Tuning")</f>
        <v>Know the Unknown: An Uncertainty-Sensitive Method for LLM Instruction Tuning</v>
      </c>
      <c r="C237" s="7" t="str">
        <f>IFERROR(__xludf.DUMMYFUNCTION("""COMPUTED_VALUE"""),"Large language models (LLMs) demonstrate remarkable capabilities but face challenges from hallucinations, which typically arise from insufficient knowledge or context. While instructing LLMs to acknowledge knowledge limitations by responding with ""I don'"&amp;"t know"" appears promising, we find that models consistently struggle with admitting knowledge gaps. This challenge may originate from current instruction datasets that emphasise answer generation over knowledge boundary awareness. To address this limitat"&amp;"ion, we introduce 
**U**ncertainty-and-**S**ensitivity-Aware Tuning **(US-Tuning)**, a novel two-stage approach for contextual question answering (QA). The first stage enhances LLMs' ability to recognise their knowledge boundaries, while the second stage "&amp;"reinforces instruction adherence through carefully designed causal prompts. Our experimental results demonstrate that US-Tuning not only significantly reduces incorrect answers in contextual QA but also improves models' faithfulness to their parametric kn"&amp;"owledge, mitigating hallucinations in general QA tasks. Our fine-tuned Llama2-7B model achieves up to a 34.7% improvement in handling out-of-knowledge questions and outperforms GPT-4 by 4.2% in overall performance.")</f>
        <v>Large language models (LLMs) demonstrate remarkable capabilities but face challenges from hallucinations, which typically arise from insufficient knowledge or context. While instructing LLMs to acknowledge knowledge limitations by responding with "I don't know" appears promising, we find that models consistently struggle with admitting knowledge gaps. This challenge may originate from current instruction datasets that emphasise answer generation over knowledge boundary awareness. To address this limitation, we introduce 
**U**ncertainty-and-**S**ensitivity-Aware Tuning **(US-Tuning)**, a novel two-stage approach for contextual question answering (QA). The first stage enhances LLMs' ability to recognise their knowledge boundaries, while the second stage reinforces instruction adherence through carefully designed causal prompts. Our experimental results demonstrate that US-Tuning not only significantly reduces incorrect answers in contextual QA but also improves models' faithfulness to their parametric knowledge, mitigating hallucinations in general QA tasks. Our fine-tuned Llama2-7B model achieves up to a 34.7% improvement in handling out-of-knowledge questions and outperforms GPT-4 by 4.2% in overall performance.</v>
      </c>
      <c r="D237" s="7" t="str">
        <f>IFERROR(__xludf.DUMMYFUNCTION("""COMPUTED_VALUE"""),"NA")</f>
        <v>NA</v>
      </c>
      <c r="E237" s="7" t="str">
        <f>IFERROR(__xludf.DUMMYFUNCTION("""COMPUTED_VALUE"""),"#N/A")</f>
        <v>#N/A</v>
      </c>
      <c r="F237" s="7" t="str">
        <f>IFERROR(__xludf.DUMMYFUNCTION("""COMPUTED_VALUE"""),"Not Pres. ")</f>
        <v>Not Pres. </v>
      </c>
      <c r="G237" s="7" t="str">
        <f>IFERROR(__xludf.DUMMYFUNCTION("""COMPUTED_VALUE"""),"NP Findings Not Presenting ")</f>
        <v>NP Findings Not Presenting </v>
      </c>
      <c r="H237" s="7"/>
      <c r="I237" s="7" t="str">
        <f>IFERROR(__xludf.DUMMYFUNCTION("""COMPUTED_VALUE"""),"NP-Find")</f>
        <v>NP-Find</v>
      </c>
      <c r="J237" s="7"/>
      <c r="K237" s="7"/>
      <c r="L237" s="8"/>
      <c r="M237" s="7"/>
      <c r="N237" s="7"/>
    </row>
    <row r="238">
      <c r="A238" s="7" t="str">
        <f>IFERROR(__xludf.DUMMYFUNCTION("""COMPUTED_VALUE"""),"674-FIND")</f>
        <v>674-FIND</v>
      </c>
      <c r="B238" s="7" t="str">
        <f>IFERROR(__xludf.DUMMYFUNCTION("""COMPUTED_VALUE"""),"Position-Aware Depth Decay Decoding (D3): Boosting Large Language Model Inference Efficiency")</f>
        <v>Position-Aware Depth Decay Decoding (D3): Boosting Large Language Model Inference Efficiency</v>
      </c>
      <c r="C238" s="7" t="str">
        <f>IFERROR(__xludf.DUMMYFUNCTION("""COMPUTED_VALUE"""),"Due to the large number of parameters, the inference phase of Large Language Models (LLMs) is resource-intensive. Unlike traditional model compression, which needs retraining, recent dynamic computation methods show that not all components are required fo"&amp;"r inference, enabling a training-free pipeline.In this paper, we focus on the dynamic depth of LLM generation. A token-position aware layer skipping framework is proposed to save 1.5x times operations efficiently while maintaining performance.We first obs"&amp;"erved that tokens predicted later have lower perplexity and thus require less computation. Then, we propose a training-free algorithm called Position-Aware Depth Decay Decoding (), which leverages a power-law decay function, \left\lfloor L × (𝛼i) \right\"&amp;"rfloor, to determine the number of layers to retain when generating token Ti. Remarkably, without any retraining, the achieves success across a wide range of generation tasks for the first time.Experiments on large language models (the Llama) with 7 ∼ 70 "&amp;"billion parameters show that can achieve an average 1.5x speedup compared with the full-inference pipeline while maintaining comparable performance with nearly no performance drop (&lt;1%) on the GSM8K and BBH benchmarks.")</f>
        <v>Due to the large number of parameters, the inference phase of Large Language Models (LLMs) is resource-intensive. Unlike traditional model compression, which needs retraining, recent dynamic computation methods show that not all components are required for inference, enabling a training-free pipeline.In this paper, we focus on the dynamic depth of LLM generation. A token-position aware layer skipping framework is proposed to save 1.5x times operations efficiently while maintaining performance.We first observed that tokens predicted later have lower perplexity and thus require less computation. Then, we propose a training-free algorithm called Position-Aware Depth Decay Decoding (), which leverages a power-law decay function, \left\lfloor L × (𝛼i) \right\rfloor, to determine the number of layers to retain when generating token Ti. Remarkably, without any retraining, the achieves success across a wide range of generation tasks for the first time.Experiments on large language models (the Llama) with 7 ∼ 70 billion parameters show that can achieve an average 1.5x speedup compared with the full-inference pipeline while maintaining comparable performance with nearly no performance drop (&lt;1%) on the GSM8K and BBH benchmarks.</v>
      </c>
      <c r="D238" s="7" t="str">
        <f>IFERROR(__xludf.DUMMYFUNCTION("""COMPUTED_VALUE"""),"Siqi Fan")</f>
        <v>Siqi Fan</v>
      </c>
      <c r="E238" s="7" t="str">
        <f>IFERROR(__xludf.DUMMYFUNCTION("""COMPUTED_VALUE"""),"Yes")</f>
        <v>Yes</v>
      </c>
      <c r="F238" s="7" t="str">
        <f>IFERROR(__xludf.DUMMYFUNCTION("""COMPUTED_VALUE"""),"IP-Poster")</f>
        <v>IP-Poster</v>
      </c>
      <c r="G238" s="7" t="str">
        <f>IFERROR(__xludf.DUMMYFUNCTION("""COMPUTED_VALUE"""),"In-Person")</f>
        <v>In-Person</v>
      </c>
      <c r="H238" s="7" t="str">
        <f>IFERROR(__xludf.DUMMYFUNCTION("""COMPUTED_VALUE"""),"Hall 4/5")</f>
        <v>Hall 4/5</v>
      </c>
      <c r="I238" s="7" t="str">
        <f>IFERROR(__xludf.DUMMYFUNCTION("""COMPUTED_VALUE"""),"Session 5 :IP-Posters Find ")</f>
        <v>Session 5 :IP-Posters Find </v>
      </c>
      <c r="J238" s="7" t="str">
        <f>IFERROR(__xludf.DUMMYFUNCTION("""COMPUTED_VALUE"""),"Findings Posters - In-Person 1")</f>
        <v>Findings Posters - In-Person 1</v>
      </c>
      <c r="K238" s="7"/>
      <c r="L238" s="8">
        <f>IFERROR(__xludf.DUMMYFUNCTION("""COMPUTED_VALUE"""),45866.0)</f>
        <v>45866</v>
      </c>
      <c r="M238" s="7" t="str">
        <f>IFERROR(__xludf.DUMMYFUNCTION("""COMPUTED_VALUE"""),"18:00-19:30")</f>
        <v>18:00-19:30</v>
      </c>
      <c r="N238" s="7"/>
    </row>
    <row r="239">
      <c r="A239" s="7" t="str">
        <f>IFERROR(__xludf.DUMMYFUNCTION("""COMPUTED_VALUE"""),"675-FIND")</f>
        <v>675-FIND</v>
      </c>
      <c r="B239" s="7" t="str">
        <f>IFERROR(__xludf.DUMMYFUNCTION("""COMPUTED_VALUE"""),"Explaining Puzzle Solutions in Natural Language: An Exploratory Study on 6x6 Sudoku")</f>
        <v>Explaining Puzzle Solutions in Natural Language: An Exploratory Study on 6x6 Sudoku</v>
      </c>
      <c r="C239" s="7" t="str">
        <f>IFERROR(__xludf.DUMMYFUNCTION("""COMPUTED_VALUE"""),"The success of Large Language Models (LLMs) in human-AI collaborative decision-making hinges on their ability to provide trustworthy, gradual, and tailored explanations. Solving complex puzzles, such as Sudoku, offers a canonical example of this collabora"&amp;"tion, where clear and customized explanations often hold greater importance than the final solution. In this study, we evaluate the performance of five LLMs in solving and explaining 6x6 Sudoku puzzles. While one LLM demonstrates limited success in solvin"&amp;"g puzzles, none can explain the solution process in a manner that reflects strategic reasoning or intuitive problem-solving. These findings underscore significant challenges that must be addressed before LLMs can become effective partners in human-AI coll"&amp;"aborative decision-making.")</f>
        <v>The success of Large Language Models (LLMs) in human-AI collaborative decision-making hinges on their ability to provide trustworthy, gradual, and tailored explanations. Solving complex puzzles, such as Sudoku, offers a canonical example of this collaboration, where clear and customized explanations often hold greater importance than the final solution. In this study, we evaluate the performance of five LLMs in solving and explaining 6x6 Sudoku puzzles. While one LLM demonstrates limited success in solving puzzles, none can explain the solution process in a manner that reflects strategic reasoning or intuitive problem-solving. These findings underscore significant challenges that must be addressed before LLMs can become effective partners in human-AI collaborative decision-making.</v>
      </c>
      <c r="D239" s="7" t="str">
        <f>IFERROR(__xludf.DUMMYFUNCTION("""COMPUTED_VALUE"""),"Maria Pacheco")</f>
        <v>Maria Pacheco</v>
      </c>
      <c r="E239" s="7" t="str">
        <f>IFERROR(__xludf.DUMMYFUNCTION("""COMPUTED_VALUE"""),"#N/A")</f>
        <v>#N/A</v>
      </c>
      <c r="F239" s="7" t="str">
        <f>IFERROR(__xludf.DUMMYFUNCTION("""COMPUTED_VALUE"""),"Not Pres. ")</f>
        <v>Not Pres. </v>
      </c>
      <c r="G239" s="7" t="str">
        <f>IFERROR(__xludf.DUMMYFUNCTION("""COMPUTED_VALUE"""),"NP Findings Not Presenting ")</f>
        <v>NP Findings Not Presenting </v>
      </c>
      <c r="H239" s="7"/>
      <c r="I239" s="7" t="str">
        <f>IFERROR(__xludf.DUMMYFUNCTION("""COMPUTED_VALUE"""),"NP-Find")</f>
        <v>NP-Find</v>
      </c>
      <c r="J239" s="7"/>
      <c r="K239" s="7"/>
      <c r="L239" s="8"/>
      <c r="M239" s="7"/>
      <c r="N239" s="7"/>
    </row>
    <row r="240">
      <c r="A240" s="7" t="str">
        <f>IFERROR(__xludf.DUMMYFUNCTION("""COMPUTED_VALUE"""),"686-FIND")</f>
        <v>686-FIND</v>
      </c>
      <c r="B240" s="7" t="str">
        <f>IFERROR(__xludf.DUMMYFUNCTION("""COMPUTED_VALUE"""),"Stress-testing Machine Generated Text Detection: Shifting Language Models Writing Style to Fool Detectors")</f>
        <v>Stress-testing Machine Generated Text Detection: Shifting Language Models Writing Style to Fool Detectors</v>
      </c>
      <c r="C240" s="7" t="str">
        <f>IFERROR(__xludf.DUMMYFUNCTION("""COMPUTED_VALUE"""),"Recent advancements in Generative AI and Large Language Models (LLMs) have enabled the creation of highly realistic synthetic content, raising concerns about the potential for malicious use, such as misinformation and manipulation. Moreover, detecting Mac"&amp;"hine-Generated Text (MGT) remains challenging due to the lack of robust benchmarks that assess generalization to real-world scenarios. In this work, we evaluate the resilience of state-of-the-art MGT detectors (e.g., Mage, Radar, LLM-DetectAIve) to lingui"&amp;"stically informed adversarial attacks. We develop a pipeline that fine-tunes language models using Direct Preference Optimization (DPO) to shift the MGT style toward human-written text (HWT), obtaining generations more challenging to detect by current mod"&amp;"els. Additionally, we analyze the linguistic shifts induced by the alignment and how detectors rely on ""linguistic shortcuts"" to detect texts. Our results show that detectors can be easily fooled with relatively few examples, resulting in a significant "&amp;"drop in detecting performances. This highlights the importance of improving detection methods and making them robust to unseen in-domain texts. We release code, models, and data to support future research on more robust MGT detection benchmarks.")</f>
        <v>Recent advancements in Generative AI and Large Language Models (LLMs) have enabled the creation of highly realistic synthetic content, raising concerns about the potential for malicious use, such as misinformation and manipulation. Moreover, detecting Machine-Generated Text (MGT) remains challenging due to the lack of robust benchmarks that assess generalization to real-world scenarios. In this work, we evaluate the resilience of state-of-the-art MGT detectors (e.g., Mage, Radar, LLM-DetectAIve) to linguistically informed adversarial attacks. We develop a pipeline that fine-tunes language models using Direct Preference Optimization (DPO) to shift the MGT style toward human-written text (HWT), obtaining generations more challenging to detect by current models. Additionally, we analyze the linguistic shifts induced by the alignment and how detectors rely on "linguistic shortcuts" to detect texts. Our results show that detectors can be easily fooled with relatively few examples, resulting in a significant drop in detecting performances. This highlights the importance of improving detection methods and making them robust to unseen in-domain texts. We release code, models, and data to support future research on more robust MGT detection benchmarks.</v>
      </c>
      <c r="D240" s="7" t="str">
        <f>IFERROR(__xludf.DUMMYFUNCTION("""COMPUTED_VALUE"""),"Andrea Pedrotti")</f>
        <v>Andrea Pedrotti</v>
      </c>
      <c r="E240" s="7" t="str">
        <f>IFERROR(__xludf.DUMMYFUNCTION("""COMPUTED_VALUE"""),"Yes")</f>
        <v>Yes</v>
      </c>
      <c r="F240" s="7" t="str">
        <f>IFERROR(__xludf.DUMMYFUNCTION("""COMPUTED_VALUE"""),"IP-Poster")</f>
        <v>IP-Poster</v>
      </c>
      <c r="G240" s="7" t="str">
        <f>IFERROR(__xludf.DUMMYFUNCTION("""COMPUTED_VALUE"""),"In-Person")</f>
        <v>In-Person</v>
      </c>
      <c r="H240" s="7" t="str">
        <f>IFERROR(__xludf.DUMMYFUNCTION("""COMPUTED_VALUE"""),"Hall 4/5")</f>
        <v>Hall 4/5</v>
      </c>
      <c r="I240" s="7" t="str">
        <f>IFERROR(__xludf.DUMMYFUNCTION("""COMPUTED_VALUE"""),"Session 5 :IP-Posters Find ")</f>
        <v>Session 5 :IP-Posters Find </v>
      </c>
      <c r="J240" s="7" t="str">
        <f>IFERROR(__xludf.DUMMYFUNCTION("""COMPUTED_VALUE"""),"Findings Posters - In-Person 1")</f>
        <v>Findings Posters - In-Person 1</v>
      </c>
      <c r="K240" s="7"/>
      <c r="L240" s="8">
        <f>IFERROR(__xludf.DUMMYFUNCTION("""COMPUTED_VALUE"""),45866.0)</f>
        <v>45866</v>
      </c>
      <c r="M240" s="7" t="str">
        <f>IFERROR(__xludf.DUMMYFUNCTION("""COMPUTED_VALUE"""),"18:00-19:30")</f>
        <v>18:00-19:30</v>
      </c>
      <c r="N240" s="7"/>
    </row>
    <row r="241">
      <c r="A241" s="7" t="str">
        <f>IFERROR(__xludf.DUMMYFUNCTION("""COMPUTED_VALUE"""),"688-FIND")</f>
        <v>688-FIND</v>
      </c>
      <c r="B241" s="7" t="str">
        <f>IFERROR(__xludf.DUMMYFUNCTION("""COMPUTED_VALUE"""),"InfiniSST: Simultaneous Translation of Unbounded Speech with Large Language Model")</f>
        <v>InfiniSST: Simultaneous Translation of Unbounded Speech with Large Language Model</v>
      </c>
      <c r="C241" s="7" t="str">
        <f>IFERROR(__xludf.DUMMYFUNCTION("""COMPUTED_VALUE"""),"Simultaneous translation of unbounded streaming speech remains a challenging problem due to the need for effectively processing the history speech context and past translations so that quality and latency, including computation overhead, can be balanced. "&amp;"Most prior works assume pre-segmented speech, limiting their real-world applicability. In this paper, we propose InfiniSST, a novel approach that formulates SST as a multi-turn dialogue task, enabling seamless translation of unbounded speech. We construct"&amp;" translation trajectories and robust segments from MuST-C with multi-latency augmentation during training and develop a key-value (KV) cache management strategy to facilitate efficient inference. Experiments on MuST-C En-Es, En-De, and En-Zh demonstrate t"&amp;"hat InfiniSST reduces computation-aware latency by 0.5 to 1 second while maintaining the same translation quality compared to baselines. Ablation studies further validate the contributions of our data construction and cache management strategy.")</f>
        <v>Simultaneous translation of unbounded streaming speech remains a challenging problem due to the need for effectively processing the history speech context and past translations so that quality and latency, including computation overhead, can be balanced. Most prior works assume pre-segmented speech, limiting their real-world applicability. In this paper, we propose InfiniSST, a novel approach that formulates SST as a multi-turn dialogue task, enabling seamless translation of unbounded speech. We construct translation trajectories and robust segments from MuST-C with multi-latency augmentation during training and develop a key-value (KV) cache management strategy to facilitate efficient inference. Experiments on MuST-C En-Es, En-De, and En-Zh demonstrate that InfiniSST reduces computation-aware latency by 0.5 to 1 second while maintaining the same translation quality compared to baselines. Ablation studies further validate the contributions of our data construction and cache management strategy.</v>
      </c>
      <c r="D241" s="7" t="str">
        <f>IFERROR(__xludf.DUMMYFUNCTION("""COMPUTED_VALUE"""),"Siqi Ouyang")</f>
        <v>Siqi Ouyang</v>
      </c>
      <c r="E241" s="7" t="str">
        <f>IFERROR(__xludf.DUMMYFUNCTION("""COMPUTED_VALUE"""),"Yes")</f>
        <v>Yes</v>
      </c>
      <c r="F241" s="7" t="str">
        <f>IFERROR(__xludf.DUMMYFUNCTION("""COMPUTED_VALUE"""),"IP-Poster")</f>
        <v>IP-Poster</v>
      </c>
      <c r="G241" s="7" t="str">
        <f>IFERROR(__xludf.DUMMYFUNCTION("""COMPUTED_VALUE"""),"In-Person")</f>
        <v>In-Person</v>
      </c>
      <c r="H241" s="7" t="str">
        <f>IFERROR(__xludf.DUMMYFUNCTION("""COMPUTED_VALUE"""),"Hall 4/5")</f>
        <v>Hall 4/5</v>
      </c>
      <c r="I241" s="7" t="str">
        <f>IFERROR(__xludf.DUMMYFUNCTION("""COMPUTED_VALUE"""),"Session 5 :IP-Posters Find ")</f>
        <v>Session 5 :IP-Posters Find </v>
      </c>
      <c r="J241" s="7" t="str">
        <f>IFERROR(__xludf.DUMMYFUNCTION("""COMPUTED_VALUE"""),"Findings Posters - In-Person 1")</f>
        <v>Findings Posters - In-Person 1</v>
      </c>
      <c r="K241" s="7"/>
      <c r="L241" s="8">
        <f>IFERROR(__xludf.DUMMYFUNCTION("""COMPUTED_VALUE"""),45866.0)</f>
        <v>45866</v>
      </c>
      <c r="M241" s="7" t="str">
        <f>IFERROR(__xludf.DUMMYFUNCTION("""COMPUTED_VALUE"""),"18:00-19:30")</f>
        <v>18:00-19:30</v>
      </c>
      <c r="N241" s="7"/>
    </row>
    <row r="242">
      <c r="A242" s="7" t="str">
        <f>IFERROR(__xludf.DUMMYFUNCTION("""COMPUTED_VALUE"""),"690-FIND")</f>
        <v>690-FIND</v>
      </c>
      <c r="B242" s="7" t="str">
        <f>IFERROR(__xludf.DUMMYFUNCTION("""COMPUTED_VALUE"""),"VSCBench: Bridging the Gap in Vision-Language Model Safety Calibration")</f>
        <v>VSCBench: Bridging the Gap in Vision-Language Model Safety Calibration</v>
      </c>
      <c r="C242" s="7" t="str">
        <f>IFERROR(__xludf.DUMMYFUNCTION("""COMPUTED_VALUE"""),"The rapid advancement of vision-language models (VLMs) has brought a lot of attention to their safety alignment. However, existing methods have primarily focused on model undersafety, where the model responds to hazardous queries, while neglecting oversaf"&amp;"ety, where the model refuses to answer safe queries. In this paper, we introduce the concept of safety calibration, which systematically addresses both undersafety and oversafety. Specifically, we present VSCBench, a novel dataset of 3,600 image-text pair"&amp;"s that are visually or textually similar but differ in terms of safety, which is designed to evaluate safety calibration across image-centric and text-centric scenarios. Based on our benchmark, we evaluate safety calibration across eleven widely used VLMs"&amp;". Our extensive experiments revealed major issues with both undersafety and oversafety. We further investigated four approaches to improve the model's safety calibration. We found that even though some methods effectively calibrated the models' safety pro"&amp;"blems, these methods also lead to the degradation of models' utility. This trade-off underscores the urgent need for advanced calibration methods, and our benchmark provides a valuable tool for evaluating future approaches.")</f>
        <v>The rapid advancement of vision-language models (VLMs) has brought a lot of attention to their safety alignment. However, existing methods have primarily focused on model undersafety, where the model responds to hazardous queries, while neglecting oversafety, where the model refuses to answer safe queries. In this paper, we introduce the concept of safety calibration, which systematically addresses both undersafety and oversafety. Specifically, we present VSCBench, a novel dataset of 3,600 image-text pairs that are visually or textually similar but differ in terms of safety, which is designed to evaluate safety calibration across image-centric and text-centric scenarios. Based on our benchmark, we evaluate safety calibration across eleven widely used VLMs. Our extensive experiments revealed major issues with both undersafety and oversafety. We further investigated four approaches to improve the model's safety calibration. We found that even though some methods effectively calibrated the models' safety problems, these methods also lead to the degradation of models' utility. This trade-off underscores the urgent need for advanced calibration methods, and our benchmark provides a valuable tool for evaluating future approaches.</v>
      </c>
      <c r="D242" s="7" t="str">
        <f>IFERROR(__xludf.DUMMYFUNCTION("""COMPUTED_VALUE"""),"Jiahui Geng")</f>
        <v>Jiahui Geng</v>
      </c>
      <c r="E242" s="7" t="str">
        <f>IFERROR(__xludf.DUMMYFUNCTION("""COMPUTED_VALUE"""),"Yes")</f>
        <v>Yes</v>
      </c>
      <c r="F242" s="7" t="str">
        <f>IFERROR(__xludf.DUMMYFUNCTION("""COMPUTED_VALUE"""),"IP-Poster")</f>
        <v>IP-Poster</v>
      </c>
      <c r="G242" s="7" t="str">
        <f>IFERROR(__xludf.DUMMYFUNCTION("""COMPUTED_VALUE"""),"In-Person")</f>
        <v>In-Person</v>
      </c>
      <c r="H242" s="7" t="str">
        <f>IFERROR(__xludf.DUMMYFUNCTION("""COMPUTED_VALUE"""),"Hall 4/5")</f>
        <v>Hall 4/5</v>
      </c>
      <c r="I242" s="7" t="str">
        <f>IFERROR(__xludf.DUMMYFUNCTION("""COMPUTED_VALUE"""),"Session 5 :IP-Posters Find ")</f>
        <v>Session 5 :IP-Posters Find </v>
      </c>
      <c r="J242" s="7" t="str">
        <f>IFERROR(__xludf.DUMMYFUNCTION("""COMPUTED_VALUE"""),"Findings Posters - In-Person 1")</f>
        <v>Findings Posters - In-Person 1</v>
      </c>
      <c r="K242" s="7"/>
      <c r="L242" s="8">
        <f>IFERROR(__xludf.DUMMYFUNCTION("""COMPUTED_VALUE"""),45866.0)</f>
        <v>45866</v>
      </c>
      <c r="M242" s="7" t="str">
        <f>IFERROR(__xludf.DUMMYFUNCTION("""COMPUTED_VALUE"""),"18:00-19:30")</f>
        <v>18:00-19:30</v>
      </c>
      <c r="N242" s="7"/>
    </row>
    <row r="243">
      <c r="A243" s="7" t="str">
        <f>IFERROR(__xludf.DUMMYFUNCTION("""COMPUTED_VALUE"""),"701-FIND")</f>
        <v>701-FIND</v>
      </c>
      <c r="B243" s="7" t="str">
        <f>IFERROR(__xludf.DUMMYFUNCTION("""COMPUTED_VALUE"""),"Learning Autnomous Code Integration for Math Language Models")</f>
        <v>Learning Autnomous Code Integration for Math Language Models</v>
      </c>
      <c r="C243" s="7" t="str">
        <f>IFERROR(__xludf.DUMMYFUNCTION("""COMPUTED_VALUE"""),"Recent advances in mathematical problem-solving with language models (LMs) integrate chain-of-thought (CoT) reasoning and code execution to harness their complementary strengths. However, existing hybrid frameworks exhibit a critical limitation: they depe"&amp;"nd on externally dictated instructions or rigid code-integration templates, lacking metacognitive awareness—the capacity to dynamically evaluate intrinsic capabilities and autonomously determine when and how to integrate tools. This rigidity motivates our"&amp;" study of autonomous code integration, enabling models to adapt tool-usage strategies as their reasoning abilities evolve during training.
While reinforcement learning (RL) shows promise for boosting LLM reasoning at scale (e.g., DeepSeek-R1), we demonst"&amp;"rate its inefficiency in learning autonomous code integration due to inadequate exploration of the vast combinatorial space of CoT-code interleaving patterns. To address this challenge, we propose a novel Expectation-Maximization (EM) framework that syner"&amp;"gizes structured exploration (E-step) with off-policy RL optimization (M-step), creating a self-reinforcing cycle between metacognitive tool-use decisions and evolving capabilities. Experiments reveal our method achieves superior results through improved "&amp;"exploration. Notably, our 7B model improves over 11% on MATH500 and 9.4% on AIME without o1-like CoT.")</f>
        <v>Recent advances in mathematical problem-solving with language models (LMs) integrate chain-of-thought (CoT) reasoning and code execution to harness their complementary strengths. However, existing hybrid frameworks exhibit a critical limitation: they depend on externally dictated instructions or rigid code-integration templates, lacking metacognitive awareness—the capacity to dynamically evaluate intrinsic capabilities and autonomously determine when and how to integrate tools. This rigidity motivates our study of autonomous code integration, enabling models to adapt tool-usage strategies as their reasoning abilities evolve during training.
While reinforcement learning (RL) shows promise for boosting LLM reasoning at scale (e.g., DeepSeek-R1), we demonstrate its inefficiency in learning autonomous code integration due to inadequate exploration of the vast combinatorial space of CoT-code interleaving patterns. To address this challenge, we propose a novel Expectation-Maximization (EM) framework that synergizes structured exploration (E-step) with off-policy RL optimization (M-step), creating a self-reinforcing cycle between metacognitive tool-use decisions and evolving capabilities. Experiments reveal our method achieves superior results through improved exploration. Notably, our 7B model improves over 11% on MATH500 and 9.4% on AIME without o1-like CoT.</v>
      </c>
      <c r="D243" s="7" t="str">
        <f>IFERROR(__xludf.DUMMYFUNCTION("""COMPUTED_VALUE"""),"Haozhe Wang")</f>
        <v>Haozhe Wang</v>
      </c>
      <c r="E243" s="7" t="str">
        <f>IFERROR(__xludf.DUMMYFUNCTION("""COMPUTED_VALUE"""),"Yes")</f>
        <v>Yes</v>
      </c>
      <c r="F243" s="7" t="str">
        <f>IFERROR(__xludf.DUMMYFUNCTION("""COMPUTED_VALUE"""),"IP-Poster")</f>
        <v>IP-Poster</v>
      </c>
      <c r="G243" s="7" t="str">
        <f>IFERROR(__xludf.DUMMYFUNCTION("""COMPUTED_VALUE"""),"In-Person")</f>
        <v>In-Person</v>
      </c>
      <c r="H243" s="7" t="str">
        <f>IFERROR(__xludf.DUMMYFUNCTION("""COMPUTED_VALUE"""),"Hall 4/5")</f>
        <v>Hall 4/5</v>
      </c>
      <c r="I243" s="7" t="str">
        <f>IFERROR(__xludf.DUMMYFUNCTION("""COMPUTED_VALUE"""),"Session 5 :IP-Posters Find ")</f>
        <v>Session 5 :IP-Posters Find </v>
      </c>
      <c r="J243" s="7" t="str">
        <f>IFERROR(__xludf.DUMMYFUNCTION("""COMPUTED_VALUE"""),"Findings Posters - In-Person 1")</f>
        <v>Findings Posters - In-Person 1</v>
      </c>
      <c r="K243" s="7"/>
      <c r="L243" s="8">
        <f>IFERROR(__xludf.DUMMYFUNCTION("""COMPUTED_VALUE"""),45866.0)</f>
        <v>45866</v>
      </c>
      <c r="M243" s="7" t="str">
        <f>IFERROR(__xludf.DUMMYFUNCTION("""COMPUTED_VALUE"""),"18:00-19:30")</f>
        <v>18:00-19:30</v>
      </c>
      <c r="N243" s="7"/>
    </row>
    <row r="244">
      <c r="A244" s="7" t="str">
        <f>IFERROR(__xludf.DUMMYFUNCTION("""COMPUTED_VALUE"""),"708-FIND")</f>
        <v>708-FIND</v>
      </c>
      <c r="B244" s="7" t="str">
        <f>IFERROR(__xludf.DUMMYFUNCTION("""COMPUTED_VALUE"""),"GOODLIAR: A Reinforcement Learning-Based Deceptive Agent for Disrupting LLM Beliefs on Foundational Principles")</f>
        <v>GOODLIAR: A Reinforcement Learning-Based Deceptive Agent for Disrupting LLM Beliefs on Foundational Principles</v>
      </c>
      <c r="C244" s="7" t="str">
        <f>IFERROR(__xludf.DUMMYFUNCTION("""COMPUTED_VALUE"""),"Large Language Models (LLMs) often succumb to adversarial prompts, a phenomenon popularly known as ``jailbreaking.'' While jailbreaking primarily targets short-term noncompliance with predefined policies, we argue that a deeper vulnerability lies in alter"&amp;"ing an LLM's \emph{fundamental axiomatic beliefs}, such as mathematical or philosophical truths. In this work, we introduce \textsc{GoodLiar}, a reinforcement learning (RL)-based framework that generates deceptive contexts to systematically \emph{rewrite}"&amp;" an LLM's core logical or philosophical understandings. By incentivizing an RL agent to produce persuasive and coherent arguments, \textsc{GoodLiar} aims to induce \emph{persistent} belief shifts, rather than merely influencing immediate judgments of fact"&amp;"ual truthfulness. %rather than one-off policy breaches. Our approach introduces \emph{DA-ILQL}, a novel offline RL method that extends ILQL by integrating on-policy data and language exploration to enhance the language discovery and optimization. Through "&amp;"extensive evaluations on multiple LLMs, we show that deceptive contexts discovered by \textsc{GoodLiar} consistently outperform simple multi-turn prompting methods.")</f>
        <v>Large Language Models (LLMs) often succumb to adversarial prompts, a phenomenon popularly known as ``jailbreaking.'' While jailbreaking primarily targets short-term noncompliance with predefined policies, we argue that a deeper vulnerability lies in altering an LLM's \emph{fundamental axiomatic beliefs}, such as mathematical or philosophical truths. In this work, we introduce \textsc{GoodLiar}, a reinforcement learning (RL)-based framework that generates deceptive contexts to systematically \emph{rewrite} an LLM's core logical or philosophical understandings. By incentivizing an RL agent to produce persuasive and coherent arguments, \textsc{GoodLiar} aims to induce \emph{persistent} belief shifts, rather than merely influencing immediate judgments of factual truthfulness. %rather than one-off policy breaches. Our approach introduces \emph{DA-ILQL}, a novel offline RL method that extends ILQL by integrating on-policy data and language exploration to enhance the language discovery and optimization. Through extensive evaluations on multiple LLMs, we show that deceptive contexts discovered by \textsc{GoodLiar} consistently outperform simple multi-turn prompting methods.</v>
      </c>
      <c r="D244" s="7" t="str">
        <f>IFERROR(__xludf.DUMMYFUNCTION("""COMPUTED_VALUE"""),"Sookyung Kim / Hyunsoo Cho")</f>
        <v>Sookyung Kim / Hyunsoo Cho</v>
      </c>
      <c r="E244" s="7" t="str">
        <f>IFERROR(__xludf.DUMMYFUNCTION("""COMPUTED_VALUE"""),"Yes")</f>
        <v>Yes</v>
      </c>
      <c r="F244" s="7" t="str">
        <f>IFERROR(__xludf.DUMMYFUNCTION("""COMPUTED_VALUE"""),"IP-Poster")</f>
        <v>IP-Poster</v>
      </c>
      <c r="G244" s="7" t="str">
        <f>IFERROR(__xludf.DUMMYFUNCTION("""COMPUTED_VALUE"""),"In-Person")</f>
        <v>In-Person</v>
      </c>
      <c r="H244" s="7" t="str">
        <f>IFERROR(__xludf.DUMMYFUNCTION("""COMPUTED_VALUE"""),"Hall 4/5")</f>
        <v>Hall 4/5</v>
      </c>
      <c r="I244" s="7" t="str">
        <f>IFERROR(__xludf.DUMMYFUNCTION("""COMPUTED_VALUE"""),"Session 5 :IP-Posters Find ")</f>
        <v>Session 5 :IP-Posters Find </v>
      </c>
      <c r="J244" s="7" t="str">
        <f>IFERROR(__xludf.DUMMYFUNCTION("""COMPUTED_VALUE"""),"Findings Posters - In-Person 1")</f>
        <v>Findings Posters - In-Person 1</v>
      </c>
      <c r="K244" s="7"/>
      <c r="L244" s="8">
        <f>IFERROR(__xludf.DUMMYFUNCTION("""COMPUTED_VALUE"""),45866.0)</f>
        <v>45866</v>
      </c>
      <c r="M244" s="7" t="str">
        <f>IFERROR(__xludf.DUMMYFUNCTION("""COMPUTED_VALUE"""),"18:00-19:30")</f>
        <v>18:00-19:30</v>
      </c>
      <c r="N244" s="7"/>
    </row>
    <row r="245">
      <c r="A245" s="7" t="str">
        <f>IFERROR(__xludf.DUMMYFUNCTION("""COMPUTED_VALUE"""),"714-FIND")</f>
        <v>714-FIND</v>
      </c>
      <c r="B245" s="7" t="str">
        <f>IFERROR(__xludf.DUMMYFUNCTION("""COMPUTED_VALUE"""),"How Does Generation Length Affect Long-Form Factuality")</f>
        <v>How Does Generation Length Affect Long-Form Factuality</v>
      </c>
      <c r="C245" s="7" t="str">
        <f>IFERROR(__xludf.DUMMYFUNCTION("""COMPUTED_VALUE"""),"Large language models are widely used for long-form text generation, but factual errors existing in responses would undermine their reliability. In this work, we systematically investigate the impact of response length on factual precision. First, we intr"&amp;"oduce an automatic and bi-level long-form factuality evaluation method, which achieves high agreement with human annotations while being cost-effective. Using this framework, we conduct controlled experiments and find that longer responses exhibit lower f"&amp;"actual precision, confirming the existence of length bias in long-form factuality. To understand the underlying causes, we empirically examine three hypotheses: error propagation, long context, and facts exhaustion. Our findings reveal that facts exhausti"&amp;"on, where the model gradually exhausts more reliable knowledge, is the primary cause of factual degradation, rather than the other two hypotheses. Our study provides new insights into LLM factuality degradation in extended outputs and suggests future dire"&amp;"ctions for improving long-form factual accuracy.")</f>
        <v>Large language models are widely used for long-form text generation, but factual errors existing in responses would undermine their reliability. In this work, we systematically investigate the impact of response length on factual precision. First, we introduce an automatic and bi-level long-form factuality evaluation method, which achieves high agreement with human annotations while being cost-effective. Using this framework, we conduct controlled experiments and find that longer responses exhibit lower factual precision, confirming the existence of length bias in long-form factuality. To understand the underlying causes, we empirically examine three hypotheses: error propagation, long context, and facts exhaustion. Our findings reveal that facts exhaustion, where the model gradually exhausts more reliable knowledge, is the primary cause of factual degradation, rather than the other two hypotheses. Our study provides new insights into LLM factuality degradation in extended outputs and suggests future directions for improving long-form factual accuracy.</v>
      </c>
      <c r="D245" s="7" t="str">
        <f>IFERROR(__xludf.DUMMYFUNCTION("""COMPUTED_VALUE"""),"James Xu Zhao")</f>
        <v>James Xu Zhao</v>
      </c>
      <c r="E245" s="7" t="str">
        <f>IFERROR(__xludf.DUMMYFUNCTION("""COMPUTED_VALUE"""),"Yes")</f>
        <v>Yes</v>
      </c>
      <c r="F245" s="7" t="str">
        <f>IFERROR(__xludf.DUMMYFUNCTION("""COMPUTED_VALUE"""),"IP-Poster")</f>
        <v>IP-Poster</v>
      </c>
      <c r="G245" s="7" t="str">
        <f>IFERROR(__xludf.DUMMYFUNCTION("""COMPUTED_VALUE"""),"In-Person")</f>
        <v>In-Person</v>
      </c>
      <c r="H245" s="7" t="str">
        <f>IFERROR(__xludf.DUMMYFUNCTION("""COMPUTED_VALUE"""),"Hall 4/5")</f>
        <v>Hall 4/5</v>
      </c>
      <c r="I245" s="7" t="str">
        <f>IFERROR(__xludf.DUMMYFUNCTION("""COMPUTED_VALUE"""),"Session 5 :IP-Posters Find ")</f>
        <v>Session 5 :IP-Posters Find </v>
      </c>
      <c r="J245" s="7" t="str">
        <f>IFERROR(__xludf.DUMMYFUNCTION("""COMPUTED_VALUE"""),"Findings Posters - In-Person 1")</f>
        <v>Findings Posters - In-Person 1</v>
      </c>
      <c r="K245" s="7"/>
      <c r="L245" s="8">
        <f>IFERROR(__xludf.DUMMYFUNCTION("""COMPUTED_VALUE"""),45866.0)</f>
        <v>45866</v>
      </c>
      <c r="M245" s="7" t="str">
        <f>IFERROR(__xludf.DUMMYFUNCTION("""COMPUTED_VALUE"""),"18:00-19:30")</f>
        <v>18:00-19:30</v>
      </c>
      <c r="N245" s="7"/>
    </row>
    <row r="246">
      <c r="A246" s="7" t="str">
        <f>IFERROR(__xludf.DUMMYFUNCTION("""COMPUTED_VALUE"""),"718-FIND")</f>
        <v>718-FIND</v>
      </c>
      <c r="B246" s="7" t="str">
        <f>IFERROR(__xludf.DUMMYFUNCTION("""COMPUTED_VALUE"""),"Scaling LLMs' Social Reasoning: Sprinkle Cognitive ""Aha Moment"" into Fundamental Long-thought Logical Capabilities")</f>
        <v>Scaling LLMs' Social Reasoning: Sprinkle Cognitive "Aha Moment" into Fundamental Long-thought Logical Capabilities</v>
      </c>
      <c r="C246" s="7" t="str">
        <f>IFERROR(__xludf.DUMMYFUNCTION("""COMPUTED_VALUE"""),"Humans continually engage in reasoning about others' mental states, a capability known as Theory of Mind (ToM), is essential for social interactions. While this social reasoning capability emerges naturally in human cognitive development, how has the soci"&amp;"al reasoning capability of Large Language Models (LLMs) evolved during their development process? Various datasets have been proposed to assess LLMs' social reasoning capabilities, but each is designed with a distinct focus, and none have explored how mod"&amp;"els' social reasoning capabilities evolve during model size scaling or reasoning tokens scaling. In light of this, we optimize the evaluation of LLMs' social reasoning from both data and model perspectives, constructing progressively difficult levels of s"&amp;"ocial reasoning data and systematically exploring how LLMs' social reasoning capabilities evolve. Furthermore, through an in-depth analysis of DeepSeek-R1's reasoning trajectories, we identify notable cognitive ""Aha Moment"" and the reasons for its reaso"&amp;"ning errors. Experiments reveal that long-thought logical capabilities and cognitive thinking are key to scaling LLMs' social reasoning capabilities. By equipping the Qwen2.5-32B-Instruct model with long-thought logical capabilities and cognitive thinking"&amp;", we achieve an improvement of 19.0 points, attaining social reasoning performance comparable to o1-preview model.")</f>
        <v>Humans continually engage in reasoning about others' mental states, a capability known as Theory of Mind (ToM), is essential for social interactions. While this social reasoning capability emerges naturally in human cognitive development, how has the social reasoning capability of Large Language Models (LLMs) evolved during their development process? Various datasets have been proposed to assess LLMs' social reasoning capabilities, but each is designed with a distinct focus, and none have explored how models' social reasoning capabilities evolve during model size scaling or reasoning tokens scaling. In light of this, we optimize the evaluation of LLMs' social reasoning from both data and model perspectives, constructing progressively difficult levels of social reasoning data and systematically exploring how LLMs' social reasoning capabilities evolve. Furthermore, through an in-depth analysis of DeepSeek-R1's reasoning trajectories, we identify notable cognitive "Aha Moment" and the reasons for its reasoning errors. Experiments reveal that long-thought logical capabilities and cognitive thinking are key to scaling LLMs' social reasoning capabilities. By equipping the Qwen2.5-32B-Instruct model with long-thought logical capabilities and cognitive thinking, we achieve an improvement of 19.0 points, attaining social reasoning performance comparable to o1-preview model.</v>
      </c>
      <c r="D246" s="7" t="str">
        <f>IFERROR(__xludf.DUMMYFUNCTION("""COMPUTED_VALUE"""),"N/A")</f>
        <v>N/A</v>
      </c>
      <c r="E246" s="7" t="str">
        <f>IFERROR(__xludf.DUMMYFUNCTION("""COMPUTED_VALUE"""),"#N/A")</f>
        <v>#N/A</v>
      </c>
      <c r="F246" s="7" t="str">
        <f>IFERROR(__xludf.DUMMYFUNCTION("""COMPUTED_VALUE"""),"Not Pres. ")</f>
        <v>Not Pres. </v>
      </c>
      <c r="G246" s="7" t="str">
        <f>IFERROR(__xludf.DUMMYFUNCTION("""COMPUTED_VALUE"""),"NP Findings Not Presenting ")</f>
        <v>NP Findings Not Presenting </v>
      </c>
      <c r="H246" s="7"/>
      <c r="I246" s="7" t="str">
        <f>IFERROR(__xludf.DUMMYFUNCTION("""COMPUTED_VALUE"""),"NP-Find")</f>
        <v>NP-Find</v>
      </c>
      <c r="J246" s="7"/>
      <c r="K246" s="7"/>
      <c r="L246" s="8"/>
      <c r="M246" s="7"/>
      <c r="N246" s="7"/>
    </row>
    <row r="247">
      <c r="A247" s="7" t="str">
        <f>IFERROR(__xludf.DUMMYFUNCTION("""COMPUTED_VALUE"""),"721-FIND")</f>
        <v>721-FIND</v>
      </c>
      <c r="B247" s="7" t="str">
        <f>IFERROR(__xludf.DUMMYFUNCTION("""COMPUTED_VALUE"""),"SimGRAG: Leveraging Similar Subgraphs for Knowledge Graphs Driven Retrieval-Augmented Generation")</f>
        <v>SimGRAG: Leveraging Similar Subgraphs for Knowledge Graphs Driven Retrieval-Augmented Generation</v>
      </c>
      <c r="C247" s="7" t="str">
        <f>IFERROR(__xludf.DUMMYFUNCTION("""COMPUTED_VALUE"""),"Recent advancements in large language models (LLMs) have shown impressive versatility across various tasks. To eliminate its hallucinations, retrieval-augmented generation (RAG) has emerged as a powerful approach, leveraging external knowledge sources lik"&amp;"e knowledge graphs (KGs). In this paper, we study the task of KG-driven RAG and propose a novel Similar Graph Enhanced Retrieval-Augmented Generation (SimGRAG) method. It effectively addresses the challenge of aligning query texts and KG structures throug"&amp;"h a two-stage process: (1) query-to-pattern, which uses an LLM to transform queries into a desired graph pattern, and (2) pattern-to-subgraph, which quantifies the alignment between the pattern and candidate subgraphs using a graph semantic distance (GSD)"&amp;" metric. We also develop an optimized retrieval algorithm that efficiently identifies the top-k subgraphs within 1-second latency on a 10-million-scale KG. Extensive experiments show that SimGRAG outperforms state-of-the-art KG-driven RAG methods in both "&amp;"question answering and fact verification.")</f>
        <v>Recent advancements in large language models (LLMs) have shown impressive versatility across various tasks. To eliminate its hallucinations, retrieval-augmented generation (RAG) has emerged as a powerful approach, leveraging external knowledge sources like knowledge graphs (KGs). In this paper, we study the task of KG-driven RAG and propose a novel Similar Graph Enhanced Retrieval-Augmented Generation (SimGRAG) method. It effectively addresses the challenge of aligning query texts and KG structures through a two-stage process: (1) query-to-pattern, which uses an LLM to transform queries into a desired graph pattern, and (2) pattern-to-subgraph, which quantifies the alignment between the pattern and candidate subgraphs using a graph semantic distance (GSD) metric. We also develop an optimized retrieval algorithm that efficiently identifies the top-k subgraphs within 1-second latency on a 10-million-scale KG. Extensive experiments show that SimGRAG outperforms state-of-the-art KG-driven RAG methods in both question answering and fact verification.</v>
      </c>
      <c r="D247" s="7" t="str">
        <f>IFERROR(__xludf.DUMMYFUNCTION("""COMPUTED_VALUE"""),"Do not plan to present")</f>
        <v>Do not plan to present</v>
      </c>
      <c r="E247" s="7" t="str">
        <f>IFERROR(__xludf.DUMMYFUNCTION("""COMPUTED_VALUE"""),"#N/A")</f>
        <v>#N/A</v>
      </c>
      <c r="F247" s="7" t="str">
        <f>IFERROR(__xludf.DUMMYFUNCTION("""COMPUTED_VALUE"""),"Not Pres. ")</f>
        <v>Not Pres. </v>
      </c>
      <c r="G247" s="7" t="str">
        <f>IFERROR(__xludf.DUMMYFUNCTION("""COMPUTED_VALUE"""),"NP Findings Not Presenting ")</f>
        <v>NP Findings Not Presenting </v>
      </c>
      <c r="H247" s="7"/>
      <c r="I247" s="7" t="str">
        <f>IFERROR(__xludf.DUMMYFUNCTION("""COMPUTED_VALUE"""),"NP-Find")</f>
        <v>NP-Find</v>
      </c>
      <c r="J247" s="7"/>
      <c r="K247" s="7"/>
      <c r="L247" s="8"/>
      <c r="M247" s="7"/>
      <c r="N247" s="7"/>
    </row>
    <row r="248">
      <c r="A248" s="7" t="str">
        <f>IFERROR(__xludf.DUMMYFUNCTION("""COMPUTED_VALUE"""),"725-FIND")</f>
        <v>725-FIND</v>
      </c>
      <c r="B248" s="7" t="str">
        <f>IFERROR(__xludf.DUMMYFUNCTION("""COMPUTED_VALUE"""),"RuleEdit: Towards Rule-Level Knowledge Generalization to Mitigate Over-Editing in Large Language Models")</f>
        <v>RuleEdit: Towards Rule-Level Knowledge Generalization to Mitigate Over-Editing in Large Language Models</v>
      </c>
      <c r="C248" s="7" t="str">
        <f>IFERROR(__xludf.DUMMYFUNCTION("""COMPUTED_VALUE"""),"Knowledge editing emerges as a promising approach for updating target knowledge in Large Language Models (LLMs) in a timely manner, thereby preventing undesirable behaviors stemming from outdated, inaccurate, or incomplete knowledge. However, existing met"&amp;"hods mainly focus on instance-level editing, which is prone to over-editing risk featuring knowledge degradation and general ability deterioration, due to redundant instance-specific modifications for knowledge. To mitigate the over-editing risk, we explo"&amp;"re the rule-level editing problem that avoids case-by-case modification by generalizing rule-level knowledge to update rule-derived instances. We further construct a benchmark called RuleEdit for systematic evaluation on rule-level editing. Moreover, we p"&amp;"ropose a Rule-Transfer Editing (RTE) method to facilitate effective updates and generalizations of rule-level knowledge in LLMs. Experimental results highlight our significant improvements, with the enhancements of 28.1% in portability and 8.1% in average"&amp;" performance over the best-performing baselines for LLaMA-2-7B on RULE(mix).")</f>
        <v>Knowledge editing emerges as a promising approach for updating target knowledge in Large Language Models (LLMs) in a timely manner, thereby preventing undesirable behaviors stemming from outdated, inaccurate, or incomplete knowledge. However, existing methods mainly focus on instance-level editing, which is prone to over-editing risk featuring knowledge degradation and general ability deterioration, due to redundant instance-specific modifications for knowledge. To mitigate the over-editing risk, we explore the rule-level editing problem that avoids case-by-case modification by generalizing rule-level knowledge to update rule-derived instances. We further construct a benchmark called RuleEdit for systematic evaluation on rule-level editing. Moreover, we propose a Rule-Transfer Editing (RTE) method to facilitate effective updates and generalizations of rule-level knowledge in LLMs. Experimental results highlight our significant improvements, with the enhancements of 28.1% in portability and 8.1% in average performance over the best-performing baselines for LLaMA-2-7B on RULE(mix).</v>
      </c>
      <c r="D248" s="7" t="str">
        <f>IFERROR(__xludf.DUMMYFUNCTION("""COMPUTED_VALUE"""),"Bihan Zhou")</f>
        <v>Bihan Zhou</v>
      </c>
      <c r="E248" s="7" t="str">
        <f>IFERROR(__xludf.DUMMYFUNCTION("""COMPUTED_VALUE"""),"#N/A")</f>
        <v>#N/A</v>
      </c>
      <c r="F248" s="7" t="str">
        <f>IFERROR(__xludf.DUMMYFUNCTION("""COMPUTED_VALUE"""),"Not Pres. ")</f>
        <v>Not Pres. </v>
      </c>
      <c r="G248" s="7" t="str">
        <f>IFERROR(__xludf.DUMMYFUNCTION("""COMPUTED_VALUE"""),"NP Findings Not Presenting ")</f>
        <v>NP Findings Not Presenting </v>
      </c>
      <c r="H248" s="7"/>
      <c r="I248" s="7" t="str">
        <f>IFERROR(__xludf.DUMMYFUNCTION("""COMPUTED_VALUE"""),"NP-Find")</f>
        <v>NP-Find</v>
      </c>
      <c r="J248" s="7"/>
      <c r="K248" s="7"/>
      <c r="L248" s="8"/>
      <c r="M248" s="7"/>
      <c r="N248" s="7"/>
    </row>
    <row r="249">
      <c r="A249" s="7" t="str">
        <f>IFERROR(__xludf.DUMMYFUNCTION("""COMPUTED_VALUE"""),"727-FIND")</f>
        <v>727-FIND</v>
      </c>
      <c r="B249" s="7" t="str">
        <f>IFERROR(__xludf.DUMMYFUNCTION("""COMPUTED_VALUE"""),"Eliciting In-context Retrieval and Reasoning for Long-context Language Models")</f>
        <v>Eliciting In-context Retrieval and Reasoning for Long-context Language Models</v>
      </c>
      <c r="C249" s="7" t="str">
        <f>IFERROR(__xludf.DUMMYFUNCTION("""COMPUTED_VALUE"""),"Recent advancements in long-context language models (LCLMs) promise to transform Retrieval-Augmented Generation (RAG) by simplifying pipelines. With their expanded context windows, LCLMs can process entire knowledge bases and perform retrieval and reasoni"&amp;"ng directly -- a capability we define as In-Context Retrieval and Reasoning (ICR^2). However, existing benchmarks like LOFT often overestimate LCLM performance by providing overly simplified contexts. To address this, we introduce ICR^2, a benchmark that "&amp;"evaluates LCLMs in more realistic scenarios by including confounding passages retrieved with strong retrievers. We then propose three methods to enhance LCLM performance: (1) retrieve-then-generate fine-tuning, (2) retrieval-attention-probing, which uses "&amp;"attention heads to filter and de-noise long contexts during decoding, and (3) joint retrieval head training alongside the generation head. Our evaluation of five well-known LCLMs on LOFT and ICR^2 demonstrates significant gains with our best approach appl"&amp;"ied to Mistral-7B: +17 and +15 points by Exact Match on LOFT, and +13 and +2 points on ICR^2, compared to vanilla RAG and supervised fine-tuning, respectively. It even outperforms GPT-4-Turbo on most tasks despite being a much smaller model.")</f>
        <v>Recent advancements in long-context language models (LCLMs) promise to transform Retrieval-Augmented Generation (RAG) by simplifying pipelines. With their expanded context windows, LCLMs can process entire knowledge bases and perform retrieval and reasoning directly -- a capability we define as In-Context Retrieval and Reasoning (ICR^2). However, existing benchmarks like LOFT often overestimate LCLM performance by providing overly simplified contexts. To address this, we introduce ICR^2, a benchmark that evaluates LCLMs in more realistic scenarios by including confounding passages retrieved with strong retrievers. We then propose three methods to enhance LCLM performance: (1) retrieve-then-generate fine-tuning, (2) retrieval-attention-probing, which uses attention heads to filter and de-noise long contexts during decoding, and (3) joint retrieval head training alongside the generation head. Our evaluation of five well-known LCLMs on LOFT and ICR^2 demonstrates significant gains with our best approach applied to Mistral-7B: +17 and +15 points by Exact Match on LOFT, and +13 and +2 points on ICR^2, compared to vanilla RAG and supervised fine-tuning, respectively. It even outperforms GPT-4-Turbo on most tasks despite being a much smaller model.</v>
      </c>
      <c r="D249" s="7" t="str">
        <f>IFERROR(__xludf.DUMMYFUNCTION("""COMPUTED_VALUE"""),"Yifu Qiu")</f>
        <v>Yifu Qiu</v>
      </c>
      <c r="E249" s="7" t="str">
        <f>IFERROR(__xludf.DUMMYFUNCTION("""COMPUTED_VALUE"""),"Yes")</f>
        <v>Yes</v>
      </c>
      <c r="F249" s="7" t="str">
        <f>IFERROR(__xludf.DUMMYFUNCTION("""COMPUTED_VALUE"""),"IP-Poster")</f>
        <v>IP-Poster</v>
      </c>
      <c r="G249" s="7" t="str">
        <f>IFERROR(__xludf.DUMMYFUNCTION("""COMPUTED_VALUE"""),"In-Person")</f>
        <v>In-Person</v>
      </c>
      <c r="H249" s="7" t="str">
        <f>IFERROR(__xludf.DUMMYFUNCTION("""COMPUTED_VALUE"""),"Hall 4/5")</f>
        <v>Hall 4/5</v>
      </c>
      <c r="I249" s="7" t="str">
        <f>IFERROR(__xludf.DUMMYFUNCTION("""COMPUTED_VALUE"""),"Session 10: IP-Posters")</f>
        <v>Session 10: IP-Posters</v>
      </c>
      <c r="J249" s="7" t="str">
        <f>IFERROR(__xludf.DUMMYFUNCTION("""COMPUTED_VALUE"""),"Findings Posters - In-Person 3")</f>
        <v>Findings Posters - In-Person 3</v>
      </c>
      <c r="K249" s="7"/>
      <c r="L249" s="8">
        <f>IFERROR(__xludf.DUMMYFUNCTION("""COMPUTED_VALUE"""),45867.0)</f>
        <v>45867</v>
      </c>
      <c r="M249" s="7" t="str">
        <f>IFERROR(__xludf.DUMMYFUNCTION("""COMPUTED_VALUE"""),"16:00-17:30")</f>
        <v>16:00-17:30</v>
      </c>
      <c r="N249" s="7"/>
    </row>
    <row r="250">
      <c r="A250" s="7" t="str">
        <f>IFERROR(__xludf.DUMMYFUNCTION("""COMPUTED_VALUE"""),"731-FIND")</f>
        <v>731-FIND</v>
      </c>
      <c r="B250" s="7" t="str">
        <f>IFERROR(__xludf.DUMMYFUNCTION("""COMPUTED_VALUE"""),"GeAR: Generation Augmented Retrieval")</f>
        <v>GeAR: Generation Augmented Retrieval</v>
      </c>
      <c r="C250" s="7" t="str">
        <f>IFERROR(__xludf.DUMMYFUNCTION("""COMPUTED_VALUE"""),"Document retrieval techniques are essential for developing large-scale information systems. The common approach involves using a bi-encoder to compute the semantic similarity between a query and documents. However, the scalar similarity often fails to ref"&amp;"lect enough information, hindering the interpretation of retrieval results. In addition, this process primarily focuses on global semantics, overlooking the finer-grained semantic relationships between the query and the document's content. In this paper, "&amp;"we introduce a novel method, Generation Augmented 
Retrieval (GeAR), which not only improves the global document-query similarity through contrastive learning but also integrates well-designed fusion and decoding modules. This enables GeAR to generate rel"&amp;"evant context within the documents based on a given query, facilitating learning to retrieve local fine-grained information. Furthermore, when used as a retriever, GeAR does not incur any additional computational cost over bi-encoders. GeAR exhibits compe"&amp;"titive retrieval performance across diverse scenarios and tasks. Moreover, qualitative analysis and the results generated by GeAR provide novel insights into the interpretation of retrieval results. The code, data, and models will be released at https://g"&amp;"ithub.com/microsoft/LMOps.")</f>
        <v>Document retrieval techniques are essential for developing large-scale information systems. The common approach involves using a bi-encoder to compute the semantic similarity between a query and documents. However, the scalar similarity often fails to reflect enough information, hindering the interpretation of retrieval results. In addition, this process primarily focuses on global semantics, overlooking the finer-grained semantic relationships between the query and the document's content. In this paper, we introduce a novel method, Generation Augmented 
Retrieval (GeAR), which not only improves the global document-query similarity through contrastive learning but also integrates well-designed fusion and decoding modules. This enables GeAR to generate relevant context within the documents based on a given query, facilitating learning to retrieve local fine-grained information. Furthermore, when used as a retriever, GeAR does not incur any additional computational cost over bi-encoders. GeAR exhibits competitive retrieval performance across diverse scenarios and tasks. Moreover, qualitative analysis and the results generated by GeAR provide novel insights into the interpretation of retrieval results. The code, data, and models will be released at https://github.com/microsoft/LMOps.</v>
      </c>
      <c r="D250" s="7" t="str">
        <f>IFERROR(__xludf.DUMMYFUNCTION("""COMPUTED_VALUE"""),"Haoyu Liu")</f>
        <v>Haoyu Liu</v>
      </c>
      <c r="E250" s="7" t="str">
        <f>IFERROR(__xludf.DUMMYFUNCTION("""COMPUTED_VALUE"""),"#N/A")</f>
        <v>#N/A</v>
      </c>
      <c r="F250" s="7" t="str">
        <f>IFERROR(__xludf.DUMMYFUNCTION("""COMPUTED_VALUE"""),"Not Pres. ")</f>
        <v>Not Pres. </v>
      </c>
      <c r="G250" s="7" t="str">
        <f>IFERROR(__xludf.DUMMYFUNCTION("""COMPUTED_VALUE"""),"NP Findings Not Presenting ")</f>
        <v>NP Findings Not Presenting </v>
      </c>
      <c r="H250" s="7"/>
      <c r="I250" s="7" t="str">
        <f>IFERROR(__xludf.DUMMYFUNCTION("""COMPUTED_VALUE"""),"NP-Find")</f>
        <v>NP-Find</v>
      </c>
      <c r="J250" s="7"/>
      <c r="K250" s="7"/>
      <c r="L250" s="8"/>
      <c r="M250" s="7"/>
      <c r="N250" s="7"/>
    </row>
    <row r="251">
      <c r="A251" s="7" t="str">
        <f>IFERROR(__xludf.DUMMYFUNCTION("""COMPUTED_VALUE"""),"739-FIND")</f>
        <v>739-FIND</v>
      </c>
      <c r="B251" s="7" t="str">
        <f>IFERROR(__xludf.DUMMYFUNCTION("""COMPUTED_VALUE"""),"A Unified Taxonomy-Guided Instruction Tuning Framework for Entity Set Expansion and Taxonomy Expansion")</f>
        <v>A Unified Taxonomy-Guided Instruction Tuning Framework for Entity Set Expansion and Taxonomy Expansion</v>
      </c>
      <c r="C251" s="7" t="str">
        <f>IFERROR(__xludf.DUMMYFUNCTION("""COMPUTED_VALUE"""),"Entity set expansion, taxonomy expansion, and seed-guided taxonomy construction are three representative tasks that can be applied to automatically populate an existing taxonomy with emerging concepts. Previous studies view them as three separate tasks. T"&amp;"herefore, their proposed techniques usually work for one specific task only, lacking generalizability and a holistic perspective. In this paper, we aim at a unified solution to the three tasks. To be specific, we identify two common skills needed for enti"&amp;"ty set expansion, taxonomy expansion, and seed-guided taxonomy construction: finding ""siblings"" and finding ""parents"". We propose a taxonomy-guided instruction tuning framework to teach a large language model to generate siblings and parents for query"&amp;" entities, where the joint pre-training process facilitates the mutual enhancement of the two skills. Extensive experiments on multiple benchmark datasets demonstrate the efficacy of our proposed TaxoInstruct framework, which outperforms task-specific bas"&amp;"elines across all three tasks.")</f>
        <v>Entity set expansion, taxonomy expansion, and seed-guided taxonomy construction are three representative tasks that can be applied to automatically populate an existing taxonomy with emerging concepts. Previous studies view them as three separate tasks. Therefore, their proposed techniques usually work for one specific task only, lacking generalizability and a holistic perspective. In this paper, we aim at a unified solution to the three tasks. To be specific, we identify two common skills needed for entity set expansion, taxonomy expansion, and seed-guided taxonomy construction: finding "siblings" and finding "parents". We propose a taxonomy-guided instruction tuning framework to teach a large language model to generate siblings and parents for query entities, where the joint pre-training process facilitates the mutual enhancement of the two skills. Extensive experiments on multiple benchmark datasets demonstrate the efficacy of our proposed TaxoInstruct framework, which outperforms task-specific baselines across all three tasks.</v>
      </c>
      <c r="D251" s="7" t="str">
        <f>IFERROR(__xludf.DUMMYFUNCTION("""COMPUTED_VALUE"""),"Plan not to present")</f>
        <v>Plan not to present</v>
      </c>
      <c r="E251" s="7" t="str">
        <f>IFERROR(__xludf.DUMMYFUNCTION("""COMPUTED_VALUE"""),"#N/A")</f>
        <v>#N/A</v>
      </c>
      <c r="F251" s="7" t="str">
        <f>IFERROR(__xludf.DUMMYFUNCTION("""COMPUTED_VALUE"""),"Not Pres. ")</f>
        <v>Not Pres. </v>
      </c>
      <c r="G251" s="7" t="str">
        <f>IFERROR(__xludf.DUMMYFUNCTION("""COMPUTED_VALUE"""),"NP Findings Not Presenting ")</f>
        <v>NP Findings Not Presenting </v>
      </c>
      <c r="H251" s="7"/>
      <c r="I251" s="7" t="str">
        <f>IFERROR(__xludf.DUMMYFUNCTION("""COMPUTED_VALUE"""),"NP-Find")</f>
        <v>NP-Find</v>
      </c>
      <c r="J251" s="7"/>
      <c r="K251" s="7"/>
      <c r="L251" s="8"/>
      <c r="M251" s="7"/>
      <c r="N251" s="7"/>
    </row>
    <row r="252">
      <c r="A252" s="7" t="str">
        <f>IFERROR(__xludf.DUMMYFUNCTION("""COMPUTED_VALUE"""),"742-FIND")</f>
        <v>742-FIND</v>
      </c>
      <c r="B252" s="7" t="str">
        <f>IFERROR(__xludf.DUMMYFUNCTION("""COMPUTED_VALUE"""),"Zero-Shot Conversational Stance Detection: Dataset and Approaches")</f>
        <v>Zero-Shot Conversational Stance Detection: Dataset and Approaches</v>
      </c>
      <c r="C252" s="7" t="str">
        <f>IFERROR(__xludf.DUMMYFUNCTION("""COMPUTED_VALUE"""),"Stance detection, which aims to identify public opinion towards specific targets using social media data, is an important yet challenging task. With the increasing number of online debates among social media users, conversational stance detection has beco"&amp;"me a crucial research area. However, existing conversational stance detection datasets are restricted to a limited set of specific targets, which constrains the effectiveness of stance detection models when encountering a large number of unseen targets in"&amp;" real-world applications. To bridge this gap, we manually curate a large-scale, high-quality zero-shot conversational stance detection dataset, named ZS-CSD, comprising 280 targets across two distinct target types. Leveraging the ZS-CSD dataset, we propos"&amp;"e SITPCL, a speaker interaction and target-aware prototypical contrastive learning model, and establish the benchmark performance in the zero-shot setting. Experimental results demonstrate that our proposed SITPCL model achieves state-of-the-art performan"&amp;"ce in zero-shot conversational stance detection. Notably, the SITPCL model attains only an F1-macro score of 43.81%, highlighting the persistent challenges in zero-shot conversational stance detection.")</f>
        <v>Stance detection, which aims to identify public opinion towards specific targets using social media data, is an important yet challenging task. With the increasing number of online debates among social media users, conversational stance detection has become a crucial research area. However, existing conversational stance detection datasets are restricted to a limited set of specific targets, which constrains the effectiveness of stance detection models when encountering a large number of unseen targets in real-world applications. To bridge this gap, we manually curate a large-scale, high-quality zero-shot conversational stance detection dataset, named ZS-CSD, comprising 280 targets across two distinct target types. Leveraging the ZS-CSD dataset, we propose SITPCL, a speaker interaction and target-aware prototypical contrastive learning model, and establish the benchmark performance in the zero-shot setting. Experimental results demonstrate that our proposed SITPCL model achieves state-of-the-art performance in zero-shot conversational stance detection. Notably, the SITPCL model attains only an F1-macro score of 43.81%, highlighting the persistent challenges in zero-shot conversational stance detection.</v>
      </c>
      <c r="D252" s="7" t="str">
        <f>IFERROR(__xludf.DUMMYFUNCTION("""COMPUTED_VALUE"""),"Yuzhe Ding")</f>
        <v>Yuzhe Ding</v>
      </c>
      <c r="E252" s="7" t="str">
        <f>IFERROR(__xludf.DUMMYFUNCTION("""COMPUTED_VALUE"""),"Yes")</f>
        <v>Yes</v>
      </c>
      <c r="F252" s="7" t="str">
        <f>IFERROR(__xludf.DUMMYFUNCTION("""COMPUTED_VALUE"""),"IP-Poster")</f>
        <v>IP-Poster</v>
      </c>
      <c r="G252" s="7" t="str">
        <f>IFERROR(__xludf.DUMMYFUNCTION("""COMPUTED_VALUE"""),"In-Person")</f>
        <v>In-Person</v>
      </c>
      <c r="H252" s="7" t="str">
        <f>IFERROR(__xludf.DUMMYFUNCTION("""COMPUTED_VALUE"""),"Hall 4/5")</f>
        <v>Hall 4/5</v>
      </c>
      <c r="I252" s="7" t="str">
        <f>IFERROR(__xludf.DUMMYFUNCTION("""COMPUTED_VALUE"""),"Session 5 :IP-Posters Find ")</f>
        <v>Session 5 :IP-Posters Find </v>
      </c>
      <c r="J252" s="7" t="str">
        <f>IFERROR(__xludf.DUMMYFUNCTION("""COMPUTED_VALUE"""),"Findings Posters - In-Person 1")</f>
        <v>Findings Posters - In-Person 1</v>
      </c>
      <c r="K252" s="7"/>
      <c r="L252" s="8">
        <f>IFERROR(__xludf.DUMMYFUNCTION("""COMPUTED_VALUE"""),45866.0)</f>
        <v>45866</v>
      </c>
      <c r="M252" s="7" t="str">
        <f>IFERROR(__xludf.DUMMYFUNCTION("""COMPUTED_VALUE"""),"18:00-19:30")</f>
        <v>18:00-19:30</v>
      </c>
      <c r="N252" s="7"/>
    </row>
    <row r="253">
      <c r="A253" s="7" t="str">
        <f>IFERROR(__xludf.DUMMYFUNCTION("""COMPUTED_VALUE"""),"746-FIND")</f>
        <v>746-FIND</v>
      </c>
      <c r="B253" s="7" t="str">
        <f>IFERROR(__xludf.DUMMYFUNCTION("""COMPUTED_VALUE"""),"LongFaith: Enhancing Long-Context Reasoning in LLMs with Faithful Synthetic Data")</f>
        <v>LongFaith: Enhancing Long-Context Reasoning in LLMs with Faithful Synthetic Data</v>
      </c>
      <c r="C253" s="7" t="str">
        <f>IFERROR(__xludf.DUMMYFUNCTION("""COMPUTED_VALUE"""),"Despite the growing development of long-context large language models (LLMs), data-centric approaches relying on synthetic data have been hindered by issues related to faithfulness, which limit their effectiveness in enhancing model performance on tasks s"&amp;"uch as long-context reasoning and question answering (QA). These challenges are often exacerbated by misinformation caused by lack of verification, reasoning without attribution, and potential knowledge conflicts. We propose LongFaith, a novel pipeline fo"&amp;"r synthesizing faithful long-context reasoning instruction datasets. By integrating ground truth and citation-based reasoning prompts, we eliminate distractions and improve the accuracy of reasoning chains, thus mitigating the need for costly verification"&amp;" processes. We open-source two synthesized datasets—LongFaith-SFT and LongFaith-PO—which systematically address multiple dimensions of faithfulness, including verified reasoning, attribution, and contextual grounding. Extensive experiments on multi-hop re"&amp;"asoning datasets and LongBench demonstrate that models fine-tuned on these datasets significantly improve performance. Our ablation studies highlight the scalability and adaptability of the LongFaith pipeline, showcasing its broad applicability in develop"&amp;"ing long-context LLMs.")</f>
        <v>Despite the growing development of long-context large language models (LLMs), data-centric approaches relying on synthetic data have been hindered by issues related to faithfulness, which limit their effectiveness in enhancing model performance on tasks such as long-context reasoning and question answering (QA). These challenges are often exacerbated by misinformation caused by lack of verification, reasoning without attribution, and potential knowledge conflicts. We propose LongFaith, a novel pipeline for synthesizing faithful long-context reasoning instruction datasets. By integrating ground truth and citation-based reasoning prompts, we eliminate distractions and improve the accuracy of reasoning chains, thus mitigating the need for costly verification processes. We open-source two synthesized datasets—LongFaith-SFT and LongFaith-PO—which systematically address multiple dimensions of faithfulness, including verified reasoning, attribution, and contextual grounding. Extensive experiments on multi-hop reasoning datasets and LongBench demonstrate that models fine-tuned on these datasets significantly improve performance. Our ablation studies highlight the scalability and adaptability of the LongFaith pipeline, showcasing its broad applicability in developing long-context LLMs.</v>
      </c>
      <c r="D253" s="7" t="str">
        <f>IFERROR(__xludf.DUMMYFUNCTION("""COMPUTED_VALUE"""),"N/A")</f>
        <v>N/A</v>
      </c>
      <c r="E253" s="7" t="str">
        <f>IFERROR(__xludf.DUMMYFUNCTION("""COMPUTED_VALUE"""),"#N/A")</f>
        <v>#N/A</v>
      </c>
      <c r="F253" s="7" t="str">
        <f>IFERROR(__xludf.DUMMYFUNCTION("""COMPUTED_VALUE"""),"Not Pres. ")</f>
        <v>Not Pres. </v>
      </c>
      <c r="G253" s="7" t="str">
        <f>IFERROR(__xludf.DUMMYFUNCTION("""COMPUTED_VALUE"""),"NP Findings Not Presenting ")</f>
        <v>NP Findings Not Presenting </v>
      </c>
      <c r="H253" s="7"/>
      <c r="I253" s="7" t="str">
        <f>IFERROR(__xludf.DUMMYFUNCTION("""COMPUTED_VALUE"""),"NP-Find")</f>
        <v>NP-Find</v>
      </c>
      <c r="J253" s="7"/>
      <c r="K253" s="7"/>
      <c r="L253" s="8"/>
      <c r="M253" s="7"/>
      <c r="N253" s="7"/>
    </row>
    <row r="254">
      <c r="A254" s="7" t="str">
        <f>IFERROR(__xludf.DUMMYFUNCTION("""COMPUTED_VALUE"""),"747-FIND")</f>
        <v>747-FIND</v>
      </c>
      <c r="B254" s="7" t="str">
        <f>IFERROR(__xludf.DUMMYFUNCTION("""COMPUTED_VALUE"""),"SYNTHVERIFY: Unleashing the Power of LLMs for Zero-Shot Claim Verification via Step-by-Step Synthetic Data Generation")</f>
        <v>SYNTHVERIFY: Unleashing the Power of LLMs for Zero-Shot Claim Verification via Step-by-Step Synthetic Data Generation</v>
      </c>
      <c r="C254" s="7" t="str">
        <f>IFERROR(__xludf.DUMMYFUNCTION("""COMPUTED_VALUE"""),"Claim verification is a critical task in natural language processing (NLP) that involves determining whether available evidence supports or refutes a given claim. While Large Language Models (LLMs) have shown promise in this domain, they still face signif"&amp;"icant challenges, especially when handling domain-specific knowledge. We propose to enhance LLM-based claim verification through a novel step-by-stepsynthetic data generation framework SynthVerify. Our key insight is that synthetic data generation, guided"&amp;" by domain-specific claim patterns and evidence plans, can effectively address LLMs' knowledge gaps in specialized fields. Using our proposed framework, we create a domain-diverse synthetic claim verification dataset for training zero-shot verification mo"&amp;"dels. We evaluated the fine-tuned LLMs across multiple specialized domains and demonstrate substantial performance gains in verification accuracy compared to the original LLMs, achieving a 20.1 point improvement on the Llama-3-8B model. Our results show t"&amp;"hat systematically generated synthetic data can effectively address the limitations of current LLM-based verification systems, particularly in handling domain-specific knowledge tasks.")</f>
        <v>Claim verification is a critical task in natural language processing (NLP) that involves determining whether available evidence supports or refutes a given claim. While Large Language Models (LLMs) have shown promise in this domain, they still face significant challenges, especially when handling domain-specific knowledge. We propose to enhance LLM-based claim verification through a novel step-by-stepsynthetic data generation framework SynthVerify. Our key insight is that synthetic data generation, guided by domain-specific claim patterns and evidence plans, can effectively address LLMs' knowledge gaps in specialized fields. Using our proposed framework, we create a domain-diverse synthetic claim verification dataset for training zero-shot verification models. We evaluated the fine-tuned LLMs across multiple specialized domains and demonstrate substantial performance gains in verification accuracy compared to the original LLMs, achieving a 20.1 point improvement on the Llama-3-8B model. Our results show that systematically generated synthetic data can effectively address the limitations of current LLM-based verification systems, particularly in handling domain-specific knowledge tasks.</v>
      </c>
      <c r="D254" s="7" t="str">
        <f>IFERROR(__xludf.DUMMYFUNCTION("""COMPUTED_VALUE"""),"Jeffrey Flanigan")</f>
        <v>Jeffrey Flanigan</v>
      </c>
      <c r="E254" s="7" t="str">
        <f>IFERROR(__xludf.DUMMYFUNCTION("""COMPUTED_VALUE"""),"Yes")</f>
        <v>Yes</v>
      </c>
      <c r="F254" s="7" t="str">
        <f>IFERROR(__xludf.DUMMYFUNCTION("""COMPUTED_VALUE"""),"IP-Poster")</f>
        <v>IP-Poster</v>
      </c>
      <c r="G254" s="7" t="str">
        <f>IFERROR(__xludf.DUMMYFUNCTION("""COMPUTED_VALUE"""),"In-Person")</f>
        <v>In-Person</v>
      </c>
      <c r="H254" s="7" t="str">
        <f>IFERROR(__xludf.DUMMYFUNCTION("""COMPUTED_VALUE"""),"Hall 4/5")</f>
        <v>Hall 4/5</v>
      </c>
      <c r="I254" s="7" t="str">
        <f>IFERROR(__xludf.DUMMYFUNCTION("""COMPUTED_VALUE"""),"Session 5 :IP-Posters Find ")</f>
        <v>Session 5 :IP-Posters Find </v>
      </c>
      <c r="J254" s="7" t="str">
        <f>IFERROR(__xludf.DUMMYFUNCTION("""COMPUTED_VALUE"""),"Findings Posters - In-Person 1")</f>
        <v>Findings Posters - In-Person 1</v>
      </c>
      <c r="K254" s="7"/>
      <c r="L254" s="8">
        <f>IFERROR(__xludf.DUMMYFUNCTION("""COMPUTED_VALUE"""),45866.0)</f>
        <v>45866</v>
      </c>
      <c r="M254" s="7" t="str">
        <f>IFERROR(__xludf.DUMMYFUNCTION("""COMPUTED_VALUE"""),"18:00-19:30")</f>
        <v>18:00-19:30</v>
      </c>
      <c r="N254" s="7"/>
    </row>
    <row r="255">
      <c r="A255" s="7" t="str">
        <f>IFERROR(__xludf.DUMMYFUNCTION("""COMPUTED_VALUE"""),"748-FIND")</f>
        <v>748-FIND</v>
      </c>
      <c r="B255" s="7" t="str">
        <f>IFERROR(__xludf.DUMMYFUNCTION("""COMPUTED_VALUE"""),"Domaino1s: Guiding LLM Reasoning for Explainable Answers in High-Stakes Domains")</f>
        <v>Domaino1s: Guiding LLM Reasoning for Explainable Answers in High-Stakes Domains</v>
      </c>
      <c r="C255" s="7" t="str">
        <f>IFERROR(__xludf.DUMMYFUNCTION("""COMPUTED_VALUE"""),"Large Language Models (LLMs) are widely applied to downstream domains. However, current LLMs for high-stakes domain tasks, such as financial investment and legal QA, typically generate brief answers without reasoning processes and explanations. This limit"&amp;"s users’ confidence in making decisions based on their responses. While original CoT shows promise, it lacks self-correction mechanisms during reasoning. This work introduces Domaino1s, which enhances LLMs’ reasoning capabilities on domain tasks through s"&amp;"upervised fine-tuning and tree search. We construct CoT-stock-2k and CoT-legal-2k datasets for fine-tuning models that activate domain-specific reasoning steps based on their judgment. Additionally, we propose Selective Tree Exploration to spontaneously e"&amp;"xplore solution spaces and sample optimal reasoning paths to improve performance. We also introduce PROOF-Score, a new metric for evaluating domain models’ explainability, complementing traditional accuracy metrics with richer assessment dimensions. Exten"&amp;"sive experiments on stock investment recommendation and legal reasoning QA tasks demonstrate Domaino1s’s leading performance and explainability. Our code is available at https://anonymous.4open.science/r/Domaino1s-006F/.")</f>
        <v>Large Language Models (LLMs) are widely applied to downstream domains. However, current LLMs for high-stakes domain tasks, such as financial investment and legal QA, typically generate brief answers without reasoning processes and explanations. This limits users’ confidence in making decisions based on their responses. While original CoT shows promise, it lacks self-correction mechanisms during reasoning. This work introduces Domaino1s, which enhances LLMs’ reasoning capabilities on domain tasks through supervised fine-tuning and tree search. We construct CoT-stock-2k and CoT-legal-2k datasets for fine-tuning models that activate domain-specific reasoning steps based on their judgment. Additionally, we propose Selective Tree Exploration to spontaneously explore solution spaces and sample optimal reasoning paths to improve performance. We also introduce PROOF-Score, a new metric for evaluating domain models’ explainability, complementing traditional accuracy metrics with richer assessment dimensions. Extensive experiments on stock investment recommendation and legal reasoning QA tasks demonstrate Domaino1s’s leading performance and explainability. Our code is available at https://anonymous.4open.science/r/Domaino1s-006F/.</v>
      </c>
      <c r="D255" s="7" t="str">
        <f>IFERROR(__xludf.DUMMYFUNCTION("""COMPUTED_VALUE"""),"Xu Chu")</f>
        <v>Xu Chu</v>
      </c>
      <c r="E255" s="7" t="str">
        <f>IFERROR(__xludf.DUMMYFUNCTION("""COMPUTED_VALUE"""),"Yes")</f>
        <v>Yes</v>
      </c>
      <c r="F255" s="7" t="str">
        <f>IFERROR(__xludf.DUMMYFUNCTION("""COMPUTED_VALUE"""),"IP-Poster")</f>
        <v>IP-Poster</v>
      </c>
      <c r="G255" s="7" t="str">
        <f>IFERROR(__xludf.DUMMYFUNCTION("""COMPUTED_VALUE"""),"In-Person")</f>
        <v>In-Person</v>
      </c>
      <c r="H255" s="7" t="str">
        <f>IFERROR(__xludf.DUMMYFUNCTION("""COMPUTED_VALUE"""),"Hall 4/5")</f>
        <v>Hall 4/5</v>
      </c>
      <c r="I255" s="7" t="str">
        <f>IFERROR(__xludf.DUMMYFUNCTION("""COMPUTED_VALUE"""),"Session 5 :IP-Posters Find ")</f>
        <v>Session 5 :IP-Posters Find </v>
      </c>
      <c r="J255" s="7" t="str">
        <f>IFERROR(__xludf.DUMMYFUNCTION("""COMPUTED_VALUE"""),"Findings Posters - In-Person 1")</f>
        <v>Findings Posters - In-Person 1</v>
      </c>
      <c r="K255" s="7"/>
      <c r="L255" s="8">
        <f>IFERROR(__xludf.DUMMYFUNCTION("""COMPUTED_VALUE"""),45866.0)</f>
        <v>45866</v>
      </c>
      <c r="M255" s="7" t="str">
        <f>IFERROR(__xludf.DUMMYFUNCTION("""COMPUTED_VALUE"""),"18:00-19:30")</f>
        <v>18:00-19:30</v>
      </c>
      <c r="N255" s="7"/>
    </row>
    <row r="256">
      <c r="A256" s="7" t="str">
        <f>IFERROR(__xludf.DUMMYFUNCTION("""COMPUTED_VALUE"""),"760-FIND")</f>
        <v>760-FIND</v>
      </c>
      <c r="B256" s="7" t="str">
        <f>IFERROR(__xludf.DUMMYFUNCTION("""COMPUTED_VALUE"""),"Dynamic Prefix as Instructor for Incremental Named Entity Recognition: A Unified Seq2Seq Generation Framework")</f>
        <v>Dynamic Prefix as Instructor for Incremental Named Entity Recognition: A Unified Seq2Seq Generation Framework</v>
      </c>
      <c r="C256" s="7" t="str">
        <f>IFERROR(__xludf.DUMMYFUNCTION("""COMPUTED_VALUE"""),"The Incremental Named Entity Recognition (INER) task aims to update a model to extract entities from an expanding set of entity type candidates due to concerns related to data privacy and scarcity. However, conventional sequence labeling approaches to INE"&amp;"R often suffer from the catastrophic forgetting problem, which leads to the degradation of the model's performance on previously encountered entity types. In this paper, we formalize INER as a unified seq2seq generation task and propose a parameter-effici"&amp;"ent dynamic prefix method. By employing the dynamic prefix as a task instructor to guide the generative model, our approach can preserve task-invariant knowledge while adapting to new entities with minimal parameter updates, making it particularly effecti"&amp;"ve in low-resource scenarios. Additionally, we introduce a generative label augmentation strategy with dual optimization objectives including a self-entropy loss and a task-aware similarity loss to enable optimal balance between stability and plasticity. "&amp;"Empirical experiments on NER benchmarks demonstrate the effectiveness of our proposed method in addressing the challenges associated with INER.")</f>
        <v>The Incremental Named Entity Recognition (INER) task aims to update a model to extract entities from an expanding set of entity type candidates due to concerns related to data privacy and scarcity. However, conventional sequence labeling approaches to INER often suffer from the catastrophic forgetting problem, which leads to the degradation of the model's performance on previously encountered entity types. In this paper, we formalize INER as a unified seq2seq generation task and propose a parameter-efficient dynamic prefix method. By employing the dynamic prefix as a task instructor to guide the generative model, our approach can preserve task-invariant knowledge while adapting to new entities with minimal parameter updates, making it particularly effective in low-resource scenarios. Additionally, we introduce a generative label augmentation strategy with dual optimization objectives including a self-entropy loss and a task-aware similarity loss to enable optimal balance between stability and plasticity. Empirical experiments on NER benchmarks demonstrate the effectiveness of our proposed method in addressing the challenges associated with INER.</v>
      </c>
      <c r="D256" s="7" t="str">
        <f>IFERROR(__xludf.DUMMYFUNCTION("""COMPUTED_VALUE"""),"None")</f>
        <v>None</v>
      </c>
      <c r="E256" s="7" t="str">
        <f>IFERROR(__xludf.DUMMYFUNCTION("""COMPUTED_VALUE"""),"#N/A")</f>
        <v>#N/A</v>
      </c>
      <c r="F256" s="7" t="str">
        <f>IFERROR(__xludf.DUMMYFUNCTION("""COMPUTED_VALUE"""),"Not Pres. ")</f>
        <v>Not Pres. </v>
      </c>
      <c r="G256" s="7" t="str">
        <f>IFERROR(__xludf.DUMMYFUNCTION("""COMPUTED_VALUE"""),"NP Findings Not Presenting ")</f>
        <v>NP Findings Not Presenting </v>
      </c>
      <c r="H256" s="7"/>
      <c r="I256" s="7" t="str">
        <f>IFERROR(__xludf.DUMMYFUNCTION("""COMPUTED_VALUE"""),"NP-Find")</f>
        <v>NP-Find</v>
      </c>
      <c r="J256" s="7"/>
      <c r="K256" s="7"/>
      <c r="L256" s="8"/>
      <c r="M256" s="7"/>
      <c r="N256" s="7"/>
    </row>
    <row r="257">
      <c r="A257" s="7" t="str">
        <f>IFERROR(__xludf.DUMMYFUNCTION("""COMPUTED_VALUE"""),"762-FIND")</f>
        <v>762-FIND</v>
      </c>
      <c r="B257" s="7" t="str">
        <f>IFERROR(__xludf.DUMMYFUNCTION("""COMPUTED_VALUE"""),"Who Taught You That? Tracing Teachers in Model Distillation")</f>
        <v>Who Taught You That? Tracing Teachers in Model Distillation</v>
      </c>
      <c r="C257" s="7" t="str">
        <f>IFERROR(__xludf.DUMMYFUNCTION("""COMPUTED_VALUE"""),"Model distillation -- using outputs from a large teacher model to teach a small student model -- is a practical means of creating efficient models for a particular task. We ask: Can we identify a students' teacher based on its outputs? Such ""footprints"""&amp;" left by teacher LLMs would be interesting artifacts. Beyond this, reliable teacher inference may have practical implications as actors seek to distill specific capabilities of massive proprietary LLMs into deployed smaller LMs, potentially violating term"&amp;"s of service. We consider practical task distillation targets including summarization, question answering, and instruction-following. We assume a finite set of candidate teacher models, which we treat as blackboxes. We design discriminative models that op"&amp;"erate over lexical features. We find that n-gram similarity alone is unreliable for identifying teachers, but part-of-speech (PoS) templates preferred by student models mimic those of their teachers.")</f>
        <v>Model distillation -- using outputs from a large teacher model to teach a small student model -- is a practical means of creating efficient models for a particular task. We ask: Can we identify a students' teacher based on its outputs? Such "footprints" left by teacher LLMs would be interesting artifacts. Beyond this, reliable teacher inference may have practical implications as actors seek to distill specific capabilities of massive proprietary LLMs into deployed smaller LMs, potentially violating terms of service. We consider practical task distillation targets including summarization, question answering, and instruction-following. We assume a finite set of candidate teacher models, which we treat as blackboxes. We design discriminative models that operate over lexical features. We find that n-gram similarity alone is unreliable for identifying teachers, but part-of-speech (PoS) templates preferred by student models mimic those of their teachers.</v>
      </c>
      <c r="D257" s="7" t="str">
        <f>IFERROR(__xludf.DUMMYFUNCTION("""COMPUTED_VALUE"""),"N/A")</f>
        <v>N/A</v>
      </c>
      <c r="E257" s="7" t="str">
        <f>IFERROR(__xludf.DUMMYFUNCTION("""COMPUTED_VALUE"""),"#N/A")</f>
        <v>#N/A</v>
      </c>
      <c r="F257" s="7" t="str">
        <f>IFERROR(__xludf.DUMMYFUNCTION("""COMPUTED_VALUE"""),"Not Pres. ")</f>
        <v>Not Pres. </v>
      </c>
      <c r="G257" s="7" t="str">
        <f>IFERROR(__xludf.DUMMYFUNCTION("""COMPUTED_VALUE"""),"NP Findings Not Presenting ")</f>
        <v>NP Findings Not Presenting </v>
      </c>
      <c r="H257" s="7"/>
      <c r="I257" s="7" t="str">
        <f>IFERROR(__xludf.DUMMYFUNCTION("""COMPUTED_VALUE"""),"NP-Find")</f>
        <v>NP-Find</v>
      </c>
      <c r="J257" s="7"/>
      <c r="K257" s="7"/>
      <c r="L257" s="8"/>
      <c r="M257" s="7"/>
      <c r="N257" s="7"/>
    </row>
    <row r="258">
      <c r="A258" s="7" t="str">
        <f>IFERROR(__xludf.DUMMYFUNCTION("""COMPUTED_VALUE"""),"777-FIND")</f>
        <v>777-FIND</v>
      </c>
      <c r="B258" s="7" t="str">
        <f>IFERROR(__xludf.DUMMYFUNCTION("""COMPUTED_VALUE"""),"D-GEN: Automatic Distractor Generation and Evaluation for Reliable Assessment of Generative Models")</f>
        <v>D-GEN: Automatic Distractor Generation and Evaluation for Reliable Assessment of Generative Models</v>
      </c>
      <c r="C258" s="7" t="str">
        <f>IFERROR(__xludf.DUMMYFUNCTION("""COMPUTED_VALUE"""),"Evaluating generative models with open-ended generation is challenging due to inconsistencies in response formats. Multiple-choice (MC) evaluation mitigates this issue, but generating high-quality distractors is time-consuming and labor-intensive. We intr"&amp;"oduce D-GEN, the first open-source distractor generator model that transforms open-ended data into an MC format. To evaluate distractor quality, we propose two novel methods: 1) ranking alignment, ensuring generated distractors retain the discriminatory p"&amp;"ower of ground-truth distractors, and 2) entropy analysis, comparing model confidence distributions. Our results show that D-GEN preserves ranking consistency (Spearman’s 𝜌 0.99, Kendall’s 𝜏 0.94) and closely matches the entropy distribution of ground-t"&amp;"ruth distractors. Human evaluation further confirms the fluency, coherence, distractiveness, and incorrectness. Our work advances robust and efficient distractor generation with automated evaluation, setting a new standard for MC evaluation.")</f>
        <v>Evaluating generative models with open-ended generation is challenging due to inconsistencies in response formats. Multiple-choice (MC) evaluation mitigates this issue, but generating high-quality distractors is time-consuming and labor-intensive. We introduce D-GEN, the first open-source distractor generator model that transforms open-ended data into an MC format. To evaluate distractor quality, we propose two novel methods: 1) ranking alignment, ensuring generated distractors retain the discriminatory power of ground-truth distractors, and 2) entropy analysis, comparing model confidence distributions. Our results show that D-GEN preserves ranking consistency (Spearman’s 𝜌 0.99, Kendall’s 𝜏 0.94) and closely matches the entropy distribution of ground-truth distractors. Human evaluation further confirms the fluency, coherence, distractiveness, and incorrectness. Our work advances robust and efficient distractor generation with automated evaluation, setting a new standard for MC evaluation.</v>
      </c>
      <c r="D258" s="7" t="str">
        <f>IFERROR(__xludf.DUMMYFUNCTION("""COMPUTED_VALUE"""),"Grace Byun")</f>
        <v>Grace Byun</v>
      </c>
      <c r="E258" s="7" t="str">
        <f>IFERROR(__xludf.DUMMYFUNCTION("""COMPUTED_VALUE"""),"Yes")</f>
        <v>Yes</v>
      </c>
      <c r="F258" s="7" t="str">
        <f>IFERROR(__xludf.DUMMYFUNCTION("""COMPUTED_VALUE"""),"IP-Poster")</f>
        <v>IP-Poster</v>
      </c>
      <c r="G258" s="7" t="str">
        <f>IFERROR(__xludf.DUMMYFUNCTION("""COMPUTED_VALUE"""),"In-Person")</f>
        <v>In-Person</v>
      </c>
      <c r="H258" s="7" t="str">
        <f>IFERROR(__xludf.DUMMYFUNCTION("""COMPUTED_VALUE"""),"Hall 4/5")</f>
        <v>Hall 4/5</v>
      </c>
      <c r="I258" s="7" t="str">
        <f>IFERROR(__xludf.DUMMYFUNCTION("""COMPUTED_VALUE"""),"Session 5 :IP-Posters Find ")</f>
        <v>Session 5 :IP-Posters Find </v>
      </c>
      <c r="J258" s="7" t="str">
        <f>IFERROR(__xludf.DUMMYFUNCTION("""COMPUTED_VALUE"""),"Findings Posters - In-Person 1")</f>
        <v>Findings Posters - In-Person 1</v>
      </c>
      <c r="K258" s="7"/>
      <c r="L258" s="8">
        <f>IFERROR(__xludf.DUMMYFUNCTION("""COMPUTED_VALUE"""),45866.0)</f>
        <v>45866</v>
      </c>
      <c r="M258" s="7" t="str">
        <f>IFERROR(__xludf.DUMMYFUNCTION("""COMPUTED_VALUE"""),"18:00-19:30")</f>
        <v>18:00-19:30</v>
      </c>
      <c r="N258" s="7"/>
    </row>
    <row r="259">
      <c r="A259" s="7" t="str">
        <f>IFERROR(__xludf.DUMMYFUNCTION("""COMPUTED_VALUE"""),"778-FIND")</f>
        <v>778-FIND</v>
      </c>
      <c r="B259" s="7" t="str">
        <f>IFERROR(__xludf.DUMMYFUNCTION("""COMPUTED_VALUE"""),"HammerBench: Fine-Grained Function-Calling Evaluation in Real Mobile Assistant Scenarios")</f>
        <v>HammerBench: Fine-Grained Function-Calling Evaluation in Real Mobile Assistant Scenarios</v>
      </c>
      <c r="C259" s="7" t="str">
        <f>IFERROR(__xludf.DUMMYFUNCTION("""COMPUTED_VALUE"""),"Evaluating the performance of LLMs in multi-turn human-agent interactions presents significant challenges, particularly due to the complexity and variability of user behavior. In this paper, we introduce HammerBench, a novel benchmark framework for assess"&amp;"ing LLMs' function-calling capabilities in real-world, multi-turn dialogues. HammerBench simulates diverse mobile assistant use cases, incorporating imperfect instructions, dynamic question-answer trajectories, intent and argument shifts, and the indirect"&amp;" use of external information through pronouns. To construct this benchmark, we curate a comprehensive dataset derived from popular mobile app functionalities and anonymized user logs, complemented by a cost-effective data generation pipeline leveraging op"&amp;"en-source models. HammerBench is further augmented with fine-grained interaction snapshots and metrics, enabling detailed evaluation of function-calling performance across individual conversational turns. We demonstrate the effectiveness of HammerBench by"&amp;" evaluating several leading LLMs and uncovering key performance trends. Our experiments reveal that different types of parameter name errors are a significant source of failure across different interaction scenarios, highlighting critical areas for furthe"&amp;"r improvement in LLM robustness for mobile assistant applications.")</f>
        <v>Evaluating the performance of LLMs in multi-turn human-agent interactions presents significant challenges, particularly due to the complexity and variability of user behavior. In this paper, we introduce HammerBench, a novel benchmark framework for assessing LLMs' function-calling capabilities in real-world, multi-turn dialogues. HammerBench simulates diverse mobile assistant use cases, incorporating imperfect instructions, dynamic question-answer trajectories, intent and argument shifts, and the indirect use of external information through pronouns. To construct this benchmark, we curate a comprehensive dataset derived from popular mobile app functionalities and anonymized user logs, complemented by a cost-effective data generation pipeline leveraging open-source models. HammerBench is further augmented with fine-grained interaction snapshots and metrics, enabling detailed evaluation of function-calling performance across individual conversational turns. We demonstrate the effectiveness of HammerBench by evaluating several leading LLMs and uncovering key performance trends. Our experiments reveal that different types of parameter name errors are a significant source of failure across different interaction scenarios, highlighting critical areas for further improvement in LLM robustness for mobile assistant applications.</v>
      </c>
      <c r="D259" s="7" t="str">
        <f>IFERROR(__xludf.DUMMYFUNCTION("""COMPUTED_VALUE"""),"Jun Wang")</f>
        <v>Jun Wang</v>
      </c>
      <c r="E259" s="7" t="str">
        <f>IFERROR(__xludf.DUMMYFUNCTION("""COMPUTED_VALUE"""),"Yes")</f>
        <v>Yes</v>
      </c>
      <c r="F259" s="7" t="str">
        <f>IFERROR(__xludf.DUMMYFUNCTION("""COMPUTED_VALUE"""),"IP-Poster")</f>
        <v>IP-Poster</v>
      </c>
      <c r="G259" s="7" t="str">
        <f>IFERROR(__xludf.DUMMYFUNCTION("""COMPUTED_VALUE"""),"In-Person")</f>
        <v>In-Person</v>
      </c>
      <c r="H259" s="7" t="str">
        <f>IFERROR(__xludf.DUMMYFUNCTION("""COMPUTED_VALUE"""),"Hall 4/5")</f>
        <v>Hall 4/5</v>
      </c>
      <c r="I259" s="7" t="str">
        <f>IFERROR(__xludf.DUMMYFUNCTION("""COMPUTED_VALUE"""),"Session 5 :IP-Posters Find ")</f>
        <v>Session 5 :IP-Posters Find </v>
      </c>
      <c r="J259" s="7" t="str">
        <f>IFERROR(__xludf.DUMMYFUNCTION("""COMPUTED_VALUE"""),"Findings Posters - In-Person 1")</f>
        <v>Findings Posters - In-Person 1</v>
      </c>
      <c r="K259" s="7"/>
      <c r="L259" s="8">
        <f>IFERROR(__xludf.DUMMYFUNCTION("""COMPUTED_VALUE"""),45866.0)</f>
        <v>45866</v>
      </c>
      <c r="M259" s="7" t="str">
        <f>IFERROR(__xludf.DUMMYFUNCTION("""COMPUTED_VALUE"""),"18:00-19:30")</f>
        <v>18:00-19:30</v>
      </c>
      <c r="N259" s="7"/>
    </row>
    <row r="260">
      <c r="A260" s="7" t="str">
        <f>IFERROR(__xludf.DUMMYFUNCTION("""COMPUTED_VALUE"""),"781-FIND")</f>
        <v>781-FIND</v>
      </c>
      <c r="B260" s="7" t="str">
        <f>IFERROR(__xludf.DUMMYFUNCTION("""COMPUTED_VALUE"""),"Beyond In-Context Learning: Aligning Long-form Generation of Large Language Models via Task-Inherent Attribute Guidelines")</f>
        <v>Beyond In-Context Learning: Aligning Long-form Generation of Large Language Models via Task-Inherent Attribute Guidelines</v>
      </c>
      <c r="C260" s="7" t="str">
        <f>IFERROR(__xludf.DUMMYFUNCTION("""COMPUTED_VALUE"""),"In-context learning (ICL) is an important yet not fully understood ability of pre-trained large language models (LLMs). It can greatly enhance task performance using a few examples, termed demonstrations, without fine-tuning. Although effective in questio"&amp;"n answering, ICL often underperforms in long-form generation tasks such as summarization. Under appropriately realistic assumptions, we empirically and theoretically show that ICL demonstrations alone are insufficient to teach LLMs the task’s language and"&amp;" format distributions for generation. We argue for explicit exposure to the task distributions and hypothesize that defining them by prompting enhances model performance. To this end, we present LongGuide, which efficiently generates two parallel streams "&amp;"of guidelines capturing task language and format properties: (i) Metric Guidelines (MGs) that instruct models to optimize self-evaluated metrics; and (ii) Output Constraint Guidelines (OCGs) that constrain generation at both token and sentence levels. Lon"&amp;"gGuide automatically selects the best combination of guidelines, improving both strong open- and closed-source LLMs by over 5% in both zero- and few-shot settings. We show that LongGuide is generalizable, learnable by weak models to enhance strong ones, a"&amp;"nd integrates synergistically with automatic prompt optimizers.")</f>
        <v>In-context learning (ICL) is an important yet not fully understood ability of pre-trained large language models (LLMs). It can greatly enhance task performance using a few examples, termed demonstrations, without fine-tuning. Although effective in question answering, ICL often underperforms in long-form generation tasks such as summarization. Under appropriately realistic assumptions, we empirically and theoretically show that ICL demonstrations alone are insufficient to teach LLMs the task’s language and format distributions for generation. We argue for explicit exposure to the task distributions and hypothesize that defining them by prompting enhances model performance. To this end, we present LongGuide, which efficiently generates two parallel streams of guidelines capturing task language and format properties: (i) Metric Guidelines (MGs) that instruct models to optimize self-evaluated metrics; and (ii) Output Constraint Guidelines (OCGs) that constrain generation at both token and sentence levels. LongGuide automatically selects the best combination of guidelines, improving both strong open- and closed-source LLMs by over 5% in both zero- and few-shot settings. We show that LongGuide is generalizable, learnable by weak models to enhance strong ones, and integrates synergistically with automatic prompt optimizers.</v>
      </c>
      <c r="D260" s="7" t="str">
        <f>IFERROR(__xludf.DUMMYFUNCTION("""COMPUTED_VALUE"""),"Do Xuan Long")</f>
        <v>Do Xuan Long</v>
      </c>
      <c r="E260" s="7" t="str">
        <f>IFERROR(__xludf.DUMMYFUNCTION("""COMPUTED_VALUE"""),"Yes")</f>
        <v>Yes</v>
      </c>
      <c r="F260" s="7" t="str">
        <f>IFERROR(__xludf.DUMMYFUNCTION("""COMPUTED_VALUE"""),"IP-Poster")</f>
        <v>IP-Poster</v>
      </c>
      <c r="G260" s="7" t="str">
        <f>IFERROR(__xludf.DUMMYFUNCTION("""COMPUTED_VALUE"""),"In-Person")</f>
        <v>In-Person</v>
      </c>
      <c r="H260" s="7" t="str">
        <f>IFERROR(__xludf.DUMMYFUNCTION("""COMPUTED_VALUE"""),"Hall 4/5")</f>
        <v>Hall 4/5</v>
      </c>
      <c r="I260" s="7" t="str">
        <f>IFERROR(__xludf.DUMMYFUNCTION("""COMPUTED_VALUE"""),"Session 5 :IP-Posters Find ")</f>
        <v>Session 5 :IP-Posters Find </v>
      </c>
      <c r="J260" s="7" t="str">
        <f>IFERROR(__xludf.DUMMYFUNCTION("""COMPUTED_VALUE"""),"Findings Posters - In-Person 1")</f>
        <v>Findings Posters - In-Person 1</v>
      </c>
      <c r="K260" s="7"/>
      <c r="L260" s="8">
        <f>IFERROR(__xludf.DUMMYFUNCTION("""COMPUTED_VALUE"""),45866.0)</f>
        <v>45866</v>
      </c>
      <c r="M260" s="7" t="str">
        <f>IFERROR(__xludf.DUMMYFUNCTION("""COMPUTED_VALUE"""),"18:00-19:30")</f>
        <v>18:00-19:30</v>
      </c>
      <c r="N260" s="7"/>
    </row>
    <row r="261">
      <c r="A261" s="7" t="str">
        <f>IFERROR(__xludf.DUMMYFUNCTION("""COMPUTED_VALUE"""),"783-FIND")</f>
        <v>783-FIND</v>
      </c>
      <c r="B261" s="7" t="str">
        <f>IFERROR(__xludf.DUMMYFUNCTION("""COMPUTED_VALUE"""),"Grammar-Constrained Natural Language Generation")</f>
        <v>Grammar-Constrained Natural Language Generation</v>
      </c>
      <c r="C261" s="7" t="str">
        <f>IFERROR(__xludf.DUMMYFUNCTION("""COMPUTED_VALUE"""),"Large Language Models have achieved impressive performance across various natural language generation tasks. However, their lack of inherent constraints limits their effectiveness in applications requiring strict adherence to predefined taxonomies, syntac"&amp;"tic structures, and domain-specific rules. Existing approaches, such as fine-tuning and prompting, remain insufficient for ensuring compliance with these requirements, particularly in low-resource scenarios and structured text generation tasks.
To addres"&amp;"s these limitations, we introduce GRAMMAR-LLM, a novel framework that integrates formal grammatical constraints into the LLM decoding process. GRAMMAR-LLM enforces syntactic correctness in linear time while maintaining expressiveness in grammar rule defin"&amp;"ition. To achieve this, we propose a new class of grammars, which we name LL(prefix), specifically designed for use with LLMs. These grammars are expressive enough to support common tasks such as hierarchical classification, vocabulary restriction, and st"&amp;"ructured parsing. We formally prove that LL(prefix) grammars can be transformed into LL(1) grammars in linear time, ensuring efficient processing via deterministic pushdown automata. We evaluate GRAMMAR-LLM across diverse NLP tasks, including hierarchical"&amp;" classification, sign language translation, and Abstract Meaning Representation (AMR) parsing. Our experiments, conducted on models such as LLaMA 3 (for classification and translation) and AMRBART (for parsing), demonstrate that GRAMMAR-LLM consistently i"&amp;"mproves task performance across zero-shot, few-shot, and fine-tuned settings.")</f>
        <v>Large Language Models have achieved impressive performance across various natural language generation tasks. However, their lack of inherent constraints limits their effectiveness in applications requiring strict adherence to predefined taxonomies, syntactic structures, and domain-specific rules. Existing approaches, such as fine-tuning and prompting, remain insufficient for ensuring compliance with these requirements, particularly in low-resource scenarios and structured text generation tasks.
To address these limitations, we introduce GRAMMAR-LLM, a novel framework that integrates formal grammatical constraints into the LLM decoding process. GRAMMAR-LLM enforces syntactic correctness in linear time while maintaining expressiveness in grammar rule definition. To achieve this, we propose a new class of grammars, which we name LL(prefix), specifically designed for use with LLMs. These grammars are expressive enough to support common tasks such as hierarchical classification, vocabulary restriction, and structured parsing. We formally prove that LL(prefix) grammars can be transformed into LL(1) grammars in linear time, ensuring efficient processing via deterministic pushdown automata. We evaluate GRAMMAR-LLM across diverse NLP tasks, including hierarchical classification, sign language translation, and Abstract Meaning Representation (AMR) parsing. Our experiments, conducted on models such as LLaMA 3 (for classification and translation) and AMRBART (for parsing), demonstrate that GRAMMAR-LLM consistently improves task performance across zero-shot, few-shot, and fine-tuned settings.</v>
      </c>
      <c r="D261" s="7" t="str">
        <f>IFERROR(__xludf.DUMMYFUNCTION("""COMPUTED_VALUE"""),"Gabriele Tuccio")</f>
        <v>Gabriele Tuccio</v>
      </c>
      <c r="E261" s="7" t="str">
        <f>IFERROR(__xludf.DUMMYFUNCTION("""COMPUTED_VALUE"""),"Yes")</f>
        <v>Yes</v>
      </c>
      <c r="F261" s="7" t="str">
        <f>IFERROR(__xludf.DUMMYFUNCTION("""COMPUTED_VALUE"""),"IP-Poster")</f>
        <v>IP-Poster</v>
      </c>
      <c r="G261" s="7" t="str">
        <f>IFERROR(__xludf.DUMMYFUNCTION("""COMPUTED_VALUE"""),"In-Person")</f>
        <v>In-Person</v>
      </c>
      <c r="H261" s="7" t="str">
        <f>IFERROR(__xludf.DUMMYFUNCTION("""COMPUTED_VALUE"""),"Hall 4/5")</f>
        <v>Hall 4/5</v>
      </c>
      <c r="I261" s="7" t="str">
        <f>IFERROR(__xludf.DUMMYFUNCTION("""COMPUTED_VALUE"""),"Session 5 :IP-Posters Find ")</f>
        <v>Session 5 :IP-Posters Find </v>
      </c>
      <c r="J261" s="7" t="str">
        <f>IFERROR(__xludf.DUMMYFUNCTION("""COMPUTED_VALUE"""),"Findings Posters - In-Person 1")</f>
        <v>Findings Posters - In-Person 1</v>
      </c>
      <c r="K261" s="7"/>
      <c r="L261" s="8">
        <f>IFERROR(__xludf.DUMMYFUNCTION("""COMPUTED_VALUE"""),45866.0)</f>
        <v>45866</v>
      </c>
      <c r="M261" s="7" t="str">
        <f>IFERROR(__xludf.DUMMYFUNCTION("""COMPUTED_VALUE"""),"18:00-19:30")</f>
        <v>18:00-19:30</v>
      </c>
      <c r="N261" s="7"/>
    </row>
    <row r="262">
      <c r="A262" s="7" t="str">
        <f>IFERROR(__xludf.DUMMYFUNCTION("""COMPUTED_VALUE"""),"788-FIND")</f>
        <v>788-FIND</v>
      </c>
      <c r="B262" s="7" t="str">
        <f>IFERROR(__xludf.DUMMYFUNCTION("""COMPUTED_VALUE"""),"MANBench: Is Your Multimodal Model Smarter than Human?")</f>
        <v>MANBench: Is Your Multimodal Model Smarter than Human?</v>
      </c>
      <c r="C262" s="7" t="str">
        <f>IFERROR(__xludf.DUMMYFUNCTION("""COMPUTED_VALUE"""),"The rapid advancement of Multimodal Large Language Models (MLLMs) has ignited discussions regarding their potential to surpass human performance in multimodal tasks. In response, we introduce MANBench (Multimodal Ability Norms Benchmark), a bilingual benc"&amp;"hmark (English and Chinese) comprising 1,314 questions across nine tasks, spanning knowledge-based and non-knowledge-based domains. MANBench emphasizes intuitive reasoning, seamless cross-modal integration, and real-world complexity, providing a rigorous "&amp;"evaluation framework.
Through extensive human experiments involving diverse participants, we compared human performance against state-of-the-art MLLMs. The results indicate that while MLLMs excel in tasks like Knowledge and Text-Image Understanding, they"&amp;" struggle with deeper cross-modal reasoning tasks such as Transmorphic Understanding, Image Consistency, and Multi-image Understanding. Moreover, both humans and MLLMs face challenges in highly complex tasks like Puzzles and Spatial Imagination.
MANBench"&amp;" highlights the strengths and limitations of MLLMs, revealing that even advanced models fall short of achieving human-level performance across many domains. We hope MANBench will inspire efforts to bridge the gap between MLLMs and human multimodal capabil"&amp;"ities. The code and dataset are available at https://github.com/micdz/MANBench/.")</f>
        <v>The rapid advancement of Multimodal Large Language Models (MLLMs) has ignited discussions regarding their potential to surpass human performance in multimodal tasks. In response, we introduce MANBench (Multimodal Ability Norms Benchmark), a bilingual benchmark (English and Chinese) comprising 1,314 questions across nine tasks, spanning knowledge-based and non-knowledge-based domains. MANBench emphasizes intuitive reasoning, seamless cross-modal integration, and real-world complexity, providing a rigorous evaluation framework.
Through extensive human experiments involving diverse participants, we compared human performance against state-of-the-art MLLMs. The results indicate that while MLLMs excel in tasks like Knowledge and Text-Image Understanding, they struggle with deeper cross-modal reasoning tasks such as Transmorphic Understanding, Image Consistency, and Multi-image Understanding. Moreover, both humans and MLLMs face challenges in highly complex tasks like Puzzles and Spatial Imagination.
MANBench highlights the strengths and limitations of MLLMs, revealing that even advanced models fall short of achieving human-level performance across many domains. We hope MANBench will inspire efforts to bridge the gap between MLLMs and human multimodal capabilities. The code and dataset are available at https://github.com/micdz/MANBench/.</v>
      </c>
      <c r="D262" s="7" t="str">
        <f>IFERROR(__xludf.DUMMYFUNCTION("""COMPUTED_VALUE"""),"Han Zhou")</f>
        <v>Han Zhou</v>
      </c>
      <c r="E262" s="7" t="str">
        <f>IFERROR(__xludf.DUMMYFUNCTION("""COMPUTED_VALUE"""),"#N/A")</f>
        <v>#N/A</v>
      </c>
      <c r="F262" s="7" t="str">
        <f>IFERROR(__xludf.DUMMYFUNCTION("""COMPUTED_VALUE"""),"Not Pres. ")</f>
        <v>Not Pres. </v>
      </c>
      <c r="G262" s="7" t="str">
        <f>IFERROR(__xludf.DUMMYFUNCTION("""COMPUTED_VALUE"""),"NP Findings Not Presenting ")</f>
        <v>NP Findings Not Presenting </v>
      </c>
      <c r="H262" s="7"/>
      <c r="I262" s="7" t="str">
        <f>IFERROR(__xludf.DUMMYFUNCTION("""COMPUTED_VALUE"""),"NP-Find")</f>
        <v>NP-Find</v>
      </c>
      <c r="J262" s="7"/>
      <c r="K262" s="7"/>
      <c r="L262" s="8"/>
      <c r="M262" s="7"/>
      <c r="N262" s="7"/>
    </row>
    <row r="263">
      <c r="A263" s="7" t="str">
        <f>IFERROR(__xludf.DUMMYFUNCTION("""COMPUTED_VALUE"""),"790-FIND")</f>
        <v>790-FIND</v>
      </c>
      <c r="B263" s="7" t="str">
        <f>IFERROR(__xludf.DUMMYFUNCTION("""COMPUTED_VALUE"""),"BanStereoSet: A Dataset to Measure Stereotypical Social Biases in LLMs for Bangla")</f>
        <v>BanStereoSet: A Dataset to Measure Stereotypical Social Biases in LLMs for Bangla</v>
      </c>
      <c r="C263" s="7" t="str">
        <f>IFERROR(__xludf.DUMMYFUNCTION("""COMPUTED_VALUE"""),"This study presents ***BanStereoSet***, a dataset designed to evaluate stereotypical social biases in multilingual LLMs for the Bangla language. In an effort to extend the focus of bias research beyond English-centric datasets, we have localized the conte"&amp;"nt from the StereoSet, IndiBias, and kamruzzaman-etal's datasets, producing a resource tailored to capture biases prevalent within the Bangla-speaking community. Our BanStereoSet dataset consists of 1,194 sentences spanning 9 categories of bias: race, pro"&amp;"fession, gender, ageism, beauty, beauty in profession, region, caste, and religion. This dataset not only serves as a crucial tool for measuring bias in multilingual LLMs but also facilitates the exploration of stereotypical bias across different social c"&amp;"ategories, potentially guiding the development of more equitable language technologies in *Bangladeshi* contexts. Our analysis of several language models using this dataset indicates significant biases, reinforcing the necessity for culturally and linguis"&amp;"tically adapted datasets to develop more equitable language technologies.")</f>
        <v>This study presents ***BanStereoSet***, a dataset designed to evaluate stereotypical social biases in multilingual LLMs for the Bangla language. In an effort to extend the focus of bias research beyond English-centric datasets, we have localized the content from the StereoSet, IndiBias, and kamruzzaman-etal's datasets, producing a resource tailored to capture biases prevalent within the Bangla-speaking community. Our BanStereoSet dataset consists of 1,194 sentences spanning 9 categories of bias: race, profession, gender, ageism, beauty, beauty in profession, region, caste, and religion. This dataset not only serves as a crucial tool for measuring bias in multilingual LLMs but also facilitates the exploration of stereotypical bias across different social categories, potentially guiding the development of more equitable language technologies in *Bangladeshi* contexts. Our analysis of several language models using this dataset indicates significant biases, reinforcing the necessity for culturally and linguistically adapted datasets to develop more equitable language technologies.</v>
      </c>
      <c r="D263" s="7" t="str">
        <f>IFERROR(__xludf.DUMMYFUNCTION("""COMPUTED_VALUE"""),"Mahammed Kamruzzaman")</f>
        <v>Mahammed Kamruzzaman</v>
      </c>
      <c r="E263" s="7" t="str">
        <f>IFERROR(__xludf.DUMMYFUNCTION("""COMPUTED_VALUE"""),"Yes")</f>
        <v>Yes</v>
      </c>
      <c r="F263" s="7" t="str">
        <f>IFERROR(__xludf.DUMMYFUNCTION("""COMPUTED_VALUE"""),"IP-Poster")</f>
        <v>IP-Poster</v>
      </c>
      <c r="G263" s="7" t="str">
        <f>IFERROR(__xludf.DUMMYFUNCTION("""COMPUTED_VALUE"""),"In-Person")</f>
        <v>In-Person</v>
      </c>
      <c r="H263" s="7" t="str">
        <f>IFERROR(__xludf.DUMMYFUNCTION("""COMPUTED_VALUE"""),"Hall 4/5")</f>
        <v>Hall 4/5</v>
      </c>
      <c r="I263" s="7" t="str">
        <f>IFERROR(__xludf.DUMMYFUNCTION("""COMPUTED_VALUE"""),"Session 5 :IP-Posters Find ")</f>
        <v>Session 5 :IP-Posters Find </v>
      </c>
      <c r="J263" s="7" t="str">
        <f>IFERROR(__xludf.DUMMYFUNCTION("""COMPUTED_VALUE"""),"Findings Posters - In-Person 1")</f>
        <v>Findings Posters - In-Person 1</v>
      </c>
      <c r="K263" s="7"/>
      <c r="L263" s="8">
        <f>IFERROR(__xludf.DUMMYFUNCTION("""COMPUTED_VALUE"""),45866.0)</f>
        <v>45866</v>
      </c>
      <c r="M263" s="7" t="str">
        <f>IFERROR(__xludf.DUMMYFUNCTION("""COMPUTED_VALUE"""),"18:00-19:30")</f>
        <v>18:00-19:30</v>
      </c>
      <c r="N263" s="7"/>
    </row>
    <row r="264">
      <c r="A264" s="7" t="str">
        <f>IFERROR(__xludf.DUMMYFUNCTION("""COMPUTED_VALUE"""),"792-FIND")</f>
        <v>792-FIND</v>
      </c>
      <c r="B264" s="7" t="str">
        <f>IFERROR(__xludf.DUMMYFUNCTION("""COMPUTED_VALUE"""),"mOSCAR: A Large-scale Multilingual and Multimodal Document-level Corpus")</f>
        <v>mOSCAR: A Large-scale Multilingual and Multimodal Document-level Corpus</v>
      </c>
      <c r="C264" s="7" t="str">
        <f>IFERROR(__xludf.DUMMYFUNCTION("""COMPUTED_VALUE"""),"Multimodal Large Language Models (mLLMs) are trained on a large amount of text-image data. While most mLLMs are trained on caption-like data only, Alayrac et al. (2022) showed that additionally training them on interleaved sequences of text and images can"&amp;" lead to the emergence of in-context learning capabilities. However, the dataset they used, M3W, is not public and is only in English. There have been attempts to reproduce their results but the released datasets are English-only. In contrast, current mul"&amp;"tilingual and multimodal datasets are either composed of caption-like only or medium-scale or fully private data. This limits mLLM research for the 7,000 other languages spoken in the world. We therefore introduce mOSCAR, to the best of our knowledge the "&amp;"first large-scale multilingual and multimodal document corpus crawled from the web. It covers 163 languages, 303M documents, 200B tokens and 1.15B images. We carefully conduct a set of filtering and evaluation steps to make sure mOSCAR is sufficiently saf"&amp;"e, diverse and of good quality. We additionally train two types of multilingual model to prove the benefits of mOSCAR: (1) a model trained on a subset of mOSCAR and captioning data and (2) a model trained on captioning data only. The model additionally tr"&amp;"ained on mOSCAR shows a strong boost in few-shot learning performance across various multilingual image-text tasks and benchmarks, confirming previous findings for English-only mLLMs. The dataset will be made publicly accessible under the Creative Commons"&amp;" CC BY 4.0 license.")</f>
        <v>Multimodal Large Language Models (mLLMs) are trained on a large amount of text-image data. While most mLLMs are trained on caption-like data only, Alayrac et al. (2022) showed that additionally training them on interleaved sequences of text and images can lead to the emergence of in-context learning capabilities. However, the dataset they used, M3W, is not public and is only in English. There have been attempts to reproduce their results but the released datasets are English-only. In contrast, current multilingual and multimodal datasets are either composed of caption-like only or medium-scale or fully private data. This limits mLLM research for the 7,000 other languages spoken in the world. We therefore introduce mOSCAR, to the best of our knowledge the first large-scale multilingual and multimodal document corpus crawled from the web. It covers 163 languages, 303M documents, 200B tokens and 1.15B images. We carefully conduct a set of filtering and evaluation steps to make sure mOSCAR is sufficiently safe, diverse and of good quality. We additionally train two types of multilingual model to prove the benefits of mOSCAR: (1) a model trained on a subset of mOSCAR and captioning data and (2) a model trained on captioning data only. The model additionally trained on mOSCAR shows a strong boost in few-shot learning performance across various multilingual image-text tasks and benchmarks, confirming previous findings for English-only mLLMs. The dataset will be made publicly accessible under the Creative Commons CC BY 4.0 license.</v>
      </c>
      <c r="D264" s="7" t="str">
        <f>IFERROR(__xludf.DUMMYFUNCTION("""COMPUTED_VALUE"""),"Matthieu Futeral")</f>
        <v>Matthieu Futeral</v>
      </c>
      <c r="E264" s="7" t="str">
        <f>IFERROR(__xludf.DUMMYFUNCTION("""COMPUTED_VALUE"""),"Yes")</f>
        <v>Yes</v>
      </c>
      <c r="F264" s="7" t="str">
        <f>IFERROR(__xludf.DUMMYFUNCTION("""COMPUTED_VALUE"""),"IP-Poster")</f>
        <v>IP-Poster</v>
      </c>
      <c r="G264" s="7" t="str">
        <f>IFERROR(__xludf.DUMMYFUNCTION("""COMPUTED_VALUE"""),"In-Person")</f>
        <v>In-Person</v>
      </c>
      <c r="H264" s="7" t="str">
        <f>IFERROR(__xludf.DUMMYFUNCTION("""COMPUTED_VALUE"""),"Hall 4/5")</f>
        <v>Hall 4/5</v>
      </c>
      <c r="I264" s="7" t="str">
        <f>IFERROR(__xludf.DUMMYFUNCTION("""COMPUTED_VALUE"""),"Session 5 :IP-Posters Find ")</f>
        <v>Session 5 :IP-Posters Find </v>
      </c>
      <c r="J264" s="7" t="str">
        <f>IFERROR(__xludf.DUMMYFUNCTION("""COMPUTED_VALUE"""),"Findings Posters - In-Person 1")</f>
        <v>Findings Posters - In-Person 1</v>
      </c>
      <c r="K264" s="7"/>
      <c r="L264" s="8">
        <f>IFERROR(__xludf.DUMMYFUNCTION("""COMPUTED_VALUE"""),45866.0)</f>
        <v>45866</v>
      </c>
      <c r="M264" s="7" t="str">
        <f>IFERROR(__xludf.DUMMYFUNCTION("""COMPUTED_VALUE"""),"18:00-19:30")</f>
        <v>18:00-19:30</v>
      </c>
      <c r="N264" s="7"/>
    </row>
    <row r="265">
      <c r="A265" s="7" t="str">
        <f>IFERROR(__xludf.DUMMYFUNCTION("""COMPUTED_VALUE"""),"796-FIND")</f>
        <v>796-FIND</v>
      </c>
      <c r="B265" s="7" t="str">
        <f>IFERROR(__xludf.DUMMYFUNCTION("""COMPUTED_VALUE"""),"NorEval: A Norwegian Language Understanding and Generation Evaluation Benchmark")</f>
        <v>NorEval: A Norwegian Language Understanding and Generation Evaluation Benchmark</v>
      </c>
      <c r="C265" s="7" t="str">
        <f>IFERROR(__xludf.DUMMYFUNCTION("""COMPUTED_VALUE"""),"This paper introduces NorEval, a new and comprehensive evaluation suite for large-scale standardized benchmarking of Norwegian generative language models (LMs). NorEval consists of 24 high-quality human-created datasets – of which five are created from sc"&amp;"ratch. In contrast to existing benchmarks for Norwegian, NorEval covers a broad spectrum of task categories targeting Norwegian language understanding and generation, establishes human baselines, and focuses on both of the official written standards of th"&amp;"e Norwegian language: Bokmål and Nynorsk. All our datasets and a collection of over 100 human-created prompts are integrated into LM Evaluation Harness, ensuring flexible and reproducible evaluation. We describe the NorEval design and present the results "&amp;"of benchmarking 19 open-source pretrained and instruction-tuned LMs for Norwegian in various scenarios. Our benchmark, evaluation framework, and annotation materials will be made publicly upon acceptance.")</f>
        <v>This paper introduces NorEval, a new and comprehensive evaluation suite for large-scale standardized benchmarking of Norwegian generative language models (LMs). NorEval consists of 24 high-quality human-created datasets – of which five are created from scratch. In contrast to existing benchmarks for Norwegian, NorEval covers a broad spectrum of task categories targeting Norwegian language understanding and generation, establishes human baselines, and focuses on both of the official written standards of the Norwegian language: Bokmål and Nynorsk. All our datasets and a collection of over 100 human-created prompts are integrated into LM Evaluation Harness, ensuring flexible and reproducible evaluation. We describe the NorEval design and present the results of benchmarking 19 open-source pretrained and instruction-tuned LMs for Norwegian in various scenarios. Our benchmark, evaluation framework, and annotation materials will be made publicly upon acceptance.</v>
      </c>
      <c r="D265" s="7" t="str">
        <f>IFERROR(__xludf.DUMMYFUNCTION("""COMPUTED_VALUE"""),"Vladislav Mikhailov")</f>
        <v>Vladislav Mikhailov</v>
      </c>
      <c r="E265" s="7" t="str">
        <f>IFERROR(__xludf.DUMMYFUNCTION("""COMPUTED_VALUE"""),"Yes")</f>
        <v>Yes</v>
      </c>
      <c r="F265" s="7" t="str">
        <f>IFERROR(__xludf.DUMMYFUNCTION("""COMPUTED_VALUE"""),"IP-Poster")</f>
        <v>IP-Poster</v>
      </c>
      <c r="G265" s="7" t="str">
        <f>IFERROR(__xludf.DUMMYFUNCTION("""COMPUTED_VALUE"""),"In-Person")</f>
        <v>In-Person</v>
      </c>
      <c r="H265" s="7" t="str">
        <f>IFERROR(__xludf.DUMMYFUNCTION("""COMPUTED_VALUE"""),"Hall 4/5")</f>
        <v>Hall 4/5</v>
      </c>
      <c r="I265" s="7" t="str">
        <f>IFERROR(__xludf.DUMMYFUNCTION("""COMPUTED_VALUE"""),"Session 5 :IP-Posters Find ")</f>
        <v>Session 5 :IP-Posters Find </v>
      </c>
      <c r="J265" s="7" t="str">
        <f>IFERROR(__xludf.DUMMYFUNCTION("""COMPUTED_VALUE"""),"Findings Posters - In-Person 1")</f>
        <v>Findings Posters - In-Person 1</v>
      </c>
      <c r="K265" s="7"/>
      <c r="L265" s="8">
        <f>IFERROR(__xludf.DUMMYFUNCTION("""COMPUTED_VALUE"""),45866.0)</f>
        <v>45866</v>
      </c>
      <c r="M265" s="7" t="str">
        <f>IFERROR(__xludf.DUMMYFUNCTION("""COMPUTED_VALUE"""),"18:00-19:30")</f>
        <v>18:00-19:30</v>
      </c>
      <c r="N265" s="7"/>
    </row>
    <row r="266">
      <c r="A266" s="7" t="str">
        <f>IFERROR(__xludf.DUMMYFUNCTION("""COMPUTED_VALUE"""),"798-FIND")</f>
        <v>798-FIND</v>
      </c>
      <c r="B266" s="7" t="str">
        <f>IFERROR(__xludf.DUMMYFUNCTION("""COMPUTED_VALUE"""),"Massively Multilingual Instruction-Following Information Extraction")</f>
        <v>Massively Multilingual Instruction-Following Information Extraction</v>
      </c>
      <c r="C266" s="7" t="str">
        <f>IFERROR(__xludf.DUMMYFUNCTION("""COMPUTED_VALUE"""),"The literature on information extraction (IE) has mostly centered around a selected few languages, hindering their applications on multilingual corpora. In this work, we introduce MASSIE - a comprehensive collection for instruction-following multilingual "&amp;"IE that standardizes and unifies 215 manually annotated datasets, covering 96 typologically diverse languages from 18 language families. Based on MASSIE, we conduct empirical studies on few-shot in-context learning and report important factors that either"&amp;" positively or negatively affect LLMs’ performance in multilingual IE, covering 21 LLMs sizing from 0.5B to 72B. Additionally, we introduce LF1 - a structure-aware metric that captures partially matched spans, resolving the conservativeness of standard ex"&amp;"act matching scheme which overpenalizes LLMs’ predictions. Overall, our results signify that multilingual IE remains very challenging for existing LLMs, especially on complex tasks involving relations and events. In addition, performance gap is extremely "&amp;"large among high- and low-performing languages, but the group of similar-performing languages largely overlap between different LLMs, suggesting a shared performance bias in current LLMs.")</f>
        <v>The literature on information extraction (IE) has mostly centered around a selected few languages, hindering their applications on multilingual corpora. In this work, we introduce MASSIE - a comprehensive collection for instruction-following multilingual IE that standardizes and unifies 215 manually annotated datasets, covering 96 typologically diverse languages from 18 language families. Based on MASSIE, we conduct empirical studies on few-shot in-context learning and report important factors that either positively or negatively affect LLMs’ performance in multilingual IE, covering 21 LLMs sizing from 0.5B to 72B. Additionally, we introduce LF1 - a structure-aware metric that captures partially matched spans, resolving the conservativeness of standard exact matching scheme which overpenalizes LLMs’ predictions. Overall, our results signify that multilingual IE remains very challenging for existing LLMs, especially on complex tasks involving relations and events. In addition, performance gap is extremely large among high- and low-performing languages, but the group of similar-performing languages largely overlap between different LLMs, suggesting a shared performance bias in current LLMs.</v>
      </c>
      <c r="D266" s="7" t="str">
        <f>IFERROR(__xludf.DUMMYFUNCTION("""COMPUTED_VALUE"""),"N/A")</f>
        <v>N/A</v>
      </c>
      <c r="E266" s="7" t="str">
        <f>IFERROR(__xludf.DUMMYFUNCTION("""COMPUTED_VALUE"""),"#N/A")</f>
        <v>#N/A</v>
      </c>
      <c r="F266" s="7" t="str">
        <f>IFERROR(__xludf.DUMMYFUNCTION("""COMPUTED_VALUE"""),"Not Pres. ")</f>
        <v>Not Pres. </v>
      </c>
      <c r="G266" s="7" t="str">
        <f>IFERROR(__xludf.DUMMYFUNCTION("""COMPUTED_VALUE"""),"NP Findings Not Presenting ")</f>
        <v>NP Findings Not Presenting </v>
      </c>
      <c r="H266" s="7"/>
      <c r="I266" s="7" t="str">
        <f>IFERROR(__xludf.DUMMYFUNCTION("""COMPUTED_VALUE"""),"NP-Find")</f>
        <v>NP-Find</v>
      </c>
      <c r="J266" s="7"/>
      <c r="K266" s="7"/>
      <c r="L266" s="8"/>
      <c r="M266" s="7"/>
      <c r="N266" s="7"/>
    </row>
    <row r="267">
      <c r="A267" s="7" t="str">
        <f>IFERROR(__xludf.DUMMYFUNCTION("""COMPUTED_VALUE"""),"812-FIND")</f>
        <v>812-FIND</v>
      </c>
      <c r="B267" s="7" t="str">
        <f>IFERROR(__xludf.DUMMYFUNCTION("""COMPUTED_VALUE"""),"DALR: Dual-level Alignment Learning for Multimodal Sentence Representation Learning")</f>
        <v>DALR: Dual-level Alignment Learning for Multimodal Sentence Representation Learning</v>
      </c>
      <c r="C267" s="7" t="str">
        <f>IFERROR(__xludf.DUMMYFUNCTION("""COMPUTED_VALUE"""),"Previous multimodal sentence representation learning methods have achieved impressive performance. However, most approaches focus on aligning images and text at a coarse level, facing two critical challenges: cross-modal misalignment bias and intra-modal "&amp;"semantic divergence, which significantly degrade sentence representation quality. To address these challenges, we propose DALR (Dual-level Alignment Learning for Multimodal Sentence Representation). For cross-modal alignment, we propose a consistency lear"&amp;"ning module that softens negative samples and utilizes semantic similarity from an auxiliary task to achieve fine-grained cross-modal alignment. Additionally, we contend that sentence relationships go beyond binary positive-negative labels, exhibiting a m"&amp;"ore intricate ranking structure. To better capture these relationships and enhance representation quality, we integrate ranking distillation with global intra-modal alignment learning. Comprehensive experiments on semantic textual similarity (STS) and tra"&amp;"nsfer (TR) tasks validate the effectiveness of our approach, consistently demonstrating its superiority over state-of-the-art baselines. Our codes are available at https://anonymous.4open.science/r/DALR.")</f>
        <v>Previous multimodal sentence representation learning methods have achieved impressive performance. However, most approaches focus on aligning images and text at a coarse level, facing two critical challenges: cross-modal misalignment bias and intra-modal semantic divergence, which significantly degrade sentence representation quality. To address these challenges, we propose DALR (Dual-level Alignment Learning for Multimodal Sentence Representation). For cross-modal alignment, we propose a consistency learning module that softens negative samples and utilizes semantic similarity from an auxiliary task to achieve fine-grained cross-modal alignment. Additionally, we contend that sentence relationships go beyond binary positive-negative labels, exhibiting a more intricate ranking structure. To better capture these relationships and enhance representation quality, we integrate ranking distillation with global intra-modal alignment learning. Comprehensive experiments on semantic textual similarity (STS) and transfer (TR) tasks validate the effectiveness of our approach, consistently demonstrating its superiority over state-of-the-art baselines. Our codes are available at https://anonymous.4open.science/r/DALR.</v>
      </c>
      <c r="D267" s="7" t="str">
        <f>IFERROR(__xludf.DUMMYFUNCTION("""COMPUTED_VALUE"""),"Kang He")</f>
        <v>Kang He</v>
      </c>
      <c r="E267" s="7" t="str">
        <f>IFERROR(__xludf.DUMMYFUNCTION("""COMPUTED_VALUE"""),"Yes")</f>
        <v>Yes</v>
      </c>
      <c r="F267" s="7" t="str">
        <f>IFERROR(__xludf.DUMMYFUNCTION("""COMPUTED_VALUE"""),"IP-Poster")</f>
        <v>IP-Poster</v>
      </c>
      <c r="G267" s="7" t="str">
        <f>IFERROR(__xludf.DUMMYFUNCTION("""COMPUTED_VALUE"""),"In-Person")</f>
        <v>In-Person</v>
      </c>
      <c r="H267" s="7" t="str">
        <f>IFERROR(__xludf.DUMMYFUNCTION("""COMPUTED_VALUE"""),"Hall 4/5")</f>
        <v>Hall 4/5</v>
      </c>
      <c r="I267" s="7" t="str">
        <f>IFERROR(__xludf.DUMMYFUNCTION("""COMPUTED_VALUE"""),"Session 5 :IP-Posters Find ")</f>
        <v>Session 5 :IP-Posters Find </v>
      </c>
      <c r="J267" s="7" t="str">
        <f>IFERROR(__xludf.DUMMYFUNCTION("""COMPUTED_VALUE"""),"Findings Posters - In-Person 1")</f>
        <v>Findings Posters - In-Person 1</v>
      </c>
      <c r="K267" s="7"/>
      <c r="L267" s="8">
        <f>IFERROR(__xludf.DUMMYFUNCTION("""COMPUTED_VALUE"""),45866.0)</f>
        <v>45866</v>
      </c>
      <c r="M267" s="7" t="str">
        <f>IFERROR(__xludf.DUMMYFUNCTION("""COMPUTED_VALUE"""),"18:00-19:30")</f>
        <v>18:00-19:30</v>
      </c>
      <c r="N267" s="7"/>
    </row>
    <row r="268">
      <c r="A268" s="7" t="str">
        <f>IFERROR(__xludf.DUMMYFUNCTION("""COMPUTED_VALUE"""),"813-FIND")</f>
        <v>813-FIND</v>
      </c>
      <c r="B268" s="7" t="str">
        <f>IFERROR(__xludf.DUMMYFUNCTION("""COMPUTED_VALUE"""),"Large Language Models in Bioinformatics: A Survey")</f>
        <v>Large Language Models in Bioinformatics: A Survey</v>
      </c>
      <c r="C268" s="7" t="str">
        <f>IFERROR(__xludf.DUMMYFUNCTION("""COMPUTED_VALUE"""),"Large Language Models (LLMs) are revolutionizing bioinformatics, enabling advanced analysis of DNA, RNA, proteins, and single-cell data. This survey provides a systematic review of recent advancements, focusing on genomic sequence modeling, RNA structure "&amp;"prediction, protein function inference, and single-cell transcriptomics. Meanwhile, we also discuss several key challenges, including data scarcity, computational complexity, and cross-omics integration, and explore future directions such as multimodal le"&amp;"arning, hybrid AI models, and clinical applications. By offering a comprehensive perspective, this paper underscores the transformative potential of LLMs in driving innovations in bioinformatics and precision medicine.")</f>
        <v>Large Language Models (LLMs) are revolutionizing bioinformatics, enabling advanced analysis of DNA, RNA, proteins, and single-cell data. This survey provides a systematic review of recent advancements, focusing on genomic sequence modeling, RNA structure prediction, protein function inference, and single-cell transcriptomics. Meanwhile, we also discuss several key challenges, including data scarcity, computational complexity, and cross-omics integration, and explore future directions such as multimodal learning, hybrid AI models, and clinical applications. By offering a comprehensive perspective, this paper underscores the transformative potential of LLMs in driving innovations in bioinformatics and precision medicine.</v>
      </c>
      <c r="D268" s="7" t="str">
        <f>IFERROR(__xludf.DUMMYFUNCTION("""COMPUTED_VALUE"""),"None.")</f>
        <v>None.</v>
      </c>
      <c r="E268" s="7" t="str">
        <f>IFERROR(__xludf.DUMMYFUNCTION("""COMPUTED_VALUE"""),"#N/A")</f>
        <v>#N/A</v>
      </c>
      <c r="F268" s="7" t="str">
        <f>IFERROR(__xludf.DUMMYFUNCTION("""COMPUTED_VALUE"""),"Not Pres. ")</f>
        <v>Not Pres. </v>
      </c>
      <c r="G268" s="7" t="str">
        <f>IFERROR(__xludf.DUMMYFUNCTION("""COMPUTED_VALUE"""),"NP Findings Not Presenting ")</f>
        <v>NP Findings Not Presenting </v>
      </c>
      <c r="H268" s="7"/>
      <c r="I268" s="7" t="str">
        <f>IFERROR(__xludf.DUMMYFUNCTION("""COMPUTED_VALUE"""),"NP-Find")</f>
        <v>NP-Find</v>
      </c>
      <c r="J268" s="7"/>
      <c r="K268" s="7"/>
      <c r="L268" s="8"/>
      <c r="M268" s="7"/>
      <c r="N268" s="7"/>
    </row>
    <row r="269">
      <c r="A269" s="7" t="str">
        <f>IFERROR(__xludf.DUMMYFUNCTION("""COMPUTED_VALUE"""),"815-FIND")</f>
        <v>815-FIND</v>
      </c>
      <c r="B269" s="7" t="str">
        <f>IFERROR(__xludf.DUMMYFUNCTION("""COMPUTED_VALUE"""),"ChartEdit: How Far Are MLLMs From Automating Chart Analysis? Evaluating MLLMs’ Capability via Chart Editing")</f>
        <v>ChartEdit: How Far Are MLLMs From Automating Chart Analysis? Evaluating MLLMs’ Capability via Chart Editing</v>
      </c>
      <c r="C269" s="7" t="str">
        <f>IFERROR(__xludf.DUMMYFUNCTION("""COMPUTED_VALUE"""),"Although multimodal large language models (MLLMs) show promise in generating chart rendering code, editing charts via code presents a greater challenge. This task demands MLLMs to integrate chart understanding and reasoning capacities, which are labor-int"&amp;"ensive. While many MLLMs claim such editing capabilities, current evaluations rely on limited case studies, highlighting the urgent need for a comprehensive evaluation framework.In this work, we propose ChartEdit, a new high-quality benchmark designed for"&amp;" chart editing tasks. This benchmark comprises 1,405 diverse editing instructions applied to 233 real-world charts, with each instruction-chart instance having been manually annotated and validated for accuracy. Utilizing ChartEdit, we evaluate the perfor"&amp;"mance of 10 mainstream MLLMs across two types of experiments at both the code and chart levels.The results suggest that large-scale models can generate code to produce images that partially match the reference images.However, their ability to generate acc"&amp;"urate edits according to the instructions remains limited. The state-of-the-art (SOTA) model achieves a score of only 59.96, highlighting significant challenges in precise modification. In contrast, small-scale models, including chart-domain models, strug"&amp;"gle both with following editing instructions and generating overall chart images, underscoring the need for further development in this area. Code is available at https://github.com/xxlllz/ChartEdit.")</f>
        <v>Although multimodal large language models (MLLMs) show promise in generating chart rendering code, editing charts via code presents a greater challenge. This task demands MLLMs to integrate chart understanding and reasoning capacities, which are labor-intensive. While many MLLMs claim such editing capabilities, current evaluations rely on limited case studies, highlighting the urgent need for a comprehensive evaluation framework.In this work, we propose ChartEdit, a new high-quality benchmark designed for chart editing tasks. This benchmark comprises 1,405 diverse editing instructions applied to 233 real-world charts, with each instruction-chart instance having been manually annotated and validated for accuracy. Utilizing ChartEdit, we evaluate the performance of 10 mainstream MLLMs across two types of experiments at both the code and chart levels.The results suggest that large-scale models can generate code to produce images that partially match the reference images.However, their ability to generate accurate edits according to the instructions remains limited. The state-of-the-art (SOTA) model achieves a score of only 59.96, highlighting significant challenges in precise modification. In contrast, small-scale models, including chart-domain models, struggle both with following editing instructions and generating overall chart images, underscoring the need for further development in this area. Code is available at https://github.com/xxlllz/ChartEdit.</v>
      </c>
      <c r="D269" s="7" t="str">
        <f>IFERROR(__xludf.DUMMYFUNCTION("""COMPUTED_VALUE"""),"Xuanle Zhao")</f>
        <v>Xuanle Zhao</v>
      </c>
      <c r="E269" s="7" t="str">
        <f>IFERROR(__xludf.DUMMYFUNCTION("""COMPUTED_VALUE"""),"Yes")</f>
        <v>Yes</v>
      </c>
      <c r="F269" s="7" t="str">
        <f>IFERROR(__xludf.DUMMYFUNCTION("""COMPUTED_VALUE"""),"IP-Poster")</f>
        <v>IP-Poster</v>
      </c>
      <c r="G269" s="7" t="str">
        <f>IFERROR(__xludf.DUMMYFUNCTION("""COMPUTED_VALUE"""),"In-Person")</f>
        <v>In-Person</v>
      </c>
      <c r="H269" s="7" t="str">
        <f>IFERROR(__xludf.DUMMYFUNCTION("""COMPUTED_VALUE"""),"Hall 4/5")</f>
        <v>Hall 4/5</v>
      </c>
      <c r="I269" s="7" t="str">
        <f>IFERROR(__xludf.DUMMYFUNCTION("""COMPUTED_VALUE"""),"Session 5 :IP-Posters Find ")</f>
        <v>Session 5 :IP-Posters Find </v>
      </c>
      <c r="J269" s="7" t="str">
        <f>IFERROR(__xludf.DUMMYFUNCTION("""COMPUTED_VALUE"""),"Findings Posters - In-Person 1")</f>
        <v>Findings Posters - In-Person 1</v>
      </c>
      <c r="K269" s="7"/>
      <c r="L269" s="8">
        <f>IFERROR(__xludf.DUMMYFUNCTION("""COMPUTED_VALUE"""),45866.0)</f>
        <v>45866</v>
      </c>
      <c r="M269" s="7" t="str">
        <f>IFERROR(__xludf.DUMMYFUNCTION("""COMPUTED_VALUE"""),"18:00-19:30")</f>
        <v>18:00-19:30</v>
      </c>
      <c r="N269" s="7"/>
    </row>
    <row r="270">
      <c r="A270" s="7" t="str">
        <f>IFERROR(__xludf.DUMMYFUNCTION("""COMPUTED_VALUE"""),"818-FIND")</f>
        <v>818-FIND</v>
      </c>
      <c r="B270" s="7" t="str">
        <f>IFERROR(__xludf.DUMMYFUNCTION("""COMPUTED_VALUE"""),"Unraveling and Mitigating Safety Alignment Degradation of Vision-Language Models")</f>
        <v>Unraveling and Mitigating Safety Alignment Degradation of Vision-Language Models</v>
      </c>
      <c r="C270" s="7" t="str">
        <f>IFERROR(__xludf.DUMMYFUNCTION("""COMPUTED_VALUE"""),"The safety alignment ability of Vision-Language Models (VLMs) is prone to be degraded by the integration of the vision module compared to its LLM backbone. We investigate this phenomenon, dubbed as “safety alignment degradation” in this paper, and show th"&amp;"at the challenge arises from the representation gap that emerges when introducing vision modality to VLMs. In particular, we show that the representations of multi-modal inputs shift away from that of text-only inputs which represent the distribution that"&amp;" the LLM backbone is optimized for. At the same time, the safety alignment capabilities, initially developed within the textual embedding space, do not successfully transfer to this new multi-modal representation space. To reduce safety alignment degradat"&amp;"ion, we introduce Cross-Modality Representation Manipulation (CMRM), an inference time representation intervention method for recovering the safety alignment ability that is inherent in the LLM backbone of VLMs, while simultaneously preserving the functio"&amp;"nal capabilities of VLMs. The empirical results show that our framework significantly recovers the alignment ability that is inherited from the LLM backbone with minimal impact on the fluency and linguistic capabilities of pre-trained VLMs even without ad"&amp;"ditional training. Specifically, the unsafe rate of LLaVA-7B on multi-modal input can be reduced from 61.53% to as low as 3.15% with only inference-time intervention.")</f>
        <v>The safety alignment ability of Vision-Language Models (VLMs) is prone to be degraded by the integration of the vision module compared to its LLM backbone. We investigate this phenomenon, dubbed as “safety alignment degradation” in this paper, and show that the challenge arises from the representation gap that emerges when introducing vision modality to VLMs. In particular, we show that the representations of multi-modal inputs shift away from that of text-only inputs which represent the distribution that the LLM backbone is optimized for. At the same time, the safety alignment capabilities, initially developed within the textual embedding space, do not successfully transfer to this new multi-modal representation space. To reduce safety alignment degradation, we introduce Cross-Modality Representation Manipulation (CMRM), an inference time representation intervention method for recovering the safety alignment ability that is inherent in the LLM backbone of VLMs, while simultaneously preserving the functional capabilities of VLMs. The empirical results show that our framework significantly recovers the alignment ability that is inherited from the LLM backbone with minimal impact on the fluency and linguistic capabilities of pre-trained VLMs even without additional training. Specifically, the unsafe rate of LLaVA-7B on multi-modal input can be reduced from 61.53% to as low as 3.15% with only inference-time intervention.</v>
      </c>
      <c r="D270" s="7" t="str">
        <f>IFERROR(__xludf.DUMMYFUNCTION("""COMPUTED_VALUE"""),"Chao Shang")</f>
        <v>Chao Shang</v>
      </c>
      <c r="E270" s="7" t="str">
        <f>IFERROR(__xludf.DUMMYFUNCTION("""COMPUTED_VALUE"""),"Yes")</f>
        <v>Yes</v>
      </c>
      <c r="F270" s="7" t="str">
        <f>IFERROR(__xludf.DUMMYFUNCTION("""COMPUTED_VALUE"""),"IP-Poster")</f>
        <v>IP-Poster</v>
      </c>
      <c r="G270" s="7" t="str">
        <f>IFERROR(__xludf.DUMMYFUNCTION("""COMPUTED_VALUE"""),"In-Person")</f>
        <v>In-Person</v>
      </c>
      <c r="H270" s="7" t="str">
        <f>IFERROR(__xludf.DUMMYFUNCTION("""COMPUTED_VALUE"""),"Hall 4/5")</f>
        <v>Hall 4/5</v>
      </c>
      <c r="I270" s="7" t="str">
        <f>IFERROR(__xludf.DUMMYFUNCTION("""COMPUTED_VALUE"""),"Session 5 :IP-Posters Find ")</f>
        <v>Session 5 :IP-Posters Find </v>
      </c>
      <c r="J270" s="7" t="str">
        <f>IFERROR(__xludf.DUMMYFUNCTION("""COMPUTED_VALUE"""),"Findings Posters - In-Person 1")</f>
        <v>Findings Posters - In-Person 1</v>
      </c>
      <c r="K270" s="7"/>
      <c r="L270" s="8">
        <f>IFERROR(__xludf.DUMMYFUNCTION("""COMPUTED_VALUE"""),45866.0)</f>
        <v>45866</v>
      </c>
      <c r="M270" s="7" t="str">
        <f>IFERROR(__xludf.DUMMYFUNCTION("""COMPUTED_VALUE"""),"18:00-19:30")</f>
        <v>18:00-19:30</v>
      </c>
      <c r="N270" s="7"/>
    </row>
    <row r="271">
      <c r="A271" s="7" t="str">
        <f>IFERROR(__xludf.DUMMYFUNCTION("""COMPUTED_VALUE"""),"819-FIND")</f>
        <v>819-FIND</v>
      </c>
      <c r="B271" s="7" t="str">
        <f>IFERROR(__xludf.DUMMYFUNCTION("""COMPUTED_VALUE"""),"Turbocharging Web Automation: The Impact of Compressed History States")</f>
        <v>Turbocharging Web Automation: The Impact of Compressed History States</v>
      </c>
      <c r="C271" s="7" t="str">
        <f>IFERROR(__xludf.DUMMYFUNCTION("""COMPUTED_VALUE"""),"Language models have led to leap forward in web automation. The current web automation approaches take the current web state, history actions, and language instruction as inputs to predict the next action, overlooking the importance of history states. How"&amp;"ever, the highly verbose nature of web page states can result in long input sequence and sparse information, hampering the effective utilization of history states. In this paper, we propose a novel web history compressor approach to turbocharge web automa"&amp;"tion using history states. Our approach employs a history compressor module that distills the most task-relevant information from each history state into a fixed-length short representation, mitigating the challenges posed by the highly verbose history st"&amp;"ates. Experiments are conducted on the Mind2Web and WebLINX datasets to evaluate the effectiveness of our approach. Results show that our approach obtains 1.0-4.2% absolute accuracy improvements compared to the baseline approach without history inputs.")</f>
        <v>Language models have led to leap forward in web automation. The current web automation approaches take the current web state, history actions, and language instruction as inputs to predict the next action, overlooking the importance of history states. However, the highly verbose nature of web page states can result in long input sequence and sparse information, hampering the effective utilization of history states. In this paper, we propose a novel web history compressor approach to turbocharge web automation using history states. Our approach employs a history compressor module that distills the most task-relevant information from each history state into a fixed-length short representation, mitigating the challenges posed by the highly verbose history states. Experiments are conducted on the Mind2Web and WebLINX datasets to evaluate the effectiveness of our approach. Results show that our approach obtains 1.0-4.2% absolute accuracy improvements compared to the baseline approach without history inputs.</v>
      </c>
      <c r="D271" s="7" t="str">
        <f>IFERROR(__xludf.DUMMYFUNCTION("""COMPUTED_VALUE"""),"N/A")</f>
        <v>N/A</v>
      </c>
      <c r="E271" s="7" t="str">
        <f>IFERROR(__xludf.DUMMYFUNCTION("""COMPUTED_VALUE"""),"#N/A")</f>
        <v>#N/A</v>
      </c>
      <c r="F271" s="7" t="str">
        <f>IFERROR(__xludf.DUMMYFUNCTION("""COMPUTED_VALUE"""),"Not Pres. ")</f>
        <v>Not Pres. </v>
      </c>
      <c r="G271" s="7" t="str">
        <f>IFERROR(__xludf.DUMMYFUNCTION("""COMPUTED_VALUE"""),"NP Findings Not Presenting ")</f>
        <v>NP Findings Not Presenting </v>
      </c>
      <c r="H271" s="7"/>
      <c r="I271" s="7" t="str">
        <f>IFERROR(__xludf.DUMMYFUNCTION("""COMPUTED_VALUE"""),"NP-Find")</f>
        <v>NP-Find</v>
      </c>
      <c r="J271" s="7"/>
      <c r="K271" s="7"/>
      <c r="L271" s="8"/>
      <c r="M271" s="7"/>
      <c r="N271" s="7"/>
    </row>
    <row r="272">
      <c r="A272" s="7" t="str">
        <f>IFERROR(__xludf.DUMMYFUNCTION("""COMPUTED_VALUE"""),"821-FIND")</f>
        <v>821-FIND</v>
      </c>
      <c r="B272" s="7" t="str">
        <f>IFERROR(__xludf.DUMMYFUNCTION("""COMPUTED_VALUE"""),"Making RALM Robust to Irrelevant Contexts via Layer Knowledge Guided Attention")</f>
        <v>Making RALM Robust to Irrelevant Contexts via Layer Knowledge Guided Attention</v>
      </c>
      <c r="C272" s="7" t="str">
        <f>IFERROR(__xludf.DUMMYFUNCTION("""COMPUTED_VALUE"""),"Retrieval-augmented language models (RALMs) aim to incorporate external knowledge to address the issues of factual hallucination and knowledge obsolescence faced by large language models (LLMs). Inevitably, the retrieved passages based on similarity searc"&amp;"h may be irrelevant to the given question, and the aggregation of these passages can confuse the model to give a correct answer. To improve the performance of RALM in such conditions, we propose layer-knowledge guided attention for RALMs, which harnesses "&amp;"the layer-wise knowledge of LLMs to optimize per-layer attention on useful passages, making the model pay attention to the most relevant content and ignore irrelevant ones. Specifically, we first systematically study LLM's attention patterns and their rel"&amp;"ationship with the accuracy of RALM responses, where middle-focus attentions play a crucial role in selectively gathering relevant information. Based on this, a layer-wise passage estimator leverages the varied knowledge encoded across LLM layers to asses"&amp;"s not only passage relevance scores but also associated confidences. Finally, a relevance-aware passage fusion enables selective attention to relevant passages, mitigating distractibility and positional bias of causal attention. Experiments show that our "&amp;"method outperforms existing methods on RALM benchmarks.")</f>
        <v>Retrieval-augmented language models (RALMs) aim to incorporate external knowledge to address the issues of factual hallucination and knowledge obsolescence faced by large language models (LLMs). Inevitably, the retrieved passages based on similarity search may be irrelevant to the given question, and the aggregation of these passages can confuse the model to give a correct answer. To improve the performance of RALM in such conditions, we propose layer-knowledge guided attention for RALMs, which harnesses the layer-wise knowledge of LLMs to optimize per-layer attention on useful passages, making the model pay attention to the most relevant content and ignore irrelevant ones. Specifically, we first systematically study LLM's attention patterns and their relationship with the accuracy of RALM responses, where middle-focus attentions play a crucial role in selectively gathering relevant information. Based on this, a layer-wise passage estimator leverages the varied knowledge encoded across LLM layers to assess not only passage relevance scores but also associated confidences. Finally, a relevance-aware passage fusion enables selective attention to relevant passages, mitigating distractibility and positional bias of causal attention. Experiments show that our method outperforms existing methods on RALM benchmarks.</v>
      </c>
      <c r="D272" s="7" t="str">
        <f>IFERROR(__xludf.DUMMYFUNCTION("""COMPUTED_VALUE"""),"Weijie Shi")</f>
        <v>Weijie Shi</v>
      </c>
      <c r="E272" s="7" t="str">
        <f>IFERROR(__xludf.DUMMYFUNCTION("""COMPUTED_VALUE"""),"Yes")</f>
        <v>Yes</v>
      </c>
      <c r="F272" s="7" t="str">
        <f>IFERROR(__xludf.DUMMYFUNCTION("""COMPUTED_VALUE"""),"V-Presentation")</f>
        <v>V-Presentation</v>
      </c>
      <c r="G272" s="7" t="str">
        <f>IFERROR(__xludf.DUMMYFUNCTION("""COMPUTED_VALUE"""),"Virtual/Gather")</f>
        <v>Virtual/Gather</v>
      </c>
      <c r="H272" s="7" t="str">
        <f>IFERROR(__xludf.DUMMYFUNCTION("""COMPUTED_VALUE"""),"Gather")</f>
        <v>Gather</v>
      </c>
      <c r="I272" s="7" t="str">
        <f>IFERROR(__xludf.DUMMYFUNCTION("""COMPUTED_VALUE"""),"Session5: V-Gather Find")</f>
        <v>Session5: V-Gather Find</v>
      </c>
      <c r="J272" s="7" t="str">
        <f>IFERROR(__xludf.DUMMYFUNCTION("""COMPUTED_VALUE"""),"Findings Posters - Virtual")</f>
        <v>Findings Posters - Virtual</v>
      </c>
      <c r="K272" s="7"/>
      <c r="L272" s="8">
        <f>IFERROR(__xludf.DUMMYFUNCTION("""COMPUTED_VALUE"""),45866.0)</f>
        <v>45866</v>
      </c>
      <c r="M272" s="7" t="str">
        <f>IFERROR(__xludf.DUMMYFUNCTION("""COMPUTED_VALUE"""),"18:00-19:30")</f>
        <v>18:00-19:30</v>
      </c>
      <c r="N272" s="7"/>
    </row>
    <row r="273">
      <c r="A273" s="7" t="str">
        <f>IFERROR(__xludf.DUMMYFUNCTION("""COMPUTED_VALUE"""),"840-FIND")</f>
        <v>840-FIND</v>
      </c>
      <c r="B273" s="7" t="str">
        <f>IFERROR(__xludf.DUMMYFUNCTION("""COMPUTED_VALUE"""),"Rewrite to Jailbreak: Discover Learnable and Transferable Implicit Harmfulness Instruction")</f>
        <v>Rewrite to Jailbreak: Discover Learnable and Transferable Implicit Harmfulness Instruction</v>
      </c>
      <c r="C273" s="7" t="str">
        <f>IFERROR(__xludf.DUMMYFUNCTION("""COMPUTED_VALUE"""),"As Large Language Models (LLMs) are widely applied in various domains, the safety of LLMs is increasingly attracting attention to avoid their powerful capabilities being misused. Existing jailbreak methods create a forced instruction-following scenario, o"&amp;"r search adversarial prompts with prefix or suffix tokens to achieve a specific representation manually or automatically. However, they suffer from low efficiency and explicit jailbreak patterns, far from the real deployment of mass attacks to LLMs. In th"&amp;"is paper, we point out that simply rewriting the original instruction can achieve a jailbreak, and we find that this rewriting approach is learnable and transferable. We propose the **R**ewrite to **J**ailbreak (R2J) approach, a transferable black-box jai"&amp;"lbreak method to attack LLMs by iteratively exploring the weakness of the LLMs and automatically improving the attacking strategy. The jailbreak is more efficient and hard to identify since no additional features are introduced. Extensive experiments and "&amp;"analysis demonstrate the effectiveness of R2J, and we find that the jailbreak is also transferable to multiple datasets and various types of models with only a few queries. We hope our work motivates further investigation of LLM safety. The code can be fo"&amp;"und at [https://anonymous.4open.science/r/R2J/.](https://anonymous.4open.science/r/R2J/)")</f>
        <v>As Large Language Models (LLMs) are widely applied in various domains, the safety of LLMs is increasingly attracting attention to avoid their powerful capabilities being misused. Existing jailbreak methods create a forced instruction-following scenario, or search adversarial prompts with prefix or suffix tokens to achieve a specific representation manually or automatically. However, they suffer from low efficiency and explicit jailbreak patterns, far from the real deployment of mass attacks to LLMs. In this paper, we point out that simply rewriting the original instruction can achieve a jailbreak, and we find that this rewriting approach is learnable and transferable. We propose the **R**ewrite to **J**ailbreak (R2J) approach, a transferable black-box jailbreak method to attack LLMs by iteratively exploring the weakness of the LLMs and automatically improving the attacking strategy. The jailbreak is more efficient and hard to identify since no additional features are introduced. Extensive experiments and analysis demonstrate the effectiveness of R2J, and we find that the jailbreak is also transferable to multiple datasets and various types of models with only a few queries. We hope our work motivates further investigation of LLM safety. The code can be found at [https://anonymous.4open.science/r/R2J/.](https://anonymous.4open.science/r/R2J/)</v>
      </c>
      <c r="D273" s="7" t="str">
        <f>IFERROR(__xludf.DUMMYFUNCTION("""COMPUTED_VALUE"""),"Yuting Huang")</f>
        <v>Yuting Huang</v>
      </c>
      <c r="E273" s="7" t="str">
        <f>IFERROR(__xludf.DUMMYFUNCTION("""COMPUTED_VALUE"""),"#N/A")</f>
        <v>#N/A</v>
      </c>
      <c r="F273" s="7" t="str">
        <f>IFERROR(__xludf.DUMMYFUNCTION("""COMPUTED_VALUE"""),"Not Pres. ")</f>
        <v>Not Pres. </v>
      </c>
      <c r="G273" s="7" t="str">
        <f>IFERROR(__xludf.DUMMYFUNCTION("""COMPUTED_VALUE"""),"NP Findings Not Presenting ")</f>
        <v>NP Findings Not Presenting </v>
      </c>
      <c r="H273" s="7"/>
      <c r="I273" s="7" t="str">
        <f>IFERROR(__xludf.DUMMYFUNCTION("""COMPUTED_VALUE"""),"NP-Find")</f>
        <v>NP-Find</v>
      </c>
      <c r="J273" s="7"/>
      <c r="K273" s="7"/>
      <c r="L273" s="8"/>
      <c r="M273" s="7"/>
      <c r="N273" s="7"/>
    </row>
    <row r="274">
      <c r="A274" s="7" t="str">
        <f>IFERROR(__xludf.DUMMYFUNCTION("""COMPUTED_VALUE"""),"844-FIND")</f>
        <v>844-FIND</v>
      </c>
      <c r="B274" s="7" t="str">
        <f>IFERROR(__xludf.DUMMYFUNCTION("""COMPUTED_VALUE"""),"Large Language Models as Sign Language Interfaces: Mitigating the Requests of Deaf Users of LLMs in a Hearing-Centric World")</f>
        <v>Large Language Models as Sign Language Interfaces: Mitigating the Requests of Deaf Users of LLMs in a Hearing-Centric World</v>
      </c>
      <c r="C274" s="7" t="str">
        <f>IFERROR(__xludf.DUMMYFUNCTION("""COMPUTED_VALUE"""),"Deaf or Hard-of-Hearing (DHH) individuals use Large Language Models (LLMs) in unique ways and request to incorporate sign language grammar and Deaf culture during the training of these models, in addition to video-based sign language input capabilities. Y"&amp;"et, developers of instruct-tuned LLMs have not paid attention to these requests. Instead, special translation models are developed for sign languages (SLs), diminishing the needs of signers to a simple lack of communication between hearing and Deaf commun"&amp;"ities. In this paper, we take an orthogonal approach to these traditional methods of studying SLs. To meet the requests of Deaf users of LLMs, we look at the sign language processing (SLP) algorithm from a theoretical lens, then introduce the first text-b"&amp;"ased and multimodal LLMs. We propose new prompting and fine-tuning strategies for text-based and multimodal SLP, incorporating sign linguistic rules and conventions. We test the generalization of these models to other SLP tasks, showing LLMs can process s"&amp;"igns while still being adept at spoken language tasks. Our code and model checkpoints will be open-source. We will update our model suite as newer open-source LLMs, datasets, and SLP tasks become available.")</f>
        <v>Deaf or Hard-of-Hearing (DHH) individuals use Large Language Models (LLMs) in unique ways and request to incorporate sign language grammar and Deaf culture during the training of these models, in addition to video-based sign language input capabilities. Yet, developers of instruct-tuned LLMs have not paid attention to these requests. Instead, special translation models are developed for sign languages (SLs), diminishing the needs of signers to a simple lack of communication between hearing and Deaf communities. In this paper, we take an orthogonal approach to these traditional methods of studying SLs. To meet the requests of Deaf users of LLMs, we look at the sign language processing (SLP) algorithm from a theoretical lens, then introduce the first text-based and multimodal LLMs. We propose new prompting and fine-tuning strategies for text-based and multimodal SLP, incorporating sign linguistic rules and conventions. We test the generalization of these models to other SLP tasks, showing LLMs can process signs while still being adept at spoken language tasks. Our code and model checkpoints will be open-source. We will update our model suite as newer open-source LLMs, datasets, and SLP tasks become available.</v>
      </c>
      <c r="D274" s="7" t="str">
        <f>IFERROR(__xludf.DUMMYFUNCTION("""COMPUTED_VALUE"""),"Mert Inan")</f>
        <v>Mert Inan</v>
      </c>
      <c r="E274" s="7" t="str">
        <f>IFERROR(__xludf.DUMMYFUNCTION("""COMPUTED_VALUE"""),"Yes")</f>
        <v>Yes</v>
      </c>
      <c r="F274" s="7" t="str">
        <f>IFERROR(__xludf.DUMMYFUNCTION("""COMPUTED_VALUE"""),"V-Presentation")</f>
        <v>V-Presentation</v>
      </c>
      <c r="G274" s="7" t="str">
        <f>IFERROR(__xludf.DUMMYFUNCTION("""COMPUTED_VALUE"""),"Virtual/Gather")</f>
        <v>Virtual/Gather</v>
      </c>
      <c r="H274" s="7" t="str">
        <f>IFERROR(__xludf.DUMMYFUNCTION("""COMPUTED_VALUE"""),"Gather")</f>
        <v>Gather</v>
      </c>
      <c r="I274" s="7" t="str">
        <f>IFERROR(__xludf.DUMMYFUNCTION("""COMPUTED_VALUE"""),"Session5: V-Gather Find")</f>
        <v>Session5: V-Gather Find</v>
      </c>
      <c r="J274" s="7" t="str">
        <f>IFERROR(__xludf.DUMMYFUNCTION("""COMPUTED_VALUE"""),"Findings Posters - Virtual")</f>
        <v>Findings Posters - Virtual</v>
      </c>
      <c r="K274" s="7"/>
      <c r="L274" s="8">
        <f>IFERROR(__xludf.DUMMYFUNCTION("""COMPUTED_VALUE"""),45866.0)</f>
        <v>45866</v>
      </c>
      <c r="M274" s="7" t="str">
        <f>IFERROR(__xludf.DUMMYFUNCTION("""COMPUTED_VALUE"""),"18:00-19:30")</f>
        <v>18:00-19:30</v>
      </c>
      <c r="N274" s="7"/>
    </row>
    <row r="275">
      <c r="A275" s="7" t="str">
        <f>IFERROR(__xludf.DUMMYFUNCTION("""COMPUTED_VALUE"""),"848-FIND")</f>
        <v>848-FIND</v>
      </c>
      <c r="B275" s="7" t="str">
        <f>IFERROR(__xludf.DUMMYFUNCTION("""COMPUTED_VALUE"""),"NegVQA: Can Vision Language Models Understand Negation?")</f>
        <v>NegVQA: Can Vision Language Models Understand Negation?</v>
      </c>
      <c r="C275" s="7" t="str">
        <f>IFERROR(__xludf.DUMMYFUNCTION("""COMPUTED_VALUE"""),"Negation is a fundamental linguistic phenomenon that can entirely reverse the meaning of a sentence. As vision language models (VLMs) continue to advance and are deployed in high-stakes applications, assessing their ability to comprehend negation becomes "&amp;"essential. To address this, we introduce NegVQA, a visual question answering (VQA) benchmark consisting of 7,379 two-choice questions covering diverse negation scenarios and image-question distributions. We construct NegVQA by leveraging large language mo"&amp;"dels to generate negated versions of questions from existing VQA datasets. Evaluating 20 state-of-the-art VLMs across seven model families, we find that these models struggle significantly with negation, exhibiting a substantial performance drop compared "&amp;"to their responses to the original questions. Furthermore, we uncover a U-shaped scaling trend, where increasing model size initially degrades performance on NegVQA before leading to improvements. Our benchmark reveals critical gaps in VLMs' negation unde"&amp;"rstanding and offers insights into future VLM development.")</f>
        <v>Negation is a fundamental linguistic phenomenon that can entirely reverse the meaning of a sentence. As vision language models (VLMs) continue to advance and are deployed in high-stakes applications, assessing their ability to comprehend negation becomes essential. To address this, we introduce NegVQA, a visual question answering (VQA) benchmark consisting of 7,379 two-choice questions covering diverse negation scenarios and image-question distributions. We construct NegVQA by leveraging large language models to generate negated versions of questions from existing VQA datasets. Evaluating 20 state-of-the-art VLMs across seven model families, we find that these models struggle significantly with negation, exhibiting a substantial performance drop compared to their responses to the original questions. Furthermore, we uncover a U-shaped scaling trend, where increasing model size initially degrades performance on NegVQA before leading to improvements. Our benchmark reveals critical gaps in VLMs' negation understanding and offers insights into future VLM development.</v>
      </c>
      <c r="D275" s="7" t="str">
        <f>IFERROR(__xludf.DUMMYFUNCTION("""COMPUTED_VALUE"""),"N/A")</f>
        <v>N/A</v>
      </c>
      <c r="E275" s="7" t="str">
        <f>IFERROR(__xludf.DUMMYFUNCTION("""COMPUTED_VALUE"""),"#N/A")</f>
        <v>#N/A</v>
      </c>
      <c r="F275" s="7" t="str">
        <f>IFERROR(__xludf.DUMMYFUNCTION("""COMPUTED_VALUE"""),"Not Pres. ")</f>
        <v>Not Pres. </v>
      </c>
      <c r="G275" s="7" t="str">
        <f>IFERROR(__xludf.DUMMYFUNCTION("""COMPUTED_VALUE"""),"NP Findings Not Presenting ")</f>
        <v>NP Findings Not Presenting </v>
      </c>
      <c r="H275" s="7"/>
      <c r="I275" s="7" t="str">
        <f>IFERROR(__xludf.DUMMYFUNCTION("""COMPUTED_VALUE"""),"NP-Find")</f>
        <v>NP-Find</v>
      </c>
      <c r="J275" s="7"/>
      <c r="K275" s="7"/>
      <c r="L275" s="8"/>
      <c r="M275" s="7"/>
      <c r="N275" s="7"/>
    </row>
    <row r="276">
      <c r="A276" s="7" t="str">
        <f>IFERROR(__xludf.DUMMYFUNCTION("""COMPUTED_VALUE"""),"851-FIND")</f>
        <v>851-FIND</v>
      </c>
      <c r="B276" s="7" t="str">
        <f>IFERROR(__xludf.DUMMYFUNCTION("""COMPUTED_VALUE"""),"Natural Language Reasoning in Large Language Models: Analysis and Evaluation")</f>
        <v>Natural Language Reasoning in Large Language Models: Analysis and Evaluation</v>
      </c>
      <c r="C276" s="7" t="str">
        <f>IFERROR(__xludf.DUMMYFUNCTION("""COMPUTED_VALUE"""),"While Large Language Models (LLMs) have demonstrated promising results on a range of reasoning benchmarks—particularly in formal logic, mathematical tasks, and Chain-of-Thought prompting—less is known about their capabilities in unconstrained natural lang"&amp;"uage reasoning. Argumentative reasoning, a form of reasoning naturally expressed in language and central to everyday discourse, presents unique challenges for LLMs due to its reliance on context, implicit assumptions, and value judgments.  This paper addr"&amp;"esses a gap in the study of reasoning in LLMs by presenting the first large-scale evaluation of their unconstrained natural language reasoning capabilities based on natural language argumentation. The paper offers three contributions: (i) the formalisatio"&amp;"n of a new strategy designed to evaluate argumentative reasoning  in LLMs: argument-component selection; (ii) the creation of the Argument Reasoning Tasks (ART) dataset, a new benchmark for argument-component selection based on argument structures for nat"&amp;"ural language reasoning; and (iii) an extensive experimental analysis involving four different models, demonstrating the limitations of LLMs on natural language reasoning tasks.")</f>
        <v>While Large Language Models (LLMs) have demonstrated promising results on a range of reasoning benchmarks—particularly in formal logic, mathematical tasks, and Chain-of-Thought prompting—less is known about their capabilities in unconstrained natural language reasoning. Argumentative reasoning, a form of reasoning naturally expressed in language and central to everyday discourse, presents unique challenges for LLMs due to its reliance on context, implicit assumptions, and value judgments.  This paper addresses a gap in the study of reasoning in LLMs by presenting the first large-scale evaluation of their unconstrained natural language reasoning capabilities based on natural language argumentation. The paper offers three contributions: (i) the formalisation of a new strategy designed to evaluate argumentative reasoning  in LLMs: argument-component selection; (ii) the creation of the Argument Reasoning Tasks (ART) dataset, a new benchmark for argument-component selection based on argument structures for natural language reasoning; and (iii) an extensive experimental analysis involving four different models, demonstrating the limitations of LLMs on natural language reasoning tasks.</v>
      </c>
      <c r="D276" s="7" t="str">
        <f>IFERROR(__xludf.DUMMYFUNCTION("""COMPUTED_VALUE"""),"Debela Gemechu")</f>
        <v>Debela Gemechu</v>
      </c>
      <c r="E276" s="7" t="str">
        <f>IFERROR(__xludf.DUMMYFUNCTION("""COMPUTED_VALUE"""),"Yes")</f>
        <v>Yes</v>
      </c>
      <c r="F276" s="7" t="str">
        <f>IFERROR(__xludf.DUMMYFUNCTION("""COMPUTED_VALUE"""),"IP-Poster")</f>
        <v>IP-Poster</v>
      </c>
      <c r="G276" s="7" t="str">
        <f>IFERROR(__xludf.DUMMYFUNCTION("""COMPUTED_VALUE"""),"In-Person")</f>
        <v>In-Person</v>
      </c>
      <c r="H276" s="7" t="str">
        <f>IFERROR(__xludf.DUMMYFUNCTION("""COMPUTED_VALUE"""),"Hall 4/5")</f>
        <v>Hall 4/5</v>
      </c>
      <c r="I276" s="7" t="str">
        <f>IFERROR(__xludf.DUMMYFUNCTION("""COMPUTED_VALUE"""),"Session 5 :IP-Posters Find ")</f>
        <v>Session 5 :IP-Posters Find </v>
      </c>
      <c r="J276" s="7" t="str">
        <f>IFERROR(__xludf.DUMMYFUNCTION("""COMPUTED_VALUE"""),"Findings Posters - In-Person 1")</f>
        <v>Findings Posters - In-Person 1</v>
      </c>
      <c r="K276" s="7"/>
      <c r="L276" s="8">
        <f>IFERROR(__xludf.DUMMYFUNCTION("""COMPUTED_VALUE"""),45866.0)</f>
        <v>45866</v>
      </c>
      <c r="M276" s="7" t="str">
        <f>IFERROR(__xludf.DUMMYFUNCTION("""COMPUTED_VALUE"""),"18:00-19:30")</f>
        <v>18:00-19:30</v>
      </c>
      <c r="N276" s="7"/>
    </row>
    <row r="277">
      <c r="A277" s="7" t="str">
        <f>IFERROR(__xludf.DUMMYFUNCTION("""COMPUTED_VALUE"""),"852-FIND")</f>
        <v>852-FIND</v>
      </c>
      <c r="B277" s="7" t="str">
        <f>IFERROR(__xludf.DUMMYFUNCTION("""COMPUTED_VALUE"""),"SWE-Dev: Building Software Engineering Agents with Training and Inference Scaling")</f>
        <v>SWE-Dev: Building Software Engineering Agents with Training and Inference Scaling</v>
      </c>
      <c r="C277" s="7" t="str">
        <f>IFERROR(__xludf.DUMMYFUNCTION("""COMPUTED_VALUE"""),"From code snippets to competitive programming, Large Language Models (LLMs) have rapidly evolved to address increasingly complex software engineering (SWE) tasks, such as automatically fixing issues in real-world GitHub repositories. Current approaches of"&amp;"ten rely on closed-source models combined with agentic frameworks, but the scarcity of high-quality SWE data, due to challenges in constructing test cases that pass, hinders the development of effective SWE agents. To address these challenges, we introduc"&amp;"e SWE-Dev, an open-source SWE agent featuring a novel data construction pipeline. We also explore the hybrid training of rejection sampling and offline reinforcement learning methods such as KTO and OREO, while introducing iteration scaling, a new approac"&amp;"h to scale up during inference time to enhance model performance and generalizability. Our models are evaluated on SWE-bench-Verified, achieving state-of-the-art performance among open-source agents, with results of 23.4% and 36.6% for 7B and 32B models, "&amp;"respectively. Compared to prior work using the same framework, this represents an improvement of over 10%. We will release our code, model and data soon to facilitate future research.")</f>
        <v>From code snippets to competitive programming, Large Language Models (LLMs) have rapidly evolved to address increasingly complex software engineering (SWE) tasks, such as automatically fixing issues in real-world GitHub repositories. Current approaches often rely on closed-source models combined with agentic frameworks, but the scarcity of high-quality SWE data, due to challenges in constructing test cases that pass, hinders the development of effective SWE agents. To address these challenges, we introduce SWE-Dev, an open-source SWE agent featuring a novel data construction pipeline. We also explore the hybrid training of rejection sampling and offline reinforcement learning methods such as KTO and OREO, while introducing iteration scaling, a new approach to scale up during inference time to enhance model performance and generalizability. Our models are evaluated on SWE-bench-Verified, achieving state-of-the-art performance among open-source agents, with results of 23.4% and 36.6% for 7B and 32B models, respectively. Compared to prior work using the same framework, this represents an improvement of over 10%. We will release our code, model and data soon to facilitate future research.</v>
      </c>
      <c r="D277" s="7" t="str">
        <f>IFERROR(__xludf.DUMMYFUNCTION("""COMPUTED_VALUE"""),"Haoran Wang")</f>
        <v>Haoran Wang</v>
      </c>
      <c r="E277" s="7" t="str">
        <f>IFERROR(__xludf.DUMMYFUNCTION("""COMPUTED_VALUE"""),"Yes")</f>
        <v>Yes</v>
      </c>
      <c r="F277" s="7" t="str">
        <f>IFERROR(__xludf.DUMMYFUNCTION("""COMPUTED_VALUE"""),"IP-Poster")</f>
        <v>IP-Poster</v>
      </c>
      <c r="G277" s="7" t="str">
        <f>IFERROR(__xludf.DUMMYFUNCTION("""COMPUTED_VALUE"""),"In-Person")</f>
        <v>In-Person</v>
      </c>
      <c r="H277" s="7" t="str">
        <f>IFERROR(__xludf.DUMMYFUNCTION("""COMPUTED_VALUE"""),"Hall 4/5")</f>
        <v>Hall 4/5</v>
      </c>
      <c r="I277" s="7" t="str">
        <f>IFERROR(__xludf.DUMMYFUNCTION("""COMPUTED_VALUE"""),"Session 5 :IP-Posters Find ")</f>
        <v>Session 5 :IP-Posters Find </v>
      </c>
      <c r="J277" s="7" t="str">
        <f>IFERROR(__xludf.DUMMYFUNCTION("""COMPUTED_VALUE"""),"Findings Posters - In-Person 1")</f>
        <v>Findings Posters - In-Person 1</v>
      </c>
      <c r="K277" s="7"/>
      <c r="L277" s="8">
        <f>IFERROR(__xludf.DUMMYFUNCTION("""COMPUTED_VALUE"""),45866.0)</f>
        <v>45866</v>
      </c>
      <c r="M277" s="7" t="str">
        <f>IFERROR(__xludf.DUMMYFUNCTION("""COMPUTED_VALUE"""),"18:00-19:30")</f>
        <v>18:00-19:30</v>
      </c>
      <c r="N277" s="7"/>
    </row>
    <row r="278">
      <c r="A278" s="7" t="str">
        <f>IFERROR(__xludf.DUMMYFUNCTION("""COMPUTED_VALUE"""),"857-FIND")</f>
        <v>857-FIND</v>
      </c>
      <c r="B278" s="7" t="str">
        <f>IFERROR(__xludf.DUMMYFUNCTION("""COMPUTED_VALUE"""),"The Two Paradigms of LLM Detection: Authorship Attribution versus Authorship Verification")</f>
        <v>The Two Paradigms of LLM Detection: Authorship Attribution versus Authorship Verification</v>
      </c>
      <c r="C278" s="7" t="str">
        <f>IFERROR(__xludf.DUMMYFUNCTION("""COMPUTED_VALUE"""),"The detection of texts generated by LLMs has quickly become an important research problem. Many supervised and zero-shot detectors have already been proposed, yet their effectiveness and precision remain disputed. Current research therefore focuses on mak"&amp;"ing detectors robust against domain shifts and on building corresponding benchmarks. In this paper, we show that the actual limitations hindering progress in LLM detection lie elsewhere: LLM detection is often implicitly modeled as an authorship attributi"&amp;"on task, while its true nature is that of authorship verification. We systematically analyze the current research with respect to this misunderstanding, conduct an in-depth comparative analysis of the benchmarks, and validate our claim using state-of-the-"&amp;"art LLM detectors. Our contributions open the realm of authorship analysis technology for understanding and tackling the problem of LLM detection.")</f>
        <v>The detection of texts generated by LLMs has quickly become an important research problem. Many supervised and zero-shot detectors have already been proposed, yet their effectiveness and precision remain disputed. Current research therefore focuses on making detectors robust against domain shifts and on building corresponding benchmarks. In this paper, we show that the actual limitations hindering progress in LLM detection lie elsewhere: LLM detection is often implicitly modeled as an authorship attribution task, while its true nature is that of authorship verification. We systematically analyze the current research with respect to this misunderstanding, conduct an in-depth comparative analysis of the benchmarks, and validate our claim using state-of-the-art LLM detectors. Our contributions open the realm of authorship analysis technology for understanding and tackling the problem of LLM detection.</v>
      </c>
      <c r="D278" s="7" t="str">
        <f>IFERROR(__xludf.DUMMYFUNCTION("""COMPUTED_VALUE"""),"Janek Bevendorff")</f>
        <v>Janek Bevendorff</v>
      </c>
      <c r="E278" s="7" t="str">
        <f>IFERROR(__xludf.DUMMYFUNCTION("""COMPUTED_VALUE"""),"Yes")</f>
        <v>Yes</v>
      </c>
      <c r="F278" s="7" t="str">
        <f>IFERROR(__xludf.DUMMYFUNCTION("""COMPUTED_VALUE"""),"IP-Poster")</f>
        <v>IP-Poster</v>
      </c>
      <c r="G278" s="7" t="str">
        <f>IFERROR(__xludf.DUMMYFUNCTION("""COMPUTED_VALUE"""),"In-Person")</f>
        <v>In-Person</v>
      </c>
      <c r="H278" s="7" t="str">
        <f>IFERROR(__xludf.DUMMYFUNCTION("""COMPUTED_VALUE"""),"Hall 4/5")</f>
        <v>Hall 4/5</v>
      </c>
      <c r="I278" s="7" t="str">
        <f>IFERROR(__xludf.DUMMYFUNCTION("""COMPUTED_VALUE"""),"Session 10: IP-Posters")</f>
        <v>Session 10: IP-Posters</v>
      </c>
      <c r="J278" s="7" t="str">
        <f>IFERROR(__xludf.DUMMYFUNCTION("""COMPUTED_VALUE"""),"Findings Posters - In-Person 3")</f>
        <v>Findings Posters - In-Person 3</v>
      </c>
      <c r="K278" s="7"/>
      <c r="L278" s="8">
        <f>IFERROR(__xludf.DUMMYFUNCTION("""COMPUTED_VALUE"""),45867.0)</f>
        <v>45867</v>
      </c>
      <c r="M278" s="7" t="str">
        <f>IFERROR(__xludf.DUMMYFUNCTION("""COMPUTED_VALUE"""),"16:00-17:30")</f>
        <v>16:00-17:30</v>
      </c>
      <c r="N278" s="7"/>
    </row>
    <row r="279">
      <c r="A279" s="7" t="str">
        <f>IFERROR(__xludf.DUMMYFUNCTION("""COMPUTED_VALUE"""),"860-FIND")</f>
        <v>860-FIND</v>
      </c>
      <c r="B279" s="7" t="str">
        <f>IFERROR(__xludf.DUMMYFUNCTION("""COMPUTED_VALUE"""),"Unveiling Confirmation Bias in Chain-of-Thought Reasoning")</f>
        <v>Unveiling Confirmation Bias in Chain-of-Thought Reasoning</v>
      </c>
      <c r="C279" s="7" t="str">
        <f>IFERROR(__xludf.DUMMYFUNCTION("""COMPUTED_VALUE"""),"Chain-of-thought (CoT) prompting has been
widely adopted to enhance the reasoning ca-
pabilities of large language models (LLMs).
However, the effectiveness of CoT reasoning is
inconsistent across tasks with different reason-
ing types. This work presents"&amp;" a novel perspec-
tive to understand CoT behavior through the
lens of confirmation bias in cognitive psychol-
ogy. Specifically, we examine how model in-
ternal beliefs, approximated by direct question-
answering probabilities, affect both reasoning
gener"&amp;"ation (Q -&gt; R) and reasoning-guided an-
swer prediction (QR -&gt; A) in CoT. By decom-
posing CoT into a two-stage process, we con-
duct a thorough correlation analysis in model
beliefs, rationale attributes, and stage-wise per-
formance. Our results provide"&amp;" strong evidence
of confirmation bias in LLMs, such that model
beliefs not only skew the reasoning process but
also influence how rationales are utilized for
answer prediction. Furthermore, the interplay
between task vulnerability to confirmation bias
and"&amp;" the strength of beliefs also provides expla-
nations for CoT effectiveness across reasoning
tasks and models. Overall, this study provides a
valuable insight for the needs of better prompt-
ing strategies that mitigate confirmation bias to
enhance reason"&amp;"ing performance. Code is avail-
able at https://github.com/yuewan2/biasedcot.")</f>
        <v>Chain-of-thought (CoT) prompting has been
widely adopted to enhance the reasoning ca-
pabilities of large language models (LLMs).
However, the effectiveness of CoT reasoning is
inconsistent across tasks with different reason-
ing types. This work presents a novel perspec-
tive to understand CoT behavior through the
lens of confirmation bias in cognitive psychol-
ogy. Specifically, we examine how model in-
ternal beliefs, approximated by direct question-
answering probabilities, affect both reasoning
generation (Q -&gt; R) and reasoning-guided an-
swer prediction (QR -&gt; A) in CoT. By decom-
posing CoT into a two-stage process, we con-
duct a thorough correlation analysis in model
beliefs, rationale attributes, and stage-wise per-
formance. Our results provide strong evidence
of confirmation bias in LLMs, such that model
beliefs not only skew the reasoning process but
also influence how rationales are utilized for
answer prediction. Furthermore, the interplay
between task vulnerability to confirmation bias
and the strength of beliefs also provides expla-
nations for CoT effectiveness across reasoning
tasks and models. Overall, this study provides a
valuable insight for the needs of better prompt-
ing strategies that mitigate confirmation bias to
enhance reasoning performance. Code is avail-
able at https://github.com/yuewan2/biasedcot.</v>
      </c>
      <c r="D279" s="7" t="str">
        <f>IFERROR(__xludf.DUMMYFUNCTION("""COMPUTED_VALUE"""),"Yue Wan")</f>
        <v>Yue Wan</v>
      </c>
      <c r="E279" s="7" t="str">
        <f>IFERROR(__xludf.DUMMYFUNCTION("""COMPUTED_VALUE"""),"Yes")</f>
        <v>Yes</v>
      </c>
      <c r="F279" s="7" t="str">
        <f>IFERROR(__xludf.DUMMYFUNCTION("""COMPUTED_VALUE"""),"V-Presentation")</f>
        <v>V-Presentation</v>
      </c>
      <c r="G279" s="7" t="str">
        <f>IFERROR(__xludf.DUMMYFUNCTION("""COMPUTED_VALUE"""),"Virtual/Gather")</f>
        <v>Virtual/Gather</v>
      </c>
      <c r="H279" s="7" t="str">
        <f>IFERROR(__xludf.DUMMYFUNCTION("""COMPUTED_VALUE"""),"Gather")</f>
        <v>Gather</v>
      </c>
      <c r="I279" s="7" t="str">
        <f>IFERROR(__xludf.DUMMYFUNCTION("""COMPUTED_VALUE"""),"Session5: V-Gather Find")</f>
        <v>Session5: V-Gather Find</v>
      </c>
      <c r="J279" s="7" t="str">
        <f>IFERROR(__xludf.DUMMYFUNCTION("""COMPUTED_VALUE"""),"Findings Posters - Virtual")</f>
        <v>Findings Posters - Virtual</v>
      </c>
      <c r="K279" s="7"/>
      <c r="L279" s="8">
        <f>IFERROR(__xludf.DUMMYFUNCTION("""COMPUTED_VALUE"""),45866.0)</f>
        <v>45866</v>
      </c>
      <c r="M279" s="7" t="str">
        <f>IFERROR(__xludf.DUMMYFUNCTION("""COMPUTED_VALUE"""),"18:00-19:30")</f>
        <v>18:00-19:30</v>
      </c>
      <c r="N279" s="7"/>
    </row>
    <row r="280">
      <c r="A280" s="7" t="str">
        <f>IFERROR(__xludf.DUMMYFUNCTION("""COMPUTED_VALUE"""),"861-FIND")</f>
        <v>861-FIND</v>
      </c>
      <c r="B280" s="7" t="str">
        <f>IFERROR(__xludf.DUMMYFUNCTION("""COMPUTED_VALUE"""),"GRNFormer: A Biologically-Guided Framework for Integrating Gene Regulatory Networks into RNA Foundation Models")</f>
        <v>GRNFormer: A Biologically-Guided Framework for Integrating Gene Regulatory Networks into RNA Foundation Models</v>
      </c>
      <c r="C280" s="7" t="str">
        <f>IFERROR(__xludf.DUMMYFUNCTION("""COMPUTED_VALUE"""),"Foundation models for single-cell RNA sequencing (scRNA-seq) have shown promising capabilities in capturing gene expression patterns. However, current approaches face critical limitations: they ignore biological prior knowledge encoded in gene regulatory "&amp;"relationships and fail to leverage multi-omics signals that could provide complementary regulatory insights. In this paper, we propose GRNFormer, a new framework that systematically integrates multi-scale Gene Regulatory Networks (GRNs) inferred from mult"&amp;"i-omics data into RNA foundation model training. Our framework introduces two key innovations. First, we introduce a pipeline for constructing hierarchical GRNs that capture regulatory relationships at both cell-type-specific and cell-specific resolutions"&amp;". Second, we design a structure-aware integration framework that addresses the information asymmetry in GRNs through two technical advances: (1) A graph topological adapter using multi-head cross-attention to weight regulatory relationships dynamically, a"&amp;"nd (2) a novel edge perturbation strategy that perturb GRNs with biologically-informed co-expression links to augment graph neural network training. Comprehensive experiments have been conducted on three representative downstream tasks across multiple mod"&amp;"el architectures to demonstrate the effectiveness of GRNFormer. It achieves consistent improvements over state-of-the-art (SoTA) baselines: 3.6\\% increase in drug response prediction correlation, 9.6\\% improvement in single-cell drug classification AUC,"&amp;" and 1.1\\% average gain in gene perturbation prediction accuracy.")</f>
        <v>Foundation models for single-cell RNA sequencing (scRNA-seq) have shown promising capabilities in capturing gene expression patterns. However, current approaches face critical limitations: they ignore biological prior knowledge encoded in gene regulatory relationships and fail to leverage multi-omics signals that could provide complementary regulatory insights. In this paper, we propose GRNFormer, a new framework that systematically integrates multi-scale Gene Regulatory Networks (GRNs) inferred from multi-omics data into RNA foundation model training. Our framework introduces two key innovations. First, we introduce a pipeline for constructing hierarchical GRNs that capture regulatory relationships at both cell-type-specific and cell-specific resolutions. Second, we design a structure-aware integration framework that addresses the information asymmetry in GRNs through two technical advances: (1) A graph topological adapter using multi-head cross-attention to weight regulatory relationships dynamically, and (2) a novel edge perturbation strategy that perturb GRNs with biologically-informed co-expression links to augment graph neural network training. Comprehensive experiments have been conducted on three representative downstream tasks across multiple model architectures to demonstrate the effectiveness of GRNFormer. It achieves consistent improvements over state-of-the-art (SoTA) baselines: 3.6\\% increase in drug response prediction correlation, 9.6\\% improvement in single-cell drug classification AUC, and 1.1\\% average gain in gene perturbation prediction accuracy.</v>
      </c>
      <c r="D280" s="7" t="str">
        <f>IFERROR(__xludf.DUMMYFUNCTION("""COMPUTED_VALUE"""),"N/A")</f>
        <v>N/A</v>
      </c>
      <c r="E280" s="7" t="str">
        <f>IFERROR(__xludf.DUMMYFUNCTION("""COMPUTED_VALUE"""),"#N/A")</f>
        <v>#N/A</v>
      </c>
      <c r="F280" s="7" t="str">
        <f>IFERROR(__xludf.DUMMYFUNCTION("""COMPUTED_VALUE"""),"Not Pres. ")</f>
        <v>Not Pres. </v>
      </c>
      <c r="G280" s="7" t="str">
        <f>IFERROR(__xludf.DUMMYFUNCTION("""COMPUTED_VALUE"""),"NP Findings Not Presenting ")</f>
        <v>NP Findings Not Presenting </v>
      </c>
      <c r="H280" s="7"/>
      <c r="I280" s="7" t="str">
        <f>IFERROR(__xludf.DUMMYFUNCTION("""COMPUTED_VALUE"""),"NP-Find")</f>
        <v>NP-Find</v>
      </c>
      <c r="J280" s="7"/>
      <c r="K280" s="7"/>
      <c r="L280" s="8"/>
      <c r="M280" s="7"/>
      <c r="N280" s="7"/>
    </row>
    <row r="281">
      <c r="A281" s="7" t="str">
        <f>IFERROR(__xludf.DUMMYFUNCTION("""COMPUTED_VALUE"""),"865-FIND")</f>
        <v>865-FIND</v>
      </c>
      <c r="B281" s="7" t="str">
        <f>IFERROR(__xludf.DUMMYFUNCTION("""COMPUTED_VALUE"""),"RemoteRAG: A Privacy-Preserving LLM Cloud RAG Service")</f>
        <v>RemoteRAG: A Privacy-Preserving LLM Cloud RAG Service</v>
      </c>
      <c r="C281" s="7" t="str">
        <f>IFERROR(__xludf.DUMMYFUNCTION("""COMPUTED_VALUE"""),"Retrieval-augmented generation (RAG) improves the service quality of large language models by retrieving relevant documents from credible literature and integrating them into the context of the user query.Recently, the rise of the cloud RAG service has ma"&amp;"de it possible for users to query relevant documents conveniently.However, directly sending queries to the cloud brings potential privacy leakage.In this paper, we are the first to formally define the privacy-preserving cloud RAG service to protect the us"&amp;"er query and propose RemoteRAG as a solution regarding privacy, efficiency, and accuracy.For privacy, we introduce (n,𝜖)-DistanceDP to characterize privacy leakage of the user query and the leakage inferred from relevant documents.For efficiency, we limi"&amp;"t the search range from the total documents to a small number of selected documents related to a perturbed embedding generated from (n,𝜖)-DistanceDP, so that computation and communication costs required for privacy protection significantly decrease.For a"&amp;"ccuracy, we ensure that the small range includes target documents related to the user query with detailed theoretical analysis.Experimental results also demonstrate that RemoteRAG can resist existing embedding inversion attack methods while achieving no l"&amp;"oss in retrieval under various settings.Moreover, RemoteRAG is efficient, incurring only 0.67 seconds and 46.66KB of data transmission (2.72 hours and 1.43 GB with the non-optimized privacy-preserving scheme) when retrieving from a total of 105 documents.")</f>
        <v>Retrieval-augmented generation (RAG) improves the service quality of large language models by retrieving relevant documents from credible literature and integrating them into the context of the user query.Recently, the rise of the cloud RAG service has made it possible for users to query relevant documents conveniently.However, directly sending queries to the cloud brings potential privacy leakage.In this paper, we are the first to formally define the privacy-preserving cloud RAG service to protect the user query and propose RemoteRAG as a solution regarding privacy, efficiency, and accuracy.For privacy, we introduce (n,𝜖)-DistanceDP to characterize privacy leakage of the user query and the leakage inferred from relevant documents.For efficiency, we limit the search range from the total documents to a small number of selected documents related to a perturbed embedding generated from (n,𝜖)-DistanceDP, so that computation and communication costs required for privacy protection significantly decrease.For accuracy, we ensure that the small range includes target documents related to the user query with detailed theoretical analysis.Experimental results also demonstrate that RemoteRAG can resist existing embedding inversion attack methods while achieving no loss in retrieval under various settings.Moreover, RemoteRAG is efficient, incurring only 0.67 seconds and 46.66KB of data transmission (2.72 hours and 1.43 GB with the non-optimized privacy-preserving scheme) when retrieving from a total of 105 documents.</v>
      </c>
      <c r="D281" s="7" t="str">
        <f>IFERROR(__xludf.DUMMYFUNCTION("""COMPUTED_VALUE"""),"N/A")</f>
        <v>N/A</v>
      </c>
      <c r="E281" s="7" t="str">
        <f>IFERROR(__xludf.DUMMYFUNCTION("""COMPUTED_VALUE"""),"#N/A")</f>
        <v>#N/A</v>
      </c>
      <c r="F281" s="7" t="str">
        <f>IFERROR(__xludf.DUMMYFUNCTION("""COMPUTED_VALUE"""),"Not Pres. ")</f>
        <v>Not Pres. </v>
      </c>
      <c r="G281" s="7" t="str">
        <f>IFERROR(__xludf.DUMMYFUNCTION("""COMPUTED_VALUE"""),"NP Findings Not Presenting ")</f>
        <v>NP Findings Not Presenting </v>
      </c>
      <c r="H281" s="7"/>
      <c r="I281" s="7" t="str">
        <f>IFERROR(__xludf.DUMMYFUNCTION("""COMPUTED_VALUE"""),"NP-Find")</f>
        <v>NP-Find</v>
      </c>
      <c r="J281" s="7"/>
      <c r="K281" s="7"/>
      <c r="L281" s="8"/>
      <c r="M281" s="7"/>
      <c r="N281" s="7"/>
    </row>
    <row r="282">
      <c r="A282" s="7" t="str">
        <f>IFERROR(__xludf.DUMMYFUNCTION("""COMPUTED_VALUE"""),"866-FIND")</f>
        <v>866-FIND</v>
      </c>
      <c r="B282" s="7" t="str">
        <f>IFERROR(__xludf.DUMMYFUNCTION("""COMPUTED_VALUE"""),"""My life is miserable, have to sign 500 autographs everyday"": Exposing Humblebragging, the Brags in Disguise")</f>
        <v>"My life is miserable, have to sign 500 autographs everyday": Exposing Humblebragging, the Brags in Disguise</v>
      </c>
      <c r="C282" s="7" t="str">
        <f>IFERROR(__xludf.DUMMYFUNCTION("""COMPUTED_VALUE"""),"Humblebragging is a phenomenon where individuals present self-promotional statements under the guise of modesty or complaints. For example, a statement like, ""Ugh, I can't believe I got promoted to lead the entire team. So stressful!"", subtly highlights"&amp;" an achievement while pretending to be complaining. Detecting humblebragging is important for machines to better understand the nuances of human language, especially in tasks like sentiment analysis and intent recognition. However, this topic has not yet "&amp;"been studied in computational linguistics. For the first time, we introduce the task of automatically detecting humblebragging in text. We formalize the task by proposing a 4-tuple definition of humblebragging and evaluate machine learning, deep learning,"&amp;" and large language models (LLMs) on this task, comparing their performance with humans. We also create and release a dataset called HB24, containing 3,340 humblebrags generated using GPT-4o. Our experiments show that detecting humblebragging is non-trivi"&amp;"al, even for humans. Our best model achieves an F1-score of 0.88. This work lays the foundation for further exploration of this nuanced linguistic phenomenon and its integration into broader natural language understanding systems.")</f>
        <v>Humblebragging is a phenomenon where individuals present self-promotional statements under the guise of modesty or complaints. For example, a statement like, "Ugh, I can't believe I got promoted to lead the entire team. So stressful!", subtly highlights an achievement while pretending to be complaining. Detecting humblebragging is important for machines to better understand the nuances of human language, especially in tasks like sentiment analysis and intent recognition. However, this topic has not yet been studied in computational linguistics. For the first time, we introduce the task of automatically detecting humblebragging in text. We formalize the task by proposing a 4-tuple definition of humblebragging and evaluate machine learning, deep learning, and large language models (LLMs) on this task, comparing their performance with humans. We also create and release a dataset called HB24, containing 3,340 humblebrags generated using GPT-4o. Our experiments show that detecting humblebragging is non-trivial, even for humans. Our best model achieves an F1-score of 0.88. This work lays the foundation for further exploration of this nuanced linguistic phenomenon and its integration into broader natural language understanding systems.</v>
      </c>
      <c r="D282" s="7" t="str">
        <f>IFERROR(__xludf.DUMMYFUNCTION("""COMPUTED_VALUE"""),"Sharath Naganna")</f>
        <v>Sharath Naganna</v>
      </c>
      <c r="E282" s="7" t="str">
        <f>IFERROR(__xludf.DUMMYFUNCTION("""COMPUTED_VALUE"""),"Yes")</f>
        <v>Yes</v>
      </c>
      <c r="F282" s="7" t="str">
        <f>IFERROR(__xludf.DUMMYFUNCTION("""COMPUTED_VALUE"""),"IP-Poster")</f>
        <v>IP-Poster</v>
      </c>
      <c r="G282" s="7" t="str">
        <f>IFERROR(__xludf.DUMMYFUNCTION("""COMPUTED_VALUE"""),"In-Person")</f>
        <v>In-Person</v>
      </c>
      <c r="H282" s="7" t="str">
        <f>IFERROR(__xludf.DUMMYFUNCTION("""COMPUTED_VALUE"""),"Hall 4/5")</f>
        <v>Hall 4/5</v>
      </c>
      <c r="I282" s="7" t="str">
        <f>IFERROR(__xludf.DUMMYFUNCTION("""COMPUTED_VALUE"""),"Session 5 :IP-Posters Find ")</f>
        <v>Session 5 :IP-Posters Find </v>
      </c>
      <c r="J282" s="7" t="str">
        <f>IFERROR(__xludf.DUMMYFUNCTION("""COMPUTED_VALUE"""),"Findings Posters - In-Person 1")</f>
        <v>Findings Posters - In-Person 1</v>
      </c>
      <c r="K282" s="7"/>
      <c r="L282" s="8">
        <f>IFERROR(__xludf.DUMMYFUNCTION("""COMPUTED_VALUE"""),45866.0)</f>
        <v>45866</v>
      </c>
      <c r="M282" s="7" t="str">
        <f>IFERROR(__xludf.DUMMYFUNCTION("""COMPUTED_VALUE"""),"18:00-19:30")</f>
        <v>18:00-19:30</v>
      </c>
      <c r="N282" s="7"/>
    </row>
    <row r="283">
      <c r="A283" s="7" t="str">
        <f>IFERROR(__xludf.DUMMYFUNCTION("""COMPUTED_VALUE"""),"870-FIND")</f>
        <v>870-FIND</v>
      </c>
      <c r="B283" s="7" t="str">
        <f>IFERROR(__xludf.DUMMYFUNCTION("""COMPUTED_VALUE"""),"SCITAT: A Question Answering Benchmark for Scientific Tables and Text Covering Diverse Reasoning Types")</f>
        <v>SCITAT: A Question Answering Benchmark for Scientific Tables and Text Covering Diverse Reasoning Types</v>
      </c>
      <c r="C283" s="7" t="str">
        <f>IFERROR(__xludf.DUMMYFUNCTION("""COMPUTED_VALUE"""),"Scientific question answering (SQA) is an important task aimed at answering questions based on papers. However, current SQA datasets have limited reasoning types and neglect the relevance between tables and text, creating a significant gap with real scena"&amp;"rios. To address these challenges, we propose a QA benchmark for scientific tables and text with diverse reasoning types (SCITAT). To cover more reasoning types, we summarize various reasoning types from real-world questions. To reason on both tables and "&amp;"text, we require the questions to incorporate tables and text as much as possible. Based on SCITAT, we propose a baseline (CAR), which combines various reasoning methods to address different reasoning types and process tables and text at the same time. CA"&amp;"R brings average improvements of 4.1% over other baselines on SCITAT, validating its effectiveness. Error analysis reveals the challenges of SCITAT, such as complex numerical calculations and domain knowledge.")</f>
        <v>Scientific question answering (SQA) is an important task aimed at answering questions based on papers. However, current SQA datasets have limited reasoning types and neglect the relevance between tables and text, creating a significant gap with real scenarios. To address these challenges, we propose a QA benchmark for scientific tables and text with diverse reasoning types (SCITAT). To cover more reasoning types, we summarize various reasoning types from real-world questions. To reason on both tables and text, we require the questions to incorporate tables and text as much as possible. Based on SCITAT, we propose a baseline (CAR), which combines various reasoning methods to address different reasoning types and process tables and text at the same time. CAR brings average improvements of 4.1% over other baselines on SCITAT, validating its effectiveness. Error analysis reveals the challenges of SCITAT, such as complex numerical calculations and domain knowledge.</v>
      </c>
      <c r="D283" s="7" t="str">
        <f>IFERROR(__xludf.DUMMYFUNCTION("""COMPUTED_VALUE"""),"Xuanliang Zhang")</f>
        <v>Xuanliang Zhang</v>
      </c>
      <c r="E283" s="7" t="str">
        <f>IFERROR(__xludf.DUMMYFUNCTION("""COMPUTED_VALUE"""),"Yes")</f>
        <v>Yes</v>
      </c>
      <c r="F283" s="7" t="str">
        <f>IFERROR(__xludf.DUMMYFUNCTION("""COMPUTED_VALUE"""),"IP-Poster")</f>
        <v>IP-Poster</v>
      </c>
      <c r="G283" s="7" t="str">
        <f>IFERROR(__xludf.DUMMYFUNCTION("""COMPUTED_VALUE"""),"In-Person")</f>
        <v>In-Person</v>
      </c>
      <c r="H283" s="7" t="str">
        <f>IFERROR(__xludf.DUMMYFUNCTION("""COMPUTED_VALUE"""),"Hall 4/5")</f>
        <v>Hall 4/5</v>
      </c>
      <c r="I283" s="7" t="str">
        <f>IFERROR(__xludf.DUMMYFUNCTION("""COMPUTED_VALUE"""),"Session 5 :IP-Posters Find ")</f>
        <v>Session 5 :IP-Posters Find </v>
      </c>
      <c r="J283" s="7" t="str">
        <f>IFERROR(__xludf.DUMMYFUNCTION("""COMPUTED_VALUE"""),"Findings Posters - In-Person 1")</f>
        <v>Findings Posters - In-Person 1</v>
      </c>
      <c r="K283" s="7"/>
      <c r="L283" s="8">
        <f>IFERROR(__xludf.DUMMYFUNCTION("""COMPUTED_VALUE"""),45866.0)</f>
        <v>45866</v>
      </c>
      <c r="M283" s="7" t="str">
        <f>IFERROR(__xludf.DUMMYFUNCTION("""COMPUTED_VALUE"""),"18:00-19:30")</f>
        <v>18:00-19:30</v>
      </c>
      <c r="N283" s="7"/>
    </row>
    <row r="284">
      <c r="A284" s="7" t="str">
        <f>IFERROR(__xludf.DUMMYFUNCTION("""COMPUTED_VALUE"""),"874-FIND")</f>
        <v>874-FIND</v>
      </c>
      <c r="B284" s="7" t="str">
        <f>IFERROR(__xludf.DUMMYFUNCTION("""COMPUTED_VALUE"""),"TokenShapley: Token Level Context Attribution with Shapley Value")</f>
        <v>TokenShapley: Token Level Context Attribution with Shapley Value</v>
      </c>
      <c r="C284" s="7" t="str">
        <f>IFERROR(__xludf.DUMMYFUNCTION("""COMPUTED_VALUE"""),"Large language models (LLMs) demonstrate strong capabilities in in-context learning, but verifying the correctness of their generated responses remains a challenge. Prior work has explored attribution at the sentence level, but these methods fall short wh"&amp;"en users seek attribution for specific keywords within the response, such as numbers, years, or names. To address this limitation, we propose TokenShapley, a novel token-level attribution method that combines Shapley value-based data attribution with KNN-"&amp;"based retrieval techniques inspired by recent advances in KNN-augmented LLMs. By leveraging a precomputed datastore for contextual retrieval and computing Shapley values to quantify token importance, TokenShapley provides a fine-grained data attribution a"&amp;"pproach. Extensive evaluations on four benchmarks show that TokenShapley outperforms state-of-the-art baselines in token-level attribution, achieving a 11–23% improvement.")</f>
        <v>Large language models (LLMs) demonstrate strong capabilities in in-context learning, but verifying the correctness of their generated responses remains a challenge. Prior work has explored attribution at the sentence level, but these methods fall short when users seek attribution for specific keywords within the response, such as numbers, years, or names. To address this limitation, we propose TokenShapley, a novel token-level attribution method that combines Shapley value-based data attribution with KNN-based retrieval techniques inspired by recent advances in KNN-augmented LLMs. By leveraging a precomputed datastore for contextual retrieval and computing Shapley values to quantify token importance, TokenShapley provides a fine-grained data attribution approach. Extensive evaluations on four benchmarks show that TokenShapley outperforms state-of-the-art baselines in token-level attribution, achieving a 11–23% improvement.</v>
      </c>
      <c r="D284" s="7" t="str">
        <f>IFERROR(__xludf.DUMMYFUNCTION("""COMPUTED_VALUE"""),"Sirat Samyoun
Jian Du")</f>
        <v>Sirat Samyoun
Jian Du</v>
      </c>
      <c r="E284" s="7" t="str">
        <f>IFERROR(__xludf.DUMMYFUNCTION("""COMPUTED_VALUE"""),"Yes")</f>
        <v>Yes</v>
      </c>
      <c r="F284" s="7" t="str">
        <f>IFERROR(__xludf.DUMMYFUNCTION("""COMPUTED_VALUE"""),"IP-Poster")</f>
        <v>IP-Poster</v>
      </c>
      <c r="G284" s="7" t="str">
        <f>IFERROR(__xludf.DUMMYFUNCTION("""COMPUTED_VALUE"""),"In-Person")</f>
        <v>In-Person</v>
      </c>
      <c r="H284" s="7" t="str">
        <f>IFERROR(__xludf.DUMMYFUNCTION("""COMPUTED_VALUE"""),"Hall 4/5")</f>
        <v>Hall 4/5</v>
      </c>
      <c r="I284" s="7" t="str">
        <f>IFERROR(__xludf.DUMMYFUNCTION("""COMPUTED_VALUE"""),"Session 5 :IP-Posters Find ")</f>
        <v>Session 5 :IP-Posters Find </v>
      </c>
      <c r="J284" s="7" t="str">
        <f>IFERROR(__xludf.DUMMYFUNCTION("""COMPUTED_VALUE"""),"Findings Posters - In-Person 1")</f>
        <v>Findings Posters - In-Person 1</v>
      </c>
      <c r="K284" s="7"/>
      <c r="L284" s="8">
        <f>IFERROR(__xludf.DUMMYFUNCTION("""COMPUTED_VALUE"""),45866.0)</f>
        <v>45866</v>
      </c>
      <c r="M284" s="7" t="str">
        <f>IFERROR(__xludf.DUMMYFUNCTION("""COMPUTED_VALUE"""),"18:00-19:30")</f>
        <v>18:00-19:30</v>
      </c>
      <c r="N284" s="7"/>
    </row>
    <row r="285">
      <c r="A285" s="7" t="str">
        <f>IFERROR(__xludf.DUMMYFUNCTION("""COMPUTED_VALUE"""),"878-FIND")</f>
        <v>878-FIND</v>
      </c>
      <c r="B285" s="7" t="str">
        <f>IFERROR(__xludf.DUMMYFUNCTION("""COMPUTED_VALUE"""),"Entropy-based Exploration Conduction for Multi-step Reasoning")</f>
        <v>Entropy-based Exploration Conduction for Multi-step Reasoning</v>
      </c>
      <c r="C285" s="7" t="str">
        <f>IFERROR(__xludf.DUMMYFUNCTION("""COMPUTED_VALUE"""),"In large language model (LLM) reasoning, multi-step processes have proven effective for solving complex tasks. However, the depth of exploration can significantly affect the reasoning performance. Existing methods to automatically decide the depth often b"&amp;"ring high cost and lack flexibility, and thus undermine the model's reasoning accuracy. To address these issues, we propose Entropy-based Exploration Depth Conduction (Entro-duction), a novel method that dynamically adjusts the exploration depth during mu"&amp;"lti-step reasoning by monitoring LLM's output entropy and variance entropy. We employ these two metrics to capture the model's current uncertainty and the fluctuation of uncertainty across consecutive reasoning steps. Based on the observed changes, the LL"&amp;"M selects whether to deepen, expand or stop exploration according to the probability. In this way, we balance the reasoning accuracy and exploration effectiveness. Experimental results across four benchmark datasets demonstrate the efficacy of Entro-ducti"&amp;"on. We further conduct experiments and analysis on the components of Entro-duction to discuss their contributions to reasoning performance.")</f>
        <v>In large language model (LLM) reasoning, multi-step processes have proven effective for solving complex tasks. However, the depth of exploration can significantly affect the reasoning performance. Existing methods to automatically decide the depth often bring high cost and lack flexibility, and thus undermine the model's reasoning accuracy. To address these issues, we propose Entropy-based Exploration Depth Conduction (Entro-duction), a novel method that dynamically adjusts the exploration depth during multi-step reasoning by monitoring LLM's output entropy and variance entropy. We employ these two metrics to capture the model's current uncertainty and the fluctuation of uncertainty across consecutive reasoning steps. Based on the observed changes, the LLM selects whether to deepen, expand or stop exploration according to the probability. In this way, we balance the reasoning accuracy and exploration effectiveness. Experimental results across four benchmark datasets demonstrate the efficacy of Entro-duction. We further conduct experiments and analysis on the components of Entro-duction to discuss their contributions to reasoning performance.</v>
      </c>
      <c r="D285" s="7" t="str">
        <f>IFERROR(__xludf.DUMMYFUNCTION("""COMPUTED_VALUE"""),"N/A.")</f>
        <v>N/A.</v>
      </c>
      <c r="E285" s="7" t="str">
        <f>IFERROR(__xludf.DUMMYFUNCTION("""COMPUTED_VALUE"""),"#N/A")</f>
        <v>#N/A</v>
      </c>
      <c r="F285" s="7" t="str">
        <f>IFERROR(__xludf.DUMMYFUNCTION("""COMPUTED_VALUE"""),"Not Pres. ")</f>
        <v>Not Pres. </v>
      </c>
      <c r="G285" s="7" t="str">
        <f>IFERROR(__xludf.DUMMYFUNCTION("""COMPUTED_VALUE"""),"NP Findings Not Presenting ")</f>
        <v>NP Findings Not Presenting </v>
      </c>
      <c r="H285" s="7"/>
      <c r="I285" s="7" t="str">
        <f>IFERROR(__xludf.DUMMYFUNCTION("""COMPUTED_VALUE"""),"NP-Find")</f>
        <v>NP-Find</v>
      </c>
      <c r="J285" s="7"/>
      <c r="K285" s="7"/>
      <c r="L285" s="8"/>
      <c r="M285" s="7"/>
      <c r="N285" s="7"/>
    </row>
    <row r="286">
      <c r="A286" s="7" t="str">
        <f>IFERROR(__xludf.DUMMYFUNCTION("""COMPUTED_VALUE"""),"879-FIND")</f>
        <v>879-FIND</v>
      </c>
      <c r="B286" s="7" t="str">
        <f>IFERROR(__xludf.DUMMYFUNCTION("""COMPUTED_VALUE"""),"Taxonomizing Representational Harms using Speech Act Theory")</f>
        <v>Taxonomizing Representational Harms using Speech Act Theory</v>
      </c>
      <c r="C286" s="7" t="str">
        <f>IFERROR(__xludf.DUMMYFUNCTION("""COMPUTED_VALUE"""),"Representational harms are widely recognized among fairness-related harms caused by generative language systems. However, their definitions are commonly under-specified. We present a framework, grounded in speech act theory (Austin, 1962), that conceptual"&amp;"izes representational harms caused by generative language systems as the perlocutionary effects (i.e., real-world impacts) of particular types of illocutionary acts (i.e., system behaviors). Building on this argument and drawing on relevant literature fro"&amp;"m linguistic anthropology and sociolinguistics, we provide new definitions for stereotyping, demeaning, and erasure. We then use our framework to develop a granular taxonomy of illocutionary acts that cause representational harms, going beyond the high-le"&amp;"vel taxonomies presented in previous work. We also discuss the ways that our framework and taxonomy can support the development of valid measurement instruments. Finally, we demonstrate the utility of our framework and taxonomy via a case study that engag"&amp;"es with recent conceptual debates about what constitutes a representational harm and how such harms should be measured.")</f>
        <v>Representational harms are widely recognized among fairness-related harms caused by generative language systems. However, their definitions are commonly under-specified. We present a framework, grounded in speech act theory (Austin, 1962), that conceptualizes representational harms caused by generative language systems as the perlocutionary effects (i.e., real-world impacts) of particular types of illocutionary acts (i.e., system behaviors). Building on this argument and drawing on relevant literature from linguistic anthropology and sociolinguistics, we provide new definitions for stereotyping, demeaning, and erasure. We then use our framework to develop a granular taxonomy of illocutionary acts that cause representational harms, going beyond the high-level taxonomies presented in previous work. We also discuss the ways that our framework and taxonomy can support the development of valid measurement instruments. Finally, we demonstrate the utility of our framework and taxonomy via a case study that engages with recent conceptual debates about what constitutes a representational harm and how such harms should be measured.</v>
      </c>
      <c r="D286" s="7" t="str">
        <f>IFERROR(__xludf.DUMMYFUNCTION("""COMPUTED_VALUE"""),"Emily Corvi")</f>
        <v>Emily Corvi</v>
      </c>
      <c r="E286" s="7" t="str">
        <f>IFERROR(__xludf.DUMMYFUNCTION("""COMPUTED_VALUE"""),"Yes")</f>
        <v>Yes</v>
      </c>
      <c r="F286" s="7" t="str">
        <f>IFERROR(__xludf.DUMMYFUNCTION("""COMPUTED_VALUE"""),"V-Presentation")</f>
        <v>V-Presentation</v>
      </c>
      <c r="G286" s="7" t="str">
        <f>IFERROR(__xludf.DUMMYFUNCTION("""COMPUTED_VALUE"""),"Virtual/Gather")</f>
        <v>Virtual/Gather</v>
      </c>
      <c r="H286" s="7" t="str">
        <f>IFERROR(__xludf.DUMMYFUNCTION("""COMPUTED_VALUE"""),"Gather")</f>
        <v>Gather</v>
      </c>
      <c r="I286" s="7" t="str">
        <f>IFERROR(__xludf.DUMMYFUNCTION("""COMPUTED_VALUE"""),"Session5: V-Gather Find")</f>
        <v>Session5: V-Gather Find</v>
      </c>
      <c r="J286" s="7" t="str">
        <f>IFERROR(__xludf.DUMMYFUNCTION("""COMPUTED_VALUE"""),"Findings Posters - Virtual")</f>
        <v>Findings Posters - Virtual</v>
      </c>
      <c r="K286" s="7"/>
      <c r="L286" s="8">
        <f>IFERROR(__xludf.DUMMYFUNCTION("""COMPUTED_VALUE"""),45866.0)</f>
        <v>45866</v>
      </c>
      <c r="M286" s="7" t="str">
        <f>IFERROR(__xludf.DUMMYFUNCTION("""COMPUTED_VALUE"""),"18:00-19:30")</f>
        <v>18:00-19:30</v>
      </c>
      <c r="N286" s="7"/>
    </row>
    <row r="287">
      <c r="A287" s="7" t="str">
        <f>IFERROR(__xludf.DUMMYFUNCTION("""COMPUTED_VALUE"""),"880-FIND")</f>
        <v>880-FIND</v>
      </c>
      <c r="B287" s="7" t="str">
        <f>IFERROR(__xludf.DUMMYFUNCTION("""COMPUTED_VALUE"""),"Turning Conversations into Workflows: A Framework to Extract and Evaluate Dialog Workflows for Service AI Agents")</f>
        <v>Turning Conversations into Workflows: A Framework to Extract and Evaluate Dialog Workflows for Service AI Agents</v>
      </c>
      <c r="C287" s="7" t="str">
        <f>IFERROR(__xludf.DUMMYFUNCTION("""COMPUTED_VALUE"""),"Automated service agents require well-structured workflows to deliver consistent and accurate responses to customer queries. However, such workflows are often undocumented, and their automatic extraction from conversations remains largely unexplored. In t"&amp;"his work, we present a novel framework for extracting and evaluating dialog workflows from historical interactions. Our extraction process involves two key stages: (1) a retrieval step to select relevant conversations based on key procedural elements, and"&amp;" (2) a structured workflow generation step using question-answer-based chain-of-thought (QA-CoT) prompting. To comprehensively evaluate the quality of the extracted workflows, we introduce an automated simulation framework with agent and customer bots tha"&amp;"t measures their effectiveness in resolving customer issues. Extensive experiments on the ABCD and SynthABCD datasets show that our QA-CoT technique improves workflow extraction by 12.16\% in average macro accuracy over the baseline. Moreover, our evaluat"&amp;"ion method closely aligns with human assessments, offering a reliable and scalable framework for future research.")</f>
        <v>Automated service agents require well-structured workflows to deliver consistent and accurate responses to customer queries. However, such workflows are often undocumented, and their automatic extraction from conversations remains largely unexplored. In this work, we present a novel framework for extracting and evaluating dialog workflows from historical interactions. Our extraction process involves two key stages: (1) a retrieval step to select relevant conversations based on key procedural elements, and (2) a structured workflow generation step using question-answer-based chain-of-thought (QA-CoT) prompting. To comprehensively evaluate the quality of the extracted workflows, we introduce an automated simulation framework with agent and customer bots that measures their effectiveness in resolving customer issues. Extensive experiments on the ABCD and SynthABCD datasets show that our QA-CoT technique improves workflow extraction by 12.16\% in average macro accuracy over the baseline. Moreover, our evaluation method closely aligns with human assessments, offering a reliable and scalable framework for future research.</v>
      </c>
      <c r="D287" s="7" t="str">
        <f>IFERROR(__xludf.DUMMYFUNCTION("""COMPUTED_VALUE"""),"NA")</f>
        <v>NA</v>
      </c>
      <c r="E287" s="7" t="str">
        <f>IFERROR(__xludf.DUMMYFUNCTION("""COMPUTED_VALUE"""),"#N/A")</f>
        <v>#N/A</v>
      </c>
      <c r="F287" s="7" t="str">
        <f>IFERROR(__xludf.DUMMYFUNCTION("""COMPUTED_VALUE"""),"Not Pres. ")</f>
        <v>Not Pres. </v>
      </c>
      <c r="G287" s="7" t="str">
        <f>IFERROR(__xludf.DUMMYFUNCTION("""COMPUTED_VALUE"""),"NP Findings Not Presenting ")</f>
        <v>NP Findings Not Presenting </v>
      </c>
      <c r="H287" s="7"/>
      <c r="I287" s="7" t="str">
        <f>IFERROR(__xludf.DUMMYFUNCTION("""COMPUTED_VALUE"""),"NP-Find")</f>
        <v>NP-Find</v>
      </c>
      <c r="J287" s="7"/>
      <c r="K287" s="7"/>
      <c r="L287" s="8"/>
      <c r="M287" s="7"/>
      <c r="N287" s="7"/>
    </row>
    <row r="288">
      <c r="A288" s="7" t="str">
        <f>IFERROR(__xludf.DUMMYFUNCTION("""COMPUTED_VALUE"""),"892-FIND")</f>
        <v>892-FIND</v>
      </c>
      <c r="B288" s="7" t="str">
        <f>IFERROR(__xludf.DUMMYFUNCTION("""COMPUTED_VALUE"""),"Statistical inference on black-box generative models in the data kernel perspective space")</f>
        <v>Statistical inference on black-box generative models in the data kernel perspective space</v>
      </c>
      <c r="C288" s="7" t="str">
        <f>IFERROR(__xludf.DUMMYFUNCTION("""COMPUTED_VALUE"""),"Generative models are capable of producing human-expert level content across a variety of topics and domains. As the impact of generative models grows, it is necessary to develop statistical methods to understand collections of available models. These met"&amp;"hods are particularly important in settings where the user may not have access to information related to a model's pre-training data, weights, or other relevant model-level covariates. In this paper we extend recent results on representations of black-box"&amp;" generative models to model-level statistical inference tasks. We demonstrate that the model-level representations are effective for multiple inference tasks.")</f>
        <v>Generative models are capable of producing human-expert level content across a variety of topics and domains. As the impact of generative models grows, it is necessary to develop statistical methods to understand collections of available models. These methods are particularly important in settings where the user may not have access to information related to a model's pre-training data, weights, or other relevant model-level covariates. In this paper we extend recent results on representations of black-box generative models to model-level statistical inference tasks. We demonstrate that the model-level representations are effective for multiple inference tasks.</v>
      </c>
      <c r="D288" s="7" t="str">
        <f>IFERROR(__xludf.DUMMYFUNCTION("""COMPUTED_VALUE"""),"Hayden Helm")</f>
        <v>Hayden Helm</v>
      </c>
      <c r="E288" s="7" t="str">
        <f>IFERROR(__xludf.DUMMYFUNCTION("""COMPUTED_VALUE"""),"Yes")</f>
        <v>Yes</v>
      </c>
      <c r="F288" s="7" t="str">
        <f>IFERROR(__xludf.DUMMYFUNCTION("""COMPUTED_VALUE"""),"IP-Poster")</f>
        <v>IP-Poster</v>
      </c>
      <c r="G288" s="7" t="str">
        <f>IFERROR(__xludf.DUMMYFUNCTION("""COMPUTED_VALUE"""),"In-Person")</f>
        <v>In-Person</v>
      </c>
      <c r="H288" s="7" t="str">
        <f>IFERROR(__xludf.DUMMYFUNCTION("""COMPUTED_VALUE"""),"Hall 4/5")</f>
        <v>Hall 4/5</v>
      </c>
      <c r="I288" s="7" t="str">
        <f>IFERROR(__xludf.DUMMYFUNCTION("""COMPUTED_VALUE"""),"Session 5 :IP-Posters Find ")</f>
        <v>Session 5 :IP-Posters Find </v>
      </c>
      <c r="J288" s="7" t="str">
        <f>IFERROR(__xludf.DUMMYFUNCTION("""COMPUTED_VALUE"""),"Findings Posters - In-Person 1")</f>
        <v>Findings Posters - In-Person 1</v>
      </c>
      <c r="K288" s="7"/>
      <c r="L288" s="8">
        <f>IFERROR(__xludf.DUMMYFUNCTION("""COMPUTED_VALUE"""),45866.0)</f>
        <v>45866</v>
      </c>
      <c r="M288" s="7" t="str">
        <f>IFERROR(__xludf.DUMMYFUNCTION("""COMPUTED_VALUE"""),"18:00-19:30")</f>
        <v>18:00-19:30</v>
      </c>
      <c r="N288" s="7"/>
    </row>
    <row r="289">
      <c r="A289" s="7" t="str">
        <f>IFERROR(__xludf.DUMMYFUNCTION("""COMPUTED_VALUE"""),"896-FIND")</f>
        <v>896-FIND</v>
      </c>
      <c r="B289" s="7" t="str">
        <f>IFERROR(__xludf.DUMMYFUNCTION("""COMPUTED_VALUE"""),"Do Large Language Models Perform Latent Multi-Hop Reasoning without Exploiting Shortcuts?")</f>
        <v>Do Large Language Models Perform Latent Multi-Hop Reasoning without Exploiting Shortcuts?</v>
      </c>
      <c r="C289" s="7" t="str">
        <f>IFERROR(__xludf.DUMMYFUNCTION("""COMPUTED_VALUE"""),"We evaluate how well Large Language Models (LLMs) latently recall and compose facts to answer multi-hop queries like ""In the year Scarlett Johansson was born, the Summer Olympics were hosted in the country of"". One major challenge in such evaluation is "&amp;"that LLMs may have developed shortcuts by encountering the head entity ""Scarlett Johansson"" and the answer entity ""United States"" in the same training sequences or merely guess the answer based on frequency-based priors. To prevent shortcuts, we exclu"&amp;"de test queries where the head and answer entities might have co-appeared during training. Through careful selection of relations and facts and systematic removal of cases where models might guess answers or exploit partial matches, we construct an evalua"&amp;"tion dataset SOCRATES (ShOrtCut-fRee lATent rEaSoning). We observe that LLMs demonstrate promising latent multi-hop reasoning abilities without exploiting shortcuts, but only for certain types of queries. For queries requiring latent recall of countries a"&amp;"s the intermediate answer, the best models achieve 80% latent composability, but this drops to just 5% for the recall of years. Comparisons with Chain-of-Thought highlight a significant gap between the ability of models to reason latently versus explicitl"&amp;"y. Analysis reveals that latent representations of the intermediate answer are constructed more often in queries with higher latent composability, and shows the emergence of latent multi-hop reasoning during pretraining.")</f>
        <v>We evaluate how well Large Language Models (LLMs) latently recall and compose facts to answer multi-hop queries like "In the year Scarlett Johansson was born, the Summer Olympics were hosted in the country of". One major challenge in such evaluation is that LLMs may have developed shortcuts by encountering the head entity "Scarlett Johansson" and the answer entity "United States" in the same training sequences or merely guess the answer based on frequency-based priors. To prevent shortcuts, we exclude test queries where the head and answer entities might have co-appeared during training. Through careful selection of relations and facts and systematic removal of cases where models might guess answers or exploit partial matches, we construct an evaluation dataset SOCRATES (ShOrtCut-fRee lATent rEaSoning). We observe that LLMs demonstrate promising latent multi-hop reasoning abilities without exploiting shortcuts, but only for certain types of queries. For queries requiring latent recall of countries as the intermediate answer, the best models achieve 80% latent composability, but this drops to just 5% for the recall of years. Comparisons with Chain-of-Thought highlight a significant gap between the ability of models to reason latently versus explicitly. Analysis reveals that latent representations of the intermediate answer are constructed more often in queries with higher latent composability, and shows the emergence of latent multi-hop reasoning during pretraining.</v>
      </c>
      <c r="D289" s="7" t="str">
        <f>IFERROR(__xludf.DUMMYFUNCTION("""COMPUTED_VALUE"""),"Sohee Yang")</f>
        <v>Sohee Yang</v>
      </c>
      <c r="E289" s="7" t="str">
        <f>IFERROR(__xludf.DUMMYFUNCTION("""COMPUTED_VALUE"""),"Yes")</f>
        <v>Yes</v>
      </c>
      <c r="F289" s="7" t="str">
        <f>IFERROR(__xludf.DUMMYFUNCTION("""COMPUTED_VALUE"""),"IP-Poster")</f>
        <v>IP-Poster</v>
      </c>
      <c r="G289" s="7" t="str">
        <f>IFERROR(__xludf.DUMMYFUNCTION("""COMPUTED_VALUE"""),"In-Person")</f>
        <v>In-Person</v>
      </c>
      <c r="H289" s="7" t="str">
        <f>IFERROR(__xludf.DUMMYFUNCTION("""COMPUTED_VALUE"""),"Hall 4/5")</f>
        <v>Hall 4/5</v>
      </c>
      <c r="I289" s="7" t="str">
        <f>IFERROR(__xludf.DUMMYFUNCTION("""COMPUTED_VALUE"""),"Session 5 :IP-Posters Find ")</f>
        <v>Session 5 :IP-Posters Find </v>
      </c>
      <c r="J289" s="7" t="str">
        <f>IFERROR(__xludf.DUMMYFUNCTION("""COMPUTED_VALUE"""),"Findings Posters - In-Person 1")</f>
        <v>Findings Posters - In-Person 1</v>
      </c>
      <c r="K289" s="7"/>
      <c r="L289" s="8">
        <f>IFERROR(__xludf.DUMMYFUNCTION("""COMPUTED_VALUE"""),45866.0)</f>
        <v>45866</v>
      </c>
      <c r="M289" s="7" t="str">
        <f>IFERROR(__xludf.DUMMYFUNCTION("""COMPUTED_VALUE"""),"18:00-19:30")</f>
        <v>18:00-19:30</v>
      </c>
      <c r="N289" s="7"/>
    </row>
    <row r="290">
      <c r="A290" s="7" t="str">
        <f>IFERROR(__xludf.DUMMYFUNCTION("""COMPUTED_VALUE"""),"897-FIND")</f>
        <v>897-FIND</v>
      </c>
      <c r="B290" s="7" t="str">
        <f>IFERROR(__xludf.DUMMYFUNCTION("""COMPUTED_VALUE"""),"AceMath: Advancing Frontier Math Reasoning with Post-Training and Reward Modeling")</f>
        <v>AceMath: Advancing Frontier Math Reasoning with Post-Training and Reward Modeling</v>
      </c>
      <c r="C290" s="7" t="str">
        <f>IFERROR(__xludf.DUMMYFUNCTION("""COMPUTED_VALUE"""),"In this paper, we introduce AceMath, a suite of frontier math models that excel in solving complex math problems, along with highly effective reward models capable of evaluating generated solutions and reliably identifying the correct ones. To develop the"&amp;" instruction-tuned math models, we propose a supervised fine-tuning (SFT) process that first achieves competitive performance across general domains, followed by targeted fine-tuning for the math domain using a carefully curated set of prompts and synthet"&amp;"ically generated responses. The resulting model, AceMath-72B-Instruct greatly outperforms Qwen2.5-Math-72B-Instruct, GPT-4o and Claude-3.5 Sonnet. To develop math-specialized reward model, we first construct AceMath-RewardBench, a comprehensive and robust"&amp;" benchmark for evaluating math reward models across diverse problems and difficulty levels. After that, we present a systematic approach to build our math reward models. The resulting model, AceMath-72B-RM, consistently outperforms state-of-the-art reward"&amp;" models. Furthermore, when combining AceMath-72B-Instruct with AceMath-72B-RM, we achieve the highest average rm@8 score across the math reasoning benchmarks.")</f>
        <v>In this paper, we introduce AceMath, a suite of frontier math models that excel in solving complex math problems, along with highly effective reward models capable of evaluating generated solutions and reliably identifying the correct ones. To develop the instruction-tuned math models, we propose a supervised fine-tuning (SFT) process that first achieves competitive performance across general domains, followed by targeted fine-tuning for the math domain using a carefully curated set of prompts and synthetically generated responses. The resulting model, AceMath-72B-Instruct greatly outperforms Qwen2.5-Math-72B-Instruct, GPT-4o and Claude-3.5 Sonnet. To develop math-specialized reward model, we first construct AceMath-RewardBench, a comprehensive and robust benchmark for evaluating math reward models across diverse problems and difficulty levels. After that, we present a systematic approach to build our math reward models. The resulting model, AceMath-72B-RM, consistently outperforms state-of-the-art reward models. Furthermore, when combining AceMath-72B-Instruct with AceMath-72B-RM, we achieve the highest average rm@8 score across the math reasoning benchmarks.</v>
      </c>
      <c r="D290" s="7" t="str">
        <f>IFERROR(__xludf.DUMMYFUNCTION("""COMPUTED_VALUE"""),"Zihan Liu")</f>
        <v>Zihan Liu</v>
      </c>
      <c r="E290" s="7" t="str">
        <f>IFERROR(__xludf.DUMMYFUNCTION("""COMPUTED_VALUE"""),"N/A")</f>
        <v>N/A</v>
      </c>
      <c r="F290" s="7" t="str">
        <f>IFERROR(__xludf.DUMMYFUNCTION("""COMPUTED_VALUE"""),"Not Pres. ")</f>
        <v>Not Pres. </v>
      </c>
      <c r="G290" s="7"/>
      <c r="H290" s="7"/>
      <c r="I290" s="7" t="str">
        <f>IFERROR(__xludf.DUMMYFUNCTION("""COMPUTED_VALUE"""),"NP-Find")</f>
        <v>NP-Find</v>
      </c>
      <c r="J290" s="7"/>
      <c r="K290" s="7"/>
      <c r="L290" s="8"/>
      <c r="M290" s="7"/>
      <c r="N290" s="7"/>
    </row>
    <row r="291">
      <c r="A291" s="7" t="str">
        <f>IFERROR(__xludf.DUMMYFUNCTION("""COMPUTED_VALUE"""),"900-FIND")</f>
        <v>900-FIND</v>
      </c>
      <c r="B291" s="7" t="str">
        <f>IFERROR(__xludf.DUMMYFUNCTION("""COMPUTED_VALUE"""),"WXImpactBench: A Disruptive Weather Impact Understanding Benchmark for Evaluating Large Language Models")</f>
        <v>WXImpactBench: A Disruptive Weather Impact Understanding Benchmark for Evaluating Large Language Models</v>
      </c>
      <c r="C291" s="7" t="str">
        <f>IFERROR(__xludf.DUMMYFUNCTION("""COMPUTED_VALUE"""),"Climate change adaptation requires the understanding of disruptive weather impacts on society, where large language models (LLMs) might be applicable. However, their effectiveness is under-explored due to the difficulty of high-quality corpus collection a"&amp;"nd the lack of available benchmarks. The climate-related events stored in regional newspapers record how communities adapted and recovered from disasters. However, the processing of the original corpus is non-trivial. In this study, we first develop a dis"&amp;"ruptive weather impact dataset with a four-stage well-crafted construction pipeline. Then, we propose WXImpactBench, the first benchmark for evaluating the capacity of LLMs on disruptive weather impacts. The benchmark involves two evaluation tasks, multi-"&amp;"label classification and ranking-based question answering. Extensive experiments on evaluating a set of LLMs provide first-hand analysis of the challenges in developing disruptive weather impact understanding and climate change adaptation systems. The con"&amp;"structed dataset and the code for the evaluation framework are available to help society protect against vulnerabilities from disasters.")</f>
        <v>Climate change adaptation requires the understanding of disruptive weather impacts on society, where large language models (LLMs) might be applicable. However, their effectiveness is under-explored due to the difficulty of high-quality corpus collection and the lack of available benchmarks. The climate-related events stored in regional newspapers record how communities adapted and recovered from disasters. However, the processing of the original corpus is non-trivial. In this study, we first develop a disruptive weather impact dataset with a four-stage well-crafted construction pipeline. Then, we propose WXImpactBench, the first benchmark for evaluating the capacity of LLMs on disruptive weather impacts. The benchmark involves two evaluation tasks, multi-label classification and ranking-based question answering. Extensive experiments on evaluating a set of LLMs provide first-hand analysis of the challenges in developing disruptive weather impact understanding and climate change adaptation systems. The constructed dataset and the code for the evaluation framework are available to help society protect against vulnerabilities from disasters.</v>
      </c>
      <c r="D291" s="7" t="str">
        <f>IFERROR(__xludf.DUMMYFUNCTION("""COMPUTED_VALUE"""),"Yongan Yu")</f>
        <v>Yongan Yu</v>
      </c>
      <c r="E291" s="7" t="str">
        <f>IFERROR(__xludf.DUMMYFUNCTION("""COMPUTED_VALUE"""),"Yes")</f>
        <v>Yes</v>
      </c>
      <c r="F291" s="7" t="str">
        <f>IFERROR(__xludf.DUMMYFUNCTION("""COMPUTED_VALUE"""),"IP-Poster")</f>
        <v>IP-Poster</v>
      </c>
      <c r="G291" s="7" t="str">
        <f>IFERROR(__xludf.DUMMYFUNCTION("""COMPUTED_VALUE"""),"In-Person")</f>
        <v>In-Person</v>
      </c>
      <c r="H291" s="7" t="str">
        <f>IFERROR(__xludf.DUMMYFUNCTION("""COMPUTED_VALUE"""),"Hall 4/5")</f>
        <v>Hall 4/5</v>
      </c>
      <c r="I291" s="7" t="str">
        <f>IFERROR(__xludf.DUMMYFUNCTION("""COMPUTED_VALUE"""),"Session 5 :IP-Posters Find ")</f>
        <v>Session 5 :IP-Posters Find </v>
      </c>
      <c r="J291" s="7" t="str">
        <f>IFERROR(__xludf.DUMMYFUNCTION("""COMPUTED_VALUE"""),"Findings Posters - In-Person 1")</f>
        <v>Findings Posters - In-Person 1</v>
      </c>
      <c r="K291" s="7"/>
      <c r="L291" s="8">
        <f>IFERROR(__xludf.DUMMYFUNCTION("""COMPUTED_VALUE"""),45866.0)</f>
        <v>45866</v>
      </c>
      <c r="M291" s="7" t="str">
        <f>IFERROR(__xludf.DUMMYFUNCTION("""COMPUTED_VALUE"""),"18:00-19:30")</f>
        <v>18:00-19:30</v>
      </c>
      <c r="N291" s="7"/>
    </row>
    <row r="292">
      <c r="A292" s="7" t="str">
        <f>IFERROR(__xludf.DUMMYFUNCTION("""COMPUTED_VALUE"""),"910-FIND")</f>
        <v>910-FIND</v>
      </c>
      <c r="B292" s="7" t="str">
        <f>IFERROR(__xludf.DUMMYFUNCTION("""COMPUTED_VALUE"""),"MeMoTune: A Measure and Moment-Driven Fine-Tuning Framework for Quantized Large Language Models")</f>
        <v>MeMoTune: A Measure and Moment-Driven Fine-Tuning Framework for Quantized Large Language Models</v>
      </c>
      <c r="C292" s="7" t="str">
        <f>IFERROR(__xludf.DUMMYFUNCTION("""COMPUTED_VALUE"""),"Quantizing large language models (LLMs) is essential for reducing memory and computational costs in natural language processing. Existing methods combine quantization with parameter-efficient fine-tuning but often fail to meet practical performance requir"&amp;"ements. This paper introduces MeMoTune, a novel fine-tuning framework for quantized LLMs. By employing a measure and moment approach within a low-rank approximation framework in probability measure space, MeMoTune optimizes the objective function for supe"&amp;"rior fine-tuning results. The update process is further refined through scaled gradient, enhancing convergence efficiency and noise robustness. Experiments on tasks like text generation, summarization, and understanding show MeMoTune significantly outperf"&amp;"orms state-of-the-art methods, e.g. fine-tuning Llama2-13B on GSM8K improves accuracy by 5.5\%, while fine-tuning DeBERTaV3-base on CoLA of GLUE increases Matthews correlation by 1.7\%.  The code is publicly available at: https://github.com/hddyyyb/MeMoTu"&amp;"ne.")</f>
        <v>Quantizing large language models (LLMs) is essential for reducing memory and computational costs in natural language processing. Existing methods combine quantization with parameter-efficient fine-tuning but often fail to meet practical performance requirements. This paper introduces MeMoTune, a novel fine-tuning framework for quantized LLMs. By employing a measure and moment approach within a low-rank approximation framework in probability measure space, MeMoTune optimizes the objective function for superior fine-tuning results. The update process is further refined through scaled gradient, enhancing convergence efficiency and noise robustness. Experiments on tasks like text generation, summarization, and understanding show MeMoTune significantly outperforms state-of-the-art methods, e.g. fine-tuning Llama2-13B on GSM8K improves accuracy by 5.5\%, while fine-tuning DeBERTaV3-base on CoLA of GLUE increases Matthews correlation by 1.7\%.  The code is publicly available at: https://github.com/hddyyyb/MeMoTune.</v>
      </c>
      <c r="D292" s="7" t="str">
        <f>IFERROR(__xludf.DUMMYFUNCTION("""COMPUTED_VALUE"""),"N/A")</f>
        <v>N/A</v>
      </c>
      <c r="E292" s="7" t="str">
        <f>IFERROR(__xludf.DUMMYFUNCTION("""COMPUTED_VALUE"""),"#N/A")</f>
        <v>#N/A</v>
      </c>
      <c r="F292" s="7" t="str">
        <f>IFERROR(__xludf.DUMMYFUNCTION("""COMPUTED_VALUE"""),"Not Pres. ")</f>
        <v>Not Pres. </v>
      </c>
      <c r="G292" s="7" t="str">
        <f>IFERROR(__xludf.DUMMYFUNCTION("""COMPUTED_VALUE"""),"NP Findings Not Presenting ")</f>
        <v>NP Findings Not Presenting </v>
      </c>
      <c r="H292" s="7"/>
      <c r="I292" s="7" t="str">
        <f>IFERROR(__xludf.DUMMYFUNCTION("""COMPUTED_VALUE"""),"NP-Find")</f>
        <v>NP-Find</v>
      </c>
      <c r="J292" s="7"/>
      <c r="K292" s="7"/>
      <c r="L292" s="8"/>
      <c r="M292" s="7"/>
      <c r="N292" s="7"/>
    </row>
    <row r="293">
      <c r="A293" s="7" t="str">
        <f>IFERROR(__xludf.DUMMYFUNCTION("""COMPUTED_VALUE"""),"914-FIND")</f>
        <v>914-FIND</v>
      </c>
      <c r="B293" s="7" t="str">
        <f>IFERROR(__xludf.DUMMYFUNCTION("""COMPUTED_VALUE"""),"MALAMUTE: A Multilingual, Highly-granular, Template-free, Education-based Probing Dataset")</f>
        <v>MALAMUTE: A Multilingual, Highly-granular, Template-free, Education-based Probing Dataset</v>
      </c>
      <c r="C293" s="7" t="str">
        <f>IFERROR(__xludf.DUMMYFUNCTION("""COMPUTED_VALUE"""),"Language models (LMs) have excelled in various broad domains. However, to ensure their safe and effective integration into real-world educational settings, they must demonstrate proficiency in specific, granular areas of knowledge. Existing cloze-style be"&amp;"nchmarks, commonly used to evaluate LMs' knowledge, have three major limitations. They: 1) do not cover the educational domain; 2) typically focus on low-complexity, generic knowledge or broad domains, which do not adequately assess the models' knowledge "&amp;"in specific subjects; and 3) often rely on templates that can bias model predictions. Here, we introduce MALAMUTE, a multilingual, template-free, and highly granular probing dataset comprising expert-written, peer-reviewed probes from 71 university-level "&amp;"textbooks across three languages (English, Spanish, and Polish). MALAMUTE is the first education-based cloze-style dataset. It covers eight domains, each with up to 14 subdomains, further broken down into concepts and concept-based prompts, totaling 33,36"&amp;"1 university curriculum concepts and 116,887 prompts. MALAMUTE's fine granularity, educational focus, and inclusion of both sentence-level and paragraph-level prompts make it an ideal tool for evaluating LMs' course-related knowledge. Our evaluation of ma"&amp;"sked and causal LMs on MALAMUTE shows that despite overall proficiency, they have significant gaps in knowledge when examined closely on specific subjects, hindering their safe use in classrooms and underscoring the need for further development.")</f>
        <v>Language models (LMs) have excelled in various broad domains. However, to ensure their safe and effective integration into real-world educational settings, they must demonstrate proficiency in specific, granular areas of knowledge. Existing cloze-style benchmarks, commonly used to evaluate LMs' knowledge, have three major limitations. They: 1) do not cover the educational domain; 2) typically focus on low-complexity, generic knowledge or broad domains, which do not adequately assess the models' knowledge in specific subjects; and 3) often rely on templates that can bias model predictions. Here, we introduce MALAMUTE, a multilingual, template-free, and highly granular probing dataset comprising expert-written, peer-reviewed probes from 71 university-level textbooks across three languages (English, Spanish, and Polish). MALAMUTE is the first education-based cloze-style dataset. It covers eight domains, each with up to 14 subdomains, further broken down into concepts and concept-based prompts, totaling 33,361 university curriculum concepts and 116,887 prompts. MALAMUTE's fine granularity, educational focus, and inclusion of both sentence-level and paragraph-level prompts make it an ideal tool for evaluating LMs' course-related knowledge. Our evaluation of masked and causal LMs on MALAMUTE shows that despite overall proficiency, they have significant gaps in knowledge when examined closely on specific subjects, hindering their safe use in classrooms and underscoring the need for further development.</v>
      </c>
      <c r="D293" s="7" t="str">
        <f>IFERROR(__xludf.DUMMYFUNCTION("""COMPUTED_VALUE"""),"Sagi Shaier")</f>
        <v>Sagi Shaier</v>
      </c>
      <c r="E293" s="7" t="str">
        <f>IFERROR(__xludf.DUMMYFUNCTION("""COMPUTED_VALUE"""),"#N/A")</f>
        <v>#N/A</v>
      </c>
      <c r="F293" s="7" t="str">
        <f>IFERROR(__xludf.DUMMYFUNCTION("""COMPUTED_VALUE"""),"Not Pres. ")</f>
        <v>Not Pres. </v>
      </c>
      <c r="G293" s="7" t="str">
        <f>IFERROR(__xludf.DUMMYFUNCTION("""COMPUTED_VALUE"""),"NP Findings Not Presenting ")</f>
        <v>NP Findings Not Presenting </v>
      </c>
      <c r="H293" s="7"/>
      <c r="I293" s="7" t="str">
        <f>IFERROR(__xludf.DUMMYFUNCTION("""COMPUTED_VALUE"""),"NP-Find")</f>
        <v>NP-Find</v>
      </c>
      <c r="J293" s="7"/>
      <c r="K293" s="7"/>
      <c r="L293" s="8"/>
      <c r="M293" s="7"/>
      <c r="N293" s="7"/>
    </row>
    <row r="294">
      <c r="A294" s="7" t="str">
        <f>IFERROR(__xludf.DUMMYFUNCTION("""COMPUTED_VALUE"""),"915-FIND")</f>
        <v>915-FIND</v>
      </c>
      <c r="B294" s="7" t="str">
        <f>IFERROR(__xludf.DUMMYFUNCTION("""COMPUTED_VALUE"""),"Sentimental Image Generation for Aspect-based Sentiment Analysis")</f>
        <v>Sentimental Image Generation for Aspect-based Sentiment Analysis</v>
      </c>
      <c r="C294" s="7" t="str">
        <f>IFERROR(__xludf.DUMMYFUNCTION("""COMPUTED_VALUE"""),"Recent research work on textual Aspect-Based Sentiment Analysis (ABSA) have achieved promising performance. However, a persistent challenge lies in the limited semantics derived from the raw data. To address this issue, researchers have explored enhancing"&amp;" textual ABSA with additional augmentations, they either craft audio, text and linguistic features based on the input, or rely on user-posted images. Yet these approaches have their limitations: the former three formations are heavily overlap with the ori"&amp;"ginal data, which undermines their ability to be supplementary while the user-posted images are extremely dependent on human annotation, which not only limits its application scope to just a handful of text-image datasets, but also propagates the errors d"&amp;"erived from human mistakes to the entire downstream loop. In this study, we explore the way of generating the sentimental image that no one has ever ventured before. We propose a novel Sentimental Image Generation method that can precisely provide ancilla"&amp;"ry visual semantics to reinforce the textual extraction as shown in Figure 1. Extensive experiments build a new SOTA performance in ACOS, ASQP and en-Phone datasets, underscoring the effectiveness of our method and highlighting a promising direction for e"&amp;"xpanding our features.")</f>
        <v>Recent research work on textual Aspect-Based Sentiment Analysis (ABSA) have achieved promising performance. However, a persistent challenge lies in the limited semantics derived from the raw data. To address this issue, researchers have explored enhancing textual ABSA with additional augmentations, they either craft audio, text and linguistic features based on the input, or rely on user-posted images. Yet these approaches have their limitations: the former three formations are heavily overlap with the original data, which undermines their ability to be supplementary while the user-posted images are extremely dependent on human annotation, which not only limits its application scope to just a handful of text-image datasets, but also propagates the errors derived from human mistakes to the entire downstream loop. In this study, we explore the way of generating the sentimental image that no one has ever ventured before. We propose a novel Sentimental Image Generation method that can precisely provide ancillary visual semantics to reinforce the textual extraction as shown in Figure 1. Extensive experiments build a new SOTA performance in ACOS, ASQP and en-Phone datasets, underscoring the effectiveness of our method and highlighting a promising direction for expanding our features.</v>
      </c>
      <c r="D294" s="7" t="str">
        <f>IFERROR(__xludf.DUMMYFUNCTION("""COMPUTED_VALUE"""),"Xiaoyi BAO")</f>
        <v>Xiaoyi BAO</v>
      </c>
      <c r="E294" s="7" t="str">
        <f>IFERROR(__xludf.DUMMYFUNCTION("""COMPUTED_VALUE"""),"Yes")</f>
        <v>Yes</v>
      </c>
      <c r="F294" s="7" t="str">
        <f>IFERROR(__xludf.DUMMYFUNCTION("""COMPUTED_VALUE"""),"IP-Poster")</f>
        <v>IP-Poster</v>
      </c>
      <c r="G294" s="7" t="str">
        <f>IFERROR(__xludf.DUMMYFUNCTION("""COMPUTED_VALUE"""),"In-Person")</f>
        <v>In-Person</v>
      </c>
      <c r="H294" s="7" t="str">
        <f>IFERROR(__xludf.DUMMYFUNCTION("""COMPUTED_VALUE"""),"Hall 4/5")</f>
        <v>Hall 4/5</v>
      </c>
      <c r="I294" s="7" t="str">
        <f>IFERROR(__xludf.DUMMYFUNCTION("""COMPUTED_VALUE"""),"Session 5 :IP-Posters Find ")</f>
        <v>Session 5 :IP-Posters Find </v>
      </c>
      <c r="J294" s="7" t="str">
        <f>IFERROR(__xludf.DUMMYFUNCTION("""COMPUTED_VALUE"""),"Findings Posters - In-Person 1")</f>
        <v>Findings Posters - In-Person 1</v>
      </c>
      <c r="K294" s="7"/>
      <c r="L294" s="8">
        <f>IFERROR(__xludf.DUMMYFUNCTION("""COMPUTED_VALUE"""),45866.0)</f>
        <v>45866</v>
      </c>
      <c r="M294" s="7" t="str">
        <f>IFERROR(__xludf.DUMMYFUNCTION("""COMPUTED_VALUE"""),"18:00-19:30")</f>
        <v>18:00-19:30</v>
      </c>
      <c r="N294" s="7"/>
    </row>
    <row r="295">
      <c r="A295" s="7" t="str">
        <f>IFERROR(__xludf.DUMMYFUNCTION("""COMPUTED_VALUE"""),"916-FIND")</f>
        <v>916-FIND</v>
      </c>
      <c r="B295" s="7" t="str">
        <f>IFERROR(__xludf.DUMMYFUNCTION("""COMPUTED_VALUE"""),"Long-form Hallucination Detection with Self-elicitation")</f>
        <v>Long-form Hallucination Detection with Self-elicitation</v>
      </c>
      <c r="C295" s="7" t="str">
        <f>IFERROR(__xludf.DUMMYFUNCTION("""COMPUTED_VALUE"""),"While Large Language Models (LLMs) have exhibited impressive performance in generating long-form content, they frequently present a hazard of producing factual inaccuracies or hallucinations. An effective strategy to mitigate this hazard is to leverage of"&amp;"f-the-shelf LLMs to detect hallucinations after the generation. The primary challenge resides in the comprehensive elicitation of the intrinsic knowledge acquired during their pre-training phase. However, existing methods that employ multi-step reasoning "&amp;"chains predominantly fall short of addressing this issue. Moreover, since existing methods for hallucination detection tend to decompose text into isolated statements, they are unable to understand the contextual semantic relations in long-form content. I"&amp;"n this paper, we study a novel concept, self-elicitation, to leverage self-generated thoughts derived from prior statements as catalysts to elicit the expression of intrinsic knowledge and understand contextual semantics. We present a framework, SelfElici"&amp;"t, to integrate self-elicitation with graph structures to effectively organize the elicited knowledge and facilitate factual evaluations. Extensive experiments on five datasets in various domains demonstrate the effectiveness of self-elicitation and the s"&amp;"uperiority of our proposed method.")</f>
        <v>While Large Language Models (LLMs) have exhibited impressive performance in generating long-form content, they frequently present a hazard of producing factual inaccuracies or hallucinations. An effective strategy to mitigate this hazard is to leverage off-the-shelf LLMs to detect hallucinations after the generation. The primary challenge resides in the comprehensive elicitation of the intrinsic knowledge acquired during their pre-training phase. However, existing methods that employ multi-step reasoning chains predominantly fall short of addressing this issue. Moreover, since existing methods for hallucination detection tend to decompose text into isolated statements, they are unable to understand the contextual semantic relations in long-form content. In this paper, we study a novel concept, self-elicitation, to leverage self-generated thoughts derived from prior statements as catalysts to elicit the expression of intrinsic knowledge and understand contextual semantics. We present a framework, SelfElicit, to integrate self-elicitation with graph structures to effectively organize the elicited knowledge and facilitate factual evaluations. Extensive experiments on five datasets in various domains demonstrate the effectiveness of self-elicitation and the superiority of our proposed method.</v>
      </c>
      <c r="D295" s="7" t="str">
        <f>IFERROR(__xludf.DUMMYFUNCTION("""COMPUTED_VALUE"""),"N/A")</f>
        <v>N/A</v>
      </c>
      <c r="E295" s="7" t="str">
        <f>IFERROR(__xludf.DUMMYFUNCTION("""COMPUTED_VALUE"""),"#N/A")</f>
        <v>#N/A</v>
      </c>
      <c r="F295" s="7" t="str">
        <f>IFERROR(__xludf.DUMMYFUNCTION("""COMPUTED_VALUE"""),"Not Pres. ")</f>
        <v>Not Pres. </v>
      </c>
      <c r="G295" s="7" t="str">
        <f>IFERROR(__xludf.DUMMYFUNCTION("""COMPUTED_VALUE"""),"NP Findings Not Presenting ")</f>
        <v>NP Findings Not Presenting </v>
      </c>
      <c r="H295" s="7"/>
      <c r="I295" s="7" t="str">
        <f>IFERROR(__xludf.DUMMYFUNCTION("""COMPUTED_VALUE"""),"NP-Find")</f>
        <v>NP-Find</v>
      </c>
      <c r="J295" s="7"/>
      <c r="K295" s="7"/>
      <c r="L295" s="8"/>
      <c r="M295" s="7"/>
      <c r="N295" s="7"/>
    </row>
    <row r="296">
      <c r="A296" s="7" t="str">
        <f>IFERROR(__xludf.DUMMYFUNCTION("""COMPUTED_VALUE"""),"917-FIND")</f>
        <v>917-FIND</v>
      </c>
      <c r="B296" s="7" t="str">
        <f>IFERROR(__xludf.DUMMYFUNCTION("""COMPUTED_VALUE"""),"ComparisonQA: Evaluating Factuality Robustness of LLMs Through Knowledge Frequency Control and Uncertainty")</f>
        <v>ComparisonQA: Evaluating Factuality Robustness of LLMs Through Knowledge Frequency Control and Uncertainty</v>
      </c>
      <c r="C296" s="7" t="str">
        <f>IFERROR(__xludf.DUMMYFUNCTION("""COMPUTED_VALUE"""),"The rapid development of LLMs has sparked extensive research into their factual knowledge. Current works find that LLMs fall short on questions around low-frequency entities. However, such proofs are unreliable since the questions can differ not only in e"&amp;"ntity frequency but also in difficulty themselves. So we introduce **ComparisonQA** benchmark, containing **283K** abstract questions, each instantiated by a pair of high-frequency and low-frequency entities. It ensures a controllable comparison to study "&amp;"the role of knowledge frequency in the performance of LLMs. Because the difference between such a pair is only the entity with different frequencies. 
In addition, we use both correctness and uncertainty to develop a two-round method to evaluate LLMs' kno"&amp;"wledge robustness. It aims to avoid possible semantic shortcuts which is a serious problem of current QA study. Experiments reveal that LLMs, including GPT-4o, exhibit particularly low robustness regarding low-frequency knowledge. 
Besides, we find that u"&amp;"ncertainty can be used to effectively identify high-quality and shortcut-free questions while maintaining the data size. Based on this, we propose an automatic method to select such questions to form a subset called **ComparisonQA-Hard**, containing only "&amp;"hard low-frequency questions.")</f>
        <v>The rapid development of LLMs has sparked extensive research into their factual knowledge. Current works find that LLMs fall short on questions around low-frequency entities. However, such proofs are unreliable since the questions can differ not only in entity frequency but also in difficulty themselves. So we introduce **ComparisonQA** benchmark, containing **283K** abstract questions, each instantiated by a pair of high-frequency and low-frequency entities. It ensures a controllable comparison to study the role of knowledge frequency in the performance of LLMs. Because the difference between such a pair is only the entity with different frequencies. 
In addition, we use both correctness and uncertainty to develop a two-round method to evaluate LLMs' knowledge robustness. It aims to avoid possible semantic shortcuts which is a serious problem of current QA study. Experiments reveal that LLMs, including GPT-4o, exhibit particularly low robustness regarding low-frequency knowledge. 
Besides, we find that uncertainty can be used to effectively identify high-quality and shortcut-free questions while maintaining the data size. Based on this, we propose an automatic method to select such questions to form a subset called **ComparisonQA-Hard**, containing only hard low-frequency questions.</v>
      </c>
      <c r="D296" s="7" t="str">
        <f>IFERROR(__xludf.DUMMYFUNCTION("""COMPUTED_VALUE"""),"Qing ZONG")</f>
        <v>Qing ZONG</v>
      </c>
      <c r="E296" s="7" t="str">
        <f>IFERROR(__xludf.DUMMYFUNCTION("""COMPUTED_VALUE"""),"Yes")</f>
        <v>Yes</v>
      </c>
      <c r="F296" s="7" t="str">
        <f>IFERROR(__xludf.DUMMYFUNCTION("""COMPUTED_VALUE"""),"IP-Poster")</f>
        <v>IP-Poster</v>
      </c>
      <c r="G296" s="7" t="str">
        <f>IFERROR(__xludf.DUMMYFUNCTION("""COMPUTED_VALUE"""),"In-Person")</f>
        <v>In-Person</v>
      </c>
      <c r="H296" s="7" t="str">
        <f>IFERROR(__xludf.DUMMYFUNCTION("""COMPUTED_VALUE"""),"Hall 4/5")</f>
        <v>Hall 4/5</v>
      </c>
      <c r="I296" s="7" t="str">
        <f>IFERROR(__xludf.DUMMYFUNCTION("""COMPUTED_VALUE"""),"Session 5 :IP-Posters Find ")</f>
        <v>Session 5 :IP-Posters Find </v>
      </c>
      <c r="J296" s="7" t="str">
        <f>IFERROR(__xludf.DUMMYFUNCTION("""COMPUTED_VALUE"""),"Findings Posters - In-Person 1")</f>
        <v>Findings Posters - In-Person 1</v>
      </c>
      <c r="K296" s="7"/>
      <c r="L296" s="8">
        <f>IFERROR(__xludf.DUMMYFUNCTION("""COMPUTED_VALUE"""),45866.0)</f>
        <v>45866</v>
      </c>
      <c r="M296" s="7" t="str">
        <f>IFERROR(__xludf.DUMMYFUNCTION("""COMPUTED_VALUE"""),"18:00-19:30")</f>
        <v>18:00-19:30</v>
      </c>
      <c r="N296" s="7"/>
    </row>
    <row r="297">
      <c r="A297" s="7" t="str">
        <f>IFERROR(__xludf.DUMMYFUNCTION("""COMPUTED_VALUE"""),"919-FIND")</f>
        <v>919-FIND</v>
      </c>
      <c r="B297" s="7" t="str">
        <f>IFERROR(__xludf.DUMMYFUNCTION("""COMPUTED_VALUE"""),"One-Dimensional Object Detection for Streaming Text Segmentation of Meeting Dialogue")</f>
        <v>One-Dimensional Object Detection for Streaming Text Segmentation of Meeting Dialogue</v>
      </c>
      <c r="C297" s="7" t="str">
        <f>IFERROR(__xludf.DUMMYFUNCTION("""COMPUTED_VALUE"""),"Dialogue text segmentation aims to partition dialogue content into consecutive paragraphs based on themes or logic, enhancing its comprehensibility and manageability. Current text segmentation models, when applied directly to STS (Streaming Text Segmentat"&amp;"ion), exhibit numerous limitations, such as imbalances in labels that affect the stability of model training, and discrepancies between the model’s training tasks (sentence classification) and the actual text segmentation that limit the model's segmentati"&amp;"on capabilities.
To address these challenges, we first implement STS for the first time using a sliding window-based segmentation method. Secondly, we employ two different levels of sliding window-based balanced label strategies to stabilize the training"&amp;" process of the streaming segmentation model and enhance training convergence speed. Finally, by adding a one-dimensional bounding-box regression task for text sequences within the window, we restructure the training approach of STS tasks, shifting from s"&amp;"entence classification to sequence segmentation, thereby aligning the training objectives with the task objectives, which further enhanced the model's performance. Extensive experimental results demonstrate that our method is robust, controllable, and ach"&amp;"ieves state-of-the-art performance.")</f>
        <v>Dialogue text segmentation aims to partition dialogue content into consecutive paragraphs based on themes or logic, enhancing its comprehensibility and manageability. Current text segmentation models, when applied directly to STS (Streaming Text Segmentation), exhibit numerous limitations, such as imbalances in labels that affect the stability of model training, and discrepancies between the model’s training tasks (sentence classification) and the actual text segmentation that limit the model's segmentation capabilities.
To address these challenges, we first implement STS for the first time using a sliding window-based segmentation method. Secondly, we employ two different levels of sliding window-based balanced label strategies to stabilize the training process of the streaming segmentation model and enhance training convergence speed. Finally, by adding a one-dimensional bounding-box regression task for text sequences within the window, we restructure the training approach of STS tasks, shifting from sentence classification to sequence segmentation, thereby aligning the training objectives with the task objectives, which further enhanced the model's performance. Extensive experimental results demonstrate that our method is robust, controllable, and achieves state-of-the-art performance.</v>
      </c>
      <c r="D297" s="7" t="str">
        <f>IFERROR(__xludf.DUMMYFUNCTION("""COMPUTED_VALUE"""),"Rui He")</f>
        <v>Rui He</v>
      </c>
      <c r="E297" s="7" t="str">
        <f>IFERROR(__xludf.DUMMYFUNCTION("""COMPUTED_VALUE"""),"#N/A")</f>
        <v>#N/A</v>
      </c>
      <c r="F297" s="7" t="str">
        <f>IFERROR(__xludf.DUMMYFUNCTION("""COMPUTED_VALUE"""),"Not Pres. ")</f>
        <v>Not Pres. </v>
      </c>
      <c r="G297" s="7" t="str">
        <f>IFERROR(__xludf.DUMMYFUNCTION("""COMPUTED_VALUE"""),"NP Findings Not Presenting ")</f>
        <v>NP Findings Not Presenting </v>
      </c>
      <c r="H297" s="7"/>
      <c r="I297" s="7" t="str">
        <f>IFERROR(__xludf.DUMMYFUNCTION("""COMPUTED_VALUE"""),"NP-Find")</f>
        <v>NP-Find</v>
      </c>
      <c r="J297" s="7"/>
      <c r="K297" s="7"/>
      <c r="L297" s="8"/>
      <c r="M297" s="7"/>
      <c r="N297" s="7"/>
    </row>
    <row r="298">
      <c r="A298" s="7" t="str">
        <f>IFERROR(__xludf.DUMMYFUNCTION("""COMPUTED_VALUE"""),"923-FIND")</f>
        <v>923-FIND</v>
      </c>
      <c r="B298" s="7" t="str">
        <f>IFERROR(__xludf.DUMMYFUNCTION("""COMPUTED_VALUE"""),"CodeTaxo: Enhancing Taxonomy Expansion with Limited Examples via Code Language Prompts")</f>
        <v>CodeTaxo: Enhancing Taxonomy Expansion with Limited Examples via Code Language Prompts</v>
      </c>
      <c r="C298" s="7" t="str">
        <f>IFERROR(__xludf.DUMMYFUNCTION("""COMPUTED_VALUE"""),"Taxonomies provide structural representations of knowledge and are crucial in various applications. The task of taxonomy expansion involves integrating emerging entities into existing taxonomies by identifying appropriate parent entities for these new que"&amp;"ry entities. Previous methods rely on self-supervised techniques that generate annotation data from existing taxonomies but are less effective with small taxonomies (fewer than 100 entities). In this work, we introduce CodeTaxo, a novel approach that leve"&amp;"rages large language models through code language prompts to capture the taxonomic structure. Extensive experiments on five real-world benchmarks from different domains demonstrate that CodeTaxo consistently achieves superior performance across all evalua"&amp;"tion metrics, significantly outperforming previous state-of-the-art methods. The code and data are available at https://anonymous.4open.science/r/CodeTaxo4Review-47DB.")</f>
        <v>Taxonomies provide structural representations of knowledge and are crucial in various applications. The task of taxonomy expansion involves integrating emerging entities into existing taxonomies by identifying appropriate parent entities for these new query entities. Previous methods rely on self-supervised techniques that generate annotation data from existing taxonomies but are less effective with small taxonomies (fewer than 100 entities). In this work, we introduce CodeTaxo, a novel approach that leverages large language models through code language prompts to capture the taxonomic structure. Extensive experiments on five real-world benchmarks from different domains demonstrate that CodeTaxo consistently achieves superior performance across all evaluation metrics, significantly outperforming previous state-of-the-art methods. The code and data are available at https://anonymous.4open.science/r/CodeTaxo4Review-47DB.</v>
      </c>
      <c r="D298" s="7" t="str">
        <f>IFERROR(__xludf.DUMMYFUNCTION("""COMPUTED_VALUE"""),"Zhaoxuan Tan")</f>
        <v>Zhaoxuan Tan</v>
      </c>
      <c r="E298" s="7" t="str">
        <f>IFERROR(__xludf.DUMMYFUNCTION("""COMPUTED_VALUE"""),"#N/A")</f>
        <v>#N/A</v>
      </c>
      <c r="F298" s="7" t="str">
        <f>IFERROR(__xludf.DUMMYFUNCTION("""COMPUTED_VALUE"""),"Not Pres. ")</f>
        <v>Not Pres. </v>
      </c>
      <c r="G298" s="7" t="str">
        <f>IFERROR(__xludf.DUMMYFUNCTION("""COMPUTED_VALUE"""),"NP Findings Not Presenting ")</f>
        <v>NP Findings Not Presenting </v>
      </c>
      <c r="H298" s="7"/>
      <c r="I298" s="7" t="str">
        <f>IFERROR(__xludf.DUMMYFUNCTION("""COMPUTED_VALUE"""),"NP-Find")</f>
        <v>NP-Find</v>
      </c>
      <c r="J298" s="7"/>
      <c r="K298" s="7"/>
      <c r="L298" s="8"/>
      <c r="M298" s="7"/>
      <c r="N298" s="7"/>
    </row>
    <row r="299">
      <c r="A299" s="7" t="str">
        <f>IFERROR(__xludf.DUMMYFUNCTION("""COMPUTED_VALUE"""),"930-FIND")</f>
        <v>930-FIND</v>
      </c>
      <c r="B299" s="7" t="str">
        <f>IFERROR(__xludf.DUMMYFUNCTION("""COMPUTED_VALUE"""),"Predicate-Conditional Conformalized Answer Sets for Knowledge Graph Embeddings")</f>
        <v>Predicate-Conditional Conformalized Answer Sets for Knowledge Graph Embeddings</v>
      </c>
      <c r="C299" s="7" t="str">
        <f>IFERROR(__xludf.DUMMYFUNCTION("""COMPUTED_VALUE"""),"Uncertainty quantification in Knowledge Graph Embedding (KGE) methods is crucial for ensuring the reliability of downstream applications. A recent work applies conformal prediction to KGE methods, providing uncertainty estimates by generating a set of ans"&amp;"wers that is guaranteed to include the true answer with a predefined confidence level. However, existing methods provide probabilistic guarantees averaged over a reference set of queries and answers (marginal coverage guarantee). In high-stakes applicatio"&amp;"ns such as medical diagnosis, a stronger guarantee is often required: the predicted sets must provide consistent coverage per query (conditional coverage guarantee). We propose CondKGCP, a novel method that approximates predicate-conditional coverage guar"&amp;"antees while maintaining compact prediction sets. CondKGCP merges predicates with similar vector representations and augments calibration with rank information. We prove the theoretical guarantees and demonstrate empirical effectiveness of CondKGCP by com"&amp;"prehensive evaluations.")</f>
        <v>Uncertainty quantification in Knowledge Graph Embedding (KGE) methods is crucial for ensuring the reliability of downstream applications. A recent work applies conformal prediction to KGE methods, providing uncertainty estimates by generating a set of answers that is guaranteed to include the true answer with a predefined confidence level. However, existing methods provide probabilistic guarantees averaged over a reference set of queries and answers (marginal coverage guarantee). In high-stakes applications such as medical diagnosis, a stronger guarantee is often required: the predicted sets must provide consistent coverage per query (conditional coverage guarantee). We propose CondKGCP, a novel method that approximates predicate-conditional coverage guarantees while maintaining compact prediction sets. CondKGCP merges predicates with similar vector representations and augments calibration with rank information. We prove the theoretical guarantees and demonstrate empirical effectiveness of CondKGCP by comprehensive evaluations.</v>
      </c>
      <c r="D299" s="7" t="str">
        <f>IFERROR(__xludf.DUMMYFUNCTION("""COMPUTED_VALUE"""),"Yuqicheng Zhu")</f>
        <v>Yuqicheng Zhu</v>
      </c>
      <c r="E299" s="7" t="str">
        <f>IFERROR(__xludf.DUMMYFUNCTION("""COMPUTED_VALUE"""),"Yes")</f>
        <v>Yes</v>
      </c>
      <c r="F299" s="7" t="str">
        <f>IFERROR(__xludf.DUMMYFUNCTION("""COMPUTED_VALUE"""),"IP-Poster")</f>
        <v>IP-Poster</v>
      </c>
      <c r="G299" s="7" t="str">
        <f>IFERROR(__xludf.DUMMYFUNCTION("""COMPUTED_VALUE"""),"In-Person")</f>
        <v>In-Person</v>
      </c>
      <c r="H299" s="7" t="str">
        <f>IFERROR(__xludf.DUMMYFUNCTION("""COMPUTED_VALUE"""),"Hall 4/5")</f>
        <v>Hall 4/5</v>
      </c>
      <c r="I299" s="7" t="str">
        <f>IFERROR(__xludf.DUMMYFUNCTION("""COMPUTED_VALUE"""),"Session 5 :IP-Posters Find ")</f>
        <v>Session 5 :IP-Posters Find </v>
      </c>
      <c r="J299" s="7" t="str">
        <f>IFERROR(__xludf.DUMMYFUNCTION("""COMPUTED_VALUE"""),"Findings Posters - In-Person 1")</f>
        <v>Findings Posters - In-Person 1</v>
      </c>
      <c r="K299" s="7"/>
      <c r="L299" s="8">
        <f>IFERROR(__xludf.DUMMYFUNCTION("""COMPUTED_VALUE"""),45866.0)</f>
        <v>45866</v>
      </c>
      <c r="M299" s="7" t="str">
        <f>IFERROR(__xludf.DUMMYFUNCTION("""COMPUTED_VALUE"""),"18:00-19:30")</f>
        <v>18:00-19:30</v>
      </c>
      <c r="N299" s="7"/>
    </row>
    <row r="300">
      <c r="A300" s="7" t="str">
        <f>IFERROR(__xludf.DUMMYFUNCTION("""COMPUTED_VALUE"""),"932-FIND")</f>
        <v>932-FIND</v>
      </c>
      <c r="B300" s="7" t="str">
        <f>IFERROR(__xludf.DUMMYFUNCTION("""COMPUTED_VALUE"""),"Autonomous Data Selection with Zero-shot Generative Classifiers for Mathematical Texts")</f>
        <v>Autonomous Data Selection with Zero-shot Generative Classifiers for Mathematical Texts</v>
      </c>
      <c r="C300" s="7" t="str">
        <f>IFERROR(__xludf.DUMMYFUNCTION("""COMPUTED_VALUE"""),"We present Autonomous Data Selection (AutoDS), a method that leverages base language models as zero-shot ""generative classifiers"" to automatically curate high-quality mathematical texts. Unlike prior approaches that require human annotations or training"&amp;" a dedicated data filter, AutoDS relies solely on a model’s logits to determine whether a given passage is mathematically informative and educational. By integrating AutoDS into a continual pretraining pipeline, we substantially boost downstream performan"&amp;"ce on challenging math benchmarks (MATH, GSM8K, and BBH) while using far fewer tokens than previous methods. Empirically, our approach achieves roughly a twofold improvement in pretraining token efficiency over strong baselines, underscoring the potential"&amp;" of self-directed data selection in enhancing mathematical reasoning. We will release our curated dataset to facilitate future research in automated domain-specific data curation.")</f>
        <v>We present Autonomous Data Selection (AutoDS), a method that leverages base language models as zero-shot "generative classifiers" to automatically curate high-quality mathematical texts. Unlike prior approaches that require human annotations or training a dedicated data filter, AutoDS relies solely on a model’s logits to determine whether a given passage is mathematically informative and educational. By integrating AutoDS into a continual pretraining pipeline, we substantially boost downstream performance on challenging math benchmarks (MATH, GSM8K, and BBH) while using far fewer tokens than previous methods. Empirically, our approach achieves roughly a twofold improvement in pretraining token efficiency over strong baselines, underscoring the potential of self-directed data selection in enhancing mathematical reasoning. We will release our curated dataset to facilitate future research in automated domain-specific data curation.</v>
      </c>
      <c r="D300" s="7" t="str">
        <f>IFERROR(__xludf.DUMMYFUNCTION("""COMPUTED_VALUE"""),"Yifan Luo")</f>
        <v>Yifan Luo</v>
      </c>
      <c r="E300" s="7" t="str">
        <f>IFERROR(__xludf.DUMMYFUNCTION("""COMPUTED_VALUE"""),"Yes")</f>
        <v>Yes</v>
      </c>
      <c r="F300" s="7" t="str">
        <f>IFERROR(__xludf.DUMMYFUNCTION("""COMPUTED_VALUE"""),"IP-Poster")</f>
        <v>IP-Poster</v>
      </c>
      <c r="G300" s="7" t="str">
        <f>IFERROR(__xludf.DUMMYFUNCTION("""COMPUTED_VALUE"""),"In-Person")</f>
        <v>In-Person</v>
      </c>
      <c r="H300" s="7" t="str">
        <f>IFERROR(__xludf.DUMMYFUNCTION("""COMPUTED_VALUE"""),"Hall 4/5")</f>
        <v>Hall 4/5</v>
      </c>
      <c r="I300" s="7" t="str">
        <f>IFERROR(__xludf.DUMMYFUNCTION("""COMPUTED_VALUE"""),"Session 5 :IP-Posters Find ")</f>
        <v>Session 5 :IP-Posters Find </v>
      </c>
      <c r="J300" s="7" t="str">
        <f>IFERROR(__xludf.DUMMYFUNCTION("""COMPUTED_VALUE"""),"Findings Posters - In-Person 1")</f>
        <v>Findings Posters - In-Person 1</v>
      </c>
      <c r="K300" s="7"/>
      <c r="L300" s="8">
        <f>IFERROR(__xludf.DUMMYFUNCTION("""COMPUTED_VALUE"""),45866.0)</f>
        <v>45866</v>
      </c>
      <c r="M300" s="7" t="str">
        <f>IFERROR(__xludf.DUMMYFUNCTION("""COMPUTED_VALUE"""),"18:00-19:30")</f>
        <v>18:00-19:30</v>
      </c>
      <c r="N300" s="7"/>
    </row>
    <row r="301">
      <c r="A301" s="7" t="str">
        <f>IFERROR(__xludf.DUMMYFUNCTION("""COMPUTED_VALUE"""),"935-FIND")</f>
        <v>935-FIND</v>
      </c>
      <c r="B301" s="7" t="str">
        <f>IFERROR(__xludf.DUMMYFUNCTION("""COMPUTED_VALUE"""),"Learning from Committee: Reasoning Distillation from a Mixture of Teachers with Peer-Review")</f>
        <v>Learning from Committee: Reasoning Distillation from a Mixture of Teachers with Peer-Review</v>
      </c>
      <c r="C301" s="7" t="str">
        <f>IFERROR(__xludf.DUMMYFUNCTION("""COMPUTED_VALUE"""),"While reasoning capabilities typically emerge in large language models (LLMs) with tens of billions of parameters, recent research focuses on improving smaller open-source models through knowledge distillation (KD) from commercial LLMs. However, many of t"&amp;"hese studies rely solely on responses from a single LLM as the gold rationale, unlike the natural human learning process, which involves understanding both the correct answers and the reasons behind mistakes. In this paper, we introduce a novel Fault-Awar"&amp;"e DistIllation via Peer-Review (FAIR) approach: 1) instead of merely obtaining rationales from teachers, our method asks teachers to identify and explain the student’s mistakes, providing customized instruction learning data; 2) we design a simulated peer"&amp;"-review process between teacher LLMs, and selects only the generated rationales above the acceptance threshold, which reduces the chance of teachers guessing correctly with flawed rationale, improving instructional data quality. Comprehensive experiments "&amp;"and analysis on mathematical, commonsense, and logical reasoning tasks demonstrate the effectiveness of our method. Our code is available at https://github.com/zhuochunli/Learn-from-Committee.")</f>
        <v>While reasoning capabilities typically emerge in large language models (LLMs) with tens of billions of parameters, recent research focuses on improving smaller open-source models through knowledge distillation (KD) from commercial LLMs. However, many of these studies rely solely on responses from a single LLM as the gold rationale, unlike the natural human learning process, which involves understanding both the correct answers and the reasons behind mistakes. In this paper, we introduce a novel Fault-Aware DistIllation via Peer-Review (FAIR) approach: 1) instead of merely obtaining rationales from teachers, our method asks teachers to identify and explain the student’s mistakes, providing customized instruction learning data; 2) we design a simulated peer-review process between teacher LLMs, and selects only the generated rationales above the acceptance threshold, which reduces the chance of teachers guessing correctly with flawed rationale, improving instructional data quality. Comprehensive experiments and analysis on mathematical, commonsense, and logical reasoning tasks demonstrate the effectiveness of our method. Our code is available at https://github.com/zhuochunli/Learn-from-Committee.</v>
      </c>
      <c r="D301" s="7" t="str">
        <f>IFERROR(__xludf.DUMMYFUNCTION("""COMPUTED_VALUE"""),"Zhuochun Li")</f>
        <v>Zhuochun Li</v>
      </c>
      <c r="E301" s="7" t="str">
        <f>IFERROR(__xludf.DUMMYFUNCTION("""COMPUTED_VALUE"""),"Yes")</f>
        <v>Yes</v>
      </c>
      <c r="F301" s="7" t="str">
        <f>IFERROR(__xludf.DUMMYFUNCTION("""COMPUTED_VALUE"""),"IP-Poster")</f>
        <v>IP-Poster</v>
      </c>
      <c r="G301" s="7" t="str">
        <f>IFERROR(__xludf.DUMMYFUNCTION("""COMPUTED_VALUE"""),"In-Person")</f>
        <v>In-Person</v>
      </c>
      <c r="H301" s="7" t="str">
        <f>IFERROR(__xludf.DUMMYFUNCTION("""COMPUTED_VALUE"""),"Hall 4/5")</f>
        <v>Hall 4/5</v>
      </c>
      <c r="I301" s="7" t="str">
        <f>IFERROR(__xludf.DUMMYFUNCTION("""COMPUTED_VALUE"""),"Session 5 :IP-Posters Find ")</f>
        <v>Session 5 :IP-Posters Find </v>
      </c>
      <c r="J301" s="7" t="str">
        <f>IFERROR(__xludf.DUMMYFUNCTION("""COMPUTED_VALUE"""),"Findings Posters - In-Person 1")</f>
        <v>Findings Posters - In-Person 1</v>
      </c>
      <c r="K301" s="7"/>
      <c r="L301" s="8">
        <f>IFERROR(__xludf.DUMMYFUNCTION("""COMPUTED_VALUE"""),45866.0)</f>
        <v>45866</v>
      </c>
      <c r="M301" s="7" t="str">
        <f>IFERROR(__xludf.DUMMYFUNCTION("""COMPUTED_VALUE"""),"18:00-19:30")</f>
        <v>18:00-19:30</v>
      </c>
      <c r="N301" s="7"/>
    </row>
    <row r="302">
      <c r="A302" s="7" t="str">
        <f>IFERROR(__xludf.DUMMYFUNCTION("""COMPUTED_VALUE"""),"937-FIND")</f>
        <v>937-FIND</v>
      </c>
      <c r="B302" s="7" t="str">
        <f>IFERROR(__xludf.DUMMYFUNCTION("""COMPUTED_VALUE"""),"Investigating Prosodic Signatures via Speech Pre-Trained Models for Audio Deepfake Source Attribution")</f>
        <v>Investigating Prosodic Signatures via Speech Pre-Trained Models for Audio Deepfake Source Attribution</v>
      </c>
      <c r="C302" s="7" t="str">
        <f>IFERROR(__xludf.DUMMYFUNCTION("""COMPUTED_VALUE"""),"In this work, we investigate various state-of-the art (SOTA) speech pre-trained models (PTMs) for their capability to capture prosodic signatures of the generative sources for audio deepfake source attribution (ADSD). These prosodic characteristics can be"&amp;" considered one of major signatures for ADSD, which is unique to each source. So better is the PTM at cap009 turing prosodic signs better the ADSD performance. We consider various SOTA PTMs that have shown top performance in different prosodic tasks for o"&amp;"ur experiments on benchmark datasets, ASVSpoof 2019 and CFAD. x-vector (speaker recognition PTM) attains the highest performance in comparison to all the PTMs considered despite consisting lowest model parameters. This higher performance can be due to its"&amp;" speaker recognition pre-training that enables it for capturing unique prosodic characteristics of the sources in a better way. Further, motivated from tasks such as audio deepfake detection and speech recognition, where fusion of PTMs represen024 tations"&amp;" lead to improved performance, we explore the same and propose FINDER for effective fusion of such representations. With fusion of Whisper and x-vector representations through FINDER, we achieved the topmost performance in comparison to all the individ030"&amp;" ual PTMs as well as baseline fusion techniques and attaining SOTA performance.")</f>
        <v>In this work, we investigate various state-of-the art (SOTA) speech pre-trained models (PTMs) for their capability to capture prosodic signatures of the generative sources for audio deepfake source attribution (ADSD). These prosodic characteristics can be considered one of major signatures for ADSD, which is unique to each source. So better is the PTM at cap009 turing prosodic signs better the ADSD performance. We consider various SOTA PTMs that have shown top performance in different prosodic tasks for our experiments on benchmark datasets, ASVSpoof 2019 and CFAD. x-vector (speaker recognition PTM) attains the highest performance in comparison to all the PTMs considered despite consisting lowest model parameters. This higher performance can be due to its speaker recognition pre-training that enables it for capturing unique prosodic characteristics of the sources in a better way. Further, motivated from tasks such as audio deepfake detection and speech recognition, where fusion of PTMs represen024 tations lead to improved performance, we explore the same and propose FINDER for effective fusion of such representations. With fusion of Whisper and x-vector representations through FINDER, we achieved the topmost performance in comparison to all the individ030 ual PTMs as well as baseline fusion techniques and attaining SOTA performance.</v>
      </c>
      <c r="D302" s="7" t="str">
        <f>IFERROR(__xludf.DUMMYFUNCTION("""COMPUTED_VALUE"""),"N/A")</f>
        <v>N/A</v>
      </c>
      <c r="E302" s="7" t="str">
        <f>IFERROR(__xludf.DUMMYFUNCTION("""COMPUTED_VALUE"""),"#N/A")</f>
        <v>#N/A</v>
      </c>
      <c r="F302" s="7" t="str">
        <f>IFERROR(__xludf.DUMMYFUNCTION("""COMPUTED_VALUE"""),"Not Pres. ")</f>
        <v>Not Pres. </v>
      </c>
      <c r="G302" s="7" t="str">
        <f>IFERROR(__xludf.DUMMYFUNCTION("""COMPUTED_VALUE"""),"NP Findings Not Presenting ")</f>
        <v>NP Findings Not Presenting </v>
      </c>
      <c r="H302" s="7"/>
      <c r="I302" s="7" t="str">
        <f>IFERROR(__xludf.DUMMYFUNCTION("""COMPUTED_VALUE"""),"NP-Find")</f>
        <v>NP-Find</v>
      </c>
      <c r="J302" s="7"/>
      <c r="K302" s="7"/>
      <c r="L302" s="8"/>
      <c r="M302" s="7"/>
      <c r="N302" s="7"/>
    </row>
    <row r="303">
      <c r="A303" s="7" t="str">
        <f>IFERROR(__xludf.DUMMYFUNCTION("""COMPUTED_VALUE"""),"938-FIND")</f>
        <v>938-FIND</v>
      </c>
      <c r="B303" s="7" t="str">
        <f>IFERROR(__xludf.DUMMYFUNCTION("""COMPUTED_VALUE"""),"Multilingual Retrieval Augmented Generation for Culturally-Sensitive Tasks: A Benchmark for Cross-lingual Robustness")</f>
        <v>Multilingual Retrieval Augmented Generation for Culturally-Sensitive Tasks: A Benchmark for Cross-lingual Robustness</v>
      </c>
      <c r="C303" s="7" t="str">
        <f>IFERROR(__xludf.DUMMYFUNCTION("""COMPUTED_VALUE"""),"The paradigm of retrieval-augmented generated (RAG) helps mitigate hallucinations of large language models (LLMs). However, RAG also introduces biases contained within the retrieved documents. These biases can be amplified in scenarios which are multiling"&amp;"ual and culturally-sensitive, such as territorial disputes. In this paper, we introduce BordIRLines, a benchmark consisting of 720 territorial dispute queries paired with 14k Wikipedia documents across 49 languages. To evaluate LLMs’ cross-lingual robustn"&amp;"ess for this task, we formalize several modes for multilingual retrieval. Our experiments on several LLMs reveal that retrieving multilingual documents best improves response consistency} and decreases geopolitical bias over using purely in-language docum"&amp;"ents, showing how incorporating diverse perspectives improves robustness. Also, querying in low-resource languages displays a much wider variance in the linguistic distribution of response citations. Our further experiments and case studies investigate ho"&amp;"w cross-lingual RAG is affected by aspects from IR to document contents. We release our benchmark and code to support further research towards ensuring equitable information access across languages.")</f>
        <v>The paradigm of retrieval-augmented generated (RAG) helps mitigate hallucinations of large language models (LLMs). However, RAG also introduces biases contained within the retrieved documents. These biases can be amplified in scenarios which are multilingual and culturally-sensitive, such as territorial disputes. In this paper, we introduce BordIRLines, a benchmark consisting of 720 territorial dispute queries paired with 14k Wikipedia documents across 49 languages. To evaluate LLMs’ cross-lingual robustness for this task, we formalize several modes for multilingual retrieval. Our experiments on several LLMs reveal that retrieving multilingual documents best improves response consistency} and decreases geopolitical bias over using purely in-language documents, showing how incorporating diverse perspectives improves robustness. Also, querying in low-resource languages displays a much wider variance in the linguistic distribution of response citations. Our further experiments and case studies investigate how cross-lingual RAG is affected by aspects from IR to document contents. We release our benchmark and code to support further research towards ensuring equitable information access across languages.</v>
      </c>
      <c r="D303" s="7" t="str">
        <f>IFERROR(__xludf.DUMMYFUNCTION("""COMPUTED_VALUE"""),"Bryan Li")</f>
        <v>Bryan Li</v>
      </c>
      <c r="E303" s="7" t="str">
        <f>IFERROR(__xludf.DUMMYFUNCTION("""COMPUTED_VALUE"""),"Yes")</f>
        <v>Yes</v>
      </c>
      <c r="F303" s="7" t="str">
        <f>IFERROR(__xludf.DUMMYFUNCTION("""COMPUTED_VALUE"""),"IP-Poster")</f>
        <v>IP-Poster</v>
      </c>
      <c r="G303" s="7" t="str">
        <f>IFERROR(__xludf.DUMMYFUNCTION("""COMPUTED_VALUE"""),"In-Person")</f>
        <v>In-Person</v>
      </c>
      <c r="H303" s="7" t="str">
        <f>IFERROR(__xludf.DUMMYFUNCTION("""COMPUTED_VALUE"""),"Hall 4/5")</f>
        <v>Hall 4/5</v>
      </c>
      <c r="I303" s="7" t="str">
        <f>IFERROR(__xludf.DUMMYFUNCTION("""COMPUTED_VALUE"""),"Session 10: IP-Posters")</f>
        <v>Session 10: IP-Posters</v>
      </c>
      <c r="J303" s="7" t="str">
        <f>IFERROR(__xludf.DUMMYFUNCTION("""COMPUTED_VALUE"""),"Findings Posters - In-Person 3")</f>
        <v>Findings Posters - In-Person 3</v>
      </c>
      <c r="K303" s="7"/>
      <c r="L303" s="8">
        <f>IFERROR(__xludf.DUMMYFUNCTION("""COMPUTED_VALUE"""),45867.0)</f>
        <v>45867</v>
      </c>
      <c r="M303" s="7" t="str">
        <f>IFERROR(__xludf.DUMMYFUNCTION("""COMPUTED_VALUE"""),"16:00-17:30")</f>
        <v>16:00-17:30</v>
      </c>
      <c r="N303" s="7"/>
    </row>
    <row r="304">
      <c r="A304" s="7" t="str">
        <f>IFERROR(__xludf.DUMMYFUNCTION("""COMPUTED_VALUE"""),"940-FIND")</f>
        <v>940-FIND</v>
      </c>
      <c r="B304" s="7" t="str">
        <f>IFERROR(__xludf.DUMMYFUNCTION("""COMPUTED_VALUE"""),"Bridging Relevance and Reasoning: Rationale Distillation in Retrieval-Augmented Generation")</f>
        <v>Bridging Relevance and Reasoning: Rationale Distillation in Retrieval-Augmented Generation</v>
      </c>
      <c r="C304" s="7" t="str">
        <f>IFERROR(__xludf.DUMMYFUNCTION("""COMPUTED_VALUE"""),"The reranker and generator are two critical components in the Retrieval-Augmented Generation (i.e., RAG) pipeline, responsible for ranking relevant documents and generating responses. However, due to differences in pre-training data and objectives, there "&amp;"is an inevitable gap between the documents ranked as relevant by the reranker and those required by the generator to support answering the query. To address this gap, we propose RADIO, a novel and practical preference alignment framework with RAtionale DI"&amp;"stillatiOn. Specifically, We first propose a rationale extraction method that leverages the reasoning capabilities of large language models (LLMs) to extract the rationales necessary for answering the query. Subsequently, a rationale-based alignment proce"&amp;"ss is designed to rerank the documents based on the extracted rationales, and fine-tune the reranker to align the preferences. We conduct extensive experiments on two tasks across three datasets to demonstrate the effectiveness of our approach compared to"&amp;" baseline methods. Our code is released online to ease reproduction.")</f>
        <v>The reranker and generator are two critical components in the Retrieval-Augmented Generation (i.e., RAG) pipeline, responsible for ranking relevant documents and generating responses. However, due to differences in pre-training data and objectives, there is an inevitable gap between the documents ranked as relevant by the reranker and those required by the generator to support answering the query. To address this gap, we propose RADIO, a novel and practical preference alignment framework with RAtionale DIstillatiOn. Specifically, We first propose a rationale extraction method that leverages the reasoning capabilities of large language models (LLMs) to extract the rationales necessary for answering the query. Subsequently, a rationale-based alignment process is designed to rerank the documents based on the extracted rationales, and fine-tune the reranker to align the preferences. We conduct extensive experiments on two tasks across three datasets to demonstrate the effectiveness of our approach compared to baseline methods. Our code is released online to ease reproduction.</v>
      </c>
      <c r="D304" s="7" t="str">
        <f>IFERROR(__xludf.DUMMYFUNCTION("""COMPUTED_VALUE"""),"Pengyue Jia")</f>
        <v>Pengyue Jia</v>
      </c>
      <c r="E304" s="7" t="str">
        <f>IFERROR(__xludf.DUMMYFUNCTION("""COMPUTED_VALUE"""),"Yes")</f>
        <v>Yes</v>
      </c>
      <c r="F304" s="7" t="str">
        <f>IFERROR(__xludf.DUMMYFUNCTION("""COMPUTED_VALUE"""),"IP-Poster")</f>
        <v>IP-Poster</v>
      </c>
      <c r="G304" s="7" t="str">
        <f>IFERROR(__xludf.DUMMYFUNCTION("""COMPUTED_VALUE"""),"In-Person")</f>
        <v>In-Person</v>
      </c>
      <c r="H304" s="7" t="str">
        <f>IFERROR(__xludf.DUMMYFUNCTION("""COMPUTED_VALUE"""),"Hall 4/5")</f>
        <v>Hall 4/5</v>
      </c>
      <c r="I304" s="7" t="str">
        <f>IFERROR(__xludf.DUMMYFUNCTION("""COMPUTED_VALUE"""),"Session 5 :IP-Posters Find ")</f>
        <v>Session 5 :IP-Posters Find </v>
      </c>
      <c r="J304" s="7" t="str">
        <f>IFERROR(__xludf.DUMMYFUNCTION("""COMPUTED_VALUE"""),"Findings Posters - In-Person 1")</f>
        <v>Findings Posters - In-Person 1</v>
      </c>
      <c r="K304" s="7"/>
      <c r="L304" s="8">
        <f>IFERROR(__xludf.DUMMYFUNCTION("""COMPUTED_VALUE"""),45866.0)</f>
        <v>45866</v>
      </c>
      <c r="M304" s="7" t="str">
        <f>IFERROR(__xludf.DUMMYFUNCTION("""COMPUTED_VALUE"""),"18:00-19:30")</f>
        <v>18:00-19:30</v>
      </c>
      <c r="N304" s="7"/>
    </row>
    <row r="305">
      <c r="A305" s="7" t="str">
        <f>IFERROR(__xludf.DUMMYFUNCTION("""COMPUTED_VALUE"""),"944-FIND")</f>
        <v>944-FIND</v>
      </c>
      <c r="B305" s="7" t="str">
        <f>IFERROR(__xludf.DUMMYFUNCTION("""COMPUTED_VALUE"""),"Scaling Laws for Multilingual Language Models")</f>
        <v>Scaling Laws for Multilingual Language Models</v>
      </c>
      <c r="C305" s="7" t="str">
        <f>IFERROR(__xludf.DUMMYFUNCTION("""COMPUTED_VALUE"""),"We propose a novel scaling law for general-purpose decoder-only language models (LMs) trained on multilingual data, tackling the problem of balancing languages during multilingual pretraining. A primary challenge in studying multilingual scaling is the di"&amp;"fficulty of analyzing individual language performance due to cross-lingual transfer. To tackle this, we shift the focus from individual languages to language families. We introduce and validate a hypothesis that the test cross-entropy loss for each langua"&amp;"ge family is determined solely by its own sampling ratio, independent of other languages in the mixture. This insight simplifies the complexity of multilingual scaling and make the analysis scalable to an arbitrary number of languages. Building on this hy"&amp;"pothesis, we derive a power-law relationship that links performance with dataset size, model size and sampling ratios. This relationship enables us to predict performance across various combinations of the above three quantities, and derive the optimal sa"&amp;"mpling ratios at different model scales. To demonstrate the effectiveness and accuracy of our proposed scaling law, we perform a large-scale empirical study, training more than 100 models on 23 languages spanning 5 language families. Our experiments show "&amp;"that the optimal sampling ratios derived from small models (85M parameters) generalize effectively to models that are several orders of magnitude larger (1.2B parameters), offering a resource-efficient approach for multilingual LM training at scale.")</f>
        <v>We propose a novel scaling law for general-purpose decoder-only language models (LMs) trained on multilingual data, tackling the problem of balancing languages during multilingual pretraining. A primary challenge in studying multilingual scaling is the difficulty of analyzing individual language performance due to cross-lingual transfer. To tackle this, we shift the focus from individual languages to language families. We introduce and validate a hypothesis that the test cross-entropy loss for each language family is determined solely by its own sampling ratio, independent of other languages in the mixture. This insight simplifies the complexity of multilingual scaling and make the analysis scalable to an arbitrary number of languages. Building on this hypothesis, we derive a power-law relationship that links performance with dataset size, model size and sampling ratios. This relationship enables us to predict performance across various combinations of the above three quantities, and derive the optimal sampling ratios at different model scales. To demonstrate the effectiveness and accuracy of our proposed scaling law, we perform a large-scale empirical study, training more than 100 models on 23 languages spanning 5 language families. Our experiments show that the optimal sampling ratios derived from small models (85M parameters) generalize effectively to models that are several orders of magnitude larger (1.2B parameters), offering a resource-efficient approach for multilingual LM training at scale.</v>
      </c>
      <c r="D305" s="7" t="str">
        <f>IFERROR(__xludf.DUMMYFUNCTION("""COMPUTED_VALUE"""),"Yifei He")</f>
        <v>Yifei He</v>
      </c>
      <c r="E305" s="7" t="str">
        <f>IFERROR(__xludf.DUMMYFUNCTION("""COMPUTED_VALUE"""),"Yes")</f>
        <v>Yes</v>
      </c>
      <c r="F305" s="7" t="str">
        <f>IFERROR(__xludf.DUMMYFUNCTION("""COMPUTED_VALUE"""),"V-Presentation")</f>
        <v>V-Presentation</v>
      </c>
      <c r="G305" s="7" t="str">
        <f>IFERROR(__xludf.DUMMYFUNCTION("""COMPUTED_VALUE"""),"Virtual/Gather")</f>
        <v>Virtual/Gather</v>
      </c>
      <c r="H305" s="7" t="str">
        <f>IFERROR(__xludf.DUMMYFUNCTION("""COMPUTED_VALUE"""),"Gather")</f>
        <v>Gather</v>
      </c>
      <c r="I305" s="7" t="str">
        <f>IFERROR(__xludf.DUMMYFUNCTION("""COMPUTED_VALUE"""),"Session5: V-Gather Find")</f>
        <v>Session5: V-Gather Find</v>
      </c>
      <c r="J305" s="7" t="str">
        <f>IFERROR(__xludf.DUMMYFUNCTION("""COMPUTED_VALUE"""),"Findings Posters - Virtual")</f>
        <v>Findings Posters - Virtual</v>
      </c>
      <c r="K305" s="7"/>
      <c r="L305" s="8">
        <f>IFERROR(__xludf.DUMMYFUNCTION("""COMPUTED_VALUE"""),45866.0)</f>
        <v>45866</v>
      </c>
      <c r="M305" s="7" t="str">
        <f>IFERROR(__xludf.DUMMYFUNCTION("""COMPUTED_VALUE"""),"18:00-19:30")</f>
        <v>18:00-19:30</v>
      </c>
      <c r="N305" s="7"/>
    </row>
    <row r="306">
      <c r="A306" s="7" t="str">
        <f>IFERROR(__xludf.DUMMYFUNCTION("""COMPUTED_VALUE"""),"945-FIND")</f>
        <v>945-FIND</v>
      </c>
      <c r="B306" s="7" t="str">
        <f>IFERROR(__xludf.DUMMYFUNCTION("""COMPUTED_VALUE"""),"Corpus Poisoning via Approximate Greedy Gradient Descent")</f>
        <v>Corpus Poisoning via Approximate Greedy Gradient Descent</v>
      </c>
      <c r="C306" s="7" t="str">
        <f>IFERROR(__xludf.DUMMYFUNCTION("""COMPUTED_VALUE"""),"Dense retrievers are widely used in information retrieval and have also been successfully extended to other knowledge intensive areas such as language models, e.g., Retrieval-Augmented Generation (RAG) systems. Unfortunately, they have recently been shown"&amp;" to be vulnerable to corpus poisoning attacks in which a malicious user injects a small fraction of adversarial passages into the retrieval corpus to trick the system into returning these passages among the top-ranked results for a broad set of user queri"&amp;"es. Further study is needed to understand the extent to which these attacks could limit the deployment of dense retrievers in real-world applications. In this work, we propose Approximate Greedy Gradient Descent (AGGD), a new attack on dense retrieval sys"&amp;"tems based on the widely used HotFlip method for efficiently generating adversarial passages. We demonstrate that AGGD can select a higher quality set of token-level perturbations than HotFlip by replacing its random token sampling with a more structured "&amp;"search. Experimentally, we show that our method achieves a high attack success rate on several datasets and using several retrievers, and can generalize to unseen queries and new domains. Notably, our method is extremely effective in attacking the ANCE re"&amp;"trieval model, achieving attack success rates that are 15.24% and 17.44% higher on the NQ and MS MARCO datasets, respectively, compared to HotFlip. Additionally, we demonstrate AGGD's potential to replace HotFlip in other adversarial attacks, such as know"&amp;"ledge poisoning of RAG systems.")</f>
        <v>Dense retrievers are widely used in information retrieval and have also been successfully extended to other knowledge intensive areas such as language models, e.g., Retrieval-Augmented Generation (RAG) systems. Unfortunately, they have recently been shown to be vulnerable to corpus poisoning attacks in which a malicious user injects a small fraction of adversarial passages into the retrieval corpus to trick the system into returning these passages among the top-ranked results for a broad set of user queries. Further study is needed to understand the extent to which these attacks could limit the deployment of dense retrievers in real-world applications. In this work, we propose Approximate Greedy Gradient Descent (AGGD), a new attack on dense retrieval systems based on the widely used HotFlip method for efficiently generating adversarial passages. We demonstrate that AGGD can select a higher quality set of token-level perturbations than HotFlip by replacing its random token sampling with a more structured search. Experimentally, we show that our method achieves a high attack success rate on several datasets and using several retrievers, and can generalize to unseen queries and new domains. Notably, our method is extremely effective in attacking the ANCE retrieval model, achieving attack success rates that are 15.24% and 17.44% higher on the NQ and MS MARCO datasets, respectively, compared to HotFlip. Additionally, we demonstrate AGGD's potential to replace HotFlip in other adversarial attacks, such as knowledge poisoning of RAG systems.</v>
      </c>
      <c r="D306" s="7" t="str">
        <f>IFERROR(__xludf.DUMMYFUNCTION("""COMPUTED_VALUE"""),"Don't plan to present")</f>
        <v>Don't plan to present</v>
      </c>
      <c r="E306" s="7" t="str">
        <f>IFERROR(__xludf.DUMMYFUNCTION("""COMPUTED_VALUE"""),"Yes")</f>
        <v>Yes</v>
      </c>
      <c r="F306" s="7" t="str">
        <f>IFERROR(__xludf.DUMMYFUNCTION("""COMPUTED_VALUE"""),"Not Pres. ")</f>
        <v>Not Pres. </v>
      </c>
      <c r="G306" s="7" t="str">
        <f>IFERROR(__xludf.DUMMYFUNCTION("""COMPUTED_VALUE"""),"NP Findings Not Presenting ")</f>
        <v>NP Findings Not Presenting </v>
      </c>
      <c r="H306" s="7"/>
      <c r="I306" s="7"/>
      <c r="J306" s="7"/>
      <c r="K306" s="7"/>
      <c r="L306" s="8"/>
      <c r="M306" s="7"/>
      <c r="N306" s="7"/>
    </row>
    <row r="307">
      <c r="A307" s="7" t="str">
        <f>IFERROR(__xludf.DUMMYFUNCTION("""COMPUTED_VALUE"""),"949-FIND")</f>
        <v>949-FIND</v>
      </c>
      <c r="B307" s="7" t="str">
        <f>IFERROR(__xludf.DUMMYFUNCTION("""COMPUTED_VALUE"""),"Taxonomy-Driven Knowledge Graph Construction for Domain-Specific Scientific Applications")</f>
        <v>Taxonomy-Driven Knowledge Graph Construction for Domain-Specific Scientific Applications</v>
      </c>
      <c r="C307" s="7" t="str">
        <f>IFERROR(__xludf.DUMMYFUNCTION("""COMPUTED_VALUE"""),"We present a taxonomy-driven framework for constructing domain-specific knowledge graphs (KGs) that integrates structured taxonomies, Large Language Models (LLMs) and Retrieval-Augmented Generation (RAG). Although we focus on climate science to illustrate"&amp;" its effectiveness, our approach can potentially be adapted for other specialized domains.  Existing methods often neglect curated taxonomies—hierarchies of verified entities and relationships—and LLMs frequently struggle to extract KGs in specialized dom"&amp;"ains. Our approach addresses these gaps by anchoring extraction to expert-curated taxonomies, aligning entities and relations with domain semantics, and validating LLM outputs using RAG against the domain taxonomy. Through a climate science case study usi"&amp;"ng our annotated dataset of 25 publications (1,705 entity-publication links, 3,618 expert-validated relationships), we demonstrate that taxonomy-guided LLM prompting combined with RAG-based validation reduces hallucinations by 23.3\% while improving F1 sc"&amp;"ores by 13.9\% compared to baselines without the proposed techniques. Our contributions include: 1) a generalizable methodology for taxonomy-aligned KG construction; 2) a reproducible annotation pipeline, 3) the first benchmark dataset for climate science"&amp;" information retrieval; and 4) empirical insights into combining structured taxonomies with LLMs for specialized domains. The dataset, including expert annotations and taxonomy-aligned outputs, is publicly available at \url{https://github.com/Jo-Pan/Clima"&amp;"teIE}, and the accompanying framework can be accessed at \url{https://github.com/Jo-Pan/TaxoDrivenKG}.")</f>
        <v>We present a taxonomy-driven framework for constructing domain-specific knowledge graphs (KGs) that integrates structured taxonomies, Large Language Models (LLMs) and Retrieval-Augmented Generation (RAG). Although we focus on climate science to illustrate its effectiveness, our approach can potentially be adapted for other specialized domains.  Existing methods often neglect curated taxonomies—hierarchies of verified entities and relationships—and LLMs frequently struggle to extract KGs in specialized domains. Our approach addresses these gaps by anchoring extraction to expert-curated taxonomies, aligning entities and relations with domain semantics, and validating LLM outputs using RAG against the domain taxonomy. Through a climate science case study using our annotated dataset of 25 publications (1,705 entity-publication links, 3,618 expert-validated relationships), we demonstrate that taxonomy-guided LLM prompting combined with RAG-based validation reduces hallucinations by 23.3\% while improving F1 scores by 13.9\% compared to baselines without the proposed techniques. Our contributions include: 1) a generalizable methodology for taxonomy-aligned KG construction; 2) a reproducible annotation pipeline, 3) the first benchmark dataset for climate science information retrieval; and 4) empirical insights into combining structured taxonomies with LLMs for specialized domains. The dataset, including expert annotations and taxonomy-aligned outputs, is publicly available at \url{https://github.com/Jo-Pan/ClimateIE}, and the accompanying framework can be accessed at \url{https://github.com/Jo-Pan/TaxoDrivenKG}.</v>
      </c>
      <c r="D307" s="7" t="str">
        <f>IFERROR(__xludf.DUMMYFUNCTION("""COMPUTED_VALUE"""),"Eduard C. Dragut")</f>
        <v>Eduard C. Dragut</v>
      </c>
      <c r="E307" s="7" t="str">
        <f>IFERROR(__xludf.DUMMYFUNCTION("""COMPUTED_VALUE"""),"Yes")</f>
        <v>Yes</v>
      </c>
      <c r="F307" s="7" t="str">
        <f>IFERROR(__xludf.DUMMYFUNCTION("""COMPUTED_VALUE"""),"IP-Poster")</f>
        <v>IP-Poster</v>
      </c>
      <c r="G307" s="7" t="str">
        <f>IFERROR(__xludf.DUMMYFUNCTION("""COMPUTED_VALUE"""),"In-Person")</f>
        <v>In-Person</v>
      </c>
      <c r="H307" s="7" t="str">
        <f>IFERROR(__xludf.DUMMYFUNCTION("""COMPUTED_VALUE"""),"Hall 4/5")</f>
        <v>Hall 4/5</v>
      </c>
      <c r="I307" s="7" t="str">
        <f>IFERROR(__xludf.DUMMYFUNCTION("""COMPUTED_VALUE"""),"Session 5 :IP-Posters Find ")</f>
        <v>Session 5 :IP-Posters Find </v>
      </c>
      <c r="J307" s="7" t="str">
        <f>IFERROR(__xludf.DUMMYFUNCTION("""COMPUTED_VALUE"""),"Findings Posters - In-Person 1")</f>
        <v>Findings Posters - In-Person 1</v>
      </c>
      <c r="K307" s="7"/>
      <c r="L307" s="8">
        <f>IFERROR(__xludf.DUMMYFUNCTION("""COMPUTED_VALUE"""),45866.0)</f>
        <v>45866</v>
      </c>
      <c r="M307" s="7" t="str">
        <f>IFERROR(__xludf.DUMMYFUNCTION("""COMPUTED_VALUE"""),"18:00-19:30")</f>
        <v>18:00-19:30</v>
      </c>
      <c r="N307" s="7"/>
    </row>
    <row r="308">
      <c r="A308" s="7" t="str">
        <f>IFERROR(__xludf.DUMMYFUNCTION("""COMPUTED_VALUE"""),"951-FIND")</f>
        <v>951-FIND</v>
      </c>
      <c r="B308" s="7" t="str">
        <f>IFERROR(__xludf.DUMMYFUNCTION("""COMPUTED_VALUE"""),"Wanda++: Pruning Large Language Models via Regional Gradients")</f>
        <v>Wanda++: Pruning Large Language Models via Regional Gradients</v>
      </c>
      <c r="C308" s="7" t="str">
        <f>IFERROR(__xludf.DUMMYFUNCTION("""COMPUTED_VALUE"""),"Large Language Models (LLMs) pruning seeks to remove unimportant weights for inference speedup with minimal accuracy impact. However, existing methods often suffer from accuracy degradation without full-model sparsity-aware fine-tuning. This paper present"&amp;"s Wanda++, a novel pruning framework that outperforms the state-of-the-art methods by utilizing decoder-block-level \textbf{regional} gradients. Specifically, Wanda++ improves the pruning score with regional gradients for the first time and proposes an ef"&amp;"ficient regional optimization method to minimize pruning-induced output discrepancies between the dense and sparse decoder output. Notably, Wanda++ improves perplexity by up to 32% over Wanda in the language modeling task and generalizes effectively to do"&amp;"wnstream tasks. Moreover, despite updating weights with regional optimization, Wanda++ remains orthogonal to sparsity-aware fine-tuning, further reducing perplexity with LoRA in great extend. Our approach is lightweight, pruning a 7B LLaMA model in under "&amp;"10 minutes on a single H100 GPU.")</f>
        <v>Large Language Models (LLMs) pruning seeks to remove unimportant weights for inference speedup with minimal accuracy impact. However, existing methods often suffer from accuracy degradation without full-model sparsity-aware fine-tuning. This paper presents Wanda++, a novel pruning framework that outperforms the state-of-the-art methods by utilizing decoder-block-level \textbf{regional} gradients. Specifically, Wanda++ improves the pruning score with regional gradients for the first time and proposes an efficient regional optimization method to minimize pruning-induced output discrepancies between the dense and sparse decoder output. Notably, Wanda++ improves perplexity by up to 32% over Wanda in the language modeling task and generalizes effectively to downstream tasks. Moreover, despite updating weights with regional optimization, Wanda++ remains orthogonal to sparsity-aware fine-tuning, further reducing perplexity with LoRA in great extend. Our approach is lightweight, pruning a 7B LLaMA model in under 10 minutes on a single H100 GPU.</v>
      </c>
      <c r="D308" s="7" t="str">
        <f>IFERROR(__xludf.DUMMYFUNCTION("""COMPUTED_VALUE"""),"Kai Zhen; Yifan Yang")</f>
        <v>Kai Zhen; Yifan Yang</v>
      </c>
      <c r="E308" s="7" t="str">
        <f>IFERROR(__xludf.DUMMYFUNCTION("""COMPUTED_VALUE"""),"N/A")</f>
        <v>N/A</v>
      </c>
      <c r="F308" s="7" t="str">
        <f>IFERROR(__xludf.DUMMYFUNCTION("""COMPUTED_VALUE"""),"Not Pres. ")</f>
        <v>Not Pres. </v>
      </c>
      <c r="G308" s="7" t="str">
        <f>IFERROR(__xludf.DUMMYFUNCTION("""COMPUTED_VALUE"""),"NP Findings Not Presenting ")</f>
        <v>NP Findings Not Presenting </v>
      </c>
      <c r="H308" s="7"/>
      <c r="I308" s="7"/>
      <c r="J308" s="7"/>
      <c r="K308" s="7"/>
      <c r="L308" s="8"/>
      <c r="M308" s="7"/>
      <c r="N308" s="7"/>
    </row>
    <row r="309">
      <c r="A309" s="7" t="str">
        <f>IFERROR(__xludf.DUMMYFUNCTION("""COMPUTED_VALUE"""),"955-FIND")</f>
        <v>955-FIND</v>
      </c>
      <c r="B309" s="7" t="str">
        <f>IFERROR(__xludf.DUMMYFUNCTION("""COMPUTED_VALUE"""),"MATCHED: Multimodal Authorship-Attribution To Combat Human Trafficking in Escort-Advertisement Data")</f>
        <v>MATCHED: Multimodal Authorship-Attribution To Combat Human Trafficking in Escort-Advertisement Data</v>
      </c>
      <c r="C309" s="7" t="str">
        <f>IFERROR(__xludf.DUMMYFUNCTION("""COMPUTED_VALUE"""),"Human trafficking (HT) remains a critical issue, with traffickers increasingly leveraging online escort advertisements to advertise victims anonymously. Existing detection methods, including text-based Authorship Attribution (AA), overlook the multimodal "&amp;"nature of these ads, which combine text and images. To bridge this gap, we introduce MATCHED, a multimodal AA dataset comprising 27,619 unique text descriptions and 55,115 unique images sourced from Backpage across seven U.S. cities in four geographic reg"&amp;"ions. This study extensively benchmarks text-only, vision-only, and multimodal baselines for vendor identification and verification tasks, employing multitask (joint) training objectives that achieve superior classification and retrieval performance on in"&amp;"-sample and out-of-data distribution datasets. The results demonstrate that while text remains the dominant modality, integrating visual features adds stylistic cues that enrich model performance. Moreover, text-image alignment strategies like CLIP and BL"&amp;"IP2 struggle due to low semantic overlap and vague connections between the modalities of escort ads, with end-to-end multimodal training proving more robust. Our findings emphasize the potential of multimodal AA to combat HT, providing Law Enforcement Age"&amp;"ncies with robust tools to link advertisements and disrupt trafficking networks.")</f>
        <v>Human trafficking (HT) remains a critical issue, with traffickers increasingly leveraging online escort advertisements to advertise victims anonymously. Existing detection methods, including text-based Authorship Attribution (AA), overlook the multimodal nature of these ads, which combine text and images. To bridge this gap, we introduce MATCHED, a multimodal AA dataset comprising 27,619 unique text descriptions and 55,115 unique images sourced from Backpage across seven U.S. cities in four geographic regions. This study extensively benchmarks text-only, vision-only, and multimodal baselines for vendor identification and verification tasks, employing multitask (joint) training objectives that achieve superior classification and retrieval performance on in-sample and out-of-data distribution datasets. The results demonstrate that while text remains the dominant modality, integrating visual features adds stylistic cues that enrich model performance. Moreover, text-image alignment strategies like CLIP and BLIP2 struggle due to low semantic overlap and vague connections between the modalities of escort ads, with end-to-end multimodal training proving more robust. Our findings emphasize the potential of multimodal AA to combat HT, providing Law Enforcement Agencies with robust tools to link advertisements and disrupt trafficking networks.</v>
      </c>
      <c r="D309" s="7" t="str">
        <f>IFERROR(__xludf.DUMMYFUNCTION("""COMPUTED_VALUE"""),"Vageesh Kumar Saxena")</f>
        <v>Vageesh Kumar Saxena</v>
      </c>
      <c r="E309" s="7" t="str">
        <f>IFERROR(__xludf.DUMMYFUNCTION("""COMPUTED_VALUE"""),"Yes")</f>
        <v>Yes</v>
      </c>
      <c r="F309" s="7" t="str">
        <f>IFERROR(__xludf.DUMMYFUNCTION("""COMPUTED_VALUE"""),"IP-Poster")</f>
        <v>IP-Poster</v>
      </c>
      <c r="G309" s="7" t="str">
        <f>IFERROR(__xludf.DUMMYFUNCTION("""COMPUTED_VALUE"""),"In-Person")</f>
        <v>In-Person</v>
      </c>
      <c r="H309" s="7" t="str">
        <f>IFERROR(__xludf.DUMMYFUNCTION("""COMPUTED_VALUE"""),"Hall 4/5")</f>
        <v>Hall 4/5</v>
      </c>
      <c r="I309" s="7" t="str">
        <f>IFERROR(__xludf.DUMMYFUNCTION("""COMPUTED_VALUE"""),"Session 5 :IP-Posters Find ")</f>
        <v>Session 5 :IP-Posters Find </v>
      </c>
      <c r="J309" s="7" t="str">
        <f>IFERROR(__xludf.DUMMYFUNCTION("""COMPUTED_VALUE"""),"Findings Posters - In-Person 1")</f>
        <v>Findings Posters - In-Person 1</v>
      </c>
      <c r="K309" s="7"/>
      <c r="L309" s="8">
        <f>IFERROR(__xludf.DUMMYFUNCTION("""COMPUTED_VALUE"""),45866.0)</f>
        <v>45866</v>
      </c>
      <c r="M309" s="7" t="str">
        <f>IFERROR(__xludf.DUMMYFUNCTION("""COMPUTED_VALUE"""),"18:00-19:30")</f>
        <v>18:00-19:30</v>
      </c>
      <c r="N309" s="7"/>
    </row>
    <row r="310">
      <c r="A310" s="7" t="str">
        <f>IFERROR(__xludf.DUMMYFUNCTION("""COMPUTED_VALUE"""),"956-FIND")</f>
        <v>956-FIND</v>
      </c>
      <c r="B310" s="7" t="str">
        <f>IFERROR(__xludf.DUMMYFUNCTION("""COMPUTED_VALUE"""),"Fraud-R1 : A Multi-Round Benchmark for Assessing the Robustness of LLM Against Augmented Fraud and Phishing Inducements")</f>
        <v>Fraud-R1 : A Multi-Round Benchmark for Assessing the Robustness of LLM Against Augmented Fraud and Phishing Inducements</v>
      </c>
      <c r="C310" s="7" t="str">
        <f>IFERROR(__xludf.DUMMYFUNCTION("""COMPUTED_VALUE"""),"With the increasing integration of large language models (LLMs) into real-world applications such as finance, e-commerce, and recommendation systems, their susceptibility to misinformation and adversarial manipulation poses significant risks. Existing fra"&amp;"ud detection benchmarks primarily focus on single-turn classification tasks, failing to capture the dynamic nature of real-world fraud attempts. To address this gap, we introduce Fraud-R1, a challenging bilingual benchmark designed to assess LLMs' ability"&amp;" to resist fraud and phishing attacks across five key fraud categories: Fraudulent Services, Impersonation, Phishing Scams, Fake Job Postings, and Online Relationships, covering subclasses. Our dataset comprises manually curated fraud cases from social me"&amp;"dia, news, phishing scam records, and prior fraud datasets.")</f>
        <v>With the increasing integration of large language models (LLMs) into real-world applications such as finance, e-commerce, and recommendation systems, their susceptibility to misinformation and adversarial manipulation poses significant risks. Existing fraud detection benchmarks primarily focus on single-turn classification tasks, failing to capture the dynamic nature of real-world fraud attempts. To address this gap, we introduce Fraud-R1, a challenging bilingual benchmark designed to assess LLMs' ability to resist fraud and phishing attacks across five key fraud categories: Fraudulent Services, Impersonation, Phishing Scams, Fake Job Postings, and Online Relationships, covering subclasses. Our dataset comprises manually curated fraud cases from social media, news, phishing scam records, and prior fraud datasets.</v>
      </c>
      <c r="D310" s="7" t="str">
        <f>IFERROR(__xludf.DUMMYFUNCTION("""COMPUTED_VALUE"""),"Shu Yang")</f>
        <v>Shu Yang</v>
      </c>
      <c r="E310" s="7" t="str">
        <f>IFERROR(__xludf.DUMMYFUNCTION("""COMPUTED_VALUE"""),"Yes")</f>
        <v>Yes</v>
      </c>
      <c r="F310" s="7" t="str">
        <f>IFERROR(__xludf.DUMMYFUNCTION("""COMPUTED_VALUE"""),"IP-Poster")</f>
        <v>IP-Poster</v>
      </c>
      <c r="G310" s="7" t="str">
        <f>IFERROR(__xludf.DUMMYFUNCTION("""COMPUTED_VALUE"""),"In-Person")</f>
        <v>In-Person</v>
      </c>
      <c r="H310" s="7" t="str">
        <f>IFERROR(__xludf.DUMMYFUNCTION("""COMPUTED_VALUE"""),"Hall 4/5")</f>
        <v>Hall 4/5</v>
      </c>
      <c r="I310" s="7" t="str">
        <f>IFERROR(__xludf.DUMMYFUNCTION("""COMPUTED_VALUE"""),"Session 5 :IP-Posters Find ")</f>
        <v>Session 5 :IP-Posters Find </v>
      </c>
      <c r="J310" s="7" t="str">
        <f>IFERROR(__xludf.DUMMYFUNCTION("""COMPUTED_VALUE"""),"Findings Posters - In-Person 1")</f>
        <v>Findings Posters - In-Person 1</v>
      </c>
      <c r="K310" s="7"/>
      <c r="L310" s="8">
        <f>IFERROR(__xludf.DUMMYFUNCTION("""COMPUTED_VALUE"""),45866.0)</f>
        <v>45866</v>
      </c>
      <c r="M310" s="7" t="str">
        <f>IFERROR(__xludf.DUMMYFUNCTION("""COMPUTED_VALUE"""),"18:00-19:30")</f>
        <v>18:00-19:30</v>
      </c>
      <c r="N310" s="7"/>
    </row>
    <row r="311">
      <c r="A311" s="7" t="str">
        <f>IFERROR(__xludf.DUMMYFUNCTION("""COMPUTED_VALUE"""),"957-FIND")</f>
        <v>957-FIND</v>
      </c>
      <c r="B311" s="7" t="str">
        <f>IFERROR(__xludf.DUMMYFUNCTION("""COMPUTED_VALUE"""),"Mitigating Paraphrase Attacks on Machine-Text Detection via Paraphrase Inversion")</f>
        <v>Mitigating Paraphrase Attacks on Machine-Text Detection via Paraphrase Inversion</v>
      </c>
      <c r="C311" s="7" t="str">
        <f>IFERROR(__xludf.DUMMYFUNCTION("""COMPUTED_VALUE"""),"High-quality paraphrases are easy to produce using instruction-tuned language models or specialized paraphrasing models. Although this capability has a variety of benign applications, paraphrasing attacks---paraphrases applied to machine-generated texts--"&amp;"-are known to significantly degrade the performance of machine-text detectors. This motivates us to consider the novel problem of paraphrase inversion, where, given paraphrased text, the objective is to recover an approximation of the original text. The c"&amp;"loser the approximation is to the original text, the better machine-text detectors will perform. We propose an approach which frames the problem as translation from paraphrased text back to the original text, which requires examples of texts and correspon"&amp;"ding paraphrases to train the inversion model. Fortunately, such training data can easily be generated, given a corpus of original texts and one or more paraphrasing models. We find that language models such as GPT-4 and Llama-3 exhibit biases when paraph"&amp;"rasing which an inversion model can learn with a modest amount of data. Perhaps surprisingly, we also find that such models generalize well, including to paraphrase models unseen at training time. Finally, we show that when combined with a paraphrased-tex"&amp;"t detector, our inversion models provide an effective defense against paraphrasing attacks, and overall our approach yields an average improvement of +22% AUROC across seven machine-text detectors and three different domains.")</f>
        <v>High-quality paraphrases are easy to produce using instruction-tuned language models or specialized paraphrasing models. Although this capability has a variety of benign applications, paraphrasing attacks---paraphrases applied to machine-generated texts---are known to significantly degrade the performance of machine-text detectors. This motivates us to consider the novel problem of paraphrase inversion, where, given paraphrased text, the objective is to recover an approximation of the original text. The closer the approximation is to the original text, the better machine-text detectors will perform. We propose an approach which frames the problem as translation from paraphrased text back to the original text, which requires examples of texts and corresponding paraphrases to train the inversion model. Fortunately, such training data can easily be generated, given a corpus of original texts and one or more paraphrasing models. We find that language models such as GPT-4 and Llama-3 exhibit biases when paraphrasing which an inversion model can learn with a modest amount of data. Perhaps surprisingly, we also find that such models generalize well, including to paraphrase models unseen at training time. Finally, we show that when combined with a paraphrased-text detector, our inversion models provide an effective defense against paraphrasing attacks, and overall our approach yields an average improvement of +22% AUROC across seven machine-text detectors and three different domains.</v>
      </c>
      <c r="D311" s="7" t="str">
        <f>IFERROR(__xludf.DUMMYFUNCTION("""COMPUTED_VALUE"""),"Rafael A. Rivera Soto")</f>
        <v>Rafael A. Rivera Soto</v>
      </c>
      <c r="E311" s="7" t="str">
        <f>IFERROR(__xludf.DUMMYFUNCTION("""COMPUTED_VALUE"""),"Yes")</f>
        <v>Yes</v>
      </c>
      <c r="F311" s="7" t="str">
        <f>IFERROR(__xludf.DUMMYFUNCTION("""COMPUTED_VALUE"""),"IP-Poster")</f>
        <v>IP-Poster</v>
      </c>
      <c r="G311" s="7" t="str">
        <f>IFERROR(__xludf.DUMMYFUNCTION("""COMPUTED_VALUE"""),"In-Person")</f>
        <v>In-Person</v>
      </c>
      <c r="H311" s="7" t="str">
        <f>IFERROR(__xludf.DUMMYFUNCTION("""COMPUTED_VALUE"""),"Hall 4/5")</f>
        <v>Hall 4/5</v>
      </c>
      <c r="I311" s="7" t="str">
        <f>IFERROR(__xludf.DUMMYFUNCTION("""COMPUTED_VALUE"""),"Session 5 :IP-Posters Find ")</f>
        <v>Session 5 :IP-Posters Find </v>
      </c>
      <c r="J311" s="7" t="str">
        <f>IFERROR(__xludf.DUMMYFUNCTION("""COMPUTED_VALUE"""),"Findings Posters - In-Person 1")</f>
        <v>Findings Posters - In-Person 1</v>
      </c>
      <c r="K311" s="7"/>
      <c r="L311" s="8">
        <f>IFERROR(__xludf.DUMMYFUNCTION("""COMPUTED_VALUE"""),45866.0)</f>
        <v>45866</v>
      </c>
      <c r="M311" s="7" t="str">
        <f>IFERROR(__xludf.DUMMYFUNCTION("""COMPUTED_VALUE"""),"18:00-19:30")</f>
        <v>18:00-19:30</v>
      </c>
      <c r="N311" s="7"/>
    </row>
    <row r="312">
      <c r="A312" s="7" t="str">
        <f>IFERROR(__xludf.DUMMYFUNCTION("""COMPUTED_VALUE"""),"970-FIND")</f>
        <v>970-FIND</v>
      </c>
      <c r="B312" s="7" t="str">
        <f>IFERROR(__xludf.DUMMYFUNCTION("""COMPUTED_VALUE"""),"SANSKRITI: A Comprehensive Benchmark for Evaluating Language Models’ Knowledge of Indian Culture")</f>
        <v>SANSKRITI: A Comprehensive Benchmark for Evaluating Language Models’ Knowledge of Indian Culture</v>
      </c>
      <c r="C312" s="7" t="str">
        <f>IFERROR(__xludf.DUMMYFUNCTION("""COMPUTED_VALUE"""),"Language models (LMs) are indispensable tools shaping modern workflows, but their global effectiveness depends on understanding local socio-cultural contexts. To address this, we introduce SANSKRITI, a benchmark designed to evaluate language models' compr"&amp;"ehension of India's rich cultural diversity. Comprising of 21,853 meticulously curated question-answer pairs spanning 28 states and 8 union territories, SANSKRITI is the largest dataset for testing Indian cultural knowledge. It covers sixteen key attribut"&amp;"es of Indian culture namely rituals and ceremonies, history, tourism, cuisine, dance and music, costume, language, art, festivals, religion, medicine, transport, sports, nightlife and personalities, providing a comprehensive representation of India’s cult"&amp;"ural tapestry. We evaluate SANSKRITI on leading Large Language Models (LLMs), Indic Language Models (ILMs), and Small Language Models(SLMs), revealing significant disparities in their ability to handle culturally nuanced queries, with many models struggli"&amp;"ng in region-specific contexts. By offering an extensive, culturally rich, and diverse dataset, SANSKRITI sets a new standard for assessing and improving the cultural understanding of LMs. We will share the dataset and findings publicly to support researc"&amp;"h on inclusive and culturally aware AI systems.")</f>
        <v>Language models (LMs) are indispensable tools shaping modern workflows, but their global effectiveness depends on understanding local socio-cultural contexts. To address this, we introduce SANSKRITI, a benchmark designed to evaluate language models' comprehension of India's rich cultural diversity. Comprising of 21,853 meticulously curated question-answer pairs spanning 28 states and 8 union territories, SANSKRITI is the largest dataset for testing Indian cultural knowledge. It covers sixteen key attributes of Indian culture namely rituals and ceremonies, history, tourism, cuisine, dance and music, costume, language, art, festivals, religion, medicine, transport, sports, nightlife and personalities, providing a comprehensive representation of India’s cultural tapestry. We evaluate SANSKRITI on leading Large Language Models (LLMs), Indic Language Models (ILMs), and Small Language Models(SLMs), revealing significant disparities in their ability to handle culturally nuanced queries, with many models struggling in region-specific contexts. By offering an extensive, culturally rich, and diverse dataset, SANSKRITI sets a new standard for assessing and improving the cultural understanding of LMs. We will share the dataset and findings publicly to support research on inclusive and culturally aware AI systems.</v>
      </c>
      <c r="D312" s="7" t="str">
        <f>IFERROR(__xludf.DUMMYFUNCTION("""COMPUTED_VALUE"""),"Raghvendra Kumar")</f>
        <v>Raghvendra Kumar</v>
      </c>
      <c r="E312" s="7" t="str">
        <f>IFERROR(__xludf.DUMMYFUNCTION("""COMPUTED_VALUE"""),"Yes")</f>
        <v>Yes</v>
      </c>
      <c r="F312" s="7" t="str">
        <f>IFERROR(__xludf.DUMMYFUNCTION("""COMPUTED_VALUE"""),"IP-Poster")</f>
        <v>IP-Poster</v>
      </c>
      <c r="G312" s="7" t="str">
        <f>IFERROR(__xludf.DUMMYFUNCTION("""COMPUTED_VALUE"""),"In-Person")</f>
        <v>In-Person</v>
      </c>
      <c r="H312" s="7" t="str">
        <f>IFERROR(__xludf.DUMMYFUNCTION("""COMPUTED_VALUE"""),"Hall 4/5")</f>
        <v>Hall 4/5</v>
      </c>
      <c r="I312" s="7" t="str">
        <f>IFERROR(__xludf.DUMMYFUNCTION("""COMPUTED_VALUE"""),"Session 5 :IP-Posters Find ")</f>
        <v>Session 5 :IP-Posters Find </v>
      </c>
      <c r="J312" s="7" t="str">
        <f>IFERROR(__xludf.DUMMYFUNCTION("""COMPUTED_VALUE"""),"Findings Posters - In-Person 1")</f>
        <v>Findings Posters - In-Person 1</v>
      </c>
      <c r="K312" s="7"/>
      <c r="L312" s="8">
        <f>IFERROR(__xludf.DUMMYFUNCTION("""COMPUTED_VALUE"""),45866.0)</f>
        <v>45866</v>
      </c>
      <c r="M312" s="7" t="str">
        <f>IFERROR(__xludf.DUMMYFUNCTION("""COMPUTED_VALUE"""),"18:00-19:30")</f>
        <v>18:00-19:30</v>
      </c>
      <c r="N312" s="7"/>
    </row>
    <row r="313">
      <c r="A313" s="7" t="str">
        <f>IFERROR(__xludf.DUMMYFUNCTION("""COMPUTED_VALUE"""),"972-FIND")</f>
        <v>972-FIND</v>
      </c>
      <c r="B313" s="7" t="str">
        <f>IFERROR(__xludf.DUMMYFUNCTION("""COMPUTED_VALUE"""),"System Prompt Hijacking via Permutation Triggers in LLM Supply Chains")</f>
        <v>System Prompt Hijacking via Permutation Triggers in LLM Supply Chains</v>
      </c>
      <c r="C313" s="7" t="str">
        <f>IFERROR(__xludf.DUMMYFUNCTION("""COMPUTED_VALUE"""),"LLMs are increasingly developed through distributed supply chains, where model providers create base models that deployers customize with system prompts for task-specific applications and safety alignment. We introduce SHIP, a novel post-deployment attack"&amp;" that bypasses system prompts, enabling unrestricted model outputs and safety violations. The attack spreads across the supply chain: the provider implants a hidden trigger, the deployer unknowingly fine-tunes and deploys the compromised model, and malici"&amp;"ous users later exploit it using the trigger (e.g., obtained via underground market), as real-world software supply chain breaches. SHIP employs permutation triggers, which activate only when all components appear in a precise sequence, ensuring that any "&amp;"deviation—missing elements or incorrect ordering—prevents activation. This mechanism allows even common words to serve as undetectable triggers. We introduce Precise Activation Guarding, ensuring strict sequence-based activation, and optimize its implemen"&amp;"tation with Unit Deviation Sampling, which reduces constraint enforcement complexity from factorial to polynomial. Extensive evaluations across eight leading models demonstrate up to 100% attack success rate (ASR) and clean accuracy (CACC), with SHIP rema"&amp;"ining highly resilient against six defenses. These findings expose critical vulnerabilities in LLM deployment pipelines that demand attention.")</f>
        <v>LLMs are increasingly developed through distributed supply chains, where model providers create base models that deployers customize with system prompts for task-specific applications and safety alignment. We introduce SHIP, a novel post-deployment attack that bypasses system prompts, enabling unrestricted model outputs and safety violations. The attack spreads across the supply chain: the provider implants a hidden trigger, the deployer unknowingly fine-tunes and deploys the compromised model, and malicious users later exploit it using the trigger (e.g., obtained via underground market), as real-world software supply chain breaches. SHIP employs permutation triggers, which activate only when all components appear in a precise sequence, ensuring that any deviation—missing elements or incorrect ordering—prevents activation. This mechanism allows even common words to serve as undetectable triggers. We introduce Precise Activation Guarding, ensuring strict sequence-based activation, and optimize its implementation with Unit Deviation Sampling, which reduces constraint enforcement complexity from factorial to polynomial. Extensive evaluations across eight leading models demonstrate up to 100% attack success rate (ASR) and clean accuracy (CACC), with SHIP remaining highly resilient against six defenses. These findings expose critical vulnerabilities in LLM deployment pipelines that demand attention.</v>
      </c>
      <c r="D313" s="7" t="str">
        <f>IFERROR(__xludf.DUMMYFUNCTION("""COMPUTED_VALUE"""),"N/A")</f>
        <v>N/A</v>
      </c>
      <c r="E313" s="7" t="str">
        <f>IFERROR(__xludf.DUMMYFUNCTION("""COMPUTED_VALUE"""),"#N/A")</f>
        <v>#N/A</v>
      </c>
      <c r="F313" s="7" t="str">
        <f>IFERROR(__xludf.DUMMYFUNCTION("""COMPUTED_VALUE"""),"Not Pres. ")</f>
        <v>Not Pres. </v>
      </c>
      <c r="G313" s="7" t="str">
        <f>IFERROR(__xludf.DUMMYFUNCTION("""COMPUTED_VALUE"""),"NP Findings Not Presenting ")</f>
        <v>NP Findings Not Presenting </v>
      </c>
      <c r="H313" s="7"/>
      <c r="I313" s="7" t="str">
        <f>IFERROR(__xludf.DUMMYFUNCTION("""COMPUTED_VALUE"""),"NP-Find")</f>
        <v>NP-Find</v>
      </c>
      <c r="J313" s="7"/>
      <c r="K313" s="7"/>
      <c r="L313" s="8"/>
      <c r="M313" s="7"/>
      <c r="N313" s="7"/>
    </row>
    <row r="314">
      <c r="A314" s="7" t="str">
        <f>IFERROR(__xludf.DUMMYFUNCTION("""COMPUTED_VALUE"""),"974-FIND")</f>
        <v>974-FIND</v>
      </c>
      <c r="B314" s="7" t="str">
        <f>IFERROR(__xludf.DUMMYFUNCTION("""COMPUTED_VALUE"""),"Frequency matters: Modeling irregular morphological patterns in Spanish with Transformers")</f>
        <v>Frequency matters: Modeling irregular morphological patterns in Spanish with Transformers</v>
      </c>
      <c r="C314" s="7" t="str">
        <f>IFERROR(__xludf.DUMMYFUNCTION("""COMPUTED_VALUE"""),"Over the past decade, various studies have addressed how speakers solve the so-called `The Paradigm Cell Filling Problem' (PCFP) \citep{ackerman2009parts} across different languages. The PCFP addresses a fundamental question in morphological processing: h"&amp;"ow do speakers accurately generate inflected forms of words when presented with incomplete paradigms? This problem is particularly salient when modeling complex inflectional systems. We focus on Spanish verbal paradigms, where certain verbs follow an irre"&amp;"gular L-shaped pattern, where the first-person singular present indicative stem matches the stem used throughout the present subjunctive mood. We formulate the problem as a morphological reinflection task. Specifically, we investigate the role of input fr"&amp;"equency in the acquisition of regular versus irregular L-shaped patterns in transformer models. By systematically manipulating the input distributions and analyzing model behavior, we reveal four key findings: 1) Models perform better on L-shaped verbs co"&amp;"mpared to regular verbs, especially in uneven frequency conditions; 2) Robust primacy effects are observed, but no consistent recency effects; 3) Memorization becomes more prominent as the proportion of L-shaped verbs increases; 4) There is a tendency to "&amp;"regularize L-shaped verbs when their consonant alternation pairs are rare or absent in the training data.")</f>
        <v>Over the past decade, various studies have addressed how speakers solve the so-called `The Paradigm Cell Filling Problem' (PCFP) \citep{ackerman2009parts} across different languages. The PCFP addresses a fundamental question in morphological processing: how do speakers accurately generate inflected forms of words when presented with incomplete paradigms? This problem is particularly salient when modeling complex inflectional systems. We focus on Spanish verbal paradigms, where certain verbs follow an irregular L-shaped pattern, where the first-person singular present indicative stem matches the stem used throughout the present subjunctive mood. We formulate the problem as a morphological reinflection task. Specifically, we investigate the role of input frequency in the acquisition of regular versus irregular L-shaped patterns in transformer models. By systematically manipulating the input distributions and analyzing model behavior, we reveal four key findings: 1) Models perform better on L-shaped verbs compared to regular verbs, especially in uneven frequency conditions; 2) Robust primacy effects are observed, but no consistent recency effects; 3) Memorization becomes more prominent as the proportion of L-shaped verbs increases; 4) There is a tendency to regularize L-shaped verbs when their consonant alternation pairs are rare or absent in the training data.</v>
      </c>
      <c r="D314" s="7" t="str">
        <f>IFERROR(__xludf.DUMMYFUNCTION("""COMPUTED_VALUE"""),"Akhilesh Kakolu Ramarao")</f>
        <v>Akhilesh Kakolu Ramarao</v>
      </c>
      <c r="E314" s="7" t="str">
        <f>IFERROR(__xludf.DUMMYFUNCTION("""COMPUTED_VALUE"""),"Yes")</f>
        <v>Yes</v>
      </c>
      <c r="F314" s="7" t="str">
        <f>IFERROR(__xludf.DUMMYFUNCTION("""COMPUTED_VALUE"""),"IP-Poster")</f>
        <v>IP-Poster</v>
      </c>
      <c r="G314" s="7" t="str">
        <f>IFERROR(__xludf.DUMMYFUNCTION("""COMPUTED_VALUE"""),"In-Person")</f>
        <v>In-Person</v>
      </c>
      <c r="H314" s="7" t="str">
        <f>IFERROR(__xludf.DUMMYFUNCTION("""COMPUTED_VALUE"""),"Hall 4/5")</f>
        <v>Hall 4/5</v>
      </c>
      <c r="I314" s="7" t="str">
        <f>IFERROR(__xludf.DUMMYFUNCTION("""COMPUTED_VALUE"""),"Session 5 :IP-Posters Find ")</f>
        <v>Session 5 :IP-Posters Find </v>
      </c>
      <c r="J314" s="7" t="str">
        <f>IFERROR(__xludf.DUMMYFUNCTION("""COMPUTED_VALUE"""),"Findings Posters - In-Person 1")</f>
        <v>Findings Posters - In-Person 1</v>
      </c>
      <c r="K314" s="7"/>
      <c r="L314" s="8">
        <f>IFERROR(__xludf.DUMMYFUNCTION("""COMPUTED_VALUE"""),45866.0)</f>
        <v>45866</v>
      </c>
      <c r="M314" s="7" t="str">
        <f>IFERROR(__xludf.DUMMYFUNCTION("""COMPUTED_VALUE"""),"18:00-19:30")</f>
        <v>18:00-19:30</v>
      </c>
      <c r="N314" s="7"/>
    </row>
    <row r="315">
      <c r="A315" s="7" t="str">
        <f>IFERROR(__xludf.DUMMYFUNCTION("""COMPUTED_VALUE"""),"975-FIND")</f>
        <v>975-FIND</v>
      </c>
      <c r="B315" s="7" t="str">
        <f>IFERROR(__xludf.DUMMYFUNCTION("""COMPUTED_VALUE"""),"From Heart to Words: Generating Empathetic Responses via Integrated Figurative Language and Semantic Context Signals")</f>
        <v>From Heart to Words: Generating Empathetic Responses via Integrated Figurative Language and Semantic Context Signals</v>
      </c>
      <c r="C315" s="7" t="str">
        <f>IFERROR(__xludf.DUMMYFUNCTION("""COMPUTED_VALUE"""),"Although generically expressing empathy is straightforward, effectively conveying empathy in specialized settings presents nuanced challenges. We present a conceptually motivated investigation into the use of figurative language and causal semantic contex"&amp;"t to facilitate targeted empathetic response generation within a specific mental health support domain, studying how these factors may be leveraged to promote improved response quality. Our approach achieves a 7.6% improvement in BLEU, a 36.7% reduction i"&amp;"n Perplexity, and a 7.6% increase in lexical diversity (D-1 and D-2) compared to models without these signals, and human assessments show a 24.2% increase in empathy ratings. These findings provide deeper insights into grounded empathy understanding and r"&amp;"esponse generation, offering a foundation for future research in this area.")</f>
        <v>Although generically expressing empathy is straightforward, effectively conveying empathy in specialized settings presents nuanced challenges. We present a conceptually motivated investigation into the use of figurative language and causal semantic context to facilitate targeted empathetic response generation within a specific mental health support domain, studying how these factors may be leveraged to promote improved response quality. Our approach achieves a 7.6% improvement in BLEU, a 36.7% reduction in Perplexity, and a 7.6% increase in lexical diversity (D-1 and D-2) compared to models without these signals, and human assessments show a 24.2% increase in empathy ratings. These findings provide deeper insights into grounded empathy understanding and response generation, offering a foundation for future research in this area.</v>
      </c>
      <c r="D315" s="7" t="str">
        <f>IFERROR(__xludf.DUMMYFUNCTION("""COMPUTED_VALUE"""),"Natalie Parde")</f>
        <v>Natalie Parde</v>
      </c>
      <c r="E315" s="7" t="str">
        <f>IFERROR(__xludf.DUMMYFUNCTION("""COMPUTED_VALUE"""),"Yes")</f>
        <v>Yes</v>
      </c>
      <c r="F315" s="7" t="str">
        <f>IFERROR(__xludf.DUMMYFUNCTION("""COMPUTED_VALUE"""),"IP-Poster")</f>
        <v>IP-Poster</v>
      </c>
      <c r="G315" s="7" t="str">
        <f>IFERROR(__xludf.DUMMYFUNCTION("""COMPUTED_VALUE"""),"In-Person")</f>
        <v>In-Person</v>
      </c>
      <c r="H315" s="7" t="str">
        <f>IFERROR(__xludf.DUMMYFUNCTION("""COMPUTED_VALUE"""),"Hall 4/5")</f>
        <v>Hall 4/5</v>
      </c>
      <c r="I315" s="7" t="str">
        <f>IFERROR(__xludf.DUMMYFUNCTION("""COMPUTED_VALUE"""),"Session 5 :IP-Posters Find ")</f>
        <v>Session 5 :IP-Posters Find </v>
      </c>
      <c r="J315" s="7" t="str">
        <f>IFERROR(__xludf.DUMMYFUNCTION("""COMPUTED_VALUE"""),"Findings Posters - In-Person 1")</f>
        <v>Findings Posters - In-Person 1</v>
      </c>
      <c r="K315" s="7"/>
      <c r="L315" s="8">
        <f>IFERROR(__xludf.DUMMYFUNCTION("""COMPUTED_VALUE"""),45866.0)</f>
        <v>45866</v>
      </c>
      <c r="M315" s="7" t="str">
        <f>IFERROR(__xludf.DUMMYFUNCTION("""COMPUTED_VALUE"""),"18:00-19:30")</f>
        <v>18:00-19:30</v>
      </c>
      <c r="N315" s="7"/>
    </row>
    <row r="316">
      <c r="A316" s="7" t="str">
        <f>IFERROR(__xludf.DUMMYFUNCTION("""COMPUTED_VALUE"""),"977-FIND")</f>
        <v>977-FIND</v>
      </c>
      <c r="B316" s="7" t="str">
        <f>IFERROR(__xludf.DUMMYFUNCTION("""COMPUTED_VALUE"""),"There's No Such Thing as Simple Reasoning for LLMs")</f>
        <v>There's No Such Thing as Simple Reasoning for LLMs</v>
      </c>
      <c r="C316" s="7" t="str">
        <f>IFERROR(__xludf.DUMMYFUNCTION("""COMPUTED_VALUE"""),"Large Language Models (LLMs) have been widely found to struggle with logical reasoning, where even fine-tuned models fail dramatically on out-of-distribution problems. However, existing work has focused on relatively complex ``many-hop'' reasoning problem"&amp;"s. In this paper, we analyse the performance of fine-tuned LLMs on simple reasoning problems, all of which can be solved in at most three inference steps. Due to the simplicity of these problems, the model cannot encounter test problems that are fundament"&amp;"ally different from those it has seen during training. Unfortunately, however, we find that the models remain highly brittle, being susceptible to seemingly innocent perturbations, such as the addition of duplicates to the set of premises and shuffling th"&amp;"e order in which the premises are presented.")</f>
        <v>Large Language Models (LLMs) have been widely found to struggle with logical reasoning, where even fine-tuned models fail dramatically on out-of-distribution problems. However, existing work has focused on relatively complex ``many-hop'' reasoning problems. In this paper, we analyse the performance of fine-tuned LLMs on simple reasoning problems, all of which can be solved in at most three inference steps. Due to the simplicity of these problems, the model cannot encounter test problems that are fundamentally different from those it has seen during training. Unfortunately, however, we find that the models remain highly brittle, being susceptible to seemingly innocent perturbations, such as the addition of duplicates to the set of premises and shuffling the order in which the premises are presented.</v>
      </c>
      <c r="D316" s="7" t="str">
        <f>IFERROR(__xludf.DUMMYFUNCTION("""COMPUTED_VALUE"""),"Nurul Fajrin Ariyani")</f>
        <v>Nurul Fajrin Ariyani</v>
      </c>
      <c r="E316" s="7" t="str">
        <f>IFERROR(__xludf.DUMMYFUNCTION("""COMPUTED_VALUE"""),"Yes")</f>
        <v>Yes</v>
      </c>
      <c r="F316" s="7" t="str">
        <f>IFERROR(__xludf.DUMMYFUNCTION("""COMPUTED_VALUE"""),"IP-Poster")</f>
        <v>IP-Poster</v>
      </c>
      <c r="G316" s="7" t="str">
        <f>IFERROR(__xludf.DUMMYFUNCTION("""COMPUTED_VALUE"""),"In-Person")</f>
        <v>In-Person</v>
      </c>
      <c r="H316" s="7" t="str">
        <f>IFERROR(__xludf.DUMMYFUNCTION("""COMPUTED_VALUE"""),"Hall 4/5")</f>
        <v>Hall 4/5</v>
      </c>
      <c r="I316" s="7" t="str">
        <f>IFERROR(__xludf.DUMMYFUNCTION("""COMPUTED_VALUE"""),"Session 5 :IP-Posters Find ")</f>
        <v>Session 5 :IP-Posters Find </v>
      </c>
      <c r="J316" s="7" t="str">
        <f>IFERROR(__xludf.DUMMYFUNCTION("""COMPUTED_VALUE"""),"Findings Posters - In-Person 1")</f>
        <v>Findings Posters - In-Person 1</v>
      </c>
      <c r="K316" s="7"/>
      <c r="L316" s="8">
        <f>IFERROR(__xludf.DUMMYFUNCTION("""COMPUTED_VALUE"""),45866.0)</f>
        <v>45866</v>
      </c>
      <c r="M316" s="7" t="str">
        <f>IFERROR(__xludf.DUMMYFUNCTION("""COMPUTED_VALUE"""),"18:00-19:30")</f>
        <v>18:00-19:30</v>
      </c>
      <c r="N316" s="7"/>
    </row>
    <row r="317">
      <c r="A317" s="7" t="str">
        <f>IFERROR(__xludf.DUMMYFUNCTION("""COMPUTED_VALUE"""),"980-FIND")</f>
        <v>980-FIND</v>
      </c>
      <c r="B317" s="7" t="str">
        <f>IFERROR(__xludf.DUMMYFUNCTION("""COMPUTED_VALUE"""),"CLIX: Cross-Lingual Explanations of Idiomatic Expressions")</f>
        <v>CLIX: Cross-Lingual Explanations of Idiomatic Expressions</v>
      </c>
      <c r="C317" s="7" t="str">
        <f>IFERROR(__xludf.DUMMYFUNCTION("""COMPUTED_VALUE"""),"Automated definition generation systems have been proposed to support vocabulary expansion for language learners. The main barrier to the success of these systems is that learners often struggle to understand definitions due to the presence of potentially"&amp;" unfamiliar words and grammar, particularly when non-standard language is involved. To address these challenges, we propose CLIX, the task of Cross-Lingual explanations of Idiomatic eXpressions. We explore the capabilities of current NLP models for this t"&amp;"ask, and observe that while it remains challenging, large language models show promise. Finally, we perform a detailed error analysis to highlight the key challenges that need to be addressed before we can reliably incorporate these systems into education"&amp;"al tools.")</f>
        <v>Automated definition generation systems have been proposed to support vocabulary expansion for language learners. The main barrier to the success of these systems is that learners often struggle to understand definitions due to the presence of potentially unfamiliar words and grammar, particularly when non-standard language is involved. To address these challenges, we propose CLIX, the task of Cross-Lingual explanations of Idiomatic eXpressions. We explore the capabilities of current NLP models for this task, and observe that while it remains challenging, large language models show promise. Finally, we perform a detailed error analysis to highlight the key challenges that need to be addressed before we can reliably incorporate these systems into educational tools.</v>
      </c>
      <c r="D317" s="7" t="str">
        <f>IFERROR(__xludf.DUMMYFUNCTION("""COMPUTED_VALUE"""),"Aaron Gluck")</f>
        <v>Aaron Gluck</v>
      </c>
      <c r="E317" s="7" t="str">
        <f>IFERROR(__xludf.DUMMYFUNCTION("""COMPUTED_VALUE"""),"Yes")</f>
        <v>Yes</v>
      </c>
      <c r="F317" s="7" t="str">
        <f>IFERROR(__xludf.DUMMYFUNCTION("""COMPUTED_VALUE"""),"IP-Poster")</f>
        <v>IP-Poster</v>
      </c>
      <c r="G317" s="7" t="str">
        <f>IFERROR(__xludf.DUMMYFUNCTION("""COMPUTED_VALUE"""),"In-Person")</f>
        <v>In-Person</v>
      </c>
      <c r="H317" s="7" t="str">
        <f>IFERROR(__xludf.DUMMYFUNCTION("""COMPUTED_VALUE"""),"Hall 4/5")</f>
        <v>Hall 4/5</v>
      </c>
      <c r="I317" s="7" t="str">
        <f>IFERROR(__xludf.DUMMYFUNCTION("""COMPUTED_VALUE"""),"Session 5 :IP-Posters Find ")</f>
        <v>Session 5 :IP-Posters Find </v>
      </c>
      <c r="J317" s="7" t="str">
        <f>IFERROR(__xludf.DUMMYFUNCTION("""COMPUTED_VALUE"""),"Findings Posters - In-Person 1")</f>
        <v>Findings Posters - In-Person 1</v>
      </c>
      <c r="K317" s="7"/>
      <c r="L317" s="8">
        <f>IFERROR(__xludf.DUMMYFUNCTION("""COMPUTED_VALUE"""),45866.0)</f>
        <v>45866</v>
      </c>
      <c r="M317" s="7" t="str">
        <f>IFERROR(__xludf.DUMMYFUNCTION("""COMPUTED_VALUE"""),"18:00-19:30")</f>
        <v>18:00-19:30</v>
      </c>
      <c r="N317" s="7"/>
    </row>
    <row r="318">
      <c r="A318" s="7" t="str">
        <f>IFERROR(__xludf.DUMMYFUNCTION("""COMPUTED_VALUE"""),"982-FIND")</f>
        <v>982-FIND</v>
      </c>
      <c r="B318" s="7" t="str">
        <f>IFERROR(__xludf.DUMMYFUNCTION("""COMPUTED_VALUE"""),"Beyond Semantic Entropy: Boosting LLM Uncertainty Quantification with Pairwise Semantic Similarity")</f>
        <v>Beyond Semantic Entropy: Boosting LLM Uncertainty Quantification with Pairwise Semantic Similarity</v>
      </c>
      <c r="C318" s="7" t="str">
        <f>IFERROR(__xludf.DUMMYFUNCTION("""COMPUTED_VALUE"""),"Hallucination in large language models (LLMs) can be detected by assessing the uncertainty of model outputs, typically measured using entropy. Semantic entropy (SE) enhances traditional entropy estimation by quantifying uncertainty at the semantic cluster"&amp;" level. However, as modern LLMs generate longer one-sentence responses, SE becomes less effective because it overlooks two crucial factors: intra-cluster similarity (the spread within a cluster) and inter-cluster similarity (the distance between clusters)"&amp;". To address this limitation, we propose a simple black-box uncertainty quantification method inspired by nearest neighbor estimates of entropy. Our approach can also be easily extended to white-box settings by incorporating token probabilities. Additiona"&amp;"lly, we provide theoretical results showing that our method generalizes semantic entropy. Extensive empirical results demonstrate its effectiveness compared to semantic entropy across two recent LLMs (Phi3 and Llama3) and three common text generation task"&amp;"s: question answering, text summarization, and machine translation.")</f>
        <v>Hallucination in large language models (LLMs) can be detected by assessing the uncertainty of model outputs, typically measured using entropy. Semantic entropy (SE) enhances traditional entropy estimation by quantifying uncertainty at the semantic cluster level. However, as modern LLMs generate longer one-sentence responses, SE becomes less effective because it overlooks two crucial factors: intra-cluster similarity (the spread within a cluster) and inter-cluster similarity (the distance between clusters). To address this limitation, we propose a simple black-box uncertainty quantification method inspired by nearest neighbor estimates of entropy. Our approach can also be easily extended to white-box settings by incorporating token probabilities. Additionally, we provide theoretical results showing that our method generalizes semantic entropy. Extensive empirical results demonstrate its effectiveness compared to semantic entropy across two recent LLMs (Phi3 and Llama3) and three common text generation tasks: question answering, text summarization, and machine translation.</v>
      </c>
      <c r="D318" s="7" t="str">
        <f>IFERROR(__xludf.DUMMYFUNCTION("""COMPUTED_VALUE"""),"N/A")</f>
        <v>N/A</v>
      </c>
      <c r="E318" s="7" t="str">
        <f>IFERROR(__xludf.DUMMYFUNCTION("""COMPUTED_VALUE"""),"#N/A")</f>
        <v>#N/A</v>
      </c>
      <c r="F318" s="7" t="str">
        <f>IFERROR(__xludf.DUMMYFUNCTION("""COMPUTED_VALUE"""),"Not Pres. ")</f>
        <v>Not Pres. </v>
      </c>
      <c r="G318" s="7" t="str">
        <f>IFERROR(__xludf.DUMMYFUNCTION("""COMPUTED_VALUE"""),"NP Findings Not Presenting ")</f>
        <v>NP Findings Not Presenting </v>
      </c>
      <c r="H318" s="7"/>
      <c r="I318" s="7" t="str">
        <f>IFERROR(__xludf.DUMMYFUNCTION("""COMPUTED_VALUE"""),"NP-Find")</f>
        <v>NP-Find</v>
      </c>
      <c r="J318" s="7"/>
      <c r="K318" s="7"/>
      <c r="L318" s="8"/>
      <c r="M318" s="7"/>
      <c r="N318" s="7"/>
    </row>
    <row r="319">
      <c r="A319" s="7" t="str">
        <f>IFERROR(__xludf.DUMMYFUNCTION("""COMPUTED_VALUE"""),"993-FIND")</f>
        <v>993-FIND</v>
      </c>
      <c r="B319" s="7" t="str">
        <f>IFERROR(__xludf.DUMMYFUNCTION("""COMPUTED_VALUE"""),"R3Mem: Bridging Memory Retention and Retrieval via Reversible Compression")</f>
        <v>R3Mem: Bridging Memory Retention and Retrieval via Reversible Compression</v>
      </c>
      <c r="C319" s="7" t="str">
        <f>IFERROR(__xludf.DUMMYFUNCTION("""COMPUTED_VALUE"""),"Memory plays a key role in enhancing LLMs’ performance when deployed to real-world applications. Existing solutions face trade-offs: explicit memory designs based on external storage require complex management and incur storage overhead, while implicit me"&amp;"mory designs that store information via parameters struggle with reliable retrieval. In this paper, we propose R3Mem, a memory network that optimizes both information Retention and Retrieval through Reversible context compression. Specifically, R3Mem empl"&amp;"oys virtual memory tokens to compress and encode infinitely long histories, further enhanced by a hierarchical compression strategy that refines information from document- to entity-level for improved assimilation across granularities. For retrieval, R3Me"&amp;"m employs a reversible architecture, reconstructing raw data by invoking the model backward with compressed information. Implemented via parameter-efficient fine-tuning, it can integrate seamlessly with any Transformer-based model. Experiments demonstrate"&amp;" that our memory design achieves state-of-the-art performance in long-context language modeling and retrieval-augmented generation tasks. It also significantly outperforms conventional memory modules in long-horizon interaction tasks like conversational a"&amp;"gents, showcasing its potential for next-generation retrieval systems.")</f>
        <v>Memory plays a key role in enhancing LLMs’ performance when deployed to real-world applications. Existing solutions face trade-offs: explicit memory designs based on external storage require complex management and incur storage overhead, while implicit memory designs that store information via parameters struggle with reliable retrieval. In this paper, we propose R3Mem, a memory network that optimizes both information Retention and Retrieval through Reversible context compression. Specifically, R3Mem employs virtual memory tokens to compress and encode infinitely long histories, further enhanced by a hierarchical compression strategy that refines information from document- to entity-level for improved assimilation across granularities. For retrieval, R3Mem employs a reversible architecture, reconstructing raw data by invoking the model backward with compressed information. Implemented via parameter-efficient fine-tuning, it can integrate seamlessly with any Transformer-based model. Experiments demonstrate that our memory design achieves state-of-the-art performance in long-context language modeling and retrieval-augmented generation tasks. It also significantly outperforms conventional memory modules in long-horizon interaction tasks like conversational agents, showcasing its potential for next-generation retrieval systems.</v>
      </c>
      <c r="D319" s="7" t="str">
        <f>IFERROR(__xludf.DUMMYFUNCTION("""COMPUTED_VALUE"""),"Xiaoqiang Wang")</f>
        <v>Xiaoqiang Wang</v>
      </c>
      <c r="E319" s="7" t="str">
        <f>IFERROR(__xludf.DUMMYFUNCTION("""COMPUTED_VALUE"""),"N/A")</f>
        <v>N/A</v>
      </c>
      <c r="F319" s="7" t="str">
        <f>IFERROR(__xludf.DUMMYFUNCTION("""COMPUTED_VALUE"""),"Not Pres. ")</f>
        <v>Not Pres. </v>
      </c>
      <c r="G319" s="7" t="str">
        <f>IFERROR(__xludf.DUMMYFUNCTION("""COMPUTED_VALUE"""),"NP Findings Not Presenting ")</f>
        <v>NP Findings Not Presenting </v>
      </c>
      <c r="H319" s="7"/>
      <c r="I319" s="7"/>
      <c r="J319" s="7"/>
      <c r="K319" s="7"/>
      <c r="L319" s="8"/>
      <c r="M319" s="7"/>
      <c r="N319" s="7"/>
    </row>
    <row r="320">
      <c r="A320" s="7" t="str">
        <f>IFERROR(__xludf.DUMMYFUNCTION("""COMPUTED_VALUE"""),"1001-FIND")</f>
        <v>1001-FIND</v>
      </c>
      <c r="B320" s="7" t="str">
        <f>IFERROR(__xludf.DUMMYFUNCTION("""COMPUTED_VALUE"""),"Vision Language Model Helps Private Information De-Identification in Vision Data")</f>
        <v>Vision Language Model Helps Private Information De-Identification in Vision Data</v>
      </c>
      <c r="C320" s="7" t="str">
        <f>IFERROR(__xludf.DUMMYFUNCTION("""COMPUTED_VALUE"""),"Visual Language Models (VLMs) have gained significant popularity due to their remarkable ability. While various methods exist to enhance privacy in text-based applications, privacy risks associated with visual inputs remain largely overlooked such as Prot"&amp;"ected Health Information (PHI) in medical images. To tackle this problem, two key tasks: accurately localizing sensitive text and processing it to ensure privacy protection should be performed. To address this issue, we introduce VisShield (Vision Privacy"&amp;" Shield), an end-to-end framework designed to enhance the privacy awareness of VLMs. Our framework consists of two key components: a specialized instruction-tuning dataset OPTIC (Optical Privacy Text Instruction Collection) and a tailored training methodo"&amp;"logy. The dataset provides diverse privacy-oriented prompts that guide VLMs to perform targeted Optical Character Recognition (OCR) for precise localization of sensitive text, while the training strategy ensures effective adaptation of VLMs to privacy-pre"&amp;"serving tasks. Specifically, our approach ensures that VLMs recognize privacy-sensitive text and output precise bounding boxes for detected entities, allowing for effective masking of sensitive information. Extensive experiments demonstrate that our frame"&amp;"work significantly outperforms existing approaches in handling private information, paving the way for privacy-preserving applications in vision-language models.")</f>
        <v>Visual Language Models (VLMs) have gained significant popularity due to their remarkable ability. While various methods exist to enhance privacy in text-based applications, privacy risks associated with visual inputs remain largely overlooked such as Protected Health Information (PHI) in medical images. To tackle this problem, two key tasks: accurately localizing sensitive text and processing it to ensure privacy protection should be performed. To address this issue, we introduce VisShield (Vision Privacy Shield), an end-to-end framework designed to enhance the privacy awareness of VLMs. Our framework consists of two key components: a specialized instruction-tuning dataset OPTIC (Optical Privacy Text Instruction Collection) and a tailored training methodology. The dataset provides diverse privacy-oriented prompts that guide VLMs to perform targeted Optical Character Recognition (OCR) for precise localization of sensitive text, while the training strategy ensures effective adaptation of VLMs to privacy-preserving tasks. Specifically, our approach ensures that VLMs recognize privacy-sensitive text and output precise bounding boxes for detected entities, allowing for effective masking of sensitive information. Extensive experiments demonstrate that our framework significantly outperforms existing approaches in handling private information, paving the way for privacy-preserving applications in vision-language models.</v>
      </c>
      <c r="D320" s="7" t="str">
        <f>IFERROR(__xludf.DUMMYFUNCTION("""COMPUTED_VALUE"""),"Tiejin Chen")</f>
        <v>Tiejin Chen</v>
      </c>
      <c r="E320" s="7" t="str">
        <f>IFERROR(__xludf.DUMMYFUNCTION("""COMPUTED_VALUE"""),"N/A")</f>
        <v>N/A</v>
      </c>
      <c r="F320" s="7" t="str">
        <f>IFERROR(__xludf.DUMMYFUNCTION("""COMPUTED_VALUE"""),"Not Pres. ")</f>
        <v>Not Pres. </v>
      </c>
      <c r="G320" s="7"/>
      <c r="H320" s="7"/>
      <c r="I320" s="7" t="str">
        <f>IFERROR(__xludf.DUMMYFUNCTION("""COMPUTED_VALUE"""),"NP-Find")</f>
        <v>NP-Find</v>
      </c>
      <c r="J320" s="7"/>
      <c r="K320" s="7"/>
      <c r="L320" s="8"/>
      <c r="M320" s="7"/>
      <c r="N320" s="7"/>
    </row>
    <row r="321">
      <c r="A321" s="7" t="str">
        <f>IFERROR(__xludf.DUMMYFUNCTION("""COMPUTED_VALUE"""),"1006-FIND")</f>
        <v>1006-FIND</v>
      </c>
      <c r="B321" s="7" t="str">
        <f>IFERROR(__xludf.DUMMYFUNCTION("""COMPUTED_VALUE"""),"Unveiling Privacy Risks in Multi-modal Large Language Models: Task-specific Vulnerabilities and Mitigation Challenges")</f>
        <v>Unveiling Privacy Risks in Multi-modal Large Language Models: Task-specific Vulnerabilities and Mitigation Challenges</v>
      </c>
      <c r="C321" s="7" t="str">
        <f>IFERROR(__xludf.DUMMYFUNCTION("""COMPUTED_VALUE"""),"Privacy risks in text-only Large Language Models (LLMs) are well studied, particularly their tendency to memorize and leak sensitive information. However, Multi-modal Large Language Models (MLLMs), which process both text and images, introduce unique priv"&amp;"acy challenges that remain underexplored. Compared to text-only models, MLLMs can extract and expose sensitive information embedded in images, posing new privacy risks. We reveal that some MLLMs are susceptible to privacy breaches, leaking sensitive data "&amp;"embedded in images or stored in memory. Specifically, in this paper, we (1) introduce MM-Privacy, a comprehensive dataset designed to assess privacy risks across various multi-modal tasks and scenarios, where we define Disclosure Risks and Retention Risks"&amp;". (2) systematically evaluate different MLLMs using MM-Privacy and demonstrate how models leak sensitive data across various tasks, and (3) provide additional insights into the role of task inconsistency in privacy risks, emphasizing the urgent need for m"&amp;"itigation strategies. Our findings highlight privacy concerns in MLLMs, underscoring the necessity of safeguards to prevent data exposure. Part of our dataset and code can be found here.")</f>
        <v>Privacy risks in text-only Large Language Models (LLMs) are well studied, particularly their tendency to memorize and leak sensitive information. However, Multi-modal Large Language Models (MLLMs), which process both text and images, introduce unique privacy challenges that remain underexplored. Compared to text-only models, MLLMs can extract and expose sensitive information embedded in images, posing new privacy risks. We reveal that some MLLMs are susceptible to privacy breaches, leaking sensitive data embedded in images or stored in memory. Specifically, in this paper, we (1) introduce MM-Privacy, a comprehensive dataset designed to assess privacy risks across various multi-modal tasks and scenarios, where we define Disclosure Risks and Retention Risks. (2) systematically evaluate different MLLMs using MM-Privacy and demonstrate how models leak sensitive data across various tasks, and (3) provide additional insights into the role of task inconsistency in privacy risks, emphasizing the urgent need for mitigation strategies. Our findings highlight privacy concerns in MLLMs, underscoring the necessity of safeguards to prevent data exposure. Part of our dataset and code can be found here.</v>
      </c>
      <c r="D321" s="7" t="str">
        <f>IFERROR(__xludf.DUMMYFUNCTION("""COMPUTED_VALUE"""),"Tiejin Chen")</f>
        <v>Tiejin Chen</v>
      </c>
      <c r="E321" s="7" t="str">
        <f>IFERROR(__xludf.DUMMYFUNCTION("""COMPUTED_VALUE"""),"#N/A")</f>
        <v>#N/A</v>
      </c>
      <c r="F321" s="7" t="str">
        <f>IFERROR(__xludf.DUMMYFUNCTION("""COMPUTED_VALUE"""),"Not Pres. ")</f>
        <v>Not Pres. </v>
      </c>
      <c r="G321" s="7" t="str">
        <f>IFERROR(__xludf.DUMMYFUNCTION("""COMPUTED_VALUE"""),"NP Findings Not Presenting ")</f>
        <v>NP Findings Not Presenting </v>
      </c>
      <c r="H321" s="7"/>
      <c r="I321" s="7" t="str">
        <f>IFERROR(__xludf.DUMMYFUNCTION("""COMPUTED_VALUE"""),"NP-Find")</f>
        <v>NP-Find</v>
      </c>
      <c r="J321" s="7"/>
      <c r="K321" s="7"/>
      <c r="L321" s="8"/>
      <c r="M321" s="7"/>
      <c r="N321" s="7"/>
    </row>
    <row r="322">
      <c r="A322" s="7" t="str">
        <f>IFERROR(__xludf.DUMMYFUNCTION("""COMPUTED_VALUE"""),"1008-FIND")</f>
        <v>1008-FIND</v>
      </c>
      <c r="B322" s="7" t="str">
        <f>IFERROR(__xludf.DUMMYFUNCTION("""COMPUTED_VALUE"""),"DeFine: Enhancing LLM Decision-Making with Factor Profiles and Analogical Reasoning")</f>
        <v>DeFine: Enhancing LLM Decision-Making with Factor Profiles and Analogical Reasoning</v>
      </c>
      <c r="C322" s="7" t="str">
        <f>IFERROR(__xludf.DUMMYFUNCTION("""COMPUTED_VALUE"""),"LLMs excel in decision-making by reasoning over long contexts and identifying key factors. However, processing transcripts from complex scenarios presents challenges due to ungrammatical sentences, repetitions, and hedging. For example, in an earnings cal"&amp;"l, a company executive may project a positive revenue outlook despite uncertainty about future earnings. LLMs must systematically account for such uncertainty in decision-making. In this paper, we introduce DeFine, a framework that constructs probabilisti"&amp;"c factor profiles from complex scenarios and integrates them with analogical reasoning. By leveraging insights from past experiences, DeFine helps LLMs make informed decisions in novel situations. Our approach separates uncertainty quantification from dec"&amp;"ision-making, making it particularly useful in fields such as financial investment decisions and medical consultations, where handling uncertainty is crucial.")</f>
        <v>LLMs excel in decision-making by reasoning over long contexts and identifying key factors. However, processing transcripts from complex scenarios presents challenges due to ungrammatical sentences, repetitions, and hedging. For example, in an earnings call, a company executive may project a positive revenue outlook despite uncertainty about future earnings. LLMs must systematically account for such uncertainty in decision-making. In this paper, we introduce DeFine, a framework that constructs probabilistic factor profiles from complex scenarios and integrates them with analogical reasoning. By leveraging insights from past experiences, DeFine helps LLMs make informed decisions in novel situations. Our approach separates uncertainty quantification from decision-making, making it particularly useful in fields such as financial investment decisions and medical consultations, where handling uncertainty is crucial.</v>
      </c>
      <c r="D322" s="7" t="str">
        <f>IFERROR(__xludf.DUMMYFUNCTION("""COMPUTED_VALUE"""),"Fei Liu")</f>
        <v>Fei Liu</v>
      </c>
      <c r="E322" s="7" t="str">
        <f>IFERROR(__xludf.DUMMYFUNCTION("""COMPUTED_VALUE"""),"Yes")</f>
        <v>Yes</v>
      </c>
      <c r="F322" s="7" t="str">
        <f>IFERROR(__xludf.DUMMYFUNCTION("""COMPUTED_VALUE"""),"IP-Poster")</f>
        <v>IP-Poster</v>
      </c>
      <c r="G322" s="7" t="str">
        <f>IFERROR(__xludf.DUMMYFUNCTION("""COMPUTED_VALUE"""),"In-Person")</f>
        <v>In-Person</v>
      </c>
      <c r="H322" s="7" t="str">
        <f>IFERROR(__xludf.DUMMYFUNCTION("""COMPUTED_VALUE"""),"Hall 4/5")</f>
        <v>Hall 4/5</v>
      </c>
      <c r="I322" s="7" t="str">
        <f>IFERROR(__xludf.DUMMYFUNCTION("""COMPUTED_VALUE"""),"Session 5 :IP-Posters Find ")</f>
        <v>Session 5 :IP-Posters Find </v>
      </c>
      <c r="J322" s="7" t="str">
        <f>IFERROR(__xludf.DUMMYFUNCTION("""COMPUTED_VALUE"""),"Findings Posters - In-Person 1")</f>
        <v>Findings Posters - In-Person 1</v>
      </c>
      <c r="K322" s="7"/>
      <c r="L322" s="8">
        <f>IFERROR(__xludf.DUMMYFUNCTION("""COMPUTED_VALUE"""),45866.0)</f>
        <v>45866</v>
      </c>
      <c r="M322" s="7" t="str">
        <f>IFERROR(__xludf.DUMMYFUNCTION("""COMPUTED_VALUE"""),"18:00-19:30")</f>
        <v>18:00-19:30</v>
      </c>
      <c r="N322" s="7"/>
    </row>
    <row r="323">
      <c r="A323" s="7" t="str">
        <f>IFERROR(__xludf.DUMMYFUNCTION("""COMPUTED_VALUE"""),"1016-FIND")</f>
        <v>1016-FIND</v>
      </c>
      <c r="B323" s="7" t="str">
        <f>IFERROR(__xludf.DUMMYFUNCTION("""COMPUTED_VALUE"""),"SMART: Self-Aware Agent for Tool Overuse Mitigation")</f>
        <v>SMART: Self-Aware Agent for Tool Overuse Mitigation</v>
      </c>
      <c r="C323" s="7" t="str">
        <f>IFERROR(__xludf.DUMMYFUNCTION("""COMPUTED_VALUE"""),"Current Large Language Model (LLM) agents demonstrate strong reasoning and tool use capabilities, but often lack self-awareness, failing to balance these approaches effectively. This imbalance leads to **Tool Overuse**, where models unnecessarily rely on "&amp;"external tools for tasks solvable with parametric knowledge, increasing computational overhead. Inspired by human metacognition, we introduce **SMART** (Strategic Model-Aware Reasoning with Tools), a paradigm that enhances an agent’s self-awareness to opt"&amp;"imize task handling and reduce tool overuse. To support this paradigm, we introduce **SMART-ER**, a dataset spanning three domains, where reasoning alternates between parametric knowledge and tool-dependent steps, with each step enriched by rationales exp"&amp;"laining when tools are necessary. Through supervised training, we develop **SMARTAgent**, a family of models that dynamically balance parametric knowledge and tool use. Evaluations show that SMARTAgent reduces tool use by 24% while improving performance b"&amp;"y over 37%, enabling 7B-scale models to match its 70B counterpart and GPT-4. Additionally, SMARTAgent generalizes to out-of-distribution test data like GSM8K and MINTQA, maintaining accuracy with just one-fifth the tool calls. These highlight the potentia"&amp;"l of strategic tool use to enhance reasoning, mitigate overuse, and bridge the gap between model size and performance, advancing intelligent and resource-efficient agent designs.")</f>
        <v>Current Large Language Model (LLM) agents demonstrate strong reasoning and tool use capabilities, but often lack self-awareness, failing to balance these approaches effectively. This imbalance leads to **Tool Overuse**, where models unnecessarily rely on external tools for tasks solvable with parametric knowledge, increasing computational overhead. Inspired by human metacognition, we introduce **SMART** (Strategic Model-Aware Reasoning with Tools), a paradigm that enhances an agent’s self-awareness to optimize task handling and reduce tool overuse. To support this paradigm, we introduce **SMART-ER**, a dataset spanning three domains, where reasoning alternates between parametric knowledge and tool-dependent steps, with each step enriched by rationales explaining when tools are necessary. Through supervised training, we develop **SMARTAgent**, a family of models that dynamically balance parametric knowledge and tool use. Evaluations show that SMARTAgent reduces tool use by 24% while improving performance by over 37%, enabling 7B-scale models to match its 70B counterpart and GPT-4. Additionally, SMARTAgent generalizes to out-of-distribution test data like GSM8K and MINTQA, maintaining accuracy with just one-fifth the tool calls. These highlight the potential of strategic tool use to enhance reasoning, mitigate overuse, and bridge the gap between model size and performance, advancing intelligent and resource-efficient agent designs.</v>
      </c>
      <c r="D323" s="7" t="str">
        <f>IFERROR(__xludf.DUMMYFUNCTION("""COMPUTED_VALUE"""),"Cheng Qian")</f>
        <v>Cheng Qian</v>
      </c>
      <c r="E323" s="7" t="str">
        <f>IFERROR(__xludf.DUMMYFUNCTION("""COMPUTED_VALUE"""),"Yes")</f>
        <v>Yes</v>
      </c>
      <c r="F323" s="7" t="str">
        <f>IFERROR(__xludf.DUMMYFUNCTION("""COMPUTED_VALUE"""),"IP-Poster")</f>
        <v>IP-Poster</v>
      </c>
      <c r="G323" s="7" t="str">
        <f>IFERROR(__xludf.DUMMYFUNCTION("""COMPUTED_VALUE"""),"In-Person")</f>
        <v>In-Person</v>
      </c>
      <c r="H323" s="7" t="str">
        <f>IFERROR(__xludf.DUMMYFUNCTION("""COMPUTED_VALUE"""),"Hall 4/5")</f>
        <v>Hall 4/5</v>
      </c>
      <c r="I323" s="7" t="str">
        <f>IFERROR(__xludf.DUMMYFUNCTION("""COMPUTED_VALUE"""),"Session 5 :IP-Posters Find ")</f>
        <v>Session 5 :IP-Posters Find </v>
      </c>
      <c r="J323" s="7" t="str">
        <f>IFERROR(__xludf.DUMMYFUNCTION("""COMPUTED_VALUE"""),"Findings Posters - In-Person 1")</f>
        <v>Findings Posters - In-Person 1</v>
      </c>
      <c r="K323" s="7"/>
      <c r="L323" s="8">
        <f>IFERROR(__xludf.DUMMYFUNCTION("""COMPUTED_VALUE"""),45866.0)</f>
        <v>45866</v>
      </c>
      <c r="M323" s="7" t="str">
        <f>IFERROR(__xludf.DUMMYFUNCTION("""COMPUTED_VALUE"""),"18:00-19:30")</f>
        <v>18:00-19:30</v>
      </c>
      <c r="N323" s="7"/>
    </row>
    <row r="324">
      <c r="A324" s="7" t="str">
        <f>IFERROR(__xludf.DUMMYFUNCTION("""COMPUTED_VALUE"""),"1017-FIND")</f>
        <v>1017-FIND</v>
      </c>
      <c r="B324" s="7" t="str">
        <f>IFERROR(__xludf.DUMMYFUNCTION("""COMPUTED_VALUE"""),"Enhancing Multilingual Large Language Models: Continued Pretraining and Comprehensive Evaluation for Underrepresented Languages")</f>
        <v>Enhancing Multilingual Large Language Models: Continued Pretraining and Comprehensive Evaluation for Underrepresented Languages</v>
      </c>
      <c r="C324" s="7" t="str">
        <f>IFERROR(__xludf.DUMMYFUNCTION("""COMPUTED_VALUE"""),"Recent advances in Large Language Models (LLMs) have led to remarkable improvements in language understanding and text generation. However, challenges remain in enhancing their performance for underrepresented languages, ensuring continual learning withou"&amp;"t catastrophic forgetting, and developing robust evaluation methodologies. This work addresses these issues by investigating the impact of Continued Pretraining (CPT) on multilingual models and proposing a comprehensive evaluation framework for LLMs. Our "&amp;"first contribution explores CPT strategies for languages with limited representation in multilingual models, focusing on Galician. We analyze how CPT with Galician corpora improves text generation while assessing the trade-offs between linguistic enrichme"&amp;"nt and task-solving capabilities. Our findings show that CPT with small, high-quality corpora and diverse instructions enhances both task performance and linguistic quality. Our second contribution is a structured evaluation framework based on distinguish"&amp;"ing task-based and language-based assessments, leveraging existing and newly developed benchmarks for Galician. Additionally, we contribute new Galician LLMs, datasets for evaluation and instructions, and an evaluation framework.")</f>
        <v>Recent advances in Large Language Models (LLMs) have led to remarkable improvements in language understanding and text generation. However, challenges remain in enhancing their performance for underrepresented languages, ensuring continual learning without catastrophic forgetting, and developing robust evaluation methodologies. This work addresses these issues by investigating the impact of Continued Pretraining (CPT) on multilingual models and proposing a comprehensive evaluation framework for LLMs. Our first contribution explores CPT strategies for languages with limited representation in multilingual models, focusing on Galician. We analyze how CPT with Galician corpora improves text generation while assessing the trade-offs between linguistic enrichment and task-solving capabilities. Our findings show that CPT with small, high-quality corpora and diverse instructions enhances both task performance and linguistic quality. Our second contribution is a structured evaluation framework based on distinguishing task-based and language-based assessments, leveraging existing and newly developed benchmarks for Galician. Additionally, we contribute new Galician LLMs, datasets for evaluation and instructions, and an evaluation framework.</v>
      </c>
      <c r="D324" s="7" t="str">
        <f>IFERROR(__xludf.DUMMYFUNCTION("""COMPUTED_VALUE"""),"Pablo Rodríguez")</f>
        <v>Pablo Rodríguez</v>
      </c>
      <c r="E324" s="7" t="str">
        <f>IFERROR(__xludf.DUMMYFUNCTION("""COMPUTED_VALUE"""),"Yes")</f>
        <v>Yes</v>
      </c>
      <c r="F324" s="7" t="str">
        <f>IFERROR(__xludf.DUMMYFUNCTION("""COMPUTED_VALUE"""),"IP-Poster")</f>
        <v>IP-Poster</v>
      </c>
      <c r="G324" s="7" t="str">
        <f>IFERROR(__xludf.DUMMYFUNCTION("""COMPUTED_VALUE"""),"In-Person")</f>
        <v>In-Person</v>
      </c>
      <c r="H324" s="7" t="str">
        <f>IFERROR(__xludf.DUMMYFUNCTION("""COMPUTED_VALUE"""),"Hall 4/5")</f>
        <v>Hall 4/5</v>
      </c>
      <c r="I324" s="7" t="str">
        <f>IFERROR(__xludf.DUMMYFUNCTION("""COMPUTED_VALUE"""),"Session 5 :IP-Posters Find ")</f>
        <v>Session 5 :IP-Posters Find </v>
      </c>
      <c r="J324" s="7" t="str">
        <f>IFERROR(__xludf.DUMMYFUNCTION("""COMPUTED_VALUE"""),"Findings Posters - In-Person 1")</f>
        <v>Findings Posters - In-Person 1</v>
      </c>
      <c r="K324" s="7"/>
      <c r="L324" s="8">
        <f>IFERROR(__xludf.DUMMYFUNCTION("""COMPUTED_VALUE"""),45866.0)</f>
        <v>45866</v>
      </c>
      <c r="M324" s="7" t="str">
        <f>IFERROR(__xludf.DUMMYFUNCTION("""COMPUTED_VALUE"""),"18:00-19:30")</f>
        <v>18:00-19:30</v>
      </c>
      <c r="N324" s="7"/>
    </row>
    <row r="325">
      <c r="A325" s="7" t="str">
        <f>IFERROR(__xludf.DUMMYFUNCTION("""COMPUTED_VALUE"""),"1024-FIND")</f>
        <v>1024-FIND</v>
      </c>
      <c r="B325" s="7" t="str">
        <f>IFERROR(__xludf.DUMMYFUNCTION("""COMPUTED_VALUE"""),"TC-Bench: Benchmarking Temporal Compositionality in Conditional Video Generation")</f>
        <v>TC-Bench: Benchmarking Temporal Compositionality in Conditional Video Generation</v>
      </c>
      <c r="C325" s="7" t="str">
        <f>IFERROR(__xludf.DUMMYFUNCTION("""COMPUTED_VALUE"""),"Video generation has many unique challenges beyond those of image generation. The temporal dimension introduces extensive possible variations across frames, over which consistency and continuity may be violated. In this work, we evaluate the emergence of "&amp;"new concepts and relation transitions as time progresses in a video, which we refer to as Temporal Compositionality. We propose TC-Bench, a benchmark of meticulously crafted text prompts, ground truth videos, and new evaluation metrics. The prompts articu"&amp;"late the initial and final states of scenes, effectively reducing ambiguities for frame development. In addition, by collecting corresponding ground-truth videos, the benchmark can be used for text-to-video and image-to-video generation. We develop new me"&amp;"trics to measure the completeness of component transitions, which demonstrate significantly higher correlations with human judgments than existing metrics. Our experiments reveal that contemporary video generators are still weak in prompt understanding an"&amp;"d achieve less than 20% of the compositional changes, highlighting enormous improvement space. Our analysis indicates that current video generation models struggle to interpret descriptions of compositional changes and synthesize various components across"&amp;" different time steps.")</f>
        <v>Video generation has many unique challenges beyond those of image generation. The temporal dimension introduces extensive possible variations across frames, over which consistency and continuity may be violated. In this work, we evaluate the emergence of new concepts and relation transitions as time progresses in a video, which we refer to as Temporal Compositionality. We propose TC-Bench, a benchmark of meticulously crafted text prompts, ground truth videos, and new evaluation metrics. The prompts articulate the initial and final states of scenes, effectively reducing ambiguities for frame development. In addition, by collecting corresponding ground-truth videos, the benchmark can be used for text-to-video and image-to-video generation. We develop new metrics to measure the completeness of component transitions, which demonstrate significantly higher correlations with human judgments than existing metrics. Our experiments reveal that contemporary video generators are still weak in prompt understanding and achieve less than 20% of the compositional changes, highlighting enormous improvement space. Our analysis indicates that current video generation models struggle to interpret descriptions of compositional changes and synthesize various components across different time steps.</v>
      </c>
      <c r="D325" s="7" t="str">
        <f>IFERROR(__xludf.DUMMYFUNCTION("""COMPUTED_VALUE"""),"N/A, Finding paper")</f>
        <v>N/A, Finding paper</v>
      </c>
      <c r="E325" s="7" t="str">
        <f>IFERROR(__xludf.DUMMYFUNCTION("""COMPUTED_VALUE"""),"#N/A")</f>
        <v>#N/A</v>
      </c>
      <c r="F325" s="7" t="str">
        <f>IFERROR(__xludf.DUMMYFUNCTION("""COMPUTED_VALUE"""),"Not Pres. ")</f>
        <v>Not Pres. </v>
      </c>
      <c r="G325" s="7" t="str">
        <f>IFERROR(__xludf.DUMMYFUNCTION("""COMPUTED_VALUE"""),"NP Findings Not Presenting ")</f>
        <v>NP Findings Not Presenting </v>
      </c>
      <c r="H325" s="7"/>
      <c r="I325" s="7" t="str">
        <f>IFERROR(__xludf.DUMMYFUNCTION("""COMPUTED_VALUE"""),"NP-Find")</f>
        <v>NP-Find</v>
      </c>
      <c r="J325" s="7"/>
      <c r="K325" s="7"/>
      <c r="L325" s="8"/>
      <c r="M325" s="7"/>
      <c r="N325" s="7"/>
    </row>
    <row r="326">
      <c r="A326" s="7" t="str">
        <f>IFERROR(__xludf.DUMMYFUNCTION("""COMPUTED_VALUE"""),"1025-FIND")</f>
        <v>1025-FIND</v>
      </c>
      <c r="B326" s="7" t="str">
        <f>IFERROR(__xludf.DUMMYFUNCTION("""COMPUTED_VALUE"""),"DAM: Dynamic Attention Mask for Long-Context Large Language Model Inference Acceleration")</f>
        <v>DAM: Dynamic Attention Mask for Long-Context Large Language Model Inference Acceleration</v>
      </c>
      <c r="C326" s="7" t="str">
        <f>IFERROR(__xludf.DUMMYFUNCTION("""COMPUTED_VALUE"""),"Long-context understanding is crucial for many NLP applications, yet transformers struggle with efficiency due to the quadratic complexity of self-attention. Sparse attention methods alleviate this cost but often impose static, predefined masks, failing t"&amp;"o capture heterogeneous attention patterns. This results in suboptimal token interactions, limiting adaptability and retrieval accuracy in long-sequence tasks. This work introduces a dynamic sparse attention mechanism that assigns adaptive masks at the at"&amp;"tention-map level, preserving heterogeneous patterns across layers and heads. Unlike existing approaches, our method eliminates the need for fine-tuning and predefined mask structures while maintaining computational efficiency. By learning context-aware a"&amp;"ttention structures, it achieves high alignment with full-attention models, ensuring minimal performance degradation while reducing memory and compute overhead. This approach provides a scalable alternative to full attention, enabling the practical deploy"&amp;"ment of large-scale Large Langue Models (LLMs) without sacrificing retrieval performance.")</f>
        <v>Long-context understanding is crucial for many NLP applications, yet transformers struggle with efficiency due to the quadratic complexity of self-attention. Sparse attention methods alleviate this cost but often impose static, predefined masks, failing to capture heterogeneous attention patterns. This results in suboptimal token interactions, limiting adaptability and retrieval accuracy in long-sequence tasks. This work introduces a dynamic sparse attention mechanism that assigns adaptive masks at the attention-map level, preserving heterogeneous patterns across layers and heads. Unlike existing approaches, our method eliminates the need for fine-tuning and predefined mask structures while maintaining computational efficiency. By learning context-aware attention structures, it achieves high alignment with full-attention models, ensuring minimal performance degradation while reducing memory and compute overhead. This approach provides a scalable alternative to full attention, enabling the practical deployment of large-scale Large Langue Models (LLMs) without sacrificing retrieval performance.</v>
      </c>
      <c r="D326" s="7" t="str">
        <f>IFERROR(__xludf.DUMMYFUNCTION("""COMPUTED_VALUE"""),"Hanzhi Zhang")</f>
        <v>Hanzhi Zhang</v>
      </c>
      <c r="E326" s="7" t="str">
        <f>IFERROR(__xludf.DUMMYFUNCTION("""COMPUTED_VALUE"""),"Yes")</f>
        <v>Yes</v>
      </c>
      <c r="F326" s="7" t="str">
        <f>IFERROR(__xludf.DUMMYFUNCTION("""COMPUTED_VALUE"""),"V-Presentation")</f>
        <v>V-Presentation</v>
      </c>
      <c r="G326" s="7" t="str">
        <f>IFERROR(__xludf.DUMMYFUNCTION("""COMPUTED_VALUE"""),"Virtual/Gather")</f>
        <v>Virtual/Gather</v>
      </c>
      <c r="H326" s="7" t="str">
        <f>IFERROR(__xludf.DUMMYFUNCTION("""COMPUTED_VALUE"""),"Gather")</f>
        <v>Gather</v>
      </c>
      <c r="I326" s="7" t="str">
        <f>IFERROR(__xludf.DUMMYFUNCTION("""COMPUTED_VALUE"""),"Session5: V-Gather Find")</f>
        <v>Session5: V-Gather Find</v>
      </c>
      <c r="J326" s="7" t="str">
        <f>IFERROR(__xludf.DUMMYFUNCTION("""COMPUTED_VALUE"""),"Findings Posters - Virtual")</f>
        <v>Findings Posters - Virtual</v>
      </c>
      <c r="K326" s="7"/>
      <c r="L326" s="8">
        <f>IFERROR(__xludf.DUMMYFUNCTION("""COMPUTED_VALUE"""),45866.0)</f>
        <v>45866</v>
      </c>
      <c r="M326" s="7" t="str">
        <f>IFERROR(__xludf.DUMMYFUNCTION("""COMPUTED_VALUE"""),"18:00-19:30")</f>
        <v>18:00-19:30</v>
      </c>
      <c r="N326" s="7"/>
    </row>
    <row r="327">
      <c r="A327" s="7" t="str">
        <f>IFERROR(__xludf.DUMMYFUNCTION("""COMPUTED_VALUE"""),"1027-FIND")</f>
        <v>1027-FIND</v>
      </c>
      <c r="B327" s="7" t="str">
        <f>IFERROR(__xludf.DUMMYFUNCTION("""COMPUTED_VALUE"""),"Arbiters of Ambivalence: Challenges of using LLMs in No-Consensus tasks")</f>
        <v>Arbiters of Ambivalence: Challenges of using LLMs in No-Consensus tasks</v>
      </c>
      <c r="C327" s="7" t="str">
        <f>IFERROR(__xludf.DUMMYFUNCTION("""COMPUTED_VALUE"""),"The increasing use of LLMs as substitutes for humans in ""aligning"" LLMs has raised questions about their ability to replicate human judgments and preferences, especially in ambivalent scenarios where humans disagree. This study examines the biases and l"&amp;"imitations of LLMs in three roles: answer generator, judge, and debater. These roles loosely correspond to previously described alignment frameworks: preference alignment (judge) and scalable oversight (debater), with the answer generator reflecting the t"&amp;"ypical setting with user interactions. We develop a ``no-consensus'' benchmark by curating examples that encompass a variety of a priori ambivalent scenarios, each presenting two possible stances. Our results show that while LLMs can provide nuanced asses"&amp;"sments when generating open-ended answers, they tend to take a stance on no-consensus topics when employed as judges or debaters. These findings underscore the necessity for more sophisticated methods for aligning LLMs without human oversight, highlightin"&amp;"g that LLMs cannot fully capture human non-agreement even on topics where humans themselves are divided.")</f>
        <v>The increasing use of LLMs as substitutes for humans in "aligning" LLMs has raised questions about their ability to replicate human judgments and preferences, especially in ambivalent scenarios where humans disagree. This study examines the biases and limitations of LLMs in three roles: answer generator, judge, and debater. These roles loosely correspond to previously described alignment frameworks: preference alignment (judge) and scalable oversight (debater), with the answer generator reflecting the typical setting with user interactions. We develop a ``no-consensus'' benchmark by curating examples that encompass a variety of a priori ambivalent scenarios, each presenting two possible stances. Our results show that while LLMs can provide nuanced assessments when generating open-ended answers, they tend to take a stance on no-consensus topics when employed as judges or debaters. These findings underscore the necessity for more sophisticated methods for aligning LLMs without human oversight, highlighting that LLMs cannot fully capture human non-agreement even on topics where humans themselves are divided.</v>
      </c>
      <c r="D327" s="7" t="str">
        <f>IFERROR(__xludf.DUMMYFUNCTION("""COMPUTED_VALUE"""),"Adina Williams")</f>
        <v>Adina Williams</v>
      </c>
      <c r="E327" s="7" t="str">
        <f>IFERROR(__xludf.DUMMYFUNCTION("""COMPUTED_VALUE"""),"Yes")</f>
        <v>Yes</v>
      </c>
      <c r="F327" s="7" t="str">
        <f>IFERROR(__xludf.DUMMYFUNCTION("""COMPUTED_VALUE"""),"IP-Poster")</f>
        <v>IP-Poster</v>
      </c>
      <c r="G327" s="7" t="str">
        <f>IFERROR(__xludf.DUMMYFUNCTION("""COMPUTED_VALUE"""),"In-Person")</f>
        <v>In-Person</v>
      </c>
      <c r="H327" s="7" t="str">
        <f>IFERROR(__xludf.DUMMYFUNCTION("""COMPUTED_VALUE"""),"Hall 4/5")</f>
        <v>Hall 4/5</v>
      </c>
      <c r="I327" s="7" t="str">
        <f>IFERROR(__xludf.DUMMYFUNCTION("""COMPUTED_VALUE"""),"Session 12: IP-Posters")</f>
        <v>Session 12: IP-Posters</v>
      </c>
      <c r="J327" s="7" t="str">
        <f>IFERROR(__xludf.DUMMYFUNCTION("""COMPUTED_VALUE"""),"Findings Posters - In-Person 4")</f>
        <v>Findings Posters - In-Person 4</v>
      </c>
      <c r="K327" s="7"/>
      <c r="L327" s="8">
        <f>IFERROR(__xludf.DUMMYFUNCTION("""COMPUTED_VALUE"""),45868.0)</f>
        <v>45868</v>
      </c>
      <c r="M327" s="7" t="str">
        <f>IFERROR(__xludf.DUMMYFUNCTION("""COMPUTED_VALUE"""),"11:00-12:30")</f>
        <v>11:00-12:30</v>
      </c>
      <c r="N327" s="7"/>
    </row>
    <row r="328">
      <c r="A328" s="7" t="str">
        <f>IFERROR(__xludf.DUMMYFUNCTION("""COMPUTED_VALUE"""),"1032-FIND")</f>
        <v>1032-FIND</v>
      </c>
      <c r="B328" s="7" t="str">
        <f>IFERROR(__xludf.DUMMYFUNCTION("""COMPUTED_VALUE"""),"Beyond Text: Characterizing Domain Expert Needs in Document Research")</f>
        <v>Beyond Text: Characterizing Domain Expert Needs in Document Research</v>
      </c>
      <c r="C328" s="7" t="str">
        <f>IFERROR(__xludf.DUMMYFUNCTION("""COMPUTED_VALUE"""),"Working with documents is a key part of almost any knowledge work, from contextualizing research in a literature review to reviewing legal precedent. Recently, as their capabilities have expanded, primarily text-based NLP systems have often been billed as"&amp;" able to assist or even automate this kind of work. But to what extent are these systems able to model these tasks as experts conceptualize and perform them now? In this study, we interview sixteen domain experts across two domains to understand their pro"&amp;"cesses of document research, and compare it to the current state of NLP systems. We find that our participants processes are idiosyncratic, iterative, and rely extensively on the social context of a document in addition its content, and that approaches in"&amp;" NLP and adjacent fields that explicitly center the document as an object, rather than as merely a container for text, tend to better reflect our participants' priorities. We call on the NLP community to more carefully consider the role of the document in"&amp;" building useful tools that are accessible, personalizable, iterative, and socially aware.")</f>
        <v>Working with documents is a key part of almost any knowledge work, from contextualizing research in a literature review to reviewing legal precedent. Recently, as their capabilities have expanded, primarily text-based NLP systems have often been billed as able to assist or even automate this kind of work. But to what extent are these systems able to model these tasks as experts conceptualize and perform them now? In this study, we interview sixteen domain experts across two domains to understand their processes of document research, and compare it to the current state of NLP systems. We find that our participants processes are idiosyncratic, iterative, and rely extensively on the social context of a document in addition its content, and that approaches in NLP and adjacent fields that explicitly center the document as an object, rather than as merely a container for text, tend to better reflect our participants' priorities. We call on the NLP community to more carefully consider the role of the document in building useful tools that are accessible, personalizable, iterative, and socially aware.</v>
      </c>
      <c r="D328" s="7" t="str">
        <f>IFERROR(__xludf.DUMMYFUNCTION("""COMPUTED_VALUE"""),"Sireesh Gururaja")</f>
        <v>Sireesh Gururaja</v>
      </c>
      <c r="E328" s="7" t="str">
        <f>IFERROR(__xludf.DUMMYFUNCTION("""COMPUTED_VALUE"""),"Yes")</f>
        <v>Yes</v>
      </c>
      <c r="F328" s="7" t="str">
        <f>IFERROR(__xludf.DUMMYFUNCTION("""COMPUTED_VALUE"""),"IP-Poster")</f>
        <v>IP-Poster</v>
      </c>
      <c r="G328" s="7" t="str">
        <f>IFERROR(__xludf.DUMMYFUNCTION("""COMPUTED_VALUE"""),"In-Person")</f>
        <v>In-Person</v>
      </c>
      <c r="H328" s="7" t="str">
        <f>IFERROR(__xludf.DUMMYFUNCTION("""COMPUTED_VALUE"""),"Hall 4/5")</f>
        <v>Hall 4/5</v>
      </c>
      <c r="I328" s="7" t="str">
        <f>IFERROR(__xludf.DUMMYFUNCTION("""COMPUTED_VALUE"""),"Session 5 :IP-Posters Find ")</f>
        <v>Session 5 :IP-Posters Find </v>
      </c>
      <c r="J328" s="7" t="str">
        <f>IFERROR(__xludf.DUMMYFUNCTION("""COMPUTED_VALUE"""),"Findings Posters - In-Person 1")</f>
        <v>Findings Posters - In-Person 1</v>
      </c>
      <c r="K328" s="7"/>
      <c r="L328" s="8">
        <f>IFERROR(__xludf.DUMMYFUNCTION("""COMPUTED_VALUE"""),45866.0)</f>
        <v>45866</v>
      </c>
      <c r="M328" s="7" t="str">
        <f>IFERROR(__xludf.DUMMYFUNCTION("""COMPUTED_VALUE"""),"18:00-19:30")</f>
        <v>18:00-19:30</v>
      </c>
      <c r="N328" s="7"/>
    </row>
    <row r="329">
      <c r="A329" s="7" t="str">
        <f>IFERROR(__xludf.DUMMYFUNCTION("""COMPUTED_VALUE"""),"1034-FIND")</f>
        <v>1034-FIND</v>
      </c>
      <c r="B329" s="7" t="str">
        <f>IFERROR(__xludf.DUMMYFUNCTION("""COMPUTED_VALUE"""),"Efficient but Vulnerable: Benchmarking and Defending LLM Batch Prompting Attack")</f>
        <v>Efficient but Vulnerable: Benchmarking and Defending LLM Batch Prompting Attack</v>
      </c>
      <c r="C329" s="7" t="str">
        <f>IFERROR(__xludf.DUMMYFUNCTION("""COMPUTED_VALUE"""),"Batch prompting, which combines a batch of multiple queries sharing the same context in one inference, has emerged as a promising solution to reduce inference costs. However, our study reveals a significant security vulnerability in batch prompting: malic"&amp;"ious users can inject attack instructions into a batch, leading to unwanted interference across all queries, which can result in the inclusion of harmful content, such as phishing links, or the disruption of logical reasoning. In this paper, we construct "&amp;"BatchSafeBench, a comprehensive benchmark comprising 150 attack instructions of two types and 8k batch instances, to study the batch prompting vulnerability systematically. Our evaluation of both closed-source and open-weight LLMs demonstrates that all LL"&amp;"Ms are susceptible to batch prompting attacks. We then explore multiple defending approaches. While the prompting-based defense shows limited effectiveness for smaller LLMs, the probing-based approach achieves about 95% accuracy in detecting attacks. Addi"&amp;"tionally, we perform a mechanistic analysis to understand the attack and identify attention heads that are responsible for it.")</f>
        <v>Batch prompting, which combines a batch of multiple queries sharing the same context in one inference, has emerged as a promising solution to reduce inference costs. However, our study reveals a significant security vulnerability in batch prompting: malicious users can inject attack instructions into a batch, leading to unwanted interference across all queries, which can result in the inclusion of harmful content, such as phishing links, or the disruption of logical reasoning. In this paper, we construct BatchSafeBench, a comprehensive benchmark comprising 150 attack instructions of two types and 8k batch instances, to study the batch prompting vulnerability systematically. Our evaluation of both closed-source and open-weight LLMs demonstrates that all LLMs are susceptible to batch prompting attacks. We then explore multiple defending approaches. While the prompting-based defense shows limited effectiveness for smaller LLMs, the probing-based approach achieves about 95% accuracy in detecting attacks. Additionally, we perform a mechanistic analysis to understand the attack and identify attention heads that are responsible for it.</v>
      </c>
      <c r="D329" s="7" t="str">
        <f>IFERROR(__xludf.DUMMYFUNCTION("""COMPUTED_VALUE"""),"Murong Yue")</f>
        <v>Murong Yue</v>
      </c>
      <c r="E329" s="7" t="str">
        <f>IFERROR(__xludf.DUMMYFUNCTION("""COMPUTED_VALUE"""),"#N/A")</f>
        <v>#N/A</v>
      </c>
      <c r="F329" s="7" t="str">
        <f>IFERROR(__xludf.DUMMYFUNCTION("""COMPUTED_VALUE"""),"Not Pres. ")</f>
        <v>Not Pres. </v>
      </c>
      <c r="G329" s="7" t="str">
        <f>IFERROR(__xludf.DUMMYFUNCTION("""COMPUTED_VALUE"""),"NP Findings Not Presenting ")</f>
        <v>NP Findings Not Presenting </v>
      </c>
      <c r="H329" s="7"/>
      <c r="I329" s="7" t="str">
        <f>IFERROR(__xludf.DUMMYFUNCTION("""COMPUTED_VALUE"""),"NP-Find")</f>
        <v>NP-Find</v>
      </c>
      <c r="J329" s="7"/>
      <c r="K329" s="7"/>
      <c r="L329" s="8"/>
      <c r="M329" s="7"/>
      <c r="N329" s="7"/>
    </row>
    <row r="330">
      <c r="A330" s="7" t="str">
        <f>IFERROR(__xludf.DUMMYFUNCTION("""COMPUTED_VALUE"""),"1052-FIND")</f>
        <v>1052-FIND</v>
      </c>
      <c r="B330" s="7" t="str">
        <f>IFERROR(__xludf.DUMMYFUNCTION("""COMPUTED_VALUE"""),"MM-R3: On (In-)Consistency of Vision-Language Models (VLMs)")</f>
        <v>MM-R3: On (In-)Consistency of Vision-Language Models (VLMs)</v>
      </c>
      <c r="C330" s="7" t="str">
        <f>IFERROR(__xludf.DUMMYFUNCTION("""COMPUTED_VALUE"""),"With the advent of LLMs and variants, a flurry of research has emerged, analyzing the performance of such models across an array of tasks. While most studies focus on evaluating the capabilities of state-of-the-art (SoTA) Vision Language Models (VLMs) thr"&amp;"ough task accuracy (e.g., visual question answering, grounding), our work explores the related but complementary aspect of consistency – the ability of a VLM to produce semantically similar or identical responses to semantically similar queries. We note t"&amp;"hat consistency is a fundamental prerequisite (necessary but not sufficient condition) for robustness and trust in VLMs. Armed with this perspective, we propose the MM-Rbenchmark, which allows us to analyze performance, in terms of consistency and accurac"&amp;"y, of SoTA VLMs on three tasks: Question Rephrasing, Image Restyling, and Context Reasoning. Our analysis reveals that consistency does not always align with accuracy, indicating that models with higher accuracy are not necessarily more consistent, and vi"&amp;"ce versa. Furthermore, we propose a simple yet effective mitigation strategy in the form of an adapter module trained to minimize inconsistency across prompts. With our proposed strategy, we are able to achieve absolute improvements of 5.7% and 12.5%, on "&amp;"average on widely used VLMs such as BLIP-2 and LLaVa 1.5M in terms of consistency over their existing counterparts.")</f>
        <v>With the advent of LLMs and variants, a flurry of research has emerged, analyzing the performance of such models across an array of tasks. While most studies focus on evaluating the capabilities of state-of-the-art (SoTA) Vision Language Models (VLMs) through task accuracy (e.g., visual question answering, grounding), our work explores the related but complementary aspect of consistency – the ability of a VLM to produce semantically similar or identical responses to semantically similar queries. We note that consistency is a fundamental prerequisite (necessary but not sufficient condition) for robustness and trust in VLMs. Armed with this perspective, we propose the MM-Rbenchmark, which allows us to analyze performance, in terms of consistency and accuracy, of SoTA VLMs on three tasks: Question Rephrasing, Image Restyling, and Context Reasoning. Our analysis reveals that consistency does not always align with accuracy, indicating that models with higher accuracy are not necessarily more consistent, and vice versa. Furthermore, we propose a simple yet effective mitigation strategy in the form of an adapter module trained to minimize inconsistency across prompts. With our proposed strategy, we are able to achieve absolute improvements of 5.7% and 12.5%, on average on widely used VLMs such as BLIP-2 and LLaVa 1.5M in terms of consistency over their existing counterparts.</v>
      </c>
      <c r="D330" s="7" t="str">
        <f>IFERROR(__xludf.DUMMYFUNCTION("""COMPUTED_VALUE"""),"Shih-Han Chou")</f>
        <v>Shih-Han Chou</v>
      </c>
      <c r="E330" s="7" t="str">
        <f>IFERROR(__xludf.DUMMYFUNCTION("""COMPUTED_VALUE"""),"Yes")</f>
        <v>Yes</v>
      </c>
      <c r="F330" s="7" t="str">
        <f>IFERROR(__xludf.DUMMYFUNCTION("""COMPUTED_VALUE"""),"V-Presentation")</f>
        <v>V-Presentation</v>
      </c>
      <c r="G330" s="7" t="str">
        <f>IFERROR(__xludf.DUMMYFUNCTION("""COMPUTED_VALUE"""),"Virtual/Gather")</f>
        <v>Virtual/Gather</v>
      </c>
      <c r="H330" s="7" t="str">
        <f>IFERROR(__xludf.DUMMYFUNCTION("""COMPUTED_VALUE"""),"Gather")</f>
        <v>Gather</v>
      </c>
      <c r="I330" s="7" t="str">
        <f>IFERROR(__xludf.DUMMYFUNCTION("""COMPUTED_VALUE"""),"Session5: V-Gather Find")</f>
        <v>Session5: V-Gather Find</v>
      </c>
      <c r="J330" s="7" t="str">
        <f>IFERROR(__xludf.DUMMYFUNCTION("""COMPUTED_VALUE"""),"Findings Posters - Virtual")</f>
        <v>Findings Posters - Virtual</v>
      </c>
      <c r="K330" s="7"/>
      <c r="L330" s="8">
        <f>IFERROR(__xludf.DUMMYFUNCTION("""COMPUTED_VALUE"""),45866.0)</f>
        <v>45866</v>
      </c>
      <c r="M330" s="7" t="str">
        <f>IFERROR(__xludf.DUMMYFUNCTION("""COMPUTED_VALUE"""),"18:00-19:30")</f>
        <v>18:00-19:30</v>
      </c>
      <c r="N330" s="7"/>
    </row>
    <row r="331">
      <c r="A331" s="7" t="str">
        <f>IFERROR(__xludf.DUMMYFUNCTION("""COMPUTED_VALUE"""),"1055-FIND")</f>
        <v>1055-FIND</v>
      </c>
      <c r="B331" s="7" t="str">
        <f>IFERROR(__xludf.DUMMYFUNCTION("""COMPUTED_VALUE"""),"Investigating Context Faithfulness in Large Language Models: The Roles of Memory Strength and Evidence Style")</f>
        <v>Investigating Context Faithfulness in Large Language Models: The Roles of Memory Strength and Evidence Style</v>
      </c>
      <c r="C331" s="7" t="str">
        <f>IFERROR(__xludf.DUMMYFUNCTION("""COMPUTED_VALUE"""),"Retrieval-augmented generation (RAG) improves Large Language Models (LLMs) by incorporating external information into the response generation process. However, how context-faithful LLMs are and what factors influence LLMs' context faithfulness remain larg"&amp;"ely unexplored. In this study, we investigate the impact of memory strength and evidence presentation on LLMs' receptiveness to external evidence. We quantify the memory strength of LLMs by measuring the divergence in LLMs' responses to different paraphra"&amp;"ses of the same question, which is not considered by previous works. We also generate evidence in various styles to examine LLMs' behavior. Our results show that for questions with high memory strength, LLMs are more likely to rely on internal memory. Fur"&amp;"thermore, presenting paraphrased evidence significantly increases LLMs' receptiveness compared to simple repetition or adding details.")</f>
        <v>Retrieval-augmented generation (RAG) improves Large Language Models (LLMs) by incorporating external information into the response generation process. However, how context-faithful LLMs are and what factors influence LLMs' context faithfulness remain largely unexplored. In this study, we investigate the impact of memory strength and evidence presentation on LLMs' receptiveness to external evidence. We quantify the memory strength of LLMs by measuring the divergence in LLMs' responses to different paraphrases of the same question, which is not considered by previous works. We also generate evidence in various styles to examine LLMs' behavior. Our results show that for questions with high memory strength, LLMs are more likely to rely on internal memory. Furthermore, presenting paraphrased evidence significantly increases LLMs' receptiveness compared to simple repetition or adding details.</v>
      </c>
      <c r="D331" s="7" t="str">
        <f>IFERROR(__xludf.DUMMYFUNCTION("""COMPUTED_VALUE"""),"Qi Li")</f>
        <v>Qi Li</v>
      </c>
      <c r="E331" s="7" t="str">
        <f>IFERROR(__xludf.DUMMYFUNCTION("""COMPUTED_VALUE"""),"Yes")</f>
        <v>Yes</v>
      </c>
      <c r="F331" s="7" t="str">
        <f>IFERROR(__xludf.DUMMYFUNCTION("""COMPUTED_VALUE"""),"IP-Poster")</f>
        <v>IP-Poster</v>
      </c>
      <c r="G331" s="7" t="str">
        <f>IFERROR(__xludf.DUMMYFUNCTION("""COMPUTED_VALUE"""),"In-Person")</f>
        <v>In-Person</v>
      </c>
      <c r="H331" s="7" t="str">
        <f>IFERROR(__xludf.DUMMYFUNCTION("""COMPUTED_VALUE"""),"Hall 4/5")</f>
        <v>Hall 4/5</v>
      </c>
      <c r="I331" s="7" t="str">
        <f>IFERROR(__xludf.DUMMYFUNCTION("""COMPUTED_VALUE"""),"Session 5 :IP-Posters Find ")</f>
        <v>Session 5 :IP-Posters Find </v>
      </c>
      <c r="J331" s="7" t="str">
        <f>IFERROR(__xludf.DUMMYFUNCTION("""COMPUTED_VALUE"""),"Findings Posters - In-Person 1")</f>
        <v>Findings Posters - In-Person 1</v>
      </c>
      <c r="K331" s="7"/>
      <c r="L331" s="8">
        <f>IFERROR(__xludf.DUMMYFUNCTION("""COMPUTED_VALUE"""),45866.0)</f>
        <v>45866</v>
      </c>
      <c r="M331" s="7" t="str">
        <f>IFERROR(__xludf.DUMMYFUNCTION("""COMPUTED_VALUE"""),"18:00-19:30")</f>
        <v>18:00-19:30</v>
      </c>
      <c r="N331" s="7"/>
    </row>
    <row r="332">
      <c r="A332" s="7" t="str">
        <f>IFERROR(__xludf.DUMMYFUNCTION("""COMPUTED_VALUE"""),"1056-FIND")</f>
        <v>1056-FIND</v>
      </c>
      <c r="B332" s="7" t="str">
        <f>IFERROR(__xludf.DUMMYFUNCTION("""COMPUTED_VALUE"""),"Shadow-Activated Backdoor Attacks on Multimodal Large Language Models")</f>
        <v>Shadow-Activated Backdoor Attacks on Multimodal Large Language Models</v>
      </c>
      <c r="C332" s="7" t="str">
        <f>IFERROR(__xludf.DUMMYFUNCTION("""COMPUTED_VALUE"""),"This paper delves into a novel backdoor attack scenario, aiming to uncover potential security risks associated with Multimodal Large Language Models (MLLMs) during multi-round open-ended conversations with users. In the practical use of MLLMs, users have "&amp;"full control over the interaction process with the model, such as using their own collected photos and posing arbitrary open-ended questions. Traditional backdoor attacks that rely on adding external triggers are less applicable. To this end, we introduce"&amp;" a new shadow-activated backdoor attacking paradigm in this paper, wherein attacks implicitly inject malicious content into the responses of MLLMs when the responses explicitly relate to the shadowed object, i.e., without any triggers. To facilitate the s"&amp;"hadow-activated backdoor attack, we present a novel framework named BadMLLM to achieve the desired behaviors by constructing a poisoned dataset using GPT-4 Vision and implementing an attention-regularized tuning strategy to address the semantic discontinu"&amp;"ity between the original response and the inserted promotion. Extensive experimental results conducted on five MLLMs, three objects, and two types of promotion slogans have demonstrated impressive performance in achieving both efficacy and utility goals, "&amp;"thereby highlighting the significant potential risks concealed within MLLMs.")</f>
        <v>This paper delves into a novel backdoor attack scenario, aiming to uncover potential security risks associated with Multimodal Large Language Models (MLLMs) during multi-round open-ended conversations with users. In the practical use of MLLMs, users have full control over the interaction process with the model, such as using their own collected photos and posing arbitrary open-ended questions. Traditional backdoor attacks that rely on adding external triggers are less applicable. To this end, we introduce a new shadow-activated backdoor attacking paradigm in this paper, wherein attacks implicitly inject malicious content into the responses of MLLMs when the responses explicitly relate to the shadowed object, i.e., without any triggers. To facilitate the shadow-activated backdoor attack, we present a novel framework named BadMLLM to achieve the desired behaviors by constructing a poisoned dataset using GPT-4 Vision and implementing an attention-regularized tuning strategy to address the semantic discontinuity between the original response and the inserted promotion. Extensive experimental results conducted on five MLLMs, three objects, and two types of promotion slogans have demonstrated impressive performance in achieving both efficacy and utility goals, thereby highlighting the significant potential risks concealed within MLLMs.</v>
      </c>
      <c r="D332" s="7" t="str">
        <f>IFERROR(__xludf.DUMMYFUNCTION("""COMPUTED_VALUE"""),"Fenglong Ma")</f>
        <v>Fenglong Ma</v>
      </c>
      <c r="E332" s="7" t="str">
        <f>IFERROR(__xludf.DUMMYFUNCTION("""COMPUTED_VALUE"""),"Yes")</f>
        <v>Yes</v>
      </c>
      <c r="F332" s="7" t="str">
        <f>IFERROR(__xludf.DUMMYFUNCTION("""COMPUTED_VALUE"""),"IP-Poster")</f>
        <v>IP-Poster</v>
      </c>
      <c r="G332" s="7" t="str">
        <f>IFERROR(__xludf.DUMMYFUNCTION("""COMPUTED_VALUE"""),"In-Person")</f>
        <v>In-Person</v>
      </c>
      <c r="H332" s="7" t="str">
        <f>IFERROR(__xludf.DUMMYFUNCTION("""COMPUTED_VALUE"""),"Hall 4/5")</f>
        <v>Hall 4/5</v>
      </c>
      <c r="I332" s="7" t="str">
        <f>IFERROR(__xludf.DUMMYFUNCTION("""COMPUTED_VALUE"""),"Session 5 :IP-Posters Find ")</f>
        <v>Session 5 :IP-Posters Find </v>
      </c>
      <c r="J332" s="7" t="str">
        <f>IFERROR(__xludf.DUMMYFUNCTION("""COMPUTED_VALUE"""),"Findings Posters - In-Person 1")</f>
        <v>Findings Posters - In-Person 1</v>
      </c>
      <c r="K332" s="7"/>
      <c r="L332" s="8">
        <f>IFERROR(__xludf.DUMMYFUNCTION("""COMPUTED_VALUE"""),45866.0)</f>
        <v>45866</v>
      </c>
      <c r="M332" s="7" t="str">
        <f>IFERROR(__xludf.DUMMYFUNCTION("""COMPUTED_VALUE"""),"18:00-19:30")</f>
        <v>18:00-19:30</v>
      </c>
      <c r="N332" s="7"/>
    </row>
    <row r="333">
      <c r="A333" s="7" t="str">
        <f>IFERROR(__xludf.DUMMYFUNCTION("""COMPUTED_VALUE"""),"1057-FIND")</f>
        <v>1057-FIND</v>
      </c>
      <c r="B333" s="7" t="str">
        <f>IFERROR(__xludf.DUMMYFUNCTION("""COMPUTED_VALUE"""),"Why Vision Language Models Struggle with Visual Arithmetic? Towards Enhanced Chart and Geometry Understanding")</f>
        <v>Why Vision Language Models Struggle with Visual Arithmetic? Towards Enhanced Chart and Geometry Understanding</v>
      </c>
      <c r="C333" s="7" t="str">
        <f>IFERROR(__xludf.DUMMYFUNCTION("""COMPUTED_VALUE"""),"Vision Language Models (VLMs) have achieved remarkable progress in multimodal tasks, yet they often struggle with visual arithmetic, seemingly simple capabilities like object counting or length comparison, which are essential for relevant complex tasks li"&amp;"ke chart understanding and geometric reasoning. In this work, we first investigate the root causes of this deficiency through a suite of probing tasks focusing on basic visual arithmetic. Our analysis reveals that while pre-trained vision encoders typical"&amp;"ly capture sufficient information, the text decoder often fails to decode it correctly for arithmetic reasoning. To address this, we propose CogAlign, a novel post-training strategy inspired by Piaget's theory of cognitive development. CogAlign trains VLM"&amp;"s to recognize invariant properties under visual transformations. We demonstrate that this approach significantly improves the performance of three diverse VLMs on our proposed probing tasks. Furthermore, CogAlign enhances performance by an average of 4.6"&amp;"% on CHOCOLATE and 2.9% on MATH-VISION, outperforming or matching supervised fine-tuning methods while requiring only 60% less training data. These results highlight the effectiveness and generalizability of CogAlign in improving fundamental visual arithm"&amp;"etic capabilities and their transfer to downstream tasks.")</f>
        <v>Vision Language Models (VLMs) have achieved remarkable progress in multimodal tasks, yet they often struggle with visual arithmetic, seemingly simple capabilities like object counting or length comparison, which are essential for relevant complex tasks like chart understanding and geometric reasoning. In this work, we first investigate the root causes of this deficiency through a suite of probing tasks focusing on basic visual arithmetic. Our analysis reveals that while pre-trained vision encoders typically capture sufficient information, the text decoder often fails to decode it correctly for arithmetic reasoning. To address this, we propose CogAlign, a novel post-training strategy inspired by Piaget's theory of cognitive development. CogAlign trains VLMs to recognize invariant properties under visual transformations. We demonstrate that this approach significantly improves the performance of three diverse VLMs on our proposed probing tasks. Furthermore, CogAlign enhances performance by an average of 4.6% on CHOCOLATE and 2.9% on MATH-VISION, outperforming or matching supervised fine-tuning methods while requiring only 60% less training data. These results highlight the effectiveness and generalizability of CogAlign in improving fundamental visual arithmetic capabilities and their transfer to downstream tasks.</v>
      </c>
      <c r="D333" s="7" t="str">
        <f>IFERROR(__xludf.DUMMYFUNCTION("""COMPUTED_VALUE"""),"Kung-Hsiang Huang")</f>
        <v>Kung-Hsiang Huang</v>
      </c>
      <c r="E333" s="7" t="str">
        <f>IFERROR(__xludf.DUMMYFUNCTION("""COMPUTED_VALUE"""),"#N/A")</f>
        <v>#N/A</v>
      </c>
      <c r="F333" s="7" t="str">
        <f>IFERROR(__xludf.DUMMYFUNCTION("""COMPUTED_VALUE"""),"Not Pres. ")</f>
        <v>Not Pres. </v>
      </c>
      <c r="G333" s="7" t="str">
        <f>IFERROR(__xludf.DUMMYFUNCTION("""COMPUTED_VALUE"""),"NP Findings Not Presenting ")</f>
        <v>NP Findings Not Presenting </v>
      </c>
      <c r="H333" s="7"/>
      <c r="I333" s="7" t="str">
        <f>IFERROR(__xludf.DUMMYFUNCTION("""COMPUTED_VALUE"""),"NP-Find")</f>
        <v>NP-Find</v>
      </c>
      <c r="J333" s="7"/>
      <c r="K333" s="7"/>
      <c r="L333" s="8"/>
      <c r="M333" s="7"/>
      <c r="N333" s="7"/>
    </row>
    <row r="334">
      <c r="A334" s="7" t="str">
        <f>IFERROR(__xludf.DUMMYFUNCTION("""COMPUTED_VALUE"""),"1060-FIND")</f>
        <v>1060-FIND</v>
      </c>
      <c r="B334" s="7" t="str">
        <f>IFERROR(__xludf.DUMMYFUNCTION("""COMPUTED_VALUE"""),"K-order Ranking Preference Optimization for Large Language Models")</f>
        <v>K-order Ranking Preference Optimization for Large Language Models</v>
      </c>
      <c r="C334" s="7" t="str">
        <f>IFERROR(__xludf.DUMMYFUNCTION("""COMPUTED_VALUE"""),"To adapt large language models (LLMs) to ranking tasks, existing list-wise methods, represented by list-wise Direct Preference Optimization (DPO), focus on optimizing partial-order or full-order list ranking consistency for LLMs to enhance their ranking a"&amp;"bilities.However, we argue that optimizing top-K ranking consistency could be more appropriate for real-world applications. There are two main reasons: (1) users are typically concerned with only the top-K results, making top-K ranking more important, and"&amp;" (2) tail items often lack precise feedback, making top-K ranking more reliable. Based on this, we propose K-order Ranking Preference Optimization (KPO) by extending the DPO’s Plackett-Luce model to accommodate top-K rankings. Additionally, recognizing th"&amp;"at the number of important items can vary across queries, we extend KPO to dynamically determine appropriate K for different samples and introduce a curriculum learning strategy to boost training efficiency. Extensive experiments demonstrate the effective"&amp;"ness of KPO, highlighting its high sample efficiency and robustness to noise. The code is available at https://github.com/Lanyu0303/KPO.")</f>
        <v>To adapt large language models (LLMs) to ranking tasks, existing list-wise methods, represented by list-wise Direct Preference Optimization (DPO), focus on optimizing partial-order or full-order list ranking consistency for LLMs to enhance their ranking abilities.However, we argue that optimizing top-K ranking consistency could be more appropriate for real-world applications. There are two main reasons: (1) users are typically concerned with only the top-K results, making top-K ranking more important, and (2) tail items often lack precise feedback, making top-K ranking more reliable. Based on this, we propose K-order Ranking Preference Optimization (KPO) by extending the DPO’s Plackett-Luce model to accommodate top-K rankings. Additionally, recognizing that the number of important items can vary across queries, we extend KPO to dynamically determine appropriate K for different samples and introduce a curriculum learning strategy to boost training efficiency. Extensive experiments demonstrate the effectiveness of KPO, highlighting its high sample efficiency and robustness to noise. The code is available at https://github.com/Lanyu0303/KPO.</v>
      </c>
      <c r="D334" s="7" t="str">
        <f>IFERROR(__xludf.DUMMYFUNCTION("""COMPUTED_VALUE"""),"NA")</f>
        <v>NA</v>
      </c>
      <c r="E334" s="7" t="str">
        <f>IFERROR(__xludf.DUMMYFUNCTION("""COMPUTED_VALUE"""),"#N/A")</f>
        <v>#N/A</v>
      </c>
      <c r="F334" s="7" t="str">
        <f>IFERROR(__xludf.DUMMYFUNCTION("""COMPUTED_VALUE"""),"Not Pres. ")</f>
        <v>Not Pres. </v>
      </c>
      <c r="G334" s="7" t="str">
        <f>IFERROR(__xludf.DUMMYFUNCTION("""COMPUTED_VALUE"""),"NP Findings Not Presenting ")</f>
        <v>NP Findings Not Presenting </v>
      </c>
      <c r="H334" s="7"/>
      <c r="I334" s="7" t="str">
        <f>IFERROR(__xludf.DUMMYFUNCTION("""COMPUTED_VALUE"""),"NP-Find")</f>
        <v>NP-Find</v>
      </c>
      <c r="J334" s="7"/>
      <c r="K334" s="7"/>
      <c r="L334" s="8"/>
      <c r="M334" s="7"/>
      <c r="N334" s="7"/>
    </row>
    <row r="335">
      <c r="A335" s="7" t="str">
        <f>IFERROR(__xludf.DUMMYFUNCTION("""COMPUTED_VALUE"""),"1062-FIND")</f>
        <v>1062-FIND</v>
      </c>
      <c r="B335" s="7" t="str">
        <f>IFERROR(__xludf.DUMMYFUNCTION("""COMPUTED_VALUE"""),"Spectral Insights into Data-Oblivious Critical Layers in Large Language Models")</f>
        <v>Spectral Insights into Data-Oblivious Critical Layers in Large Language Models</v>
      </c>
      <c r="C335" s="7" t="str">
        <f>IFERROR(__xludf.DUMMYFUNCTION("""COMPUTED_VALUE"""),"Understanding how feature representations evolve across layers in large language models (LLMs) is crucial for enhancing their interpretability and robustness. Recent research has explored this by identifying critical layers associated with specific functi"&amp;"ons or behaviors in LLMs. However, prior work has primarily identified critical layers through data-dependent analyses of fine-tuned models, limiting their applicability to post-hoc scenarios. In contrast, we propose a data-oblivious method to pinpoint in"&amp;"trinsic critical layers in pre-fine-tuned LLMs by analyzing representation dynamics using Centered Kernel Alignment (CKA). We demonstrate that layers exhibiting significant changes in CKA correspond to those undergoing the most substantial modifications d"&amp;"uring fine-tuning, and we show that this phenomenon remains consistent across tasks for a given architecture. Furthermore, our novel spectral analysis reveals that shifts in layer representations are driven by changes in their top principal components, wh"&amp;"ich govern semantic transformations from rationales to conclusions. Notably, freezing these layers during fine-tuning reduces adversarial attack success rates by 40%, enabling efficient, minimally invasive defenses. Our findings suggest that critical laye"&amp;"rs are an intrinsic property of pre-fine-tuned models, providing a unified framework for understanding LLM layer dynamics and facilitating resource-efficient adaptation strategies.")</f>
        <v>Understanding how feature representations evolve across layers in large language models (LLMs) is crucial for enhancing their interpretability and robustness. Recent research has explored this by identifying critical layers associated with specific functions or behaviors in LLMs. However, prior work has primarily identified critical layers through data-dependent analyses of fine-tuned models, limiting their applicability to post-hoc scenarios. In contrast, we propose a data-oblivious method to pinpoint intrinsic critical layers in pre-fine-tuned LLMs by analyzing representation dynamics using Centered Kernel Alignment (CKA). We demonstrate that layers exhibiting significant changes in CKA correspond to those undergoing the most substantial modifications during fine-tuning, and we show that this phenomenon remains consistent across tasks for a given architecture. Furthermore, our novel spectral analysis reveals that shifts in layer representations are driven by changes in their top principal components, which govern semantic transformations from rationales to conclusions. Notably, freezing these layers during fine-tuning reduces adversarial attack success rates by 40%, enabling efficient, minimally invasive defenses. Our findings suggest that critical layers are an intrinsic property of pre-fine-tuned models, providing a unified framework for understanding LLM layer dynamics and facilitating resource-efficient adaptation strategies.</v>
      </c>
      <c r="D335" s="7" t="str">
        <f>IFERROR(__xludf.DUMMYFUNCTION("""COMPUTED_VALUE"""),"Xuyuan Liu")</f>
        <v>Xuyuan Liu</v>
      </c>
      <c r="E335" s="7" t="str">
        <f>IFERROR(__xludf.DUMMYFUNCTION("""COMPUTED_VALUE"""),"Yes")</f>
        <v>Yes</v>
      </c>
      <c r="F335" s="7" t="str">
        <f>IFERROR(__xludf.DUMMYFUNCTION("""COMPUTED_VALUE"""),"V-Presentation")</f>
        <v>V-Presentation</v>
      </c>
      <c r="G335" s="7" t="str">
        <f>IFERROR(__xludf.DUMMYFUNCTION("""COMPUTED_VALUE"""),"Virtual/Gather")</f>
        <v>Virtual/Gather</v>
      </c>
      <c r="H335" s="7" t="str">
        <f>IFERROR(__xludf.DUMMYFUNCTION("""COMPUTED_VALUE"""),"Gather")</f>
        <v>Gather</v>
      </c>
      <c r="I335" s="7" t="str">
        <f>IFERROR(__xludf.DUMMYFUNCTION("""COMPUTED_VALUE"""),"Session5: V-Gather Find")</f>
        <v>Session5: V-Gather Find</v>
      </c>
      <c r="J335" s="7" t="str">
        <f>IFERROR(__xludf.DUMMYFUNCTION("""COMPUTED_VALUE"""),"Findings Posters - Virtual")</f>
        <v>Findings Posters - Virtual</v>
      </c>
      <c r="K335" s="7"/>
      <c r="L335" s="8">
        <f>IFERROR(__xludf.DUMMYFUNCTION("""COMPUTED_VALUE"""),45866.0)</f>
        <v>45866</v>
      </c>
      <c r="M335" s="7" t="str">
        <f>IFERROR(__xludf.DUMMYFUNCTION("""COMPUTED_VALUE"""),"18:00-19:30")</f>
        <v>18:00-19:30</v>
      </c>
      <c r="N335" s="7"/>
    </row>
    <row r="336">
      <c r="A336" s="7" t="str">
        <f>IFERROR(__xludf.DUMMYFUNCTION("""COMPUTED_VALUE"""),"1063-FIND")</f>
        <v>1063-FIND</v>
      </c>
      <c r="B336" s="7" t="str">
        <f>IFERROR(__xludf.DUMMYFUNCTION("""COMPUTED_VALUE"""),"SynFix: Synchronous Repair for Codebase via RelationGraph")</f>
        <v>SynFix: Synchronous Repair for Codebase via RelationGraph</v>
      </c>
      <c r="C336" s="7" t="str">
        <f>IFERROR(__xludf.DUMMYFUNCTION("""COMPUTED_VALUE"""),"Recent advancements in large language models (LLMs) have significantly improved software development automation, including bug localization, code synthesis, program repair, and test generation. However, most prior work on program repair focuses on isolate"&amp;"d elements, such as classes or functions, neglecting their interdependencies, which limits repair accuracy. We present SynFix, a RelationGraph-based approach that integrates LLMs with structural search and synchronization techniques for coordinated progra"&amp;"m repair across codebases. SynFix constructs a \textbf{RelationGraph} to capture relationships among classes, functions, variables, and their interactions (e.g., imports, inheritance, dependencies). Each RelationGraph node includes detailed code descripti"&amp;"ons to help LLMs understand root causes and retrieve relevant contexts. By analyzing one-hop nodes in the RelationGraph, SynFixensures repairs account for dependent updates across components. Patch validation is conducted using regression tests from the S"&amp;"WE-bench benchmark suite. Evaluated on SWE-bench datasets, SynFix resolves 52.33% of issues in \textbf{SWE-bench-lite} (300 GitHub issues), 55.8% in \textbf{SWE-bench-verified} (500 issues), and 29.86% in \textbf{SWE-bench-full} (2,294 issues), outperform"&amp;"ing baselines such as Swe-Agent, Agentless and AutoCodeRover. The codebase is available at \url{https://anonymous.4open.science/r/AutoFix-EC86/}.")</f>
        <v>Recent advancements in large language models (LLMs) have significantly improved software development automation, including bug localization, code synthesis, program repair, and test generation. However, most prior work on program repair focuses on isolated elements, such as classes or functions, neglecting their interdependencies, which limits repair accuracy. We present SynFix, a RelationGraph-based approach that integrates LLMs with structural search and synchronization techniques for coordinated program repair across codebases. SynFix constructs a \textbf{RelationGraph} to capture relationships among classes, functions, variables, and their interactions (e.g., imports, inheritance, dependencies). Each RelationGraph node includes detailed code descriptions to help LLMs understand root causes and retrieve relevant contexts. By analyzing one-hop nodes in the RelationGraph, SynFixensures repairs account for dependent updates across components. Patch validation is conducted using regression tests from the SWE-bench benchmark suite. Evaluated on SWE-bench datasets, SynFix resolves 52.33% of issues in \textbf{SWE-bench-lite} (300 GitHub issues), 55.8% in \textbf{SWE-bench-verified} (500 issues), and 29.86% in \textbf{SWE-bench-full} (2,294 issues), outperforming baselines such as Swe-Agent, Agentless and AutoCodeRover. The codebase is available at \url{https://anonymous.4open.science/r/AutoFix-EC86/}.</v>
      </c>
      <c r="D336" s="7" t="str">
        <f>IFERROR(__xludf.DUMMYFUNCTION("""COMPUTED_VALUE"""),"Xunzhu Tang")</f>
        <v>Xunzhu Tang</v>
      </c>
      <c r="E336" s="7" t="str">
        <f>IFERROR(__xludf.DUMMYFUNCTION("""COMPUTED_VALUE"""),"Yes")</f>
        <v>Yes</v>
      </c>
      <c r="F336" s="7" t="str">
        <f>IFERROR(__xludf.DUMMYFUNCTION("""COMPUTED_VALUE"""),"IP-Poster")</f>
        <v>IP-Poster</v>
      </c>
      <c r="G336" s="7" t="str">
        <f>IFERROR(__xludf.DUMMYFUNCTION("""COMPUTED_VALUE"""),"In-Person")</f>
        <v>In-Person</v>
      </c>
      <c r="H336" s="7" t="str">
        <f>IFERROR(__xludf.DUMMYFUNCTION("""COMPUTED_VALUE"""),"Hall 4/5")</f>
        <v>Hall 4/5</v>
      </c>
      <c r="I336" s="7" t="str">
        <f>IFERROR(__xludf.DUMMYFUNCTION("""COMPUTED_VALUE"""),"Session 5 :IP-Posters Find ")</f>
        <v>Session 5 :IP-Posters Find </v>
      </c>
      <c r="J336" s="7" t="str">
        <f>IFERROR(__xludf.DUMMYFUNCTION("""COMPUTED_VALUE"""),"Findings Posters - In-Person 1")</f>
        <v>Findings Posters - In-Person 1</v>
      </c>
      <c r="K336" s="7"/>
      <c r="L336" s="8">
        <f>IFERROR(__xludf.DUMMYFUNCTION("""COMPUTED_VALUE"""),45866.0)</f>
        <v>45866</v>
      </c>
      <c r="M336" s="7" t="str">
        <f>IFERROR(__xludf.DUMMYFUNCTION("""COMPUTED_VALUE"""),"18:00-19:30")</f>
        <v>18:00-19:30</v>
      </c>
      <c r="N336" s="7"/>
    </row>
    <row r="337">
      <c r="A337" s="7" t="str">
        <f>IFERROR(__xludf.DUMMYFUNCTION("""COMPUTED_VALUE"""),"1068-FIND")</f>
        <v>1068-FIND</v>
      </c>
      <c r="B337" s="7" t="str">
        <f>IFERROR(__xludf.DUMMYFUNCTION("""COMPUTED_VALUE"""),"EXIT: Context-Aware Extractive Compression for Enhancing Retrieval-Augmented Generation")</f>
        <v>EXIT: Context-Aware Extractive Compression for Enhancing Retrieval-Augmented Generation</v>
      </c>
      <c r="C337" s="7" t="str">
        <f>IFERROR(__xludf.DUMMYFUNCTION("""COMPUTED_VALUE"""),"We introduce EXIT, an extractive context compression framework that enhances both the effectiveness and efficiency of retrieval-augmented generation (RAG) in question answering (QA). Current RAG systems often struggle when retrieval models fail to rank th"&amp;"e most relevant documents, leading to the inclusion of more context at the expense of latency and accuracy. While abstractive compression methods can drastically reduce token counts, their token-by-token generation process significantly increases end-to-e"&amp;"nd latency. Conversely, existing extractive methods reduce the latency but rely on independent, non-adaptive sentence selection, failing to fully utilize contextual information. EXIT addresses these limitations by classifying sentences from retrieved docu"&amp;"ments—while preserving their contextual dependencies—enabling parallelizable, context-aware extraction that adapts to query complexity and retrieval quality. Our evaluations on both single-hop and multi-hop QA tasks show that EXIT consistently surpasses e"&amp;"xisting compression methods and even uncompressed baselines in QA accuracy, while also delivering substantial reductions in inference time and token count. By improving both effectiveness and efficiency, EXIT provides a promising direction for developing "&amp;"scalable, high-quality QA solutions in RAG pipelines.")</f>
        <v>We introduce EXIT, an extractive context compression framework that enhances both the effectiveness and efficiency of retrieval-augmented generation (RAG) in question answering (QA). Current RAG systems often struggle when retrieval models fail to rank the most relevant documents, leading to the inclusion of more context at the expense of latency and accuracy. While abstractive compression methods can drastically reduce token counts, their token-by-token generation process significantly increases end-to-end latency. Conversely, existing extractive methods reduce the latency but rely on independent, non-adaptive sentence selection, failing to fully utilize contextual information. EXIT addresses these limitations by classifying sentences from retrieved documents—while preserving their contextual dependencies—enabling parallelizable, context-aware extraction that adapts to query complexity and retrieval quality. Our evaluations on both single-hop and multi-hop QA tasks show that EXIT consistently surpasses existing compression methods and even uncompressed baselines in QA accuracy, while also delivering substantial reductions in inference time and token count. By improving both effectiveness and efficiency, EXIT provides a promising direction for developing scalable, high-quality QA solutions in RAG pipelines.</v>
      </c>
      <c r="D337" s="7" t="str">
        <f>IFERROR(__xludf.DUMMYFUNCTION("""COMPUTED_VALUE"""),"Taeho Hwang")</f>
        <v>Taeho Hwang</v>
      </c>
      <c r="E337" s="7" t="str">
        <f>IFERROR(__xludf.DUMMYFUNCTION("""COMPUTED_VALUE"""),"Yes")</f>
        <v>Yes</v>
      </c>
      <c r="F337" s="7" t="str">
        <f>IFERROR(__xludf.DUMMYFUNCTION("""COMPUTED_VALUE"""),"Not Pres. ")</f>
        <v>Not Pres. </v>
      </c>
      <c r="G337" s="7" t="str">
        <f>IFERROR(__xludf.DUMMYFUNCTION("""COMPUTED_VALUE"""),"NP Findings Not Presenting ")</f>
        <v>NP Findings Not Presenting </v>
      </c>
      <c r="H337" s="7"/>
      <c r="I337" s="7"/>
      <c r="J337" s="7"/>
      <c r="K337" s="7"/>
      <c r="L337" s="8"/>
      <c r="M337" s="7"/>
      <c r="N337" s="7"/>
    </row>
    <row r="338">
      <c r="A338" s="7" t="str">
        <f>IFERROR(__xludf.DUMMYFUNCTION("""COMPUTED_VALUE"""),"1074-FIND")</f>
        <v>1074-FIND</v>
      </c>
      <c r="B338" s="7" t="str">
        <f>IFERROR(__xludf.DUMMYFUNCTION("""COMPUTED_VALUE"""),"Re-TASK: Revisiting LLM Tasks from Capability, Skill, and Knowledge Perspectives")</f>
        <v>Re-TASK: Revisiting LLM Tasks from Capability, Skill, and Knowledge Perspectives</v>
      </c>
      <c r="C338" s="7" t="str">
        <f>IFERROR(__xludf.DUMMYFUNCTION("""COMPUTED_VALUE"""),"The Chain-of-Thought (CoT) paradigm has become a pivotal method for solving complex problems with large language models (LLMs). However, its application to domain-specific tasks remains challenging, as LLMs often fail to decompose tasks accurately or exec"&amp;"ute subtasks effectively. This paper introduces the Re-TASK framework, a novel theoretical model that Revisits LLM Tasks from cApability, Skill, and Knowledge perspectives, drawing on the principles of Bloom's Taxonomy and Knowledge Space Theory. While Co"&amp;"T provides a workflow-centric perspective on tasks, Re-TASK introduces a Chain-of-Learning (CoL) paradigm that highlights task dependencies on specific capability items, further broken down into their constituent knowledge and skill components. To address"&amp;" CoT failures, we propose a Re-TASK prompting strategy, which strengthens task-relevant capabilities through targeted knowledge injection and skill adaptation. Experiments across diverse domains demonstrate the effectiveness of Re-TASK. In particular, we "&amp;"achieve improvements of 45.00% on Yi-1.5-9B and 24.50% on Llama3-Chinese-8B for legal tasks. These results highlight the potential of Re-TASK to significantly enhance LLM performance and its applicability in specialized domains. We release our code and da"&amp;"ta at https://anonymous.4open.science/r/Re-TASK-8825/.")</f>
        <v>The Chain-of-Thought (CoT) paradigm has become a pivotal method for solving complex problems with large language models (LLMs). However, its application to domain-specific tasks remains challenging, as LLMs often fail to decompose tasks accurately or execute subtasks effectively. This paper introduces the Re-TASK framework, a novel theoretical model that Revisits LLM Tasks from cApability, Skill, and Knowledge perspectives, drawing on the principles of Bloom's Taxonomy and Knowledge Space Theory. While CoT provides a workflow-centric perspective on tasks, Re-TASK introduces a Chain-of-Learning (CoL) paradigm that highlights task dependencies on specific capability items, further broken down into their constituent knowledge and skill components. To address CoT failures, we propose a Re-TASK prompting strategy, which strengthens task-relevant capabilities through targeted knowledge injection and skill adaptation. Experiments across diverse domains demonstrate the effectiveness of Re-TASK. In particular, we achieve improvements of 45.00% on Yi-1.5-9B and 24.50% on Llama3-Chinese-8B for legal tasks. These results highlight the potential of Re-TASK to significantly enhance LLM performance and its applicability in specialized domains. We release our code and data at https://anonymous.4open.science/r/Re-TASK-8825/.</v>
      </c>
      <c r="D338" s="7" t="str">
        <f>IFERROR(__xludf.DUMMYFUNCTION("""COMPUTED_VALUE"""),"N/A")</f>
        <v>N/A</v>
      </c>
      <c r="E338" s="7" t="str">
        <f>IFERROR(__xludf.DUMMYFUNCTION("""COMPUTED_VALUE"""),"#N/A")</f>
        <v>#N/A</v>
      </c>
      <c r="F338" s="7" t="str">
        <f>IFERROR(__xludf.DUMMYFUNCTION("""COMPUTED_VALUE"""),"Not Pres. ")</f>
        <v>Not Pres. </v>
      </c>
      <c r="G338" s="7" t="str">
        <f>IFERROR(__xludf.DUMMYFUNCTION("""COMPUTED_VALUE"""),"NP Findings Not Presenting ")</f>
        <v>NP Findings Not Presenting </v>
      </c>
      <c r="H338" s="7"/>
      <c r="I338" s="7" t="str">
        <f>IFERROR(__xludf.DUMMYFUNCTION("""COMPUTED_VALUE"""),"NP-Find")</f>
        <v>NP-Find</v>
      </c>
      <c r="J338" s="7"/>
      <c r="K338" s="7"/>
      <c r="L338" s="8"/>
      <c r="M338" s="7"/>
      <c r="N338" s="7"/>
    </row>
    <row r="339">
      <c r="A339" s="7" t="str">
        <f>IFERROR(__xludf.DUMMYFUNCTION("""COMPUTED_VALUE"""),"1075-FIND")</f>
        <v>1075-FIND</v>
      </c>
      <c r="B339" s="7" t="str">
        <f>IFERROR(__xludf.DUMMYFUNCTION("""COMPUTED_VALUE"""),"Unlearning Backdoor Attacks for LLMs with Weak-to-Strong Knowledge Distillation")</f>
        <v>Unlearning Backdoor Attacks for LLMs with Weak-to-Strong Knowledge Distillation</v>
      </c>
      <c r="C339" s="7" t="str">
        <f>IFERROR(__xludf.DUMMYFUNCTION("""COMPUTED_VALUE"""),"Parameter-efficient fine-tuning (PEFT) can bridge the gap between large language models (LLMs) and downstream tasks. However, PEFT has been proven vulnerable to malicious attacks. Research indicates that poisoned LLMs, even after PEFT, retain the capabili"&amp;"ty to activate internalized backdoors when input samples contain predefined triggers. In this paper, we introduce a novel weak-to-strong unlearning algorithm to defend against backdoor attacks based on feature alignment knowledge distillation, named W2SDe"&amp;"fense. Specifically, we first train a small-scale language model through full-parameter fine-tuning to serve as the clean teacher model. Then, this teacher model guides the large-scale poisoned student model in unlearning the backdoor, leveraging PEFT. Th"&amp;"eoretical analysis suggests that W2SDefense has the potential to enhance the student model's ability to unlearn backdoor features, preventing the activation of the backdoor. We conduct comprehensive experiments on three state-of-the-art large language mod"&amp;"els and several different backdoor attack algorithms. Our empirical results demonstrate the outstanding performance of W2SDefense in defending against backdoor attacks without compromising model performance.")</f>
        <v>Parameter-efficient fine-tuning (PEFT) can bridge the gap between large language models (LLMs) and downstream tasks. However, PEFT has been proven vulnerable to malicious attacks. Research indicates that poisoned LLMs, even after PEFT, retain the capability to activate internalized backdoors when input samples contain predefined triggers. In this paper, we introduce a novel weak-to-strong unlearning algorithm to defend against backdoor attacks based on feature alignment knowledge distillation, named W2SDefense. Specifically, we first train a small-scale language model through full-parameter fine-tuning to serve as the clean teacher model. Then, this teacher model guides the large-scale poisoned student model in unlearning the backdoor, leveraging PEFT. Theoretical analysis suggests that W2SDefense has the potential to enhance the student model's ability to unlearn backdoor features, preventing the activation of the backdoor. We conduct comprehensive experiments on three state-of-the-art large language models and several different backdoor attack algorithms. Our empirical results demonstrate the outstanding performance of W2SDefense in defending against backdoor attacks without compromising model performance.</v>
      </c>
      <c r="D339" s="7" t="str">
        <f>IFERROR(__xludf.DUMMYFUNCTION("""COMPUTED_VALUE"""),"I do not plan to present.")</f>
        <v>I do not plan to present.</v>
      </c>
      <c r="E339" s="7" t="str">
        <f>IFERROR(__xludf.DUMMYFUNCTION("""COMPUTED_VALUE"""),"#N/A")</f>
        <v>#N/A</v>
      </c>
      <c r="F339" s="7" t="str">
        <f>IFERROR(__xludf.DUMMYFUNCTION("""COMPUTED_VALUE"""),"Not Pres. ")</f>
        <v>Not Pres. </v>
      </c>
      <c r="G339" s="7" t="str">
        <f>IFERROR(__xludf.DUMMYFUNCTION("""COMPUTED_VALUE"""),"NP Findings Not Presenting ")</f>
        <v>NP Findings Not Presenting </v>
      </c>
      <c r="H339" s="7"/>
      <c r="I339" s="7" t="str">
        <f>IFERROR(__xludf.DUMMYFUNCTION("""COMPUTED_VALUE"""),"NP-Find")</f>
        <v>NP-Find</v>
      </c>
      <c r="J339" s="7"/>
      <c r="K339" s="7"/>
      <c r="L339" s="8"/>
      <c r="M339" s="7"/>
      <c r="N339" s="7"/>
    </row>
    <row r="340">
      <c r="A340" s="7" t="str">
        <f>IFERROR(__xludf.DUMMYFUNCTION("""COMPUTED_VALUE"""),"1079-FIND")</f>
        <v>1079-FIND</v>
      </c>
      <c r="B340" s="7" t="str">
        <f>IFERROR(__xludf.DUMMYFUNCTION("""COMPUTED_VALUE"""),"Packing Analysis: Packing Is More Appropriate for Large Models or Datasets in Supervised Fine-tuning")</f>
        <v>Packing Analysis: Packing Is More Appropriate for Large Models or Datasets in Supervised Fine-tuning</v>
      </c>
      <c r="C340" s="7" t="str">
        <f>IFERROR(__xludf.DUMMYFUNCTION("""COMPUTED_VALUE"""),"Packing, initially utilized in the pre-training phase, is an optimization technique designed to maximize hardware resource efficiency by combining different training sequences to fit the model's maximum input length. Although it has demonstrated effective"&amp;"ness during pre-training, there remains a lack of comprehensive analysis for the supervised fine-tuning (SFT) stage on the following points: (1) whether packing can effectively enhance training efficiency while maintaining performance, (2) the suitable si"&amp;"ze of the model and dataset for fine-tuning with the packing method, and (3) whether packing unrelated or related training samples might cause the model to either excessively disregard or over-rely on the context.
In this paper, we perform extensive comp"&amp;"arisons between SFT methods using padding and packing, covering SFT datasets ranging from 69K to 1.2M and models from 8B to 70B. This provides the first comprehensive analysis of the advantages and limitations of packing versus padding, as well as practic"&amp;"al considerations for implementing packing in various training scenarios. Our analysis covers various benchmarks, including knowledge, reasoning, and coding, as well as GPT-based evaluations, time efficiency, and other fine-tuning parameters. We also open"&amp;"-source our code for fine-tuning and evaluation and provide checkpoints fine-tuned on datasets of different sizes, aiming to advance future research on packing methods.")</f>
        <v>Packing, initially utilized in the pre-training phase, is an optimization technique designed to maximize hardware resource efficiency by combining different training sequences to fit the model's maximum input length. Although it has demonstrated effectiveness during pre-training, there remains a lack of comprehensive analysis for the supervised fine-tuning (SFT) stage on the following points: (1) whether packing can effectively enhance training efficiency while maintaining performance, (2) the suitable size of the model and dataset for fine-tuning with the packing method, and (3) whether packing unrelated or related training samples might cause the model to either excessively disregard or over-rely on the context.
In this paper, we perform extensive comparisons between SFT methods using padding and packing, covering SFT datasets ranging from 69K to 1.2M and models from 8B to 70B. This provides the first comprehensive analysis of the advantages and limitations of packing versus padding, as well as practical considerations for implementing packing in various training scenarios. Our analysis covers various benchmarks, including knowledge, reasoning, and coding, as well as GPT-based evaluations, time efficiency, and other fine-tuning parameters. We also open-source our code for fine-tuning and evaluation and provide checkpoints fine-tuned on datasets of different sizes, aiming to advance future research on packing methods.</v>
      </c>
      <c r="D340" s="7" t="str">
        <f>IFERROR(__xludf.DUMMYFUNCTION("""COMPUTED_VALUE"""),"Shuhe Wang")</f>
        <v>Shuhe Wang</v>
      </c>
      <c r="E340" s="7" t="str">
        <f>IFERROR(__xludf.DUMMYFUNCTION("""COMPUTED_VALUE"""),"#N/A")</f>
        <v>#N/A</v>
      </c>
      <c r="F340" s="7" t="str">
        <f>IFERROR(__xludf.DUMMYFUNCTION("""COMPUTED_VALUE"""),"Not Pres. ")</f>
        <v>Not Pres. </v>
      </c>
      <c r="G340" s="7" t="str">
        <f>IFERROR(__xludf.DUMMYFUNCTION("""COMPUTED_VALUE"""),"NP Findings Not Presenting ")</f>
        <v>NP Findings Not Presenting </v>
      </c>
      <c r="H340" s="7"/>
      <c r="I340" s="7" t="str">
        <f>IFERROR(__xludf.DUMMYFUNCTION("""COMPUTED_VALUE"""),"NP-Find")</f>
        <v>NP-Find</v>
      </c>
      <c r="J340" s="7"/>
      <c r="K340" s="7"/>
      <c r="L340" s="8"/>
      <c r="M340" s="7"/>
      <c r="N340" s="7"/>
    </row>
    <row r="341">
      <c r="A341" s="7" t="str">
        <f>IFERROR(__xludf.DUMMYFUNCTION("""COMPUTED_VALUE"""),"1085-FIND")</f>
        <v>1085-FIND</v>
      </c>
      <c r="B341" s="7" t="str">
        <f>IFERROR(__xludf.DUMMYFUNCTION("""COMPUTED_VALUE"""),"Better Red Teaming via Searching with Large Language Model")</f>
        <v>Better Red Teaming via Searching with Large Language Model</v>
      </c>
      <c r="C341" s="7" t="str">
        <f>IFERROR(__xludf.DUMMYFUNCTION("""COMPUTED_VALUE"""),"The safe deployment of large language models (LLMs) necessitates comprehensive safety evaluations through red teaming. However, existing methods face challenges in managing semantic intricacies and optimizing the efficiency of the search process. To overc"&amp;"ome these limitations, we propose Better Red Teaming (BRT)—an innovative framework that reconceptualizes test case generation as a strategic planning problem, leveraging Monte Carlo Tree Search (MCTS). A notable advancement of our approach is the incorpor"&amp;"ation of LLMs as world models, enabling the prediction of state transitions and simulation of long-term outcomes throughout the search process. By jointly optimizing objectives related to conditional mutual information and diversity, we improve the world "&amp;"model's capacity to follow actions while maintaining output diversity. Extensive experiments conducted across a range of LLM architectures demonstrate that BRT achieves state-of-the-art attack success rates without sacrificing computational efficiency.")</f>
        <v>The safe deployment of large language models (LLMs) necessitates comprehensive safety evaluations through red teaming. However, existing methods face challenges in managing semantic intricacies and optimizing the efficiency of the search process. To overcome these limitations, we propose Better Red Teaming (BRT)—an innovative framework that reconceptualizes test case generation as a strategic planning problem, leveraging Monte Carlo Tree Search (MCTS). A notable advancement of our approach is the incorporation of LLMs as world models, enabling the prediction of state transitions and simulation of long-term outcomes throughout the search process. By jointly optimizing objectives related to conditional mutual information and diversity, we improve the world model's capacity to follow actions while maintaining output diversity. Extensive experiments conducted across a range of LLM architectures demonstrate that BRT achieves state-of-the-art attack success rates without sacrificing computational efficiency.</v>
      </c>
      <c r="D341" s="7" t="str">
        <f>IFERROR(__xludf.DUMMYFUNCTION("""COMPUTED_VALUE"""),"N/A")</f>
        <v>N/A</v>
      </c>
      <c r="E341" s="7" t="str">
        <f>IFERROR(__xludf.DUMMYFUNCTION("""COMPUTED_VALUE"""),"#N/A")</f>
        <v>#N/A</v>
      </c>
      <c r="F341" s="7" t="str">
        <f>IFERROR(__xludf.DUMMYFUNCTION("""COMPUTED_VALUE"""),"Not Pres. ")</f>
        <v>Not Pres. </v>
      </c>
      <c r="G341" s="7" t="str">
        <f>IFERROR(__xludf.DUMMYFUNCTION("""COMPUTED_VALUE"""),"NP Findings Not Presenting ")</f>
        <v>NP Findings Not Presenting </v>
      </c>
      <c r="H341" s="7"/>
      <c r="I341" s="7" t="str">
        <f>IFERROR(__xludf.DUMMYFUNCTION("""COMPUTED_VALUE"""),"NP-Find")</f>
        <v>NP-Find</v>
      </c>
      <c r="J341" s="7"/>
      <c r="K341" s="7"/>
      <c r="L341" s="8"/>
      <c r="M341" s="7"/>
      <c r="N341" s="7"/>
    </row>
    <row r="342">
      <c r="A342" s="7" t="str">
        <f>IFERROR(__xludf.DUMMYFUNCTION("""COMPUTED_VALUE"""),"1090-FIND")</f>
        <v>1090-FIND</v>
      </c>
      <c r="B342" s="7" t="str">
        <f>IFERROR(__xludf.DUMMYFUNCTION("""COMPUTED_VALUE"""),"AdaV: Adaptive Text-visual Redirection for Vision-Language Models")</f>
        <v>AdaV: Adaptive Text-visual Redirection for Vision-Language Models</v>
      </c>
      <c r="C342" s="7" t="str">
        <f>IFERROR(__xludf.DUMMYFUNCTION("""COMPUTED_VALUE"""),"The success of Vision-Language Models (VLMs) often relies on high-resolution schemes that preserve image details, while these approaches also generate an excess of visual tokens, leading to a substantial decrease in model efficiency. A typical VLM include"&amp;"s a visual encoder, a text encoder, and an LLM. Recent studies suggest pruning visual tokens based on visual and textual priors to accelerate VLMs without additional training costs. However, these methods often overlook prompt semantics or suffer from bia"&amp;"sed self-attention in the LLM. Inspired by the efficient mechanisms of the human brain for multimodal understanding, we introduce AdaV, a novel training-free visual token pruning method. By emulating the neural pathways that preprocess visual and auditory"&amp;" information before the reasoning stage, we shift text-guided visual attention redirection to the pre-LLM stage, which reduces biased token pruning and enhances model robustness with a limited visual token budget. A Self-adaptive Cross-modality Attention "&amp;"Redirection (SCAR) module is further proposed that effectively merges and redirects visual attention with text-to-image attention. Extensive experiments on seven challenging benchmarks demonstrate that our AdaV achieves SOTA performance in training-free V"&amp;"LM acceleration and can be plug-and-play on various VLMs. We plan to open-source the code upon publication.")</f>
        <v>The success of Vision-Language Models (VLMs) often relies on high-resolution schemes that preserve image details, while these approaches also generate an excess of visual tokens, leading to a substantial decrease in model efficiency. A typical VLM includes a visual encoder, a text encoder, and an LLM. Recent studies suggest pruning visual tokens based on visual and textual priors to accelerate VLMs without additional training costs. However, these methods often overlook prompt semantics or suffer from biased self-attention in the LLM. Inspired by the efficient mechanisms of the human brain for multimodal understanding, we introduce AdaV, a novel training-free visual token pruning method. By emulating the neural pathways that preprocess visual and auditory information before the reasoning stage, we shift text-guided visual attention redirection to the pre-LLM stage, which reduces biased token pruning and enhances model robustness with a limited visual token budget. A Self-adaptive Cross-modality Attention Redirection (SCAR) module is further proposed that effectively merges and redirects visual attention with text-to-image attention. Extensive experiments on seven challenging benchmarks demonstrate that our AdaV achieves SOTA performance in training-free VLM acceleration and can be plug-and-play on various VLMs. We plan to open-source the code upon publication.</v>
      </c>
      <c r="D342" s="7" t="str">
        <f>IFERROR(__xludf.DUMMYFUNCTION("""COMPUTED_VALUE"""),"Jiayi Han")</f>
        <v>Jiayi Han</v>
      </c>
      <c r="E342" s="7" t="str">
        <f>IFERROR(__xludf.DUMMYFUNCTION("""COMPUTED_VALUE"""),"Yes")</f>
        <v>Yes</v>
      </c>
      <c r="F342" s="7" t="str">
        <f>IFERROR(__xludf.DUMMYFUNCTION("""COMPUTED_VALUE"""),"V-Presentation")</f>
        <v>V-Presentation</v>
      </c>
      <c r="G342" s="7" t="str">
        <f>IFERROR(__xludf.DUMMYFUNCTION("""COMPUTED_VALUE"""),"Virtual/Gather")</f>
        <v>Virtual/Gather</v>
      </c>
      <c r="H342" s="7" t="str">
        <f>IFERROR(__xludf.DUMMYFUNCTION("""COMPUTED_VALUE"""),"Gather")</f>
        <v>Gather</v>
      </c>
      <c r="I342" s="7" t="str">
        <f>IFERROR(__xludf.DUMMYFUNCTION("""COMPUTED_VALUE"""),"Session5: V-Gather Find")</f>
        <v>Session5: V-Gather Find</v>
      </c>
      <c r="J342" s="7" t="str">
        <f>IFERROR(__xludf.DUMMYFUNCTION("""COMPUTED_VALUE"""),"Findings Posters - Virtual")</f>
        <v>Findings Posters - Virtual</v>
      </c>
      <c r="K342" s="7"/>
      <c r="L342" s="8">
        <f>IFERROR(__xludf.DUMMYFUNCTION("""COMPUTED_VALUE"""),45866.0)</f>
        <v>45866</v>
      </c>
      <c r="M342" s="7" t="str">
        <f>IFERROR(__xludf.DUMMYFUNCTION("""COMPUTED_VALUE"""),"18:00-19:30")</f>
        <v>18:00-19:30</v>
      </c>
      <c r="N342" s="7"/>
    </row>
    <row r="343">
      <c r="A343" s="7" t="str">
        <f>IFERROR(__xludf.DUMMYFUNCTION("""COMPUTED_VALUE"""),"1094-FIND")</f>
        <v>1094-FIND</v>
      </c>
      <c r="B343" s="7" t="str">
        <f>IFERROR(__xludf.DUMMYFUNCTION("""COMPUTED_VALUE"""),"MegaAgent: Dynamic Agent Coordination Without SOPs")</f>
        <v>MegaAgent: Dynamic Agent Coordination Without SOPs</v>
      </c>
      <c r="C343" s="7" t="str">
        <f>IFERROR(__xludf.DUMMYFUNCTION("""COMPUTED_VALUE"""),"LLM-based multi-agent systems (MAS) have shown promise in tackling complex tasks. However, existing solutions often suffer from limited agent coordination and heavy reliance on predefined Standard Operating Procedures (SOPs), which demand extensive human "&amp;"input. To address these limitations, we propose MegaAgent, a large-scale autonomous LLM-based multi-agent system. MegaAgent generates agents based on task complexity and enables dynamic task decomposition, parallel execution, efficient communication, and "&amp;"comprehensive system monitoring of agents. In evaluations, MegaAgent demonstrates exceptional performance, successfully developing a Gobang game within 800 seconds and scaling up to 590 agents in a national policy simulation to generate multi-domain polic"&amp;"ies. It significantly outperforms existing systems, such as MetaGPT, in both task completion efficiency and scalability. By eliminating the need for predefined SOPs, MegaAgent demonstrates exceptional scalability and autonomy, setting a foundation for adv"&amp;"ancing true autonomy in MAS. Code is available at https://github.com/Xtra-Computing/MegaAgent")</f>
        <v>LLM-based multi-agent systems (MAS) have shown promise in tackling complex tasks. However, existing solutions often suffer from limited agent coordination and heavy reliance on predefined Standard Operating Procedures (SOPs), which demand extensive human input. To address these limitations, we propose MegaAgent, a large-scale autonomous LLM-based multi-agent system. MegaAgent generates agents based on task complexity and enables dynamic task decomposition, parallel execution, efficient communication, and comprehensive system monitoring of agents. In evaluations, MegaAgent demonstrates exceptional performance, successfully developing a Gobang game within 800 seconds and scaling up to 590 agents in a national policy simulation to generate multi-domain policies. It significantly outperforms existing systems, such as MetaGPT, in both task completion efficiency and scalability. By eliminating the need for predefined SOPs, MegaAgent demonstrates exceptional scalability and autonomy, setting a foundation for advancing true autonomy in MAS. Code is available at https://github.com/Xtra-Computing/MegaAgent</v>
      </c>
      <c r="D343" s="7" t="str">
        <f>IFERROR(__xludf.DUMMYFUNCTION("""COMPUTED_VALUE"""),"Tianyu Wang")</f>
        <v>Tianyu Wang</v>
      </c>
      <c r="E343" s="7" t="str">
        <f>IFERROR(__xludf.DUMMYFUNCTION("""COMPUTED_VALUE"""),"Yes")</f>
        <v>Yes</v>
      </c>
      <c r="F343" s="7" t="str">
        <f>IFERROR(__xludf.DUMMYFUNCTION("""COMPUTED_VALUE"""),"IP-Poster")</f>
        <v>IP-Poster</v>
      </c>
      <c r="G343" s="7" t="str">
        <f>IFERROR(__xludf.DUMMYFUNCTION("""COMPUTED_VALUE"""),"In-Person")</f>
        <v>In-Person</v>
      </c>
      <c r="H343" s="7" t="str">
        <f>IFERROR(__xludf.DUMMYFUNCTION("""COMPUTED_VALUE"""),"Hall 4/5")</f>
        <v>Hall 4/5</v>
      </c>
      <c r="I343" s="7" t="str">
        <f>IFERROR(__xludf.DUMMYFUNCTION("""COMPUTED_VALUE"""),"Session 5 :IP-Posters Find ")</f>
        <v>Session 5 :IP-Posters Find </v>
      </c>
      <c r="J343" s="7" t="str">
        <f>IFERROR(__xludf.DUMMYFUNCTION("""COMPUTED_VALUE"""),"Findings Posters - In-Person 1")</f>
        <v>Findings Posters - In-Person 1</v>
      </c>
      <c r="K343" s="7"/>
      <c r="L343" s="8">
        <f>IFERROR(__xludf.DUMMYFUNCTION("""COMPUTED_VALUE"""),45866.0)</f>
        <v>45866</v>
      </c>
      <c r="M343" s="7" t="str">
        <f>IFERROR(__xludf.DUMMYFUNCTION("""COMPUTED_VALUE"""),"18:00-19:30")</f>
        <v>18:00-19:30</v>
      </c>
      <c r="N343" s="7"/>
    </row>
    <row r="344">
      <c r="A344" s="7" t="str">
        <f>IFERROR(__xludf.DUMMYFUNCTION("""COMPUTED_VALUE"""),"1095-FIND")</f>
        <v>1095-FIND</v>
      </c>
      <c r="B344" s="7" t="str">
        <f>IFERROR(__xludf.DUMMYFUNCTION("""COMPUTED_VALUE"""),"Persona-judge: Personalized Alignment of Large Language Models via Token-level Self-judgment")</f>
        <v>Persona-judge: Personalized Alignment of Large Language Models via Token-level Self-judgment</v>
      </c>
      <c r="C344" s="7" t="str">
        <f>IFERROR(__xludf.DUMMYFUNCTION("""COMPUTED_VALUE"""),"Aligning language models with human preferences presents significant challenges, particularly in achieving personalization without incurring excessive computational costs. Existing methods rely on reward signals and additional annotated data, limiting the"&amp;"ir scalability and adaptability to diverse human values. To address these challenges, we introduce Persona-judge, a novel discriminative paradigm that enables training-free personalized alignment with unseen preferences. Instead of optimizing policy param"&amp;"eters through external reward feedback, Persona-judge leverages the intrinsic preference judgment capabilities of the model. Specifically, a draft model generates candidate tokens conditioned on a given preference, while a judge model, embodying another p"&amp;"reference, cross-validates the predicted tokens whether to be accepted. Experimental results demonstrate that Persona-judge, using the inherent preference evaluation mechanisms of the model, offers a scalable and computationally efficient solution to pers"&amp;"onalized alignment, paving the way for more adaptive customized alignment. Our code is available here.")</f>
        <v>Aligning language models with human preferences presents significant challenges, particularly in achieving personalization without incurring excessive computational costs. Existing methods rely on reward signals and additional annotated data, limiting their scalability and adaptability to diverse human values. To address these challenges, we introduce Persona-judge, a novel discriminative paradigm that enables training-free personalized alignment with unseen preferences. Instead of optimizing policy parameters through external reward feedback, Persona-judge leverages the intrinsic preference judgment capabilities of the model. Specifically, a draft model generates candidate tokens conditioned on a given preference, while a judge model, embodying another preference, cross-validates the predicted tokens whether to be accepted. Experimental results demonstrate that Persona-judge, using the inherent preference evaluation mechanisms of the model, offers a scalable and computationally efficient solution to personalized alignment, paving the way for more adaptive customized alignment. Our code is available here.</v>
      </c>
      <c r="D344" s="7" t="str">
        <f>IFERROR(__xludf.DUMMYFUNCTION("""COMPUTED_VALUE"""),"N/A")</f>
        <v>N/A</v>
      </c>
      <c r="E344" s="7" t="str">
        <f>IFERROR(__xludf.DUMMYFUNCTION("""COMPUTED_VALUE"""),"#N/A")</f>
        <v>#N/A</v>
      </c>
      <c r="F344" s="7" t="str">
        <f>IFERROR(__xludf.DUMMYFUNCTION("""COMPUTED_VALUE"""),"Not Pres. ")</f>
        <v>Not Pres. </v>
      </c>
      <c r="G344" s="7" t="str">
        <f>IFERROR(__xludf.DUMMYFUNCTION("""COMPUTED_VALUE"""),"NP Findings Not Presenting ")</f>
        <v>NP Findings Not Presenting </v>
      </c>
      <c r="H344" s="7"/>
      <c r="I344" s="7" t="str">
        <f>IFERROR(__xludf.DUMMYFUNCTION("""COMPUTED_VALUE"""),"NP-Find")</f>
        <v>NP-Find</v>
      </c>
      <c r="J344" s="7"/>
      <c r="K344" s="7"/>
      <c r="L344" s="8"/>
      <c r="M344" s="7"/>
      <c r="N344" s="7"/>
    </row>
    <row r="345">
      <c r="A345" s="7" t="str">
        <f>IFERROR(__xludf.DUMMYFUNCTION("""COMPUTED_VALUE"""),"1113-FIND")</f>
        <v>1113-FIND</v>
      </c>
      <c r="B345" s="7" t="str">
        <f>IFERROR(__xludf.DUMMYFUNCTION("""COMPUTED_VALUE"""),"A Self-Distillation Recipe for Neural Machine Translation")</f>
        <v>A Self-Distillation Recipe for Neural Machine Translation</v>
      </c>
      <c r="C345" s="7" t="str">
        <f>IFERROR(__xludf.DUMMYFUNCTION("""COMPUTED_VALUE"""),"Self-distillation distills the deeper sub-networks to the shallower sub-networks without using an extra teacher model, and has been proven effective in improving the performance of a series of computer vision tasks. In this paper, we study the representat"&amp;"ion-based self-distillation methods for Neural Machine Translation (NMT) considering the efficiency issue with a large vocabulary. We present a rank-order augmented Pearson correlation loss and an iterative distillation method to prevent the discrepancy o"&amp;"f predictions between the student and a stronger teacher from disturbing the training. To prevent the teacher from misleading the student's learning, we utilize a warm-up strategy and present a gradient adaption method to scale down or zero the Knowledge "&amp;"Distillation (KD) gradients which are opposite to the translation. Experiments show that our method can lead to significant improvements over the strong Transformer baseline on low/middle/high-resource tasks, obtaining comparable performance to previous M"&amp;"T KD studies without pre-training a teacher. Deeper Transformer experiments show that our method can lead to comparable or better performance with fewer layers.")</f>
        <v>Self-distillation distills the deeper sub-networks to the shallower sub-networks without using an extra teacher model, and has been proven effective in improving the performance of a series of computer vision tasks. In this paper, we study the representation-based self-distillation methods for Neural Machine Translation (NMT) considering the efficiency issue with a large vocabulary. We present a rank-order augmented Pearson correlation loss and an iterative distillation method to prevent the discrepancy of predictions between the student and a stronger teacher from disturbing the training. To prevent the teacher from misleading the student's learning, we utilize a warm-up strategy and present a gradient adaption method to scale down or zero the Knowledge Distillation (KD) gradients which are opposite to the translation. Experiments show that our method can lead to significant improvements over the strong Transformer baseline on low/middle/high-resource tasks, obtaining comparable performance to previous MT KD studies without pre-training a teacher. Deeper Transformer experiments show that our method can lead to comparable or better performance with fewer layers.</v>
      </c>
      <c r="D345" s="7" t="str">
        <f>IFERROR(__xludf.DUMMYFUNCTION("""COMPUTED_VALUE"""),"N/A")</f>
        <v>N/A</v>
      </c>
      <c r="E345" s="7" t="str">
        <f>IFERROR(__xludf.DUMMYFUNCTION("""COMPUTED_VALUE"""),"#N/A")</f>
        <v>#N/A</v>
      </c>
      <c r="F345" s="7" t="str">
        <f>IFERROR(__xludf.DUMMYFUNCTION("""COMPUTED_VALUE"""),"Not Pres. ")</f>
        <v>Not Pres. </v>
      </c>
      <c r="G345" s="7" t="str">
        <f>IFERROR(__xludf.DUMMYFUNCTION("""COMPUTED_VALUE"""),"NP Findings Not Presenting ")</f>
        <v>NP Findings Not Presenting </v>
      </c>
      <c r="H345" s="7"/>
      <c r="I345" s="7" t="str">
        <f>IFERROR(__xludf.DUMMYFUNCTION("""COMPUTED_VALUE"""),"NP-Find")</f>
        <v>NP-Find</v>
      </c>
      <c r="J345" s="7"/>
      <c r="K345" s="7"/>
      <c r="L345" s="8"/>
      <c r="M345" s="7"/>
      <c r="N345" s="7"/>
    </row>
    <row r="346">
      <c r="A346" s="7" t="str">
        <f>IFERROR(__xludf.DUMMYFUNCTION("""COMPUTED_VALUE"""),"1117-FIND")</f>
        <v>1117-FIND</v>
      </c>
      <c r="B346" s="7" t="str">
        <f>IFERROR(__xludf.DUMMYFUNCTION("""COMPUTED_VALUE"""),"BlockPruner: Fine-grained Pruning for Large Language Models")</f>
        <v>BlockPruner: Fine-grained Pruning for Large Language Models</v>
      </c>
      <c r="C346" s="7" t="str">
        <f>IFERROR(__xludf.DUMMYFUNCTION("""COMPUTED_VALUE"""),"With the rapid growth in the size and complexity of large language models (LLMs), the costs associated with their training and inference have escalated significantly. Research indicates that certain layers in LLMs harbor substantial redundancy, and prunin"&amp;"g these layers has minimal impact on the overall performance. While various layer pruning methods have been developed based on this insight, they generally overlook the finer-grained redundancies within the layers themselves. In this paper, we delve deepe"&amp;"r into the architecture of LLMs and demonstrate that finer-grained pruning can be achieved by targeting redundancies in multi-head attention (MHA) and multi-layer perceptron (MLP) blocks. We propose a novel, training-free structured pruning approach calle"&amp;"d BlockPruner. Unlike existing layer pruning methods, BlockPruner segments each Transformer layer into MHA and MLP blocks. It then assesses the importance of these blocks using perplexity measures and applies a heuristic search for iterative pruning. We a"&amp;"pplied BlockPruner to LLMs of various sizes and architectures and validated its performance across a wide range of downstream tasks. Experimental results show that BlockPruner achieves more granular and effective pruning compared to state-of-the-art basel"&amp;"ines.")</f>
        <v>With the rapid growth in the size and complexity of large language models (LLMs), the costs associated with their training and inference have escalated significantly. Research indicates that certain layers in LLMs harbor substantial redundancy, and pruning these layers has minimal impact on the overall performance. While various layer pruning methods have been developed based on this insight, they generally overlook the finer-grained redundancies within the layers themselves. In this paper, we delve deeper into the architecture of LLMs and demonstrate that finer-grained pruning can be achieved by targeting redundancies in multi-head attention (MHA) and multi-layer perceptron (MLP) blocks. We propose a novel, training-free structured pruning approach called BlockPruner. Unlike existing layer pruning methods, BlockPruner segments each Transformer layer into MHA and MLP blocks. It then assesses the importance of these blocks using perplexity measures and applies a heuristic search for iterative pruning. We applied BlockPruner to LLMs of various sizes and architectures and validated its performance across a wide range of downstream tasks. Experimental results show that BlockPruner achieves more granular and effective pruning compared to state-of-the-art baselines.</v>
      </c>
      <c r="D346" s="7" t="str">
        <f>IFERROR(__xludf.DUMMYFUNCTION("""COMPUTED_VALUE"""),"Longguang Zhong")</f>
        <v>Longguang Zhong</v>
      </c>
      <c r="E346" s="7" t="str">
        <f>IFERROR(__xludf.DUMMYFUNCTION("""COMPUTED_VALUE"""),"#N/A")</f>
        <v>#N/A</v>
      </c>
      <c r="F346" s="7" t="str">
        <f>IFERROR(__xludf.DUMMYFUNCTION("""COMPUTED_VALUE"""),"Not Pres. ")</f>
        <v>Not Pres. </v>
      </c>
      <c r="G346" s="7" t="str">
        <f>IFERROR(__xludf.DUMMYFUNCTION("""COMPUTED_VALUE"""),"NP Findings Not Presenting ")</f>
        <v>NP Findings Not Presenting </v>
      </c>
      <c r="H346" s="7"/>
      <c r="I346" s="7" t="str">
        <f>IFERROR(__xludf.DUMMYFUNCTION("""COMPUTED_VALUE"""),"NP-Find")</f>
        <v>NP-Find</v>
      </c>
      <c r="J346" s="7"/>
      <c r="K346" s="7"/>
      <c r="L346" s="8"/>
      <c r="M346" s="7"/>
      <c r="N346" s="7"/>
    </row>
    <row r="347">
      <c r="A347" s="7" t="str">
        <f>IFERROR(__xludf.DUMMYFUNCTION("""COMPUTED_VALUE"""),"1119-FIND")</f>
        <v>1119-FIND</v>
      </c>
      <c r="B347" s="7" t="str">
        <f>IFERROR(__xludf.DUMMYFUNCTION("""COMPUTED_VALUE"""),"Evaluating Implicit Bias in Large Language Models by Attacking From a Psychometric Perspective")</f>
        <v>Evaluating Implicit Bias in Large Language Models by Attacking From a Psychometric Perspective</v>
      </c>
      <c r="C347" s="7" t="str">
        <f>IFERROR(__xludf.DUMMYFUNCTION("""COMPUTED_VALUE"""),"As large language models (LLMs) become an important way of information access, there have been increasing concerns that LLMs may intensify the spread of unethical content, including implicit bias that hurts certain populations without explicit harmful wor"&amp;"ds. In this paper, we conduct a rigorous evaluation of LLMs' implicit bias towards certain demographics by attacking them from a psychometric perspective to elicit agreements to biased viewpoints. Inspired by psychometric principles in cognitive and socia"&amp;"l psychology, we propose three attack approaches, i.e., Disguise, Deception, and Teaching. Incorporating the corresponding attack instructions, we built two benchmarks: (1) a bilingual dataset with biased statements covering four bias types (2.7K instance"&amp;"s) for extensive comparative analysis, and (2) BUMBLE, a larger benchmark spanning nine common bias types (12.7K instances) for comprehensive evaluation. Extensive evaluation of popular commercial and open-source LLMs shows that our methods can elicit LLM"&amp;"s' inner bias more effectively than competitive baselines. Our attack methodology and benchmarks offer an effective means of assessing the ethical risks of LLMs, driving progress toward greater accountability in their development.")</f>
        <v>As large language models (LLMs) become an important way of information access, there have been increasing concerns that LLMs may intensify the spread of unethical content, including implicit bias that hurts certain populations without explicit harmful words. In this paper, we conduct a rigorous evaluation of LLMs' implicit bias towards certain demographics by attacking them from a psychometric perspective to elicit agreements to biased viewpoints. Inspired by psychometric principles in cognitive and social psychology, we propose three attack approaches, i.e., Disguise, Deception, and Teaching. Incorporating the corresponding attack instructions, we built two benchmarks: (1) a bilingual dataset with biased statements covering four bias types (2.7K instances) for extensive comparative analysis, and (2) BUMBLE, a larger benchmark spanning nine common bias types (12.7K instances) for comprehensive evaluation. Extensive evaluation of popular commercial and open-source LLMs shows that our methods can elicit LLMs' inner bias more effectively than competitive baselines. Our attack methodology and benchmarks offer an effective means of assessing the ethical risks of LLMs, driving progress toward greater accountability in their development.</v>
      </c>
      <c r="D347" s="7" t="str">
        <f>IFERROR(__xludf.DUMMYFUNCTION("""COMPUTED_VALUE"""),"Yuchen Wen")</f>
        <v>Yuchen Wen</v>
      </c>
      <c r="E347" s="7" t="str">
        <f>IFERROR(__xludf.DUMMYFUNCTION("""COMPUTED_VALUE"""),"Yes")</f>
        <v>Yes</v>
      </c>
      <c r="F347" s="7" t="str">
        <f>IFERROR(__xludf.DUMMYFUNCTION("""COMPUTED_VALUE"""),"IP-Poster")</f>
        <v>IP-Poster</v>
      </c>
      <c r="G347" s="7" t="str">
        <f>IFERROR(__xludf.DUMMYFUNCTION("""COMPUTED_VALUE"""),"In-Person")</f>
        <v>In-Person</v>
      </c>
      <c r="H347" s="7" t="str">
        <f>IFERROR(__xludf.DUMMYFUNCTION("""COMPUTED_VALUE"""),"Hall 4/5")</f>
        <v>Hall 4/5</v>
      </c>
      <c r="I347" s="7" t="str">
        <f>IFERROR(__xludf.DUMMYFUNCTION("""COMPUTED_VALUE"""),"Session 5 :IP-Posters Find ")</f>
        <v>Session 5 :IP-Posters Find </v>
      </c>
      <c r="J347" s="7" t="str">
        <f>IFERROR(__xludf.DUMMYFUNCTION("""COMPUTED_VALUE"""),"Findings Posters - In-Person 1")</f>
        <v>Findings Posters - In-Person 1</v>
      </c>
      <c r="K347" s="7"/>
      <c r="L347" s="8">
        <f>IFERROR(__xludf.DUMMYFUNCTION("""COMPUTED_VALUE"""),45866.0)</f>
        <v>45866</v>
      </c>
      <c r="M347" s="7" t="str">
        <f>IFERROR(__xludf.DUMMYFUNCTION("""COMPUTED_VALUE"""),"18:00-19:30")</f>
        <v>18:00-19:30</v>
      </c>
      <c r="N347" s="7"/>
    </row>
    <row r="348">
      <c r="A348" s="7" t="str">
        <f>IFERROR(__xludf.DUMMYFUNCTION("""COMPUTED_VALUE"""),"1121-FIND")</f>
        <v>1121-FIND</v>
      </c>
      <c r="B348" s="7" t="str">
        <f>IFERROR(__xludf.DUMMYFUNCTION("""COMPUTED_VALUE"""),"LongCite: Enabling LLMs to Generate Fine-grained Citations in Long-Context QA")</f>
        <v>LongCite: Enabling LLMs to Generate Fine-grained Citations in Long-Context QA</v>
      </c>
      <c r="C348" s="7" t="str">
        <f>IFERROR(__xludf.DUMMYFUNCTION("""COMPUTED_VALUE"""),"Though current long-context large language models (LLMs) have demonstrated impressive capacities in answering various questions based on extensive text, the lack of citations in their responses makes user verification difficult, leading to concerns about "&amp;"their trustworthiness due to the potential hallucinations. In this work, we aim to enable long-context LLMs to generate responses with fine-grained sentence-level citations on the fly, thereby improving their faithfulness and verifiability. We first intro"&amp;"duce LongBench-Cite, an automated benchmark for assessing current LLMs' performance in long-context question answering with citations (LQAC), revealing considerable room for improvement. To this end, we propose CoF (Coarse to Fine), a novel pipeline that "&amp;"utilizes off-the-shelf LLMs to automatically construct long-context QA instances with precise sentence-level citations, and leverage this pipeline to construct LongCite-45k, a large-scale SFT dataset for LQAC. Finally, we train LongCite-8B and LongCite-9B"&amp;" using the constructed dataset, successfully enabling the generation of accurate responses and fine-grained citations in one pass. The evaluation results on LongBench-Cite show that our trained models achieve state-of-the-art citation quality, surpassing "&amp;"advanced proprietary models including GPT-4o. We also discover that SFT with citation information can further improve the correctness of model responses compared to standard long-context SFT.")</f>
        <v>Though current long-context large language models (LLMs) have demonstrated impressive capacities in answering various questions based on extensive text, the lack of citations in their responses makes user verification difficult, leading to concerns about their trustworthiness due to the potential hallucinations. In this work, we aim to enable long-context LLMs to generate responses with fine-grained sentence-level citations on the fly, thereby improving their faithfulness and verifiability. We first introduce LongBench-Cite, an automated benchmark for assessing current LLMs' performance in long-context question answering with citations (LQAC), revealing considerable room for improvement. To this end, we propose CoF (Coarse to Fine), a novel pipeline that utilizes off-the-shelf LLMs to automatically construct long-context QA instances with precise sentence-level citations, and leverage this pipeline to construct LongCite-45k, a large-scale SFT dataset for LQAC. Finally, we train LongCite-8B and LongCite-9B using the constructed dataset, successfully enabling the generation of accurate responses and fine-grained citations in one pass. The evaluation results on LongBench-Cite show that our trained models achieve state-of-the-art citation quality, surpassing advanced proprietary models including GPT-4o. We also discover that SFT with citation information can further improve the correctness of model responses compared to standard long-context SFT.</v>
      </c>
      <c r="D348" s="7" t="str">
        <f>IFERROR(__xludf.DUMMYFUNCTION("""COMPUTED_VALUE"""),"Jiajie Zhang")</f>
        <v>Jiajie Zhang</v>
      </c>
      <c r="E348" s="7" t="str">
        <f>IFERROR(__xludf.DUMMYFUNCTION("""COMPUTED_VALUE"""),"Yes")</f>
        <v>Yes</v>
      </c>
      <c r="F348" s="7" t="str">
        <f>IFERROR(__xludf.DUMMYFUNCTION("""COMPUTED_VALUE"""),"IP-Poster")</f>
        <v>IP-Poster</v>
      </c>
      <c r="G348" s="7" t="str">
        <f>IFERROR(__xludf.DUMMYFUNCTION("""COMPUTED_VALUE"""),"In-Person")</f>
        <v>In-Person</v>
      </c>
      <c r="H348" s="7" t="str">
        <f>IFERROR(__xludf.DUMMYFUNCTION("""COMPUTED_VALUE"""),"Hall 4/5")</f>
        <v>Hall 4/5</v>
      </c>
      <c r="I348" s="7" t="str">
        <f>IFERROR(__xludf.DUMMYFUNCTION("""COMPUTED_VALUE"""),"Session 5 :IP-Posters Find ")</f>
        <v>Session 5 :IP-Posters Find </v>
      </c>
      <c r="J348" s="7" t="str">
        <f>IFERROR(__xludf.DUMMYFUNCTION("""COMPUTED_VALUE"""),"Findings Posters - In-Person 1")</f>
        <v>Findings Posters - In-Person 1</v>
      </c>
      <c r="K348" s="7"/>
      <c r="L348" s="8">
        <f>IFERROR(__xludf.DUMMYFUNCTION("""COMPUTED_VALUE"""),45866.0)</f>
        <v>45866</v>
      </c>
      <c r="M348" s="7" t="str">
        <f>IFERROR(__xludf.DUMMYFUNCTION("""COMPUTED_VALUE"""),"18:00-19:30")</f>
        <v>18:00-19:30</v>
      </c>
      <c r="N348" s="7"/>
    </row>
    <row r="349">
      <c r="A349" s="7" t="str">
        <f>IFERROR(__xludf.DUMMYFUNCTION("""COMPUTED_VALUE"""),"1129-FIND")</f>
        <v>1129-FIND</v>
      </c>
      <c r="B349" s="7" t="str">
        <f>IFERROR(__xludf.DUMMYFUNCTION("""COMPUTED_VALUE"""),"An Empirical Study of Group Conformity in Multi-Agent Systems")</f>
        <v>An Empirical Study of Group Conformity in Multi-Agent Systems</v>
      </c>
      <c r="C349" s="7" t="str">
        <f>IFERROR(__xludf.DUMMYFUNCTION("""COMPUTED_VALUE"""),"Recent advances in Large Language Models (LLMs) have enabled multi-agent systems that simulate real-world interactions with near-human reasoning. While previous studies have extensively examined biases related to protected attributes such as race, the eme"&amp;"rgence and propagation of biases on socially contentious issues in multi-agent LLM interactions remain underexplored. This study explores how LLM agents shape public opinion through debates on five contentious topics. By simulating over 2,500 debates, we "&amp;"analyze how initially neutral agents, assigned a centrist disposition, adopt specific stances over time. Statistical analyses reveal significant group conformity mirroring human behavior; LLM agents tend to align with numerically dominant groups or more i"&amp;"ntelligent agents, exerting a greater influence. These findings underscore the crucial role of agent intelligence in shaping discourse and highlight the risks of bias amplification in online interactions. Our results emphasize the need for policy measures"&amp;" that promote diversity and transparency in LLM-generated discussions to mitigate the risks of bias propagation within anonymous online environments.")</f>
        <v>Recent advances in Large Language Models (LLMs) have enabled multi-agent systems that simulate real-world interactions with near-human reasoning. While previous studies have extensively examined biases related to protected attributes such as race, the emergence and propagation of biases on socially contentious issues in multi-agent LLM interactions remain underexplored. This study explores how LLM agents shape public opinion through debates on five contentious topics. By simulating over 2,500 debates, we analyze how initially neutral agents, assigned a centrist disposition, adopt specific stances over time. Statistical analyses reveal significant group conformity mirroring human behavior; LLM agents tend to align with numerically dominant groups or more intelligent agents, exerting a greater influence. These findings underscore the crucial role of agent intelligence in shaping discourse and highlight the risks of bias amplification in online interactions. Our results emphasize the need for policy measures that promote diversity and transparency in LLM-generated discussions to mitigate the risks of bias propagation within anonymous online environments.</v>
      </c>
      <c r="D349" s="7" t="str">
        <f>IFERROR(__xludf.DUMMYFUNCTION("""COMPUTED_VALUE"""),"Sungwon Chae")</f>
        <v>Sungwon Chae</v>
      </c>
      <c r="E349" s="7" t="str">
        <f>IFERROR(__xludf.DUMMYFUNCTION("""COMPUTED_VALUE"""),"Yes")</f>
        <v>Yes</v>
      </c>
      <c r="F349" s="7" t="str">
        <f>IFERROR(__xludf.DUMMYFUNCTION("""COMPUTED_VALUE"""),"IP-Poster")</f>
        <v>IP-Poster</v>
      </c>
      <c r="G349" s="7" t="str">
        <f>IFERROR(__xludf.DUMMYFUNCTION("""COMPUTED_VALUE"""),"In-Person")</f>
        <v>In-Person</v>
      </c>
      <c r="H349" s="7" t="str">
        <f>IFERROR(__xludf.DUMMYFUNCTION("""COMPUTED_VALUE"""),"Hall 4/5")</f>
        <v>Hall 4/5</v>
      </c>
      <c r="I349" s="7" t="str">
        <f>IFERROR(__xludf.DUMMYFUNCTION("""COMPUTED_VALUE"""),"Session 5 :IP-Posters Find ")</f>
        <v>Session 5 :IP-Posters Find </v>
      </c>
      <c r="J349" s="7" t="str">
        <f>IFERROR(__xludf.DUMMYFUNCTION("""COMPUTED_VALUE"""),"Findings Posters - In-Person 1")</f>
        <v>Findings Posters - In-Person 1</v>
      </c>
      <c r="K349" s="7"/>
      <c r="L349" s="8">
        <f>IFERROR(__xludf.DUMMYFUNCTION("""COMPUTED_VALUE"""),45866.0)</f>
        <v>45866</v>
      </c>
      <c r="M349" s="7" t="str">
        <f>IFERROR(__xludf.DUMMYFUNCTION("""COMPUTED_VALUE"""),"18:00-19:30")</f>
        <v>18:00-19:30</v>
      </c>
      <c r="N349" s="7"/>
    </row>
    <row r="350">
      <c r="A350" s="7" t="str">
        <f>IFERROR(__xludf.DUMMYFUNCTION("""COMPUTED_VALUE"""),"1130-FIND")</f>
        <v>1130-FIND</v>
      </c>
      <c r="B350" s="7" t="str">
        <f>IFERROR(__xludf.DUMMYFUNCTION("""COMPUTED_VALUE"""),"Combining the Best of Both Worlds: A Method for Hybrid NMT and LLM Translation")</f>
        <v>Combining the Best of Both Worlds: A Method for Hybrid NMT and LLM Translation</v>
      </c>
      <c r="C350" s="7" t="str">
        <f>IFERROR(__xludf.DUMMYFUNCTION("""COMPUTED_VALUE"""),"Large language model (LLM) shows promising performances in a variety of downstream tasks, such as machine translation (MT). However, using LLMs for translation suffers from high computational costs and significant latency. Based on our evaluation, in most"&amp;" cases, translations using LLMs are comparable to that generated by neural machine translation (NMT) systems. Only in particular scenarios, LLM and NMT models show respective advantages. As a result, integrating NMT and LLM for translation and using LLM o"&amp;"nly when necessary seems to be a sound solution. A scheduling policy that optimizes translation result while ensuring fast speed and as less LLM usage as possible is thereby required. We compare several scheduling policies and propose a novel and straight"&amp;"forward decider that leverages source sentence features. We conduct extensive experiments on multilingual test sets and the result shows that we can achieve optimal translation performance with less LLM usage, demonstrating effectiveness of our decider.")</f>
        <v>Large language model (LLM) shows promising performances in a variety of downstream tasks, such as machine translation (MT). However, using LLMs for translation suffers from high computational costs and significant latency. Based on our evaluation, in most cases, translations using LLMs are comparable to that generated by neural machine translation (NMT) systems. Only in particular scenarios, LLM and NMT models show respective advantages. As a result, integrating NMT and LLM for translation and using LLM only when necessary seems to be a sound solution. A scheduling policy that optimizes translation result while ensuring fast speed and as less LLM usage as possible is thereby required. We compare several scheduling policies and propose a novel and straightforward decider that leverages source sentence features. We conduct extensive experiments on multilingual test sets and the result shows that we can achieve optimal translation performance with less LLM usage, demonstrating effectiveness of our decider.</v>
      </c>
      <c r="D350" s="7" t="str">
        <f>IFERROR(__xludf.DUMMYFUNCTION("""COMPUTED_VALUE"""),"Zhanglin Wu")</f>
        <v>Zhanglin Wu</v>
      </c>
      <c r="E350" s="7" t="str">
        <f>IFERROR(__xludf.DUMMYFUNCTION("""COMPUTED_VALUE"""),"#N/A")</f>
        <v>#N/A</v>
      </c>
      <c r="F350" s="7" t="str">
        <f>IFERROR(__xludf.DUMMYFUNCTION("""COMPUTED_VALUE"""),"Not Pres. ")</f>
        <v>Not Pres. </v>
      </c>
      <c r="G350" s="7" t="str">
        <f>IFERROR(__xludf.DUMMYFUNCTION("""COMPUTED_VALUE"""),"NP Findings Not Presenting ")</f>
        <v>NP Findings Not Presenting </v>
      </c>
      <c r="H350" s="7"/>
      <c r="I350" s="7" t="str">
        <f>IFERROR(__xludf.DUMMYFUNCTION("""COMPUTED_VALUE"""),"NP-Find")</f>
        <v>NP-Find</v>
      </c>
      <c r="J350" s="7"/>
      <c r="K350" s="7"/>
      <c r="L350" s="8"/>
      <c r="M350" s="7"/>
      <c r="N350" s="7"/>
    </row>
    <row r="351">
      <c r="A351" s="7" t="str">
        <f>IFERROR(__xludf.DUMMYFUNCTION("""COMPUTED_VALUE"""),"1136-FIND")</f>
        <v>1136-FIND</v>
      </c>
      <c r="B351" s="7" t="str">
        <f>IFERROR(__xludf.DUMMYFUNCTION("""COMPUTED_VALUE"""),"ASPO: Adaptive Sentence-Level Preference Optimization for Fine-Grained Multimodal Reasoning")</f>
        <v>ASPO: Adaptive Sentence-Level Preference Optimization for Fine-Grained Multimodal Reasoning</v>
      </c>
      <c r="C351" s="7" t="str">
        <f>IFERROR(__xludf.DUMMYFUNCTION("""COMPUTED_VALUE"""),"Direct Preference Optimization (DPO) has gained significant attention for its simplicity and computational efficiency in aligning large language models (LLMs). Recent advancements have extended DPO to multimodal scenarios, achieving strong performance. Ho"&amp;"wever, traditional DPO relies on binary preference optimization, rewarding or penalizing entire responses without considering fine-grained segment correctness, leading to suboptimal solutions. The root of this issue lies in the absence of fine-grained sup"&amp;"ervision during the optimization process. To address this, we propose Adaptive Sentence-level Preference Optimization (ASPO), which evaluates individual sentences for more precise preference optimization. By dynamically calculating adaptive rewards at the"&amp;" sentence level based on model predictions, ASPO enhances response content assessment without additional models or parameters. This significantly improves the alignment of multimodal features. Extensive experiments show that ASPO substantially enhances th"&amp;"e overall performance of multimodal models.")</f>
        <v>Direct Preference Optimization (DPO) has gained significant attention for its simplicity and computational efficiency in aligning large language models (LLMs). Recent advancements have extended DPO to multimodal scenarios, achieving strong performance. However, traditional DPO relies on binary preference optimization, rewarding or penalizing entire responses without considering fine-grained segment correctness, leading to suboptimal solutions. The root of this issue lies in the absence of fine-grained supervision during the optimization process. To address this, we propose Adaptive Sentence-level Preference Optimization (ASPO), which evaluates individual sentences for more precise preference optimization. By dynamically calculating adaptive rewards at the sentence level based on model predictions, ASPO enhances response content assessment without additional models or parameters. This significantly improves the alignment of multimodal features. Extensive experiments show that ASPO substantially enhances the overall performance of multimodal models.</v>
      </c>
      <c r="D351" s="7" t="str">
        <f>IFERROR(__xludf.DUMMYFUNCTION("""COMPUTED_VALUE"""),"Yeyuan Wang")</f>
        <v>Yeyuan Wang</v>
      </c>
      <c r="E351" s="7" t="str">
        <f>IFERROR(__xludf.DUMMYFUNCTION("""COMPUTED_VALUE"""),"#N/A")</f>
        <v>#N/A</v>
      </c>
      <c r="F351" s="7" t="str">
        <f>IFERROR(__xludf.DUMMYFUNCTION("""COMPUTED_VALUE"""),"Not Pres. ")</f>
        <v>Not Pres. </v>
      </c>
      <c r="G351" s="7" t="str">
        <f>IFERROR(__xludf.DUMMYFUNCTION("""COMPUTED_VALUE"""),"NP Findings Not Presenting ")</f>
        <v>NP Findings Not Presenting </v>
      </c>
      <c r="H351" s="7"/>
      <c r="I351" s="7" t="str">
        <f>IFERROR(__xludf.DUMMYFUNCTION("""COMPUTED_VALUE"""),"NP-Find")</f>
        <v>NP-Find</v>
      </c>
      <c r="J351" s="7"/>
      <c r="K351" s="7"/>
      <c r="L351" s="8"/>
      <c r="M351" s="7"/>
      <c r="N351" s="7"/>
    </row>
    <row r="352">
      <c r="A352" s="7" t="str">
        <f>IFERROR(__xludf.DUMMYFUNCTION("""COMPUTED_VALUE"""),"1140-FIND")</f>
        <v>1140-FIND</v>
      </c>
      <c r="B352" s="7" t="str">
        <f>IFERROR(__xludf.DUMMYFUNCTION("""COMPUTED_VALUE"""),"NovelCR: A Large-Scale Bilingual Dataset Tailored for Long-Span Coreference Resolution")</f>
        <v>NovelCR: A Large-Scale Bilingual Dataset Tailored for Long-Span Coreference Resolution</v>
      </c>
      <c r="C352" s="7" t="str">
        <f>IFERROR(__xludf.DUMMYFUNCTION("""COMPUTED_VALUE"""),"Coreference resolution (CR) endeavors to match pronouns, noun phrases, etc. with their referent entities, acting as an important step for deep text understanding. Presently available CR datasets are either small in scale or restrict coreference resolution"&amp;" to a limited text span. In this paper, we present NovelCR, a large-scale bilingual benchmark designed for long-span coreference resolution. NovelCR features extensive annotations, including 148k mentions in NovelCR-en and 311k mentions in NovelCR-zh. Mor"&amp;"eover, the dataset is notably rich in long-span coreference pairs, with 85% of pairs in NovelCR-en and 83% in NovelCR-zh spanning across three or more sentences. Experiments on NovelCR reveal a large gap between state-of-the-art baselines and human perfor"&amp;"mance, highlighting that NovelCR remains an open issue.")</f>
        <v>Coreference resolution (CR) endeavors to match pronouns, noun phrases, etc. with their referent entities, acting as an important step for deep text understanding. Presently available CR datasets are either small in scale or restrict coreference resolution to a limited text span. In this paper, we present NovelCR, a large-scale bilingual benchmark designed for long-span coreference resolution. NovelCR features extensive annotations, including 148k mentions in NovelCR-en and 311k mentions in NovelCR-zh. Moreover, the dataset is notably rich in long-span coreference pairs, with 85% of pairs in NovelCR-en and 83% in NovelCR-zh spanning across three or more sentences. Experiments on NovelCR reveal a large gap between state-of-the-art baselines and human performance, highlighting that NovelCR remains an open issue.</v>
      </c>
      <c r="D352" s="7" t="str">
        <f>IFERROR(__xludf.DUMMYFUNCTION("""COMPUTED_VALUE"""),"Meihan Tong")</f>
        <v>Meihan Tong</v>
      </c>
      <c r="E352" s="7" t="str">
        <f>IFERROR(__xludf.DUMMYFUNCTION("""COMPUTED_VALUE"""),"#N/A")</f>
        <v>#N/A</v>
      </c>
      <c r="F352" s="7" t="str">
        <f>IFERROR(__xludf.DUMMYFUNCTION("""COMPUTED_VALUE"""),"Not Pres. ")</f>
        <v>Not Pres. </v>
      </c>
      <c r="G352" s="7" t="str">
        <f>IFERROR(__xludf.DUMMYFUNCTION("""COMPUTED_VALUE"""),"NP Findings Not Presenting ")</f>
        <v>NP Findings Not Presenting </v>
      </c>
      <c r="H352" s="7"/>
      <c r="I352" s="7" t="str">
        <f>IFERROR(__xludf.DUMMYFUNCTION("""COMPUTED_VALUE"""),"NP-Find")</f>
        <v>NP-Find</v>
      </c>
      <c r="J352" s="7"/>
      <c r="K352" s="7"/>
      <c r="L352" s="8"/>
      <c r="M352" s="7"/>
      <c r="N352" s="7"/>
    </row>
    <row r="353">
      <c r="A353" s="7" t="str">
        <f>IFERROR(__xludf.DUMMYFUNCTION("""COMPUTED_VALUE"""),"1145-FIND")</f>
        <v>1145-FIND</v>
      </c>
      <c r="B353" s="7" t="str">
        <f>IFERROR(__xludf.DUMMYFUNCTION("""COMPUTED_VALUE"""),"Dynamic Attention-Guided Context Decoding for Mitigating Context Faithfulness Hallucinations in Large Language Models")</f>
        <v>Dynamic Attention-Guided Context Decoding for Mitigating Context Faithfulness Hallucinations in Large Language Models</v>
      </c>
      <c r="C353" s="7" t="str">
        <f>IFERROR(__xludf.DUMMYFUNCTION("""COMPUTED_VALUE"""),"Large language models (LLMs) often exhibit Context Faithfulness Hallucinations, where outputs deviate from retrieved information due to incomplete context integration. Our analysis reveals a strong correlation between token-level uncertainty and hallucina"&amp;"tions. We hypothesize that attention mechanisms inherently encode context utilization signals, supported by probing analysis. Based on these insights, we propose **Dynamic Attention-Guided Context Decoding (DAGCD)**, a lightweight framework that leverages"&amp;" attention distributions and uncertainty signals in a single-pass decoding. Experiments on open-book QA datasets demonstrate DAGCD’s effectiveness, yielding significant improvements in faithfulness and robustness while preserving computational efficiency.")</f>
        <v>Large language models (LLMs) often exhibit Context Faithfulness Hallucinations, where outputs deviate from retrieved information due to incomplete context integration. Our analysis reveals a strong correlation between token-level uncertainty and hallucinations. We hypothesize that attention mechanisms inherently encode context utilization signals, supported by probing analysis. Based on these insights, we propose **Dynamic Attention-Guided Context Decoding (DAGCD)**, a lightweight framework that leverages attention distributions and uncertainty signals in a single-pass decoding. Experiments on open-book QA datasets demonstrate DAGCD’s effectiveness, yielding significant improvements in faithfulness and robustness while preserving computational efficiency.</v>
      </c>
      <c r="D353" s="7" t="str">
        <f>IFERROR(__xludf.DUMMYFUNCTION("""COMPUTED_VALUE"""),"Yong Zhang")</f>
        <v>Yong Zhang</v>
      </c>
      <c r="E353" s="7" t="str">
        <f>IFERROR(__xludf.DUMMYFUNCTION("""COMPUTED_VALUE"""),"Yes")</f>
        <v>Yes</v>
      </c>
      <c r="F353" s="7" t="str">
        <f>IFERROR(__xludf.DUMMYFUNCTION("""COMPUTED_VALUE"""),"IP-Poster")</f>
        <v>IP-Poster</v>
      </c>
      <c r="G353" s="7" t="str">
        <f>IFERROR(__xludf.DUMMYFUNCTION("""COMPUTED_VALUE"""),"In-Person")</f>
        <v>In-Person</v>
      </c>
      <c r="H353" s="7" t="str">
        <f>IFERROR(__xludf.DUMMYFUNCTION("""COMPUTED_VALUE"""),"Hall 4/5")</f>
        <v>Hall 4/5</v>
      </c>
      <c r="I353" s="7" t="str">
        <f>IFERROR(__xludf.DUMMYFUNCTION("""COMPUTED_VALUE"""),"Session 5 :IP-Posters Find ")</f>
        <v>Session 5 :IP-Posters Find </v>
      </c>
      <c r="J353" s="7" t="str">
        <f>IFERROR(__xludf.DUMMYFUNCTION("""COMPUTED_VALUE"""),"Findings Posters - In-Person 1")</f>
        <v>Findings Posters - In-Person 1</v>
      </c>
      <c r="K353" s="7"/>
      <c r="L353" s="8">
        <f>IFERROR(__xludf.DUMMYFUNCTION("""COMPUTED_VALUE"""),45866.0)</f>
        <v>45866</v>
      </c>
      <c r="M353" s="7" t="str">
        <f>IFERROR(__xludf.DUMMYFUNCTION("""COMPUTED_VALUE"""),"18:00-19:30")</f>
        <v>18:00-19:30</v>
      </c>
      <c r="N353" s="7"/>
    </row>
    <row r="354">
      <c r="A354" s="7" t="str">
        <f>IFERROR(__xludf.DUMMYFUNCTION("""COMPUTED_VALUE"""),"1154-FIND")</f>
        <v>1154-FIND</v>
      </c>
      <c r="B354" s="7" t="str">
        <f>IFERROR(__xludf.DUMMYFUNCTION("""COMPUTED_VALUE"""),"Exploring the Choice Behavior of Large Language Models")</f>
        <v>Exploring the Choice Behavior of Large Language Models</v>
      </c>
      <c r="C354" s="7" t="str">
        <f>IFERROR(__xludf.DUMMYFUNCTION("""COMPUTED_VALUE"""),"Large Language Models (LLMs) are increasingly deployed as human assistants across various domains where they help to make choices. However, the mechanisms behind LLMs' choice behavior remain unclear, posing risks in safety-critical situations. Inspired by"&amp;" the intrinsic and extrinsic motivation framework within the classic human behavioral model of Self-Determination Theory and its established research methodologies, we investigate the factors influencing LLMs’ choice behavior by constructing a virtual QA "&amp;"platform that includes three different experimental conditions, with four models from GPT and Llama series participating in repeated experiments. Our findings indicate that LLMs' behavior is influenced not only by intrinsic attention bias but also by extr"&amp;"insic social influence, exhibiting patterns similar to the Matthew effect and Conformity. We distinguish independent pathways of these two factors in LLMs' behavior by self-report. This work provides new insights into understanding LLMs' behavioral patter"&amp;"ns, exploring their human-like characteristics.")</f>
        <v>Large Language Models (LLMs) are increasingly deployed as human assistants across various domains where they help to make choices. However, the mechanisms behind LLMs' choice behavior remain unclear, posing risks in safety-critical situations. Inspired by the intrinsic and extrinsic motivation framework within the classic human behavioral model of Self-Determination Theory and its established research methodologies, we investigate the factors influencing LLMs’ choice behavior by constructing a virtual QA platform that includes three different experimental conditions, with four models from GPT and Llama series participating in repeated experiments. Our findings indicate that LLMs' behavior is influenced not only by intrinsic attention bias but also by extrinsic social influence, exhibiting patterns similar to the Matthew effect and Conformity. We distinguish independent pathways of these two factors in LLMs' behavior by self-report. This work provides new insights into understanding LLMs' behavioral patterns, exploring their human-like characteristics.</v>
      </c>
      <c r="D354" s="7" t="str">
        <f>IFERROR(__xludf.DUMMYFUNCTION("""COMPUTED_VALUE"""),"Qinlin Zhao")</f>
        <v>Qinlin Zhao</v>
      </c>
      <c r="E354" s="7" t="str">
        <f>IFERROR(__xludf.DUMMYFUNCTION("""COMPUTED_VALUE"""),"N/A")</f>
        <v>N/A</v>
      </c>
      <c r="F354" s="7" t="str">
        <f>IFERROR(__xludf.DUMMYFUNCTION("""COMPUTED_VALUE"""),"Not Pres. ")</f>
        <v>Not Pres. </v>
      </c>
      <c r="G354" s="7" t="str">
        <f>IFERROR(__xludf.DUMMYFUNCTION("""COMPUTED_VALUE"""),"NP Findings Not Presenting ")</f>
        <v>NP Findings Not Presenting </v>
      </c>
      <c r="H354" s="7"/>
      <c r="I354" s="7"/>
      <c r="J354" s="7"/>
      <c r="K354" s="7"/>
      <c r="L354" s="8"/>
      <c r="M354" s="7"/>
      <c r="N354" s="7"/>
    </row>
    <row r="355">
      <c r="A355" s="7" t="str">
        <f>IFERROR(__xludf.DUMMYFUNCTION("""COMPUTED_VALUE"""),"1156-FIND")</f>
        <v>1156-FIND</v>
      </c>
      <c r="B355" s="7" t="str">
        <f>IFERROR(__xludf.DUMMYFUNCTION("""COMPUTED_VALUE"""),"On-Policy Self-Alignment with Fine-grained Knowledge Feedback for Hallucination Mitigation")</f>
        <v>On-Policy Self-Alignment with Fine-grained Knowledge Feedback for Hallucination Mitigation</v>
      </c>
      <c r="C355" s="7" t="str">
        <f>IFERROR(__xludf.DUMMYFUNCTION("""COMPUTED_VALUE"""),"Hallucination occurs when large language models exhibit behavior that deviates from the boundaries of their knowledge during response generation. To address this critical issue, previous learning-based methods attempt to finetune models but are limited by"&amp;" off-policy sampling and coarse-grained feedback. In this paper, we present Reinforcement Learning for Hallucination (RLFH), an on-policy self-alignment approach that enables LLMs to actively explore their knowledge boundaries and self-correct generation "&amp;"behavior through fine-grained feedback signals. RLFH introduces a self-assessment framework where the policy serves as its own judge. Through this framework, responses are automatically decomposed into atomic facts and their truthfulness and informativene"&amp;"ss are assessed against external knowledge sources. The resulting fine-grained feedback at the statement level are then converted into token-level dense reward signals. This enables online reinforcement learning to achieve precise and timely optimization "&amp;"without human intervention. Comprehensive evaluations on HotpotQA, SQuADv2, and Biography benchmarks validate RLFH’s effectiveness in hallucination mitigation.")</f>
        <v>Hallucination occurs when large language models exhibit behavior that deviates from the boundaries of their knowledge during response generation. To address this critical issue, previous learning-based methods attempt to finetune models but are limited by off-policy sampling and coarse-grained feedback. In this paper, we present Reinforcement Learning for Hallucination (RLFH), an on-policy self-alignment approach that enables LLMs to actively explore their knowledge boundaries and self-correct generation behavior through fine-grained feedback signals. RLFH introduces a self-assessment framework where the policy serves as its own judge. Through this framework, responses are automatically decomposed into atomic facts and their truthfulness and informativeness are assessed against external knowledge sources. The resulting fine-grained feedback at the statement level are then converted into token-level dense reward signals. This enables online reinforcement learning to achieve precise and timely optimization without human intervention. Comprehensive evaluations on HotpotQA, SQuADv2, and Biography benchmarks validate RLFH’s effectiveness in hallucination mitigation.</v>
      </c>
      <c r="D355" s="7" t="str">
        <f>IFERROR(__xludf.DUMMYFUNCTION("""COMPUTED_VALUE"""),"Xueru Wen")</f>
        <v>Xueru Wen</v>
      </c>
      <c r="E355" s="7" t="str">
        <f>IFERROR(__xludf.DUMMYFUNCTION("""COMPUTED_VALUE"""),"N/A")</f>
        <v>N/A</v>
      </c>
      <c r="F355" s="7" t="str">
        <f>IFERROR(__xludf.DUMMYFUNCTION("""COMPUTED_VALUE"""),"Not Pres. ")</f>
        <v>Not Pres. </v>
      </c>
      <c r="G355" s="7" t="str">
        <f>IFERROR(__xludf.DUMMYFUNCTION("""COMPUTED_VALUE"""),"NP Findings Not Presenting ")</f>
        <v>NP Findings Not Presenting </v>
      </c>
      <c r="H355" s="7"/>
      <c r="I355" s="7"/>
      <c r="J355" s="7"/>
      <c r="K355" s="7"/>
      <c r="L355" s="8"/>
      <c r="M355" s="7"/>
      <c r="N355" s="7"/>
    </row>
    <row r="356">
      <c r="A356" s="7" t="str">
        <f>IFERROR(__xludf.DUMMYFUNCTION("""COMPUTED_VALUE"""),"1157-FIND")</f>
        <v>1157-FIND</v>
      </c>
      <c r="B356" s="7" t="str">
        <f>IFERROR(__xludf.DUMMYFUNCTION("""COMPUTED_VALUE"""),"From Phrases to Subgraphs: Fine-Grained Semantic Parsing with Knowledge Graphs")</f>
        <v>From Phrases to Subgraphs: Fine-Grained Semantic Parsing with Knowledge Graphs</v>
      </c>
      <c r="C356" s="7" t="str">
        <f>IFERROR(__xludf.DUMMYFUNCTION("""COMPUTED_VALUE"""),"Despite remarkable advances in natural language processing, large Language Models (LLMs) are often prone to hallucination during inference due to the limited coverage of their training corpora. Although existing research has attempted to mitigate this lim"&amp;"itation through Knowledge Graphs (KGs) enhancement, two core challenges remain: semantic gaps and redundant paths. Although semantic parsing can partially address these issues through precise graph pattern matching, it demonstrates limited generalizabilit"&amp;"y when handling multi-hop reasoning scenarios. To this end, we propose the two-stage FIne-grainEd SemanTic pArsing (FIESTA) framework. In the offline stage, we construct a fine-grained mapping library through phrase-level segmentation. In the online stage"&amp;", relevant clauses are retrieved and instantiated into local subgraphs, which are then fused into a global information subgraph. Experimental results on two KGQA datasets show the effectiveness ofFIESTA. Notably, it demonstrates a relative performance imp"&amp;"rovement of 18.5% over the SOTA method on the CWQ dataset.")</f>
        <v>Despite remarkable advances in natural language processing, large Language Models (LLMs) are often prone to hallucination during inference due to the limited coverage of their training corpora. Although existing research has attempted to mitigate this limitation through Knowledge Graphs (KGs) enhancement, two core challenges remain: semantic gaps and redundant paths. Although semantic parsing can partially address these issues through precise graph pattern matching, it demonstrates limited generalizability when handling multi-hop reasoning scenarios. To this end, we propose the two-stage FIne-grainEd SemanTic pArsing (FIESTA) framework. In the offline stage, we construct a fine-grained mapping library through phrase-level segmentation. In the online stage, relevant clauses are retrieved and instantiated into local subgraphs, which are then fused into a global information subgraph. Experimental results on two KGQA datasets show the effectiveness ofFIESTA. Notably, it demonstrates a relative performance improvement of 18.5% over the SOTA method on the CWQ dataset.</v>
      </c>
      <c r="D356" s="7" t="str">
        <f>IFERROR(__xludf.DUMMYFUNCTION("""COMPUTED_VALUE"""),"Yurun Song")</f>
        <v>Yurun Song</v>
      </c>
      <c r="E356" s="7" t="str">
        <f>IFERROR(__xludf.DUMMYFUNCTION("""COMPUTED_VALUE"""),"Yes")</f>
        <v>Yes</v>
      </c>
      <c r="F356" s="7" t="str">
        <f>IFERROR(__xludf.DUMMYFUNCTION("""COMPUTED_VALUE"""),"IP-Poster")</f>
        <v>IP-Poster</v>
      </c>
      <c r="G356" s="7" t="str">
        <f>IFERROR(__xludf.DUMMYFUNCTION("""COMPUTED_VALUE"""),"In-Person")</f>
        <v>In-Person</v>
      </c>
      <c r="H356" s="7" t="str">
        <f>IFERROR(__xludf.DUMMYFUNCTION("""COMPUTED_VALUE"""),"Hall 4/5")</f>
        <v>Hall 4/5</v>
      </c>
      <c r="I356" s="7" t="str">
        <f>IFERROR(__xludf.DUMMYFUNCTION("""COMPUTED_VALUE"""),"Session 10: IP-Posters")</f>
        <v>Session 10: IP-Posters</v>
      </c>
      <c r="J356" s="7" t="str">
        <f>IFERROR(__xludf.DUMMYFUNCTION("""COMPUTED_VALUE"""),"Findings Posters - In-Person 3")</f>
        <v>Findings Posters - In-Person 3</v>
      </c>
      <c r="K356" s="7"/>
      <c r="L356" s="8">
        <f>IFERROR(__xludf.DUMMYFUNCTION("""COMPUTED_VALUE"""),45867.0)</f>
        <v>45867</v>
      </c>
      <c r="M356" s="7" t="str">
        <f>IFERROR(__xludf.DUMMYFUNCTION("""COMPUTED_VALUE"""),"16:00-17:30")</f>
        <v>16:00-17:30</v>
      </c>
      <c r="N356" s="7"/>
    </row>
    <row r="357">
      <c r="A357" s="7" t="str">
        <f>IFERROR(__xludf.DUMMYFUNCTION("""COMPUTED_VALUE"""),"1161-FIND")</f>
        <v>1161-FIND</v>
      </c>
      <c r="B357" s="7" t="str">
        <f>IFERROR(__xludf.DUMMYFUNCTION("""COMPUTED_VALUE"""),"StableToolBench-MirrorAPI: Modeling Tool Environments as Mirrors of 7,000+ Real-World APIs")</f>
        <v>StableToolBench-MirrorAPI: Modeling Tool Environments as Mirrors of 7,000+ Real-World APIs</v>
      </c>
      <c r="C357" s="7" t="str">
        <f>IFERROR(__xludf.DUMMYFUNCTION("""COMPUTED_VALUE"""),"The rapid advancement of large language models (LLMs) has spurred significant interest in tool learning, where LLMs are augmented with external tools to tackle complex tasks. However, existing tool environments face challenges in balancing stability, scal"&amp;"e, and realism, particularly for benchmarking purposes. To address this, we propose MirrorAPI, a novel framework that trains specialized LLMs to accurately simulate real API responses, effectively acting as ""mirrors"" to tool environments. Using a compre"&amp;"hensive dataset of request-response pairs from 7,000+ APIs, we employ supervised fine-tuning and chain-of-thought reasoning to enhance simulation fidelity. MirrorAPI achieves superior accuracy and stability compared to state-of-the-art methods, as demonst"&amp;"rated by its performance on the newly constructed MirrorAPI-Bench and its integration into StableToolBench.")</f>
        <v>The rapid advancement of large language models (LLMs) has spurred significant interest in tool learning, where LLMs are augmented with external tools to tackle complex tasks. However, existing tool environments face challenges in balancing stability, scale, and realism, particularly for benchmarking purposes. To address this, we propose MirrorAPI, a novel framework that trains specialized LLMs to accurately simulate real API responses, effectively acting as "mirrors" to tool environments. Using a comprehensive dataset of request-response pairs from 7,000+ APIs, we employ supervised fine-tuning and chain-of-thought reasoning to enhance simulation fidelity. MirrorAPI achieves superior accuracy and stability compared to state-of-the-art methods, as demonstrated by its performance on the newly constructed MirrorAPI-Bench and its integration into StableToolBench.</v>
      </c>
      <c r="D357" s="7" t="str">
        <f>IFERROR(__xludf.DUMMYFUNCTION("""COMPUTED_VALUE"""),"Zhicheng Guo")</f>
        <v>Zhicheng Guo</v>
      </c>
      <c r="E357" s="7" t="str">
        <f>IFERROR(__xludf.DUMMYFUNCTION("""COMPUTED_VALUE"""),"N/A")</f>
        <v>N/A</v>
      </c>
      <c r="F357" s="7" t="str">
        <f>IFERROR(__xludf.DUMMYFUNCTION("""COMPUTED_VALUE"""),"Not Pres. ")</f>
        <v>Not Pres. </v>
      </c>
      <c r="G357" s="7" t="str">
        <f>IFERROR(__xludf.DUMMYFUNCTION("""COMPUTED_VALUE"""),"NP Findings Not Presenting ")</f>
        <v>NP Findings Not Presenting </v>
      </c>
      <c r="H357" s="7"/>
      <c r="I357" s="7"/>
      <c r="J357" s="7"/>
      <c r="K357" s="7"/>
      <c r="L357" s="8"/>
      <c r="M357" s="7"/>
      <c r="N357" s="7"/>
    </row>
    <row r="358">
      <c r="A358" s="7" t="str">
        <f>IFERROR(__xludf.DUMMYFUNCTION("""COMPUTED_VALUE"""),"1164-FIND")</f>
        <v>1164-FIND</v>
      </c>
      <c r="B358" s="7" t="str">
        <f>IFERROR(__xludf.DUMMYFUNCTION("""COMPUTED_VALUE"""),"ClaimPKG: Enhancing Claim Verification via Pseudo-Subgraph Generation with Lightweight Specialized LLM")</f>
        <v>ClaimPKG: Enhancing Claim Verification via Pseudo-Subgraph Generation with Lightweight Specialized LLM</v>
      </c>
      <c r="C358" s="7" t="str">
        <f>IFERROR(__xludf.DUMMYFUNCTION("""COMPUTED_VALUE"""),"Integrating knowledge graphs (KGs) to enhance the reasoning capabilities of large language models (LLMs) is an emerging research challenge in claim verification. While KGs provide structured, semantically rich representations well-suited for reasoning, mo"&amp;"st existing verification methods rely on unstructured text corpora, limiting their ability to effectively leverage KGs. Additionally, despite possessing strong reasoning abilities, modern LLMs struggle with multi-step modular pipelines and reasoning over "&amp;"KGs without adaptation. To address these challenges, we propose ClaimPKG, an end-to-end framework that seamlessly integrates LLM reasoning with structured knowledge from KGs. Specifically, the main idea of ClaimPKG is to employ a lightweight, specialized "&amp;"LLM to represent the input claim as pseudo-subgraphs, guiding a dedicated subgraph retrieval module to identify relevant KG subgraphs. These retrieved subgraphs are then processed by a general-purpose LLM to produce the final verdict and justification. Ex"&amp;"tensive experiments on the FactKG dataset demonstrate that ClaimPKG achieves state-of-the-art performance, outperforming strong baselines in this research field by 9\%-12\% accuracy points across multiple categories. Furthermore, ClaimPKG exhibits zero-sh"&amp;"ot generalizability to unstructured datasets such as HoVer and FEVEROUS, effectively combining structured knowledge from KGs with LLM reasoning across various LLM backbones.")</f>
        <v>Integrating knowledge graphs (KGs) to enhance the reasoning capabilities of large language models (LLMs) is an emerging research challenge in claim verification. While KGs provide structured, semantically rich representations well-suited for reasoning, most existing verification methods rely on unstructured text corpora, limiting their ability to effectively leverage KGs. Additionally, despite possessing strong reasoning abilities, modern LLMs struggle with multi-step modular pipelines and reasoning over KGs without adaptation. To address these challenges, we propose ClaimPKG, an end-to-end framework that seamlessly integrates LLM reasoning with structured knowledge from KGs. Specifically, the main idea of ClaimPKG is to employ a lightweight, specialized LLM to represent the input claim as pseudo-subgraphs, guiding a dedicated subgraph retrieval module to identify relevant KG subgraphs. These retrieved subgraphs are then processed by a general-purpose LLM to produce the final verdict and justification. Extensive experiments on the FactKG dataset demonstrate that ClaimPKG achieves state-of-the-art performance, outperforming strong baselines in this research field by 9\%-12\% accuracy points across multiple categories. Furthermore, ClaimPKG exhibits zero-shot generalizability to unstructured datasets such as HoVer and FEVEROUS, effectively combining structured knowledge from KGs with LLM reasoning across various LLM backbones.</v>
      </c>
      <c r="D358" s="7" t="str">
        <f>IFERROR(__xludf.DUMMYFUNCTION("""COMPUTED_VALUE"""),"Hoang Pham ")</f>
        <v>Hoang Pham </v>
      </c>
      <c r="E358" s="7" t="str">
        <f>IFERROR(__xludf.DUMMYFUNCTION("""COMPUTED_VALUE"""),"Yes")</f>
        <v>Yes</v>
      </c>
      <c r="F358" s="7" t="str">
        <f>IFERROR(__xludf.DUMMYFUNCTION("""COMPUTED_VALUE"""),"IP-Poster")</f>
        <v>IP-Poster</v>
      </c>
      <c r="G358" s="7" t="str">
        <f>IFERROR(__xludf.DUMMYFUNCTION("""COMPUTED_VALUE"""),"In-Person")</f>
        <v>In-Person</v>
      </c>
      <c r="H358" s="7" t="str">
        <f>IFERROR(__xludf.DUMMYFUNCTION("""COMPUTED_VALUE"""),"Hall 4/5")</f>
        <v>Hall 4/5</v>
      </c>
      <c r="I358" s="7" t="str">
        <f>IFERROR(__xludf.DUMMYFUNCTION("""COMPUTED_VALUE"""),"Session 5 :IP-Posters Find ")</f>
        <v>Session 5 :IP-Posters Find </v>
      </c>
      <c r="J358" s="7" t="str">
        <f>IFERROR(__xludf.DUMMYFUNCTION("""COMPUTED_VALUE"""),"Findings Posters - In-Person 1")</f>
        <v>Findings Posters - In-Person 1</v>
      </c>
      <c r="K358" s="7"/>
      <c r="L358" s="8">
        <f>IFERROR(__xludf.DUMMYFUNCTION("""COMPUTED_VALUE"""),45866.0)</f>
        <v>45866</v>
      </c>
      <c r="M358" s="7" t="str">
        <f>IFERROR(__xludf.DUMMYFUNCTION("""COMPUTED_VALUE"""),"18:00-19:30")</f>
        <v>18:00-19:30</v>
      </c>
      <c r="N358" s="7"/>
    </row>
    <row r="359">
      <c r="A359" s="7" t="str">
        <f>IFERROR(__xludf.DUMMYFUNCTION("""COMPUTED_VALUE"""),"1167-FIND")</f>
        <v>1167-FIND</v>
      </c>
      <c r="B359" s="7" t="str">
        <f>IFERROR(__xludf.DUMMYFUNCTION("""COMPUTED_VALUE"""),"TriEmbed: Bridge the Gap between Text and Token Indices with Embedding Reparameterization")</f>
        <v>TriEmbed: Bridge the Gap between Text and Token Indices with Embedding Reparameterization</v>
      </c>
      <c r="C359" s="7" t="str">
        <f>IFERROR(__xludf.DUMMYFUNCTION("""COMPUTED_VALUE"""),"The current paradigm of language modeling is a two-stage pipeline that first transforms raw text to token indices, where the distribution is then estimated. It inherently discards linguistic relations between tokens during tokenization, creating a fundame"&amp;"ntal gap. To address this, we propose \textbf{TriEmbed}, a reparameterization method for embeddings that incorporates the morphological relationships inherent in subword tokenizer algorithms. Specifically, by organizing the vocabulary into a Trie structur"&amp;"e, we can encode these relations and reparametrize the embeddings, facilitating the recovery of other linguistic relationships during training. Empirical results across various settings demonstrate that TriEmbed outperforms conventional embeddings from th"&amp;"e perspective of scaling, while offering more linguistically informative token embeddings.")</f>
        <v>The current paradigm of language modeling is a two-stage pipeline that first transforms raw text to token indices, where the distribution is then estimated. It inherently discards linguistic relations between tokens during tokenization, creating a fundamental gap. To address this, we propose \textbf{TriEmbed}, a reparameterization method for embeddings that incorporates the morphological relationships inherent in subword tokenizer algorithms. Specifically, by organizing the vocabulary into a Trie structure, we can encode these relations and reparametrize the embeddings, facilitating the recovery of other linguistic relationships during training. Empirical results across various settings demonstrate that TriEmbed outperforms conventional embeddings from the perspective of scaling, while offering more linguistically informative token embeddings.</v>
      </c>
      <c r="D359" s="7" t="str">
        <f>IFERROR(__xludf.DUMMYFUNCTION("""COMPUTED_VALUE"""),"N/A")</f>
        <v>N/A</v>
      </c>
      <c r="E359" s="7" t="str">
        <f>IFERROR(__xludf.DUMMYFUNCTION("""COMPUTED_VALUE"""),"#N/A")</f>
        <v>#N/A</v>
      </c>
      <c r="F359" s="7" t="str">
        <f>IFERROR(__xludf.DUMMYFUNCTION("""COMPUTED_VALUE"""),"Not Pres. ")</f>
        <v>Not Pres. </v>
      </c>
      <c r="G359" s="7" t="str">
        <f>IFERROR(__xludf.DUMMYFUNCTION("""COMPUTED_VALUE"""),"NP Findings Not Presenting ")</f>
        <v>NP Findings Not Presenting </v>
      </c>
      <c r="H359" s="7"/>
      <c r="I359" s="7" t="str">
        <f>IFERROR(__xludf.DUMMYFUNCTION("""COMPUTED_VALUE"""),"NP-Find")</f>
        <v>NP-Find</v>
      </c>
      <c r="J359" s="7"/>
      <c r="K359" s="7"/>
      <c r="L359" s="8"/>
      <c r="M359" s="7"/>
      <c r="N359" s="7"/>
    </row>
    <row r="360">
      <c r="A360" s="7" t="str">
        <f>IFERROR(__xludf.DUMMYFUNCTION("""COMPUTED_VALUE"""),"1169-FIND")</f>
        <v>1169-FIND</v>
      </c>
      <c r="B360" s="7" t="str">
        <f>IFERROR(__xludf.DUMMYFUNCTION("""COMPUTED_VALUE"""),"Chain of Methodologies: Scaling Test Time Computation without Training")</f>
        <v>Chain of Methodologies: Scaling Test Time Computation without Training</v>
      </c>
      <c r="C360" s="7" t="str">
        <f>IFERROR(__xludf.DUMMYFUNCTION("""COMPUTED_VALUE"""),"Large Language Models (LLMs) often struggle with complex reasoning tasks due to insufficient in-depth insights in their training data, which are frequently absent in publicly available documents. This paper introduces the Chain of Methodologies (CoM), a s"&amp;"imple and innovative iterative prompting framework designed to build structured reasoning processes by injecting human methodological insights, thereby enabling LLMs to perform long and effective reasoning for complex tasks. Assuming that LLMs possess cer"&amp;"tain metacognitive abilities, CoM leverages user-defined methodologies to stimulate the cognitive insights that LLMs have learned implicitly from training data. Experimental results indicate that CoM outperforms competitive baselines, highlighting the pot"&amp;"ential of training-free prompting methods as general solutions for complex reasoning tasks and the possibility of incorporating human-like methodological insights to bridge the gap to human-level reasoning.")</f>
        <v>Large Language Models (LLMs) often struggle with complex reasoning tasks due to insufficient in-depth insights in their training data, which are frequently absent in publicly available documents. This paper introduces the Chain of Methodologies (CoM), a simple and innovative iterative prompting framework designed to build structured reasoning processes by injecting human methodological insights, thereby enabling LLMs to perform long and effective reasoning for complex tasks. Assuming that LLMs possess certain metacognitive abilities, CoM leverages user-defined methodologies to stimulate the cognitive insights that LLMs have learned implicitly from training data. Experimental results indicate that CoM outperforms competitive baselines, highlighting the potential of training-free prompting methods as general solutions for complex reasoning tasks and the possibility of incorporating human-like methodological insights to bridge the gap to human-level reasoning.</v>
      </c>
      <c r="D360" s="7" t="str">
        <f>IFERROR(__xludf.DUMMYFUNCTION("""COMPUTED_VALUE"""),"Cong Liu")</f>
        <v>Cong Liu</v>
      </c>
      <c r="E360" s="7" t="str">
        <f>IFERROR(__xludf.DUMMYFUNCTION("""COMPUTED_VALUE"""),"#N/A")</f>
        <v>#N/A</v>
      </c>
      <c r="F360" s="7" t="str">
        <f>IFERROR(__xludf.DUMMYFUNCTION("""COMPUTED_VALUE"""),"Not Pres. ")</f>
        <v>Not Pres. </v>
      </c>
      <c r="G360" s="7" t="str">
        <f>IFERROR(__xludf.DUMMYFUNCTION("""COMPUTED_VALUE"""),"NP Findings Not Presenting ")</f>
        <v>NP Findings Not Presenting </v>
      </c>
      <c r="H360" s="7"/>
      <c r="I360" s="7" t="str">
        <f>IFERROR(__xludf.DUMMYFUNCTION("""COMPUTED_VALUE"""),"NP-Find")</f>
        <v>NP-Find</v>
      </c>
      <c r="J360" s="7"/>
      <c r="K360" s="7"/>
      <c r="L360" s="8"/>
      <c r="M360" s="7"/>
      <c r="N360" s="7"/>
    </row>
    <row r="361">
      <c r="A361" s="7" t="str">
        <f>IFERROR(__xludf.DUMMYFUNCTION("""COMPUTED_VALUE"""),"1170-FIND")</f>
        <v>1170-FIND</v>
      </c>
      <c r="B361" s="7" t="str">
        <f>IFERROR(__xludf.DUMMYFUNCTION("""COMPUTED_VALUE"""),"A Survey on Personalized Alignment—The Missing Piece for Large Language Models in Real-World Applications")</f>
        <v>A Survey on Personalized Alignment—The Missing Piece for Large Language Models in Real-World Applications</v>
      </c>
      <c r="C361" s="7" t="str">
        <f>IFERROR(__xludf.DUMMYFUNCTION("""COMPUTED_VALUE"""),"Large Language Models (LLMs) have demonstrated remarkable capabilities, yet their transition to real-world applications reveals a critical limitation: the inability to adapt to individual preferences while maintaining alignment with universal human values"&amp;". Current alignment techniques adopt a one-size-fits-all approach that fails to accommodate users’ diverse backgrounds and needs. This paper presents the first comprehensive survey of personalized alignment—a paradigm that enables LLMs to adapt their beha"&amp;"vior within ethical boundaries based on individual preferences. We propose a unified framework comprising preference memory management, personalized generation, and feedback-based alignment, systematically analyzing implementation approaches and evaluatin"&amp;"g their effectiveness across various scenarios. By examining current techniques, potential risks, and future challenges, this survey provides a structured foundation for developing more adaptable and ethically-aligned LLMs.")</f>
        <v>Large Language Models (LLMs) have demonstrated remarkable capabilities, yet their transition to real-world applications reveals a critical limitation: the inability to adapt to individual preferences while maintaining alignment with universal human values. Current alignment techniques adopt a one-size-fits-all approach that fails to accommodate users’ diverse backgrounds and needs. This paper presents the first comprehensive survey of personalized alignment—a paradigm that enables LLMs to adapt their behavior within ethical boundaries based on individual preferences. We propose a unified framework comprising preference memory management, personalized generation, and feedback-based alignment, systematically analyzing implementation approaches and evaluating their effectiveness across various scenarios. By examining current techniques, potential risks, and future challenges, this survey provides a structured foundation for developing more adaptable and ethically-aligned LLMs.</v>
      </c>
      <c r="D361" s="7" t="str">
        <f>IFERROR(__xludf.DUMMYFUNCTION("""COMPUTED_VALUE"""),"Jian Guan")</f>
        <v>Jian Guan</v>
      </c>
      <c r="E361" s="7" t="str">
        <f>IFERROR(__xludf.DUMMYFUNCTION("""COMPUTED_VALUE"""),"Yes")</f>
        <v>Yes</v>
      </c>
      <c r="F361" s="7" t="str">
        <f>IFERROR(__xludf.DUMMYFUNCTION("""COMPUTED_VALUE"""),"IP-Poster")</f>
        <v>IP-Poster</v>
      </c>
      <c r="G361" s="7" t="str">
        <f>IFERROR(__xludf.DUMMYFUNCTION("""COMPUTED_VALUE"""),"In-Person")</f>
        <v>In-Person</v>
      </c>
      <c r="H361" s="7" t="str">
        <f>IFERROR(__xludf.DUMMYFUNCTION("""COMPUTED_VALUE"""),"Hall 4/5")</f>
        <v>Hall 4/5</v>
      </c>
      <c r="I361" s="7" t="str">
        <f>IFERROR(__xludf.DUMMYFUNCTION("""COMPUTED_VALUE"""),"Session 5 :IP-Posters Find ")</f>
        <v>Session 5 :IP-Posters Find </v>
      </c>
      <c r="J361" s="7" t="str">
        <f>IFERROR(__xludf.DUMMYFUNCTION("""COMPUTED_VALUE"""),"Findings Posters - In-Person 1")</f>
        <v>Findings Posters - In-Person 1</v>
      </c>
      <c r="K361" s="7"/>
      <c r="L361" s="8">
        <f>IFERROR(__xludf.DUMMYFUNCTION("""COMPUTED_VALUE"""),45866.0)</f>
        <v>45866</v>
      </c>
      <c r="M361" s="7" t="str">
        <f>IFERROR(__xludf.DUMMYFUNCTION("""COMPUTED_VALUE"""),"18:00-19:30")</f>
        <v>18:00-19:30</v>
      </c>
      <c r="N361" s="7"/>
    </row>
    <row r="362">
      <c r="A362" s="7" t="str">
        <f>IFERROR(__xludf.DUMMYFUNCTION("""COMPUTED_VALUE"""),"1181-FIND")</f>
        <v>1181-FIND</v>
      </c>
      <c r="B362" s="7" t="str">
        <f>IFERROR(__xludf.DUMMYFUNCTION("""COMPUTED_VALUE"""),"SuLoRA: Subspace Low-Rank Adaptation for Parameter-Efficient Fine-Tuning")</f>
        <v>SuLoRA: Subspace Low-Rank Adaptation for Parameter-Efficient Fine-Tuning</v>
      </c>
      <c r="C362" s="7" t="str">
        <f>IFERROR(__xludf.DUMMYFUNCTION("""COMPUTED_VALUE"""),"As the scale of large language models (LLMs) grows and natural language tasks become increasingly diverse, Parameter-Efficient Fine-Tuning (PEFT) has become the standard paradigm for fine-tuning LLMs. Among PEFT methods, LoRA is widely adopted for not int"&amp;"roducing additional inference overhead. However, existing LoRA’s shared parameter space paradigm introduces parameter interference, leading to a gap in generalization performance for specific tasks compared to full fine-tuning. To address this issue, we p"&amp;"ropose a parameter-separated low-rank adapter, called Subspace Low-Rank Adaptation (SuLoRA). The core idea of SuLoRA is to account for task differences by decomposing LoRA’s parameter matrix into multiple independent subspaces and assigning them different"&amp;"ially to distinct tasks. This prevents interference across tasks and enhances the effectiveness of low-rank adaptation. Additionally, SuLoRA achieves higher rank expansion by freezing the A matrix, further improving generalization capability. We conduct e"&amp;"xtensive experiments on various NLP tasks, demonstrating that SuLoRA significantly outperforms LoRA in trainable parameter efficiency and overall model performance. Furthermore, we validate SuLoRA’s effectiveness in domain generalization and multi-modal t"&amp;"asks, showcasing its strong generalization ability.")</f>
        <v>As the scale of large language models (LLMs) grows and natural language tasks become increasingly diverse, Parameter-Efficient Fine-Tuning (PEFT) has become the standard paradigm for fine-tuning LLMs. Among PEFT methods, LoRA is widely adopted for not introducing additional inference overhead. However, existing LoRA’s shared parameter space paradigm introduces parameter interference, leading to a gap in generalization performance for specific tasks compared to full fine-tuning. To address this issue, we propose a parameter-separated low-rank adapter, called Subspace Low-Rank Adaptation (SuLoRA). The core idea of SuLoRA is to account for task differences by decomposing LoRA’s parameter matrix into multiple independent subspaces and assigning them differentially to distinct tasks. This prevents interference across tasks and enhances the effectiveness of low-rank adaptation. Additionally, SuLoRA achieves higher rank expansion by freezing the A matrix, further improving generalization capability. We conduct extensive experiments on various NLP tasks, demonstrating that SuLoRA significantly outperforms LoRA in trainable parameter efficiency and overall model performance. Furthermore, we validate SuLoRA’s effectiveness in domain generalization and multi-modal tasks, showcasing its strong generalization ability.</v>
      </c>
      <c r="D362" s="7" t="str">
        <f>IFERROR(__xludf.DUMMYFUNCTION("""COMPUTED_VALUE"""),"Songlin Dong")</f>
        <v>Songlin Dong</v>
      </c>
      <c r="E362" s="7" t="str">
        <f>IFERROR(__xludf.DUMMYFUNCTION("""COMPUTED_VALUE"""),"Yes")</f>
        <v>Yes</v>
      </c>
      <c r="F362" s="7" t="str">
        <f>IFERROR(__xludf.DUMMYFUNCTION("""COMPUTED_VALUE"""),"V-Presentation")</f>
        <v>V-Presentation</v>
      </c>
      <c r="G362" s="7" t="str">
        <f>IFERROR(__xludf.DUMMYFUNCTION("""COMPUTED_VALUE"""),"Virtual/Gather")</f>
        <v>Virtual/Gather</v>
      </c>
      <c r="H362" s="7" t="str">
        <f>IFERROR(__xludf.DUMMYFUNCTION("""COMPUTED_VALUE"""),"Gather")</f>
        <v>Gather</v>
      </c>
      <c r="I362" s="7" t="str">
        <f>IFERROR(__xludf.DUMMYFUNCTION("""COMPUTED_VALUE"""),"Session5: V-Gather Find")</f>
        <v>Session5: V-Gather Find</v>
      </c>
      <c r="J362" s="7" t="str">
        <f>IFERROR(__xludf.DUMMYFUNCTION("""COMPUTED_VALUE"""),"Findings Posters - Virtual")</f>
        <v>Findings Posters - Virtual</v>
      </c>
      <c r="K362" s="7"/>
      <c r="L362" s="8">
        <f>IFERROR(__xludf.DUMMYFUNCTION("""COMPUTED_VALUE"""),45866.0)</f>
        <v>45866</v>
      </c>
      <c r="M362" s="7" t="str">
        <f>IFERROR(__xludf.DUMMYFUNCTION("""COMPUTED_VALUE"""),"18:00-19:30")</f>
        <v>18:00-19:30</v>
      </c>
      <c r="N362" s="7"/>
    </row>
    <row r="363">
      <c r="A363" s="7" t="str">
        <f>IFERROR(__xludf.DUMMYFUNCTION("""COMPUTED_VALUE"""),"1184-FIND")</f>
        <v>1184-FIND</v>
      </c>
      <c r="B363" s="7" t="str">
        <f>IFERROR(__xludf.DUMMYFUNCTION("""COMPUTED_VALUE"""),"MIRe: Enhancing Multimodal Queries Representation via Fusion-Free Modality Interaction for Multimodal Retrieval")</f>
        <v>MIRe: Enhancing Multimodal Queries Representation via Fusion-Free Modality Interaction for Multimodal Retrieval</v>
      </c>
      <c r="C363" s="7" t="str">
        <f>IFERROR(__xludf.DUMMYFUNCTION("""COMPUTED_VALUE"""),"Recent multimodal retrieval methods have endowed text-based retrievers with multimodal capabilities by utilizing pre-training strategies for visual-text alignment. They often directly fuse the two modalities for cross-reference during the alignment to und"&amp;"erstand multimodal queries. However, existing methods often overlook crucial visual information due to a text-dominant issue, which overly depends on text-driven signals. In this paper, we introduce MIRe, a retrieval framework that achieves modality inter"&amp;"action without fusing textual features during the alignment. Our method allows the textual query to attend to visual embeddings while not feeding text-driven signals back into the visual representations. Additionally, we construct a pre-training dataset f"&amp;"or multimodal query retrieval by transforming concise question-answer pairs into extended passages. Our experiments demonstrate that our pre-training strategy significantly enhances the understanding of multimodal queries, resulting in strong performance "&amp;"across four multimodal retrieval benchmarks under zero-shot settings. Moreover, our ablation studies and analyses explicitly verify the effectiveness of our framework in mitigating the text-dominant issue. Our code is publicly available: https://github.co"&amp;"m/yeongjoonJu/MIRe")</f>
        <v>Recent multimodal retrieval methods have endowed text-based retrievers with multimodal capabilities by utilizing pre-training strategies for visual-text alignment. They often directly fuse the two modalities for cross-reference during the alignment to understand multimodal queries. However, existing methods often overlook crucial visual information due to a text-dominant issue, which overly depends on text-driven signals. In this paper, we introduce MIRe, a retrieval framework that achieves modality interaction without fusing textual features during the alignment. Our method allows the textual query to attend to visual embeddings while not feeding text-driven signals back into the visual representations. Additionally, we construct a pre-training dataset for multimodal query retrieval by transforming concise question-answer pairs into extended passages. Our experiments demonstrate that our pre-training strategy significantly enhances the understanding of multimodal queries, resulting in strong performance across four multimodal retrieval benchmarks under zero-shot settings. Moreover, our ablation studies and analyses explicitly verify the effectiveness of our framework in mitigating the text-dominant issue. Our code is publicly available: https://github.com/yeongjoonJu/MIRe</v>
      </c>
      <c r="D363" s="7" t="str">
        <f>IFERROR(__xludf.DUMMYFUNCTION("""COMPUTED_VALUE"""),"Yeong-Joon Ju")</f>
        <v>Yeong-Joon Ju</v>
      </c>
      <c r="E363" s="7" t="str">
        <f>IFERROR(__xludf.DUMMYFUNCTION("""COMPUTED_VALUE"""),"#N/A")</f>
        <v>#N/A</v>
      </c>
      <c r="F363" s="7" t="str">
        <f>IFERROR(__xludf.DUMMYFUNCTION("""COMPUTED_VALUE"""),"Not Pres. ")</f>
        <v>Not Pres. </v>
      </c>
      <c r="G363" s="7" t="str">
        <f>IFERROR(__xludf.DUMMYFUNCTION("""COMPUTED_VALUE"""),"NP Findings Not Presenting ")</f>
        <v>NP Findings Not Presenting </v>
      </c>
      <c r="H363" s="7"/>
      <c r="I363" s="7" t="str">
        <f>IFERROR(__xludf.DUMMYFUNCTION("""COMPUTED_VALUE"""),"NP-Find")</f>
        <v>NP-Find</v>
      </c>
      <c r="J363" s="7"/>
      <c r="K363" s="7"/>
      <c r="L363" s="8"/>
      <c r="M363" s="7"/>
      <c r="N363" s="7"/>
    </row>
    <row r="364">
      <c r="A364" s="7" t="str">
        <f>IFERROR(__xludf.DUMMYFUNCTION("""COMPUTED_VALUE"""),"1187-FIND")</f>
        <v>1187-FIND</v>
      </c>
      <c r="B364" s="7" t="str">
        <f>IFERROR(__xludf.DUMMYFUNCTION("""COMPUTED_VALUE"""),"Correcting on Graph: Faithful Semantic Parsing over Knowledge Graphs with Large Language Models")</f>
        <v>Correcting on Graph: Faithful Semantic Parsing over Knowledge Graphs with Large Language Models</v>
      </c>
      <c r="C364" s="7" t="str">
        <f>IFERROR(__xludf.DUMMYFUNCTION("""COMPUTED_VALUE"""),"Complex multi-hop questions often require comprehensive retrieval and reasoning. As a result, effectively parsing such questions and establishing an efficient interaction channel between large language models (LLMs) and knowledge graphs (KGs) is essential"&amp;" for ensuring reliable reasoning. In this paper, we present a novel semantic parsing framework Correcting on Graph (CoG), aiming to establish faithful logical queries that connect LLMs and KGs. We first propose a structured knowledge decoding that enables"&amp;" the LLM to generate fact-aware logical queries during inference, while leveraging its parametric knowledge to fill in the blank intermediate entities. Then, we introduce a knowledge path correction that combines the logical query with KGs to correct hall"&amp;"ucination entities and path deficiencies in the generated content, ensuring the reliability and comprehensiveness of the retrieved knowledge. Extensive experiments demonstrate that CoG outperforms the state-of-the-art KGQA methods on two knowledge-intensi"&amp;"ve question answering benchmarks. CoG achieves a high answer hit rate and exhibits competitive F1 performance for complex multi-hop questions.")</f>
        <v>Complex multi-hop questions often require comprehensive retrieval and reasoning. As a result, effectively parsing such questions and establishing an efficient interaction channel between large language models (LLMs) and knowledge graphs (KGs) is essential for ensuring reliable reasoning. In this paper, we present a novel semantic parsing framework Correcting on Graph (CoG), aiming to establish faithful logical queries that connect LLMs and KGs. We first propose a structured knowledge decoding that enables the LLM to generate fact-aware logical queries during inference, while leveraging its parametric knowledge to fill in the blank intermediate entities. Then, we introduce a knowledge path correction that combines the logical query with KGs to correct hallucination entities and path deficiencies in the generated content, ensuring the reliability and comprehensiveness of the retrieved knowledge. Extensive experiments demonstrate that CoG outperforms the state-of-the-art KGQA methods on two knowledge-intensive question answering benchmarks. CoG achieves a high answer hit rate and exhibits competitive F1 performance for complex multi-hop questions.</v>
      </c>
      <c r="D364" s="7" t="str">
        <f>IFERROR(__xludf.DUMMYFUNCTION("""COMPUTED_VALUE"""),"N/A")</f>
        <v>N/A</v>
      </c>
      <c r="E364" s="7" t="str">
        <f>IFERROR(__xludf.DUMMYFUNCTION("""COMPUTED_VALUE"""),"#N/A")</f>
        <v>#N/A</v>
      </c>
      <c r="F364" s="7" t="str">
        <f>IFERROR(__xludf.DUMMYFUNCTION("""COMPUTED_VALUE"""),"Not Pres. ")</f>
        <v>Not Pres. </v>
      </c>
      <c r="G364" s="7" t="str">
        <f>IFERROR(__xludf.DUMMYFUNCTION("""COMPUTED_VALUE"""),"NP Findings Not Presenting ")</f>
        <v>NP Findings Not Presenting </v>
      </c>
      <c r="H364" s="7"/>
      <c r="I364" s="7" t="str">
        <f>IFERROR(__xludf.DUMMYFUNCTION("""COMPUTED_VALUE"""),"NP-Find")</f>
        <v>NP-Find</v>
      </c>
      <c r="J364" s="7"/>
      <c r="K364" s="7"/>
      <c r="L364" s="8"/>
      <c r="M364" s="7"/>
      <c r="N364" s="7"/>
    </row>
    <row r="365">
      <c r="A365" s="7" t="str">
        <f>IFERROR(__xludf.DUMMYFUNCTION("""COMPUTED_VALUE"""),"1188-FIND")</f>
        <v>1188-FIND</v>
      </c>
      <c r="B365" s="7" t="str">
        <f>IFERROR(__xludf.DUMMYFUNCTION("""COMPUTED_VALUE"""),"COPR: Continual Human Preference Learning via Optimal Policy Regularization")</f>
        <v>COPR: Continual Human Preference Learning via Optimal Policy Regularization</v>
      </c>
      <c r="C365" s="7" t="str">
        <f>IFERROR(__xludf.DUMMYFUNCTION("""COMPUTED_VALUE"""),"Reinforcement Learning from Human Feedback (RLHF) is effective for aligning Large Language Models (LLMs) with human preferences. However, RLHF's complex process limits its ability to continually learn human feedback, making it impractical for real-world a"&amp;"pplications where the deployed model continuously receives feedback from users. The non-RL-based method, such as Direct Preference Optimization (DPO), is not primitively favorable for Continual Learning (CL). We observe that when combined with Experiment "&amp;"Relay (ER) for CL, DPO tends to significantly widen the gap in the probability of human-preferred and dispreferred responses. Consequently, this diminishes the diversity in model generation, potentially leading to model collapse. To overcome the above cha"&amp;"llenges, we propose the Continual Optimal Policy Regularization (COPR), a novel non-RL offline method to convert the historical optimal policies into optimization constraints when continually learning new preferences. We first derive a moderate reward fun"&amp;"ction from the pairwise ranking loss and then use the moderate reward to calculate a new sampling distribution to construct novel learning objectives and constraints. We also provide formal proof of the learnability of COPR. The experimental results show "&amp;"that COPR outperforms strong CL baselines on our proposed benchmark, in terms of reward-based, GPT-4 evaluations and human assessment.")</f>
        <v>Reinforcement Learning from Human Feedback (RLHF) is effective for aligning Large Language Models (LLMs) with human preferences. However, RLHF's complex process limits its ability to continually learn human feedback, making it impractical for real-world applications where the deployed model continuously receives feedback from users. The non-RL-based method, such as Direct Preference Optimization (DPO), is not primitively favorable for Continual Learning (CL). We observe that when combined with Experiment Relay (ER) for CL, DPO tends to significantly widen the gap in the probability of human-preferred and dispreferred responses. Consequently, this diminishes the diversity in model generation, potentially leading to model collapse. To overcome the above challenges, we propose the Continual Optimal Policy Regularization (COPR), a novel non-RL offline method to convert the historical optimal policies into optimization constraints when continually learning new preferences. We first derive a moderate reward function from the pairwise ranking loss and then use the moderate reward to calculate a new sampling distribution to construct novel learning objectives and constraints. We also provide formal proof of the learnability of COPR. The experimental results show that COPR outperforms strong CL baselines on our proposed benchmark, in terms of reward-based, GPT-4 evaluations and human assessment.</v>
      </c>
      <c r="D365" s="7" t="str">
        <f>IFERROR(__xludf.DUMMYFUNCTION("""COMPUTED_VALUE"""),"Han Zhang")</f>
        <v>Han Zhang</v>
      </c>
      <c r="E365" s="7" t="str">
        <f>IFERROR(__xludf.DUMMYFUNCTION("""COMPUTED_VALUE"""),"#N/A")</f>
        <v>#N/A</v>
      </c>
      <c r="F365" s="7" t="str">
        <f>IFERROR(__xludf.DUMMYFUNCTION("""COMPUTED_VALUE"""),"Not Pres. ")</f>
        <v>Not Pres. </v>
      </c>
      <c r="G365" s="7" t="str">
        <f>IFERROR(__xludf.DUMMYFUNCTION("""COMPUTED_VALUE"""),"NP Findings Not Presenting ")</f>
        <v>NP Findings Not Presenting </v>
      </c>
      <c r="H365" s="7"/>
      <c r="I365" s="7" t="str">
        <f>IFERROR(__xludf.DUMMYFUNCTION("""COMPUTED_VALUE"""),"NP-Find")</f>
        <v>NP-Find</v>
      </c>
      <c r="J365" s="7"/>
      <c r="K365" s="7"/>
      <c r="L365" s="8"/>
      <c r="M365" s="7"/>
      <c r="N365" s="7"/>
    </row>
    <row r="366">
      <c r="A366" s="7" t="str">
        <f>IFERROR(__xludf.DUMMYFUNCTION("""COMPUTED_VALUE"""),"1189-FIND")</f>
        <v>1189-FIND</v>
      </c>
      <c r="B366" s="7" t="str">
        <f>IFERROR(__xludf.DUMMYFUNCTION("""COMPUTED_VALUE"""),"Robust Preference Optimization via Dynamic Target Margins")</f>
        <v>Robust Preference Optimization via Dynamic Target Margins</v>
      </c>
      <c r="C366" s="7" t="str">
        <f>IFERROR(__xludf.DUMMYFUNCTION("""COMPUTED_VALUE"""),"The alignment of Large Language Models (LLMs) is crucial for ensuring their safety and reliability in practical applications. Direct Preference Optimization (DPO) has emerged as an efficient method that directly optimizes models using preference pairs, si"&amp;"gnificantly reducing resource demands. However, the effectiveness of DPO heavily depends on the data quality, which is frequently compromised by noise. In this work, we propose 𝛾-PO, a dynamic target margin preference optimization algorithm that adjust r"&amp;"eward margins at the pairwise level. By introducing instance-specific margin calibration, 𝛾-PO strategically prioritizes high-confidence pairs (those demonstrating higher reward margins) while suppressing potential noise from ambiguous pairs. Moreover, "&amp;"𝛾-PO is a plug-and-play method, compatible with variants of DPO that rely on reward margin between preference pairs. Across benchmarks such as AlpacaEval2 and Arena-Hard, 𝛾-PO achieves an average 4.4% improvement over other baselines, setting new benchm"&amp;"arks for state-of-the-art performance. Additionally, 𝛾-PO requires minimal code changes and has a negligible impact on training efficiency, making it a robust solution for enhancing LLMs alignment. Our codes are available at https://github.com/sunjie279/"&amp;"gammaPO.")</f>
        <v>The alignment of Large Language Models (LLMs) is crucial for ensuring their safety and reliability in practical applications. Direct Preference Optimization (DPO) has emerged as an efficient method that directly optimizes models using preference pairs, significantly reducing resource demands. However, the effectiveness of DPO heavily depends on the data quality, which is frequently compromised by noise. In this work, we propose 𝛾-PO, a dynamic target margin preference optimization algorithm that adjust reward margins at the pairwise level. By introducing instance-specific margin calibration, 𝛾-PO strategically prioritizes high-confidence pairs (those demonstrating higher reward margins) while suppressing potential noise from ambiguous pairs. Moreover, 𝛾-PO is a plug-and-play method, compatible with variants of DPO that rely on reward margin between preference pairs. Across benchmarks such as AlpacaEval2 and Arena-Hard, 𝛾-PO achieves an average 4.4% improvement over other baselines, setting new benchmarks for state-of-the-art performance. Additionally, 𝛾-PO requires minimal code changes and has a negligible impact on training efficiency, making it a robust solution for enhancing LLMs alignment. Our codes are available at https://github.com/sunjie279/gammaPO.</v>
      </c>
      <c r="D366" s="7" t="str">
        <f>IFERROR(__xludf.DUMMYFUNCTION("""COMPUTED_VALUE"""),"Jie Sun")</f>
        <v>Jie Sun</v>
      </c>
      <c r="E366" s="7" t="str">
        <f>IFERROR(__xludf.DUMMYFUNCTION("""COMPUTED_VALUE"""),"Yes")</f>
        <v>Yes</v>
      </c>
      <c r="F366" s="7" t="str">
        <f>IFERROR(__xludf.DUMMYFUNCTION("""COMPUTED_VALUE"""),"IP-Poster")</f>
        <v>IP-Poster</v>
      </c>
      <c r="G366" s="7" t="str">
        <f>IFERROR(__xludf.DUMMYFUNCTION("""COMPUTED_VALUE"""),"In-Person")</f>
        <v>In-Person</v>
      </c>
      <c r="H366" s="7" t="str">
        <f>IFERROR(__xludf.DUMMYFUNCTION("""COMPUTED_VALUE"""),"Hall 4/5")</f>
        <v>Hall 4/5</v>
      </c>
      <c r="I366" s="7" t="str">
        <f>IFERROR(__xludf.DUMMYFUNCTION("""COMPUTED_VALUE"""),"Session 5 :IP-Posters Find ")</f>
        <v>Session 5 :IP-Posters Find </v>
      </c>
      <c r="J366" s="7" t="str">
        <f>IFERROR(__xludf.DUMMYFUNCTION("""COMPUTED_VALUE"""),"Findings Posters - In-Person 1")</f>
        <v>Findings Posters - In-Person 1</v>
      </c>
      <c r="K366" s="7"/>
      <c r="L366" s="8">
        <f>IFERROR(__xludf.DUMMYFUNCTION("""COMPUTED_VALUE"""),45866.0)</f>
        <v>45866</v>
      </c>
      <c r="M366" s="7" t="str">
        <f>IFERROR(__xludf.DUMMYFUNCTION("""COMPUTED_VALUE"""),"18:00-19:30")</f>
        <v>18:00-19:30</v>
      </c>
      <c r="N366" s="7"/>
    </row>
    <row r="367">
      <c r="A367" s="7" t="str">
        <f>IFERROR(__xludf.DUMMYFUNCTION("""COMPUTED_VALUE"""),"1191-FIND")</f>
        <v>1191-FIND</v>
      </c>
      <c r="B367" s="7" t="str">
        <f>IFERROR(__xludf.DUMMYFUNCTION("""COMPUTED_VALUE"""),"AdaReTaKe: Adaptive Redundancy Reduction to Perceive Longer for Video-language Understanding")</f>
        <v>AdaReTaKe: Adaptive Redundancy Reduction to Perceive Longer for Video-language Understanding</v>
      </c>
      <c r="C367" s="7" t="str">
        <f>IFERROR(__xludf.DUMMYFUNCTION("""COMPUTED_VALUE"""),"Multimodal Large Language Models (MLLMs) have revolutionized video understanding, yet are still limited by context length when processing long videos. Recent methods compress videos by leveraging visual redundancy uniformly, yielding promising results. Ne"&amp;"vertheless, our quantitative analysis shows that redundancy varies significantly across time and model layers, necessitating a more flexible compression strategy. We propose **FlexReduc**, a training-free method that flexibly reduces visual redundancy by "&amp;"allocating compression ratios among time and layers with theoretical guarantees. Integrated into state-of-the-art MLLMs, FlexReduc improves processing capacity from 256 to 2048 frames while preserving critical information. Experiments on VideoMME, MLVU, L"&amp;"ongVideoBench, and LVBench datasets demonstrate that FlexReduc outperforms existing methods by 2.3% and 2.8% for 7B and 72B models, respectively, with even greater improvements of 5.9% and 6.0% on the longest LVBench.")</f>
        <v>Multimodal Large Language Models (MLLMs) have revolutionized video understanding, yet are still limited by context length when processing long videos. Recent methods compress videos by leveraging visual redundancy uniformly, yielding promising results. Nevertheless, our quantitative analysis shows that redundancy varies significantly across time and model layers, necessitating a more flexible compression strategy. We propose **FlexReduc**, a training-free method that flexibly reduces visual redundancy by allocating compression ratios among time and layers with theoretical guarantees. Integrated into state-of-the-art MLLMs, FlexReduc improves processing capacity from 256 to 2048 frames while preserving critical information. Experiments on VideoMME, MLVU, LongVideoBench, and LVBench datasets demonstrate that FlexReduc outperforms existing methods by 2.3% and 2.8% for 7B and 72B models, respectively, with even greater improvements of 5.9% and 6.0% on the longest LVBench.</v>
      </c>
      <c r="D367" s="7" t="str">
        <f>IFERROR(__xludf.DUMMYFUNCTION("""COMPUTED_VALUE"""),"Xiao Wang")</f>
        <v>Xiao Wang</v>
      </c>
      <c r="E367" s="7" t="str">
        <f>IFERROR(__xludf.DUMMYFUNCTION("""COMPUTED_VALUE"""),"Yes")</f>
        <v>Yes</v>
      </c>
      <c r="F367" s="7" t="str">
        <f>IFERROR(__xludf.DUMMYFUNCTION("""COMPUTED_VALUE"""),"IP-Poster")</f>
        <v>IP-Poster</v>
      </c>
      <c r="G367" s="7" t="str">
        <f>IFERROR(__xludf.DUMMYFUNCTION("""COMPUTED_VALUE"""),"In-Person")</f>
        <v>In-Person</v>
      </c>
      <c r="H367" s="7" t="str">
        <f>IFERROR(__xludf.DUMMYFUNCTION("""COMPUTED_VALUE"""),"Hall 4/5")</f>
        <v>Hall 4/5</v>
      </c>
      <c r="I367" s="7" t="str">
        <f>IFERROR(__xludf.DUMMYFUNCTION("""COMPUTED_VALUE"""),"Session 10: IP-Posters")</f>
        <v>Session 10: IP-Posters</v>
      </c>
      <c r="J367" s="7" t="str">
        <f>IFERROR(__xludf.DUMMYFUNCTION("""COMPUTED_VALUE"""),"Findings Posters - In-Person 3")</f>
        <v>Findings Posters - In-Person 3</v>
      </c>
      <c r="K367" s="7"/>
      <c r="L367" s="8">
        <f>IFERROR(__xludf.DUMMYFUNCTION("""COMPUTED_VALUE"""),45867.0)</f>
        <v>45867</v>
      </c>
      <c r="M367" s="7" t="str">
        <f>IFERROR(__xludf.DUMMYFUNCTION("""COMPUTED_VALUE"""),"16:00-17:30")</f>
        <v>16:00-17:30</v>
      </c>
      <c r="N367" s="7"/>
    </row>
    <row r="368">
      <c r="A368" s="7" t="str">
        <f>IFERROR(__xludf.DUMMYFUNCTION("""COMPUTED_VALUE"""),"1204-FIND")</f>
        <v>1204-FIND</v>
      </c>
      <c r="B368" s="7" t="str">
        <f>IFERROR(__xludf.DUMMYFUNCTION("""COMPUTED_VALUE"""),"Rethinking Stateful Tool Use in Multi-Turn Dialogues: Benchmarks and Challenges")</f>
        <v>Rethinking Stateful Tool Use in Multi-Turn Dialogues: Benchmarks and Challenges</v>
      </c>
      <c r="C368" s="7" t="str">
        <f>IFERROR(__xludf.DUMMYFUNCTION("""COMPUTED_VALUE"""),"Existing benchmarks that assess Language Models (LMs) as Language Agents (LAs) for tool use primarily focus on stateless, single-turn interactions or partial evaluations, such as tool selection in a single turn, overlooking the inherent stateful nature of"&amp;" interactions in multi-turn applications. To fulfill this gap, we propose DialogTool, a multi-turn dialogue dataset with stateful tool interactions considering the whole life cycle of tool use, across six key tasks in three stages: 1) tool creation; 2) to"&amp;"ol utilization: tool awareness, tool selection, tool execution; and 3) role-consistent response: response generation and role play. Furthermore, we build VirtualMobile – an embodied virtual mobile evaluation environment to simulate API calls and assess th"&amp;"e robustness of the created APIs. Taking advantage of these artifacts, we conduct comprehensive evaluation on 13 distinct open- and closed-source LLMs and provide detailed analysis at each stage, revealing that the existing state-of-the-art LLMs still can"&amp;"not perform well to use tools over long horizons .")</f>
        <v>Existing benchmarks that assess Language Models (LMs) as Language Agents (LAs) for tool use primarily focus on stateless, single-turn interactions or partial evaluations, such as tool selection in a single turn, overlooking the inherent stateful nature of interactions in multi-turn applications. To fulfill this gap, we propose DialogTool, a multi-turn dialogue dataset with stateful tool interactions considering the whole life cycle of tool use, across six key tasks in three stages: 1) tool creation; 2) tool utilization: tool awareness, tool selection, tool execution; and 3) role-consistent response: response generation and role play. Furthermore, we build VirtualMobile – an embodied virtual mobile evaluation environment to simulate API calls and assess the robustness of the created APIs. Taking advantage of these artifacts, we conduct comprehensive evaluation on 13 distinct open- and closed-source LLMs and provide detailed analysis at each stage, revealing that the existing state-of-the-art LLMs still cannot perform well to use tools over long horizons .</v>
      </c>
      <c r="D368" s="7" t="str">
        <f>IFERROR(__xludf.DUMMYFUNCTION("""COMPUTED_VALUE"""),"Hongru Wang")</f>
        <v>Hongru Wang</v>
      </c>
      <c r="E368" s="7" t="str">
        <f>IFERROR(__xludf.DUMMYFUNCTION("""COMPUTED_VALUE"""),"Yes")</f>
        <v>Yes</v>
      </c>
      <c r="F368" s="7" t="str">
        <f>IFERROR(__xludf.DUMMYFUNCTION("""COMPUTED_VALUE"""),"IP-Poster")</f>
        <v>IP-Poster</v>
      </c>
      <c r="G368" s="7" t="str">
        <f>IFERROR(__xludf.DUMMYFUNCTION("""COMPUTED_VALUE"""),"In-Person")</f>
        <v>In-Person</v>
      </c>
      <c r="H368" s="7" t="str">
        <f>IFERROR(__xludf.DUMMYFUNCTION("""COMPUTED_VALUE"""),"Hall 4/5")</f>
        <v>Hall 4/5</v>
      </c>
      <c r="I368" s="7" t="str">
        <f>IFERROR(__xludf.DUMMYFUNCTION("""COMPUTED_VALUE"""),"Session 5 :IP-Posters Find ")</f>
        <v>Session 5 :IP-Posters Find </v>
      </c>
      <c r="J368" s="7" t="str">
        <f>IFERROR(__xludf.DUMMYFUNCTION("""COMPUTED_VALUE"""),"Findings Posters - In-Person 1")</f>
        <v>Findings Posters - In-Person 1</v>
      </c>
      <c r="K368" s="7"/>
      <c r="L368" s="8">
        <f>IFERROR(__xludf.DUMMYFUNCTION("""COMPUTED_VALUE"""),45866.0)</f>
        <v>45866</v>
      </c>
      <c r="M368" s="7" t="str">
        <f>IFERROR(__xludf.DUMMYFUNCTION("""COMPUTED_VALUE"""),"18:00-19:30")</f>
        <v>18:00-19:30</v>
      </c>
      <c r="N368" s="7"/>
    </row>
    <row r="369">
      <c r="A369" s="7" t="str">
        <f>IFERROR(__xludf.DUMMYFUNCTION("""COMPUTED_VALUE"""),"1205-FIND")</f>
        <v>1205-FIND</v>
      </c>
      <c r="B369" s="7" t="str">
        <f>IFERROR(__xludf.DUMMYFUNCTION("""COMPUTED_VALUE"""),"Open-Set Living Need Prediction with Large Language Models")</f>
        <v>Open-Set Living Need Prediction with Large Language Models</v>
      </c>
      <c r="C369" s="7" t="str">
        <f>IFERROR(__xludf.DUMMYFUNCTION("""COMPUTED_VALUE"""),"Living needs are the needs people generate in their daily lives for survival and well-being. On life service platforms like Meituan, user purchases are driven by living needs, making accurate living need predictions crucial for personalized service recomm"&amp;"endations. Traditional approaches treat this prediction as a closed-set classification problem, severely limiting their ability to capture the diversity and complexity of living needs. In this work, we redefine living need prediction as an open-set classi"&amp;"fication problem and propose PIGEON, a novel system leveraging large language models (LLMs) for unrestricted need prediction. PIGEON first employs a behavior-aware record retriever to help LLMs understand user preferences, then incorporates Maslow's hiera"&amp;"rchy of needs to align predictions with human living needs. For evaluation and application, we design a recall module based on a fine-tuned text embedding model that links flexible need descriptions to appropriate life services. Extensive experiments on r"&amp;"eal-world datasets demonstrate that PIGEON significantly outperforms closed-set approaches on need-based life service recall by an average of 19.37%. Human evaluation validates the reasonableness and specificity of our predictions. Additionally, we employ"&amp;" instruction tuning to enable smaller LLMs to achieve competitive performance, supporting practical deployment.")</f>
        <v>Living needs are the needs people generate in their daily lives for survival and well-being. On life service platforms like Meituan, user purchases are driven by living needs, making accurate living need predictions crucial for personalized service recommendations. Traditional approaches treat this prediction as a closed-set classification problem, severely limiting their ability to capture the diversity and complexity of living needs. In this work, we redefine living need prediction as an open-set classification problem and propose PIGEON, a novel system leveraging large language models (LLMs) for unrestricted need prediction. PIGEON first employs a behavior-aware record retriever to help LLMs understand user preferences, then incorporates Maslow's hierarchy of needs to align predictions with human living needs. For evaluation and application, we design a recall module based on a fine-tuned text embedding model that links flexible need descriptions to appropriate life services. Extensive experiments on real-world datasets demonstrate that PIGEON significantly outperforms closed-set approaches on need-based life service recall by an average of 19.37%. Human evaluation validates the reasonableness and specificity of our predictions. Additionally, we employ instruction tuning to enable smaller LLMs to achieve competitive performance, supporting practical deployment.</v>
      </c>
      <c r="D369" s="7" t="str">
        <f>IFERROR(__xludf.DUMMYFUNCTION("""COMPUTED_VALUE"""),"None")</f>
        <v>None</v>
      </c>
      <c r="E369" s="7" t="str">
        <f>IFERROR(__xludf.DUMMYFUNCTION("""COMPUTED_VALUE"""),"#N/A")</f>
        <v>#N/A</v>
      </c>
      <c r="F369" s="7" t="str">
        <f>IFERROR(__xludf.DUMMYFUNCTION("""COMPUTED_VALUE"""),"Not Pres. ")</f>
        <v>Not Pres. </v>
      </c>
      <c r="G369" s="7" t="str">
        <f>IFERROR(__xludf.DUMMYFUNCTION("""COMPUTED_VALUE"""),"NP Findings Not Presenting ")</f>
        <v>NP Findings Not Presenting </v>
      </c>
      <c r="H369" s="7"/>
      <c r="I369" s="7" t="str">
        <f>IFERROR(__xludf.DUMMYFUNCTION("""COMPUTED_VALUE"""),"NP-Find")</f>
        <v>NP-Find</v>
      </c>
      <c r="J369" s="7"/>
      <c r="K369" s="7"/>
      <c r="L369" s="8"/>
      <c r="M369" s="7"/>
      <c r="N369" s="7"/>
    </row>
    <row r="370">
      <c r="A370" s="7" t="str">
        <f>IFERROR(__xludf.DUMMYFUNCTION("""COMPUTED_VALUE"""),"1209-FIND")</f>
        <v>1209-FIND</v>
      </c>
      <c r="B370" s="7" t="str">
        <f>IFERROR(__xludf.DUMMYFUNCTION("""COMPUTED_VALUE"""),"Improve Rule Retrieval and Reasoning with Self-Induction and Relevance ReEstimate")</f>
        <v>Improve Rule Retrieval and Reasoning with Self-Induction and Relevance ReEstimate</v>
      </c>
      <c r="C370" s="7" t="str">
        <f>IFERROR(__xludf.DUMMYFUNCTION("""COMPUTED_VALUE"""),"This paper systematically addresses the challenges of rule retrieval, a crucial yet underexplored area. Vanilla retrieval methods using sparse or dense retrievers to directly search for relevant rules to support downstream reasoning, often suffer from low"&amp;" accuracy. This is primarily due to a significant semantic gap between the instantiated facts in the queries and the abstract representations of the rules. Such misalignment results in suboptimal retrieval quality, which in turn negatively impacts reasoni"&amp;"ng performance. To overcome these challenges, we propose Self-Induction Augmented Retrieval (SIAR), a novel approach that utilizes Large Language Models (LLMs) to induce potential inferential rules that might offer benefits for reasoning by abstracting th"&amp;"e underlying knowledge and logical structure in queries. These induced rules are then used for query augmentation to improve retrieval effectiveness. Additionally, we introduce Rule Relevance ReEstimate (R3), a method that re-estimates the relevance of re"&amp;"trieved rules by assessing whether the abstract knowledge they contain can be instantiated to align with the facts in the queries and the helpfulness for reasoning. Extensive experiments across various settings demonstrate the effectiveness and versatilit"&amp;"y of our proposed methods.")</f>
        <v>This paper systematically addresses the challenges of rule retrieval, a crucial yet underexplored area. Vanilla retrieval methods using sparse or dense retrievers to directly search for relevant rules to support downstream reasoning, often suffer from low accuracy. This is primarily due to a significant semantic gap between the instantiated facts in the queries and the abstract representations of the rules. Such misalignment results in suboptimal retrieval quality, which in turn negatively impacts reasoning performance. To overcome these challenges, we propose Self-Induction Augmented Retrieval (SIAR), a novel approach that utilizes Large Language Models (LLMs) to induce potential inferential rules that might offer benefits for reasoning by abstracting the underlying knowledge and logical structure in queries. These induced rules are then used for query augmentation to improve retrieval effectiveness. Additionally, we introduce Rule Relevance ReEstimate (R3), a method that re-estimates the relevance of retrieved rules by assessing whether the abstract knowledge they contain can be instantiated to align with the facts in the queries and the helpfulness for reasoning. Extensive experiments across various settings demonstrate the effectiveness and versatility of our proposed methods.</v>
      </c>
      <c r="D370" s="7" t="str">
        <f>IFERROR(__xludf.DUMMYFUNCTION("""COMPUTED_VALUE"""),"Ziyang Huang")</f>
        <v>Ziyang Huang</v>
      </c>
      <c r="E370" s="7" t="str">
        <f>IFERROR(__xludf.DUMMYFUNCTION("""COMPUTED_VALUE"""),"#N/A")</f>
        <v>#N/A</v>
      </c>
      <c r="F370" s="7" t="str">
        <f>IFERROR(__xludf.DUMMYFUNCTION("""COMPUTED_VALUE"""),"Not Pres. ")</f>
        <v>Not Pres. </v>
      </c>
      <c r="G370" s="7" t="str">
        <f>IFERROR(__xludf.DUMMYFUNCTION("""COMPUTED_VALUE"""),"NP Findings Not Presenting ")</f>
        <v>NP Findings Not Presenting </v>
      </c>
      <c r="H370" s="7"/>
      <c r="I370" s="7" t="str">
        <f>IFERROR(__xludf.DUMMYFUNCTION("""COMPUTED_VALUE"""),"NP-Find")</f>
        <v>NP-Find</v>
      </c>
      <c r="J370" s="7"/>
      <c r="K370" s="7"/>
      <c r="L370" s="8"/>
      <c r="M370" s="7"/>
      <c r="N370" s="7"/>
    </row>
    <row r="371">
      <c r="A371" s="7" t="str">
        <f>IFERROR(__xludf.DUMMYFUNCTION("""COMPUTED_VALUE"""),"1210-FIND")</f>
        <v>1210-FIND</v>
      </c>
      <c r="B371" s="7" t="str">
        <f>IFERROR(__xludf.DUMMYFUNCTION("""COMPUTED_VALUE"""),"Beyond Words: Integrating Theory of Mind into Conversational Agents for Human-Like Belief, Desire, and Intention Alignment")</f>
        <v>Beyond Words: Integrating Theory of Mind into Conversational Agents for Human-Like Belief, Desire, and Intention Alignment</v>
      </c>
      <c r="C371" s="7" t="str">
        <f>IFERROR(__xludf.DUMMYFUNCTION("""COMPUTED_VALUE"""),"Natural language interaction has long served as the primary medium through which humans exchange ideas. A key enabler of this communication is the human capacity for Theory of Mind (ToM)—the ability to infer and align with the mental states of others. ToM"&amp;" is usually modeled as components of desires, beliefs, and intentions. Research in linguistics and psychology has shown that people oftentimes reveal their ToM through pragmatic aspects of language. Considering the advancements in natural language generat"&amp;"ion and perception that Large Language Models (LLMs) have made in recent years, a critical question arises in relation to ToM: can LLM-powered agents develop similar abilities for inferring mental states during natural language communication? This study i"&amp;"nvestigates the extent to which open-source LLaMA models can represent and retain ToM-related constructs, and whether these internal representations contribute to a coherent mental state modeling in a given conversation. Additionally, we explore the poten"&amp;"tial for manipulating ToM-related information to generate more aligned responses. Empirical evaluations of LLaMA-3 models (3B and 8B) demonstrate that ToM-informed alignment improves response quality, achieving win rates of 63\% and 67\%, respectively. Th"&amp;"ese findings suggest that integrating ToM principles can enhance alignment in LLM-based conversational agents. For further details, refer to the [code repository](https://github.com/cruiseresearchgroup/ToM_and_Alignment).")</f>
        <v>Natural language interaction has long served as the primary medium through which humans exchange ideas. A key enabler of this communication is the human capacity for Theory of Mind (ToM)—the ability to infer and align with the mental states of others. ToM is usually modeled as components of desires, beliefs, and intentions. Research in linguistics and psychology has shown that people oftentimes reveal their ToM through pragmatic aspects of language. Considering the advancements in natural language generation and perception that Large Language Models (LLMs) have made in recent years, a critical question arises in relation to ToM: can LLM-powered agents develop similar abilities for inferring mental states during natural language communication? This study investigates the extent to which open-source LLaMA models can represent and retain ToM-related constructs, and whether these internal representations contribute to a coherent mental state modeling in a given conversation. Additionally, we explore the potential for manipulating ToM-related information to generate more aligned responses. Empirical evaluations of LLaMA-3 models (3B and 8B) demonstrate that ToM-informed alignment improves response quality, achieving win rates of 63\% and 67\%, respectively. These findings suggest that integrating ToM principles can enhance alignment in LLM-based conversational agents. For further details, refer to the [code repository](https://github.com/cruiseresearchgroup/ToM_and_Alignment).</v>
      </c>
      <c r="D371" s="7" t="str">
        <f>IFERROR(__xludf.DUMMYFUNCTION("""COMPUTED_VALUE"""),"Passport name: Mohammadmahdi Jafari (Mehdi Jafari)")</f>
        <v>Passport name: Mohammadmahdi Jafari (Mehdi Jafari)</v>
      </c>
      <c r="E371" s="7" t="str">
        <f>IFERROR(__xludf.DUMMYFUNCTION("""COMPUTED_VALUE"""),"Yes")</f>
        <v>Yes</v>
      </c>
      <c r="F371" s="7" t="str">
        <f>IFERROR(__xludf.DUMMYFUNCTION("""COMPUTED_VALUE"""),"IP-Poster")</f>
        <v>IP-Poster</v>
      </c>
      <c r="G371" s="7" t="str">
        <f>IFERROR(__xludf.DUMMYFUNCTION("""COMPUTED_VALUE"""),"In-Person")</f>
        <v>In-Person</v>
      </c>
      <c r="H371" s="7" t="str">
        <f>IFERROR(__xludf.DUMMYFUNCTION("""COMPUTED_VALUE"""),"Hall 4/5")</f>
        <v>Hall 4/5</v>
      </c>
      <c r="I371" s="7" t="str">
        <f>IFERROR(__xludf.DUMMYFUNCTION("""COMPUTED_VALUE"""),"Session 5 :IP-Posters Find ")</f>
        <v>Session 5 :IP-Posters Find </v>
      </c>
      <c r="J371" s="7" t="str">
        <f>IFERROR(__xludf.DUMMYFUNCTION("""COMPUTED_VALUE"""),"Findings Posters - In-Person 1")</f>
        <v>Findings Posters - In-Person 1</v>
      </c>
      <c r="K371" s="7"/>
      <c r="L371" s="8">
        <f>IFERROR(__xludf.DUMMYFUNCTION("""COMPUTED_VALUE"""),45866.0)</f>
        <v>45866</v>
      </c>
      <c r="M371" s="7" t="str">
        <f>IFERROR(__xludf.DUMMYFUNCTION("""COMPUTED_VALUE"""),"18:00-19:30")</f>
        <v>18:00-19:30</v>
      </c>
      <c r="N371" s="7"/>
    </row>
    <row r="372">
      <c r="A372" s="7" t="str">
        <f>IFERROR(__xludf.DUMMYFUNCTION("""COMPUTED_VALUE"""),"1211-FIND")</f>
        <v>1211-FIND</v>
      </c>
      <c r="B372" s="7" t="str">
        <f>IFERROR(__xludf.DUMMYFUNCTION("""COMPUTED_VALUE"""),"Multimodal Causal Reasoning Benchmark: Challenging Multimodal Large Language Models to Discern Causal Links Across Modalities")</f>
        <v>Multimodal Causal Reasoning Benchmark: Challenging Multimodal Large Language Models to Discern Causal Links Across Modalities</v>
      </c>
      <c r="C372" s="7" t="str">
        <f>IFERROR(__xludf.DUMMYFUNCTION("""COMPUTED_VALUE"""),"Multimodal Large Language Models (MLLMs) have showcased exceptional Chain-of-Thought (CoT) reasoning ability in complex textual inference tasks including causal reasoning. However, will these causalities remain straightforward when crucial hints hide in v"&amp;"isual details? If not, what factors might influence cross-modal generalization? Whether we can effectively enhance their capacity for robust causal inference across both text and vision? Motivated by these, we introduce **MuCR** - a novel **Mu**ltimodal *"&amp;"*C**ausal **R**easoning benchmark that leverages synthetic siamese images and text pairs to challenge MLLMs. Additionally, we develop tailored metrics from multiple perspectives, including image-level match, phrase-level understanding, and sentence-level "&amp;"explanation, to comprehensively assess MLLMs' comprehension abilities. Our experiments reveal that current MLLMs fall short in multimodal causal reasoning compared to their performance in purely textual settings. Additionally, we find that identifying vis"&amp;"ual cues across images is key to effective cross-modal generalization. Finally, we propose the **VcCoT** strategy that better highlights visual cues, and our results confirm its efficacy in enhancing multimodal causal reasoning.")</f>
        <v>Multimodal Large Language Models (MLLMs) have showcased exceptional Chain-of-Thought (CoT) reasoning ability in complex textual inference tasks including causal reasoning. However, will these causalities remain straightforward when crucial hints hide in visual details? If not, what factors might influence cross-modal generalization? Whether we can effectively enhance their capacity for robust causal inference across both text and vision? Motivated by these, we introduce **MuCR** - a novel **Mu**ltimodal **C**ausal **R**easoning benchmark that leverages synthetic siamese images and text pairs to challenge MLLMs. Additionally, we develop tailored metrics from multiple perspectives, including image-level match, phrase-level understanding, and sentence-level explanation, to comprehensively assess MLLMs' comprehension abilities. Our experiments reveal that current MLLMs fall short in multimodal causal reasoning compared to their performance in purely textual settings. Additionally, we find that identifying visual cues across images is key to effective cross-modal generalization. Finally, we propose the **VcCoT** strategy that better highlights visual cues, and our results confirm its efficacy in enhancing multimodal causal reasoning.</v>
      </c>
      <c r="D372" s="7" t="str">
        <f>IFERROR(__xludf.DUMMYFUNCTION("""COMPUTED_VALUE"""),"No")</f>
        <v>No</v>
      </c>
      <c r="E372" s="7" t="str">
        <f>IFERROR(__xludf.DUMMYFUNCTION("""COMPUTED_VALUE"""),"#N/A")</f>
        <v>#N/A</v>
      </c>
      <c r="F372" s="7" t="str">
        <f>IFERROR(__xludf.DUMMYFUNCTION("""COMPUTED_VALUE"""),"Not Pres. ")</f>
        <v>Not Pres. </v>
      </c>
      <c r="G372" s="7" t="str">
        <f>IFERROR(__xludf.DUMMYFUNCTION("""COMPUTED_VALUE"""),"NP Findings Not Presenting ")</f>
        <v>NP Findings Not Presenting </v>
      </c>
      <c r="H372" s="7"/>
      <c r="I372" s="7" t="str">
        <f>IFERROR(__xludf.DUMMYFUNCTION("""COMPUTED_VALUE"""),"NP-Find")</f>
        <v>NP-Find</v>
      </c>
      <c r="J372" s="7"/>
      <c r="K372" s="7"/>
      <c r="L372" s="8"/>
      <c r="M372" s="7"/>
      <c r="N372" s="7"/>
    </row>
    <row r="373">
      <c r="A373" s="7" t="str">
        <f>IFERROR(__xludf.DUMMYFUNCTION("""COMPUTED_VALUE"""),"1214-FIND")</f>
        <v>1214-FIND</v>
      </c>
      <c r="B373" s="7" t="str">
        <f>IFERROR(__xludf.DUMMYFUNCTION("""COMPUTED_VALUE"""),"Context-Aware Hierarchical Merging for Long Document Summarization")</f>
        <v>Context-Aware Hierarchical Merging for Long Document Summarization</v>
      </c>
      <c r="C373" s="7" t="str">
        <f>IFERROR(__xludf.DUMMYFUNCTION("""COMPUTED_VALUE"""),"Hierarchical Merging is a technique commonly used to summarize very long texts (&gt;100K tokens) by breaking down the input into smaller sections, summarizing those sections individually, and then merging or combining those summaries into a final coherent su"&amp;"mmary. Although it helps address the limitations of large language models (LLMs) with fixed input length constraints, the recursive merging process can amplify LLM hallucinations, increasing the risk of factual inaccuracies. In this paper, we seek to miti"&amp;"gate hallucinations by enriching hierarchical merging with context from the source document. Specifically, we propose different approaches to contextual augmentation ranging from *replacing* intermediate summaries with relevant input context, to *refining"&amp;"* them while using the context as supporting evidence, and *aligning* them implicitly (via citations) to the input. Experimental results on datasets representing legal and narrative domains show that contextual augmentation consistently outperforms zero-s"&amp;"hot and hierarchical merging baselines for the Llama 3.1 model family. Our analysis further reveals that refinement methods tend to perform best when paired with extractive summarization for identifying relevant input.")</f>
        <v>Hierarchical Merging is a technique commonly used to summarize very long texts (&gt;100K tokens) by breaking down the input into smaller sections, summarizing those sections individually, and then merging or combining those summaries into a final coherent summary. Although it helps address the limitations of large language models (LLMs) with fixed input length constraints, the recursive merging process can amplify LLM hallucinations, increasing the risk of factual inaccuracies. In this paper, we seek to mitigate hallucinations by enriching hierarchical merging with context from the source document. Specifically, we propose different approaches to contextual augmentation ranging from *replacing* intermediate summaries with relevant input context, to *refining* them while using the context as supporting evidence, and *aligning* them implicitly (via citations) to the input. Experimental results on datasets representing legal and narrative domains show that contextual augmentation consistently outperforms zero-shot and hierarchical merging baselines for the Llama 3.1 model family. Our analysis further reveals that refinement methods tend to perform best when paired with extractive summarization for identifying relevant input.</v>
      </c>
      <c r="D373" s="7" t="str">
        <f>IFERROR(__xludf.DUMMYFUNCTION("""COMPUTED_VALUE"""),"Litu Ou")</f>
        <v>Litu Ou</v>
      </c>
      <c r="E373" s="7" t="str">
        <f>IFERROR(__xludf.DUMMYFUNCTION("""COMPUTED_VALUE"""),"Yes")</f>
        <v>Yes</v>
      </c>
      <c r="F373" s="7" t="str">
        <f>IFERROR(__xludf.DUMMYFUNCTION("""COMPUTED_VALUE"""),"V-Presentation")</f>
        <v>V-Presentation</v>
      </c>
      <c r="G373" s="7" t="str">
        <f>IFERROR(__xludf.DUMMYFUNCTION("""COMPUTED_VALUE"""),"Virtual/Gather")</f>
        <v>Virtual/Gather</v>
      </c>
      <c r="H373" s="7" t="str">
        <f>IFERROR(__xludf.DUMMYFUNCTION("""COMPUTED_VALUE"""),"Gather")</f>
        <v>Gather</v>
      </c>
      <c r="I373" s="7" t="str">
        <f>IFERROR(__xludf.DUMMYFUNCTION("""COMPUTED_VALUE"""),"Session5: V-Gather Find")</f>
        <v>Session5: V-Gather Find</v>
      </c>
      <c r="J373" s="7" t="str">
        <f>IFERROR(__xludf.DUMMYFUNCTION("""COMPUTED_VALUE"""),"Findings Posters - Virtual")</f>
        <v>Findings Posters - Virtual</v>
      </c>
      <c r="K373" s="7"/>
      <c r="L373" s="8">
        <f>IFERROR(__xludf.DUMMYFUNCTION("""COMPUTED_VALUE"""),45866.0)</f>
        <v>45866</v>
      </c>
      <c r="M373" s="7" t="str">
        <f>IFERROR(__xludf.DUMMYFUNCTION("""COMPUTED_VALUE"""),"18:00-19:30")</f>
        <v>18:00-19:30</v>
      </c>
      <c r="N373" s="7"/>
    </row>
    <row r="374">
      <c r="A374" s="7" t="str">
        <f>IFERROR(__xludf.DUMMYFUNCTION("""COMPUTED_VALUE"""),"1215-FIND")</f>
        <v>1215-FIND</v>
      </c>
      <c r="B374" s="7" t="str">
        <f>IFERROR(__xludf.DUMMYFUNCTION("""COMPUTED_VALUE"""),"VCD: A Dataset for Visual Commonsense Discovery in Images")</f>
        <v>VCD: A Dataset for Visual Commonsense Discovery in Images</v>
      </c>
      <c r="C374" s="7" t="str">
        <f>IFERROR(__xludf.DUMMYFUNCTION("""COMPUTED_VALUE"""),"Visual commonsense plays a vital role in understanding and reasoning about the visual world. While commonsense knowledge bases like ConceptNet provide structured collections of general facts, they lack visually grounded representations. Scene graph datase"&amp;"ts like Visual Genome, though rich in object-level descriptions, primarily focus on directly observable information and lack systematic categorization of commonsense knowledge. We present Visual Commonsense Dataset (VCD), a large-scale dataset containing "&amp;"over 100,000 images and 14 million object-commonsense pairs that bridges this gap. VCD introduces a novel three-level taxonomy for visual commonsense, integrating both Seen (directly observable) and Unseen (inferrable) commonsense across Property, Action,"&amp;" and Space aspects. Each commonsense is represented as a triple where the head entity is grounded to object bounding boxes in images, enabling scene-dependent and object-specific visual commonsense representation. To demonstrate VCD's utility, we develop "&amp;"VCM, a generative model that combines a vision-language model with instruction tuning to discover diverse visual commonsense from images. Extensive evaluations demonstrate both the high quality of VCD and its value as a resource for advancing visually gro"&amp;"unded commonsense understanding and reasoning. Our dataset and code will be released on https://github.com/NUSTM/VCD.")</f>
        <v>Visual commonsense plays a vital role in understanding and reasoning about the visual world. While commonsense knowledge bases like ConceptNet provide structured collections of general facts, they lack visually grounded representations. Scene graph datasets like Visual Genome, though rich in object-level descriptions, primarily focus on directly observable information and lack systematic categorization of commonsense knowledge. We present Visual Commonsense Dataset (VCD), a large-scale dataset containing over 100,000 images and 14 million object-commonsense pairs that bridges this gap. VCD introduces a novel three-level taxonomy for visual commonsense, integrating both Seen (directly observable) and Unseen (inferrable) commonsense across Property, Action, and Space aspects. Each commonsense is represented as a triple where the head entity is grounded to object bounding boxes in images, enabling scene-dependent and object-specific visual commonsense representation. To demonstrate VCD's utility, we develop VCM, a generative model that combines a vision-language model with instruction tuning to discover diverse visual commonsense from images. Extensive evaluations demonstrate both the high quality of VCD and its value as a resource for advancing visually grounded commonsense understanding and reasoning. Our dataset and code will be released on https://github.com/NUSTM/VCD.</v>
      </c>
      <c r="D374" s="7" t="str">
        <f>IFERROR(__xludf.DUMMYFUNCTION("""COMPUTED_VALUE"""),"Xiangqing Shen")</f>
        <v>Xiangqing Shen</v>
      </c>
      <c r="E374" s="7" t="str">
        <f>IFERROR(__xludf.DUMMYFUNCTION("""COMPUTED_VALUE"""),"Yes")</f>
        <v>Yes</v>
      </c>
      <c r="F374" s="7" t="str">
        <f>IFERROR(__xludf.DUMMYFUNCTION("""COMPUTED_VALUE"""),"IP-Poster")</f>
        <v>IP-Poster</v>
      </c>
      <c r="G374" s="7" t="str">
        <f>IFERROR(__xludf.DUMMYFUNCTION("""COMPUTED_VALUE"""),"In-Person")</f>
        <v>In-Person</v>
      </c>
      <c r="H374" s="7" t="str">
        <f>IFERROR(__xludf.DUMMYFUNCTION("""COMPUTED_VALUE"""),"Hall 4/5")</f>
        <v>Hall 4/5</v>
      </c>
      <c r="I374" s="7" t="str">
        <f>IFERROR(__xludf.DUMMYFUNCTION("""COMPUTED_VALUE"""),"Session 10: IP-Posters")</f>
        <v>Session 10: IP-Posters</v>
      </c>
      <c r="J374" s="7" t="str">
        <f>IFERROR(__xludf.DUMMYFUNCTION("""COMPUTED_VALUE"""),"Findings Posters - In-Person 3")</f>
        <v>Findings Posters - In-Person 3</v>
      </c>
      <c r="K374" s="7"/>
      <c r="L374" s="8">
        <f>IFERROR(__xludf.DUMMYFUNCTION("""COMPUTED_VALUE"""),45867.0)</f>
        <v>45867</v>
      </c>
      <c r="M374" s="7" t="str">
        <f>IFERROR(__xludf.DUMMYFUNCTION("""COMPUTED_VALUE"""),"16:00-17:30")</f>
        <v>16:00-17:30</v>
      </c>
      <c r="N374" s="7"/>
    </row>
    <row r="375">
      <c r="A375" s="7" t="str">
        <f>IFERROR(__xludf.DUMMYFUNCTION("""COMPUTED_VALUE"""),"1216-FIND")</f>
        <v>1216-FIND</v>
      </c>
      <c r="B375" s="7" t="str">
        <f>IFERROR(__xludf.DUMMYFUNCTION("""COMPUTED_VALUE"""),"Self-Reasoning Language Models: Unfold Hidden Reasoning Chains with Few Reasoning Catalyst")</f>
        <v>Self-Reasoning Language Models: Unfold Hidden Reasoning Chains with Few Reasoning Catalyst</v>
      </c>
      <c r="C375" s="7" t="str">
        <f>IFERROR(__xludf.DUMMYFUNCTION("""COMPUTED_VALUE"""),"Inference-time scaling has attracted much attention which significantly enhance the performance of Large Language Models (LLMs) in complex reasoning tasks by increasing the length of Chain-of-Thought. These longer intermediate reasoning rationales embody "&amp;"various meta-reasoning skills in human cognition such as reflection and decomposition, being difficult to create and acquire. In this work, we introduce Self-Reasoning Language Model (SRLM), where the model itself can synthesize longer CoT data and iterat"&amp;"ively improve performance through self-training. By incorporating a few demonstration examples (i.e., 1,000 samples) on how to unfold hidden reasoning chains from existing responses, which act as a reasoning catalyst, we demonstrate that SRLM not only enh"&amp;"ances the model’s initial performance but also ensures more stable and consistent improvements in subsequent iterations. Our proposed SRLM achieves an average absolute improvement of more than +2.5 points across five reasoning tasks: MMLU, GSM8K, ARC-C, H"&amp;"ellaSwag, and BBH on two backbone models. Moreover, it brings more improvements with more times of sampling during inference, such as absolute +7.89 average improvement with 64 sampling times, revealing the in-depth, diverse and creative reasoning paths i"&amp;"n SRLM against the strong baseline .")</f>
        <v>Inference-time scaling has attracted much attention which significantly enhance the performance of Large Language Models (LLMs) in complex reasoning tasks by increasing the length of Chain-of-Thought. These longer intermediate reasoning rationales embody various meta-reasoning skills in human cognition such as reflection and decomposition, being difficult to create and acquire. In this work, we introduce Self-Reasoning Language Model (SRLM), where the model itself can synthesize longer CoT data and iteratively improve performance through self-training. By incorporating a few demonstration examples (i.e., 1,000 samples) on how to unfold hidden reasoning chains from existing responses, which act as a reasoning catalyst, we demonstrate that SRLM not only enhances the model’s initial performance but also ensures more stable and consistent improvements in subsequent iterations. Our proposed SRLM achieves an average absolute improvement of more than +2.5 points across five reasoning tasks: MMLU, GSM8K, ARC-C, HellaSwag, and BBH on two backbone models. Moreover, it brings more improvements with more times of sampling during inference, such as absolute +7.89 average improvement with 64 sampling times, revealing the in-depth, diverse and creative reasoning paths in SRLM against the strong baseline .</v>
      </c>
      <c r="D375" s="7" t="str">
        <f>IFERROR(__xludf.DUMMYFUNCTION("""COMPUTED_VALUE"""),"Hongru Wang")</f>
        <v>Hongru Wang</v>
      </c>
      <c r="E375" s="7" t="str">
        <f>IFERROR(__xludf.DUMMYFUNCTION("""COMPUTED_VALUE"""),"Yes")</f>
        <v>Yes</v>
      </c>
      <c r="F375" s="7" t="str">
        <f>IFERROR(__xludf.DUMMYFUNCTION("""COMPUTED_VALUE"""),"IP-Poster")</f>
        <v>IP-Poster</v>
      </c>
      <c r="G375" s="7" t="str">
        <f>IFERROR(__xludf.DUMMYFUNCTION("""COMPUTED_VALUE"""),"In-Person")</f>
        <v>In-Person</v>
      </c>
      <c r="H375" s="7" t="str">
        <f>IFERROR(__xludf.DUMMYFUNCTION("""COMPUTED_VALUE"""),"Hall 4/5")</f>
        <v>Hall 4/5</v>
      </c>
      <c r="I375" s="7" t="str">
        <f>IFERROR(__xludf.DUMMYFUNCTION("""COMPUTED_VALUE"""),"Session 5 :IP-Posters Find ")</f>
        <v>Session 5 :IP-Posters Find </v>
      </c>
      <c r="J375" s="7" t="str">
        <f>IFERROR(__xludf.DUMMYFUNCTION("""COMPUTED_VALUE"""),"Findings Posters - In-Person 1")</f>
        <v>Findings Posters - In-Person 1</v>
      </c>
      <c r="K375" s="7"/>
      <c r="L375" s="8">
        <f>IFERROR(__xludf.DUMMYFUNCTION("""COMPUTED_VALUE"""),45866.0)</f>
        <v>45866</v>
      </c>
      <c r="M375" s="7" t="str">
        <f>IFERROR(__xludf.DUMMYFUNCTION("""COMPUTED_VALUE"""),"18:00-19:30")</f>
        <v>18:00-19:30</v>
      </c>
      <c r="N375" s="7"/>
    </row>
    <row r="376">
      <c r="A376" s="7" t="str">
        <f>IFERROR(__xludf.DUMMYFUNCTION("""COMPUTED_VALUE"""),"1217-FIND")</f>
        <v>1217-FIND</v>
      </c>
      <c r="B376" s="7" t="str">
        <f>IFERROR(__xludf.DUMMYFUNCTION("""COMPUTED_VALUE"""),"HyperCRS: Hypergraph-Aware Multi-Grained Preference Learning to Burst Filter Bubbles in Conversational Recommendation System")</f>
        <v>HyperCRS: Hypergraph-Aware Multi-Grained Preference Learning to Burst Filter Bubbles in Conversational Recommendation System</v>
      </c>
      <c r="C376" s="7" t="str">
        <f>IFERROR(__xludf.DUMMYFUNCTION("""COMPUTED_VALUE"""),"The filter bubble is a notorious issue in Recommender Systems (RSs), characterized by users being confined to a limited corpus of information or content that strengthens and amplifies their pre-established preferences and beliefs. Most existing methods pr"&amp;"imarily aim to analyze filter bubbles in the relatively static recommendation environment. Nevertheless, the filter bubble phenomenon continues to exacerbate as users interact with the system over time. To address these issues, we propose a novel paradigm"&amp;", Hypergraph-Aware Multi-Grained Preference Learning to Burst Filter Bubbles in Conversational Recommendation System (HyperCRS), aiming to burst filter bubbles by learning multi-grained user preferences during the dynamic user-system interactions via natu"&amp;"ral language conversations. HyperCRS develops Multi-Grained Hypergraph (user-, item-, and attribute-grained) to explore diverse relations and capture high-order connectivity. It employs Hypergraph-Empowered Policy Learning, which includes Multi-Grained Pr"&amp;"eference Modeling to model user preferences and Preference-based Decision Making to disrupt filter bubbles during user interactions. Extensive results on four publicly CRS-based datasets show that HyperCRS achieves new state-of-the-art performance, and th"&amp;"e superior of bursting filter bubbles in the CRS.")</f>
        <v>The filter bubble is a notorious issue in Recommender Systems (RSs), characterized by users being confined to a limited corpus of information or content that strengthens and amplifies their pre-established preferences and beliefs. Most existing methods primarily aim to analyze filter bubbles in the relatively static recommendation environment. Nevertheless, the filter bubble phenomenon continues to exacerbate as users interact with the system over time. To address these issues, we propose a novel paradigm, Hypergraph-Aware Multi-Grained Preference Learning to Burst Filter Bubbles in Conversational Recommendation System (HyperCRS), aiming to burst filter bubbles by learning multi-grained user preferences during the dynamic user-system interactions via natural language conversations. HyperCRS develops Multi-Grained Hypergraph (user-, item-, and attribute-grained) to explore diverse relations and capture high-order connectivity. It employs Hypergraph-Empowered Policy Learning, which includes Multi-Grained Preference Modeling to model user preferences and Preference-based Decision Making to disrupt filter bubbles during user interactions. Extensive results on four publicly CRS-based datasets show that HyperCRS achieves new state-of-the-art performance, and the superior of bursting filter bubbles in the CRS.</v>
      </c>
      <c r="D376" s="7" t="str">
        <f>IFERROR(__xludf.DUMMYFUNCTION("""COMPUTED_VALUE"""),"Yongsen Zheng")</f>
        <v>Yongsen Zheng</v>
      </c>
      <c r="E376" s="7" t="str">
        <f>IFERROR(__xludf.DUMMYFUNCTION("""COMPUTED_VALUE"""),"#N/A")</f>
        <v>#N/A</v>
      </c>
      <c r="F376" s="7" t="str">
        <f>IFERROR(__xludf.DUMMYFUNCTION("""COMPUTED_VALUE"""),"Not Pres. ")</f>
        <v>Not Pres. </v>
      </c>
      <c r="G376" s="7" t="str">
        <f>IFERROR(__xludf.DUMMYFUNCTION("""COMPUTED_VALUE"""),"NP Findings Not Presenting ")</f>
        <v>NP Findings Not Presenting </v>
      </c>
      <c r="H376" s="7"/>
      <c r="I376" s="7" t="str">
        <f>IFERROR(__xludf.DUMMYFUNCTION("""COMPUTED_VALUE"""),"NP-Find")</f>
        <v>NP-Find</v>
      </c>
      <c r="J376" s="7"/>
      <c r="K376" s="7"/>
      <c r="L376" s="8"/>
      <c r="M376" s="7"/>
      <c r="N376" s="7"/>
    </row>
    <row r="377">
      <c r="A377" s="7" t="str">
        <f>IFERROR(__xludf.DUMMYFUNCTION("""COMPUTED_VALUE"""),"1218-FIND")</f>
        <v>1218-FIND</v>
      </c>
      <c r="B377" s="7" t="str">
        <f>IFERROR(__xludf.DUMMYFUNCTION("""COMPUTED_VALUE"""),"Is LLM an Overconfident Judge? Unveiling the Capabilities of LLMs in Detecting Offensive Language with Annotation Disagreement")</f>
        <v>Is LLM an Overconfident Judge? Unveiling the Capabilities of LLMs in Detecting Offensive Language with Annotation Disagreement</v>
      </c>
      <c r="C377" s="7" t="str">
        <f>IFERROR(__xludf.DUMMYFUNCTION("""COMPUTED_VALUE"""),"Large Language Models (LLMs) have become essential for offensive language detection, yet their ability to handle annotation disagreement remains underexplored. Disagreement samples, which arise from subjective interpretations, pose a unique challenge due "&amp;"to their ambiguous nature. Understanding how LLMs process these cases, particularly their confidence levels, can offer insight into their alignment with human annotators. This study systematically evaluates the performance of multiple LLMs in detecting of"&amp;"fensive language at varying levels of annotation agreement. We analyze binary classification accuracy, examine the relationship between model confidence and human disagreement, and explore how disagreement samples influence model decision-making during fe"&amp;"w-shot learning and instruction fine-tuning. Our findings reveal that LLMs struggle with low-agreement samples, often exhibiting overconfidence in these ambiguous cases. However, utilizing disagreement samples in training improves both detection accuracy "&amp;"and model alignment with human judgment. These insights provide a foundation for enhancing LLM-based offensive language detection in real-world moderation tasks.")</f>
        <v>Large Language Models (LLMs) have become essential for offensive language detection, yet their ability to handle annotation disagreement remains underexplored. Disagreement samples, which arise from subjective interpretations, pose a unique challenge due to their ambiguous nature. Understanding how LLMs process these cases, particularly their confidence levels, can offer insight into their alignment with human annotators. This study systematically evaluates the performance of multiple LLMs in detecting offensive language at varying levels of annotation agreement. We analyze binary classification accuracy, examine the relationship between model confidence and human disagreement, and explore how disagreement samples influence model decision-making during few-shot learning and instruction fine-tuning. Our findings reveal that LLMs struggle with low-agreement samples, often exhibiting overconfidence in these ambiguous cases. However, utilizing disagreement samples in training improves both detection accuracy and model alignment with human judgment. These insights provide a foundation for enhancing LLM-based offensive language detection in real-world moderation tasks.</v>
      </c>
      <c r="D377" s="7" t="str">
        <f>IFERROR(__xludf.DUMMYFUNCTION("""COMPUTED_VALUE"""),"Junyu Lu")</f>
        <v>Junyu Lu</v>
      </c>
      <c r="E377" s="7" t="str">
        <f>IFERROR(__xludf.DUMMYFUNCTION("""COMPUTED_VALUE"""),"Yes")</f>
        <v>Yes</v>
      </c>
      <c r="F377" s="7" t="str">
        <f>IFERROR(__xludf.DUMMYFUNCTION("""COMPUTED_VALUE"""),"IP-Poster")</f>
        <v>IP-Poster</v>
      </c>
      <c r="G377" s="7" t="str">
        <f>IFERROR(__xludf.DUMMYFUNCTION("""COMPUTED_VALUE"""),"In-Person")</f>
        <v>In-Person</v>
      </c>
      <c r="H377" s="7" t="str">
        <f>IFERROR(__xludf.DUMMYFUNCTION("""COMPUTED_VALUE"""),"Hall 4/5")</f>
        <v>Hall 4/5</v>
      </c>
      <c r="I377" s="7" t="str">
        <f>IFERROR(__xludf.DUMMYFUNCTION("""COMPUTED_VALUE"""),"Session 5 :IP-Posters Find ")</f>
        <v>Session 5 :IP-Posters Find </v>
      </c>
      <c r="J377" s="7" t="str">
        <f>IFERROR(__xludf.DUMMYFUNCTION("""COMPUTED_VALUE"""),"Findings Posters - In-Person 1")</f>
        <v>Findings Posters - In-Person 1</v>
      </c>
      <c r="K377" s="7"/>
      <c r="L377" s="8">
        <f>IFERROR(__xludf.DUMMYFUNCTION("""COMPUTED_VALUE"""),45866.0)</f>
        <v>45866</v>
      </c>
      <c r="M377" s="7" t="str">
        <f>IFERROR(__xludf.DUMMYFUNCTION("""COMPUTED_VALUE"""),"18:00-19:30")</f>
        <v>18:00-19:30</v>
      </c>
      <c r="N377" s="7"/>
    </row>
    <row r="378">
      <c r="A378" s="7" t="str">
        <f>IFERROR(__xludf.DUMMYFUNCTION("""COMPUTED_VALUE"""),"1220-FIND")</f>
        <v>1220-FIND</v>
      </c>
      <c r="B378" s="7" t="str">
        <f>IFERROR(__xludf.DUMMYFUNCTION("""COMPUTED_VALUE"""),"Language Repository for Long Video Understanding")</f>
        <v>Language Repository for Long Video Understanding</v>
      </c>
      <c r="C378" s="7" t="str">
        <f>IFERROR(__xludf.DUMMYFUNCTION("""COMPUTED_VALUE"""),"Language has become a prominent modality in computer vision with the rise of LLMs. Despite supporting long context-lengths, their effectiveness in handling long-term information gradually declines with input length. This becomes critical, especially in ap"&amp;"plications such as long-form video understanding. In this paper, we introduce a Language Repository (LangRepo) for LLMs, that maintains concise and structured information as an interpretable (i.e., all-textual) representation. Our repository is updated it"&amp;"eratively based on multi-scale video chunks. We introduce write and read operations that focus on pruning redundancies in text, and extracting information at various temporal scales. The proposed framework is evaluated on zero-shot visual question-answeri"&amp;"ng benchmarks, showing state-of-the-art performance at its scale. Our code will be released publicly.")</f>
        <v>Language has become a prominent modality in computer vision with the rise of LLMs. Despite supporting long context-lengths, their effectiveness in handling long-term information gradually declines with input length. This becomes critical, especially in applications such as long-form video understanding. In this paper, we introduce a Language Repository (LangRepo) for LLMs, that maintains concise and structured information as an interpretable (i.e., all-textual) representation. Our repository is updated iteratively based on multi-scale video chunks. We introduce write and read operations that focus on pruning redundancies in text, and extracting information at various temporal scales. The proposed framework is evaluated on zero-shot visual question-answering benchmarks, showing state-of-the-art performance at its scale. Our code will be released publicly.</v>
      </c>
      <c r="D378" s="7" t="str">
        <f>IFERROR(__xludf.DUMMYFUNCTION("""COMPUTED_VALUE"""),"Jongwoo Park")</f>
        <v>Jongwoo Park</v>
      </c>
      <c r="E378" s="7" t="str">
        <f>IFERROR(__xludf.DUMMYFUNCTION("""COMPUTED_VALUE"""),"Yes")</f>
        <v>Yes</v>
      </c>
      <c r="F378" s="7" t="str">
        <f>IFERROR(__xludf.DUMMYFUNCTION("""COMPUTED_VALUE"""),"IP-Poster")</f>
        <v>IP-Poster</v>
      </c>
      <c r="G378" s="7" t="str">
        <f>IFERROR(__xludf.DUMMYFUNCTION("""COMPUTED_VALUE"""),"In-Person")</f>
        <v>In-Person</v>
      </c>
      <c r="H378" s="7" t="str">
        <f>IFERROR(__xludf.DUMMYFUNCTION("""COMPUTED_VALUE"""),"Hall 4/5")</f>
        <v>Hall 4/5</v>
      </c>
      <c r="I378" s="7" t="str">
        <f>IFERROR(__xludf.DUMMYFUNCTION("""COMPUTED_VALUE"""),"Session 5 :IP-Posters Find ")</f>
        <v>Session 5 :IP-Posters Find </v>
      </c>
      <c r="J378" s="7" t="str">
        <f>IFERROR(__xludf.DUMMYFUNCTION("""COMPUTED_VALUE"""),"Findings Posters - In-Person 1")</f>
        <v>Findings Posters - In-Person 1</v>
      </c>
      <c r="K378" s="7"/>
      <c r="L378" s="8">
        <f>IFERROR(__xludf.DUMMYFUNCTION("""COMPUTED_VALUE"""),45866.0)</f>
        <v>45866</v>
      </c>
      <c r="M378" s="7" t="str">
        <f>IFERROR(__xludf.DUMMYFUNCTION("""COMPUTED_VALUE"""),"18:00-19:30")</f>
        <v>18:00-19:30</v>
      </c>
      <c r="N378" s="7"/>
    </row>
    <row r="379">
      <c r="A379" s="7" t="str">
        <f>IFERROR(__xludf.DUMMYFUNCTION("""COMPUTED_VALUE"""),"1226-FIND")</f>
        <v>1226-FIND</v>
      </c>
      <c r="B379" s="7" t="str">
        <f>IFERROR(__xludf.DUMMYFUNCTION("""COMPUTED_VALUE"""),"Investigating Language Preference of Multilingual RAG Systems")</f>
        <v>Investigating Language Preference of Multilingual RAG Systems</v>
      </c>
      <c r="C379" s="7" t="str">
        <f>IFERROR(__xludf.DUMMYFUNCTION("""COMPUTED_VALUE"""),"Multilingual Retrieval-Augmented Generation (mRAG) systems enhance language models by integrating external multilingual information to produce context-aware responses. However, mRAG systems struggle with retrieving relevant information due to linguistic v"&amp;"ariations between queries and documents, generating inconsistent responses when multilingual sources conflict. In this work, we systematically investigate language preferences in both retrieval and generation of mRAG through a series of experiments. Our a"&amp;"nalysis indicates that retrievers tend to prefer high-resource and query languages, yet this preference does not consistently improve generation performance. Moreover, we observe that generators prefer the query language or Latin scripts, leading to incon"&amp;"sistent outputs. To overcome these issues, we propose Dual Knowledge Multilingual RAG (DKM-RAG), a simple yet effective framework that fuses translated multilingual passages with complementary model knowledge. Empirical results demonstrate that DKM-RAG mi"&amp;"tigates language preference in generation and enhances performance across diverse linguistic settings.")</f>
        <v>Multilingual Retrieval-Augmented Generation (mRAG) systems enhance language models by integrating external multilingual information to produce context-aware responses. However, mRAG systems struggle with retrieving relevant information due to linguistic variations between queries and documents, generating inconsistent responses when multilingual sources conflict. In this work, we systematically investigate language preferences in both retrieval and generation of mRAG through a series of experiments. Our analysis indicates that retrievers tend to prefer high-resource and query languages, yet this preference does not consistently improve generation performance. Moreover, we observe that generators prefer the query language or Latin scripts, leading to inconsistent outputs. To overcome these issues, we propose Dual Knowledge Multilingual RAG (DKM-RAG), a simple yet effective framework that fuses translated multilingual passages with complementary model knowledge. Empirical results demonstrate that DKM-RAG mitigates language preference in generation and enhances performance across diverse linguistic settings.</v>
      </c>
      <c r="D379" s="7" t="str">
        <f>IFERROR(__xludf.DUMMYFUNCTION("""COMPUTED_VALUE"""),"Jeonghyun Park")</f>
        <v>Jeonghyun Park</v>
      </c>
      <c r="E379" s="7" t="str">
        <f>IFERROR(__xludf.DUMMYFUNCTION("""COMPUTED_VALUE"""),"Yes")</f>
        <v>Yes</v>
      </c>
      <c r="F379" s="7" t="str">
        <f>IFERROR(__xludf.DUMMYFUNCTION("""COMPUTED_VALUE"""),"IP-Poster")</f>
        <v>IP-Poster</v>
      </c>
      <c r="G379" s="7" t="str">
        <f>IFERROR(__xludf.DUMMYFUNCTION("""COMPUTED_VALUE"""),"In-Person")</f>
        <v>In-Person</v>
      </c>
      <c r="H379" s="7" t="str">
        <f>IFERROR(__xludf.DUMMYFUNCTION("""COMPUTED_VALUE"""),"Hall 4/5")</f>
        <v>Hall 4/5</v>
      </c>
      <c r="I379" s="7" t="str">
        <f>IFERROR(__xludf.DUMMYFUNCTION("""COMPUTED_VALUE"""),"Session 5 :IP-Posters Find ")</f>
        <v>Session 5 :IP-Posters Find </v>
      </c>
      <c r="J379" s="7" t="str">
        <f>IFERROR(__xludf.DUMMYFUNCTION("""COMPUTED_VALUE"""),"Findings Posters - In-Person 1")</f>
        <v>Findings Posters - In-Person 1</v>
      </c>
      <c r="K379" s="7"/>
      <c r="L379" s="8">
        <f>IFERROR(__xludf.DUMMYFUNCTION("""COMPUTED_VALUE"""),45866.0)</f>
        <v>45866</v>
      </c>
      <c r="M379" s="7" t="str">
        <f>IFERROR(__xludf.DUMMYFUNCTION("""COMPUTED_VALUE"""),"18:00-19:30")</f>
        <v>18:00-19:30</v>
      </c>
      <c r="N379" s="7"/>
    </row>
    <row r="380">
      <c r="A380" s="7" t="str">
        <f>IFERROR(__xludf.DUMMYFUNCTION("""COMPUTED_VALUE"""),"1227-FIND")</f>
        <v>1227-FIND</v>
      </c>
      <c r="B380" s="7" t="str">
        <f>IFERROR(__xludf.DUMMYFUNCTION("""COMPUTED_VALUE"""),"FGDGNN: Fine-Grained Dynamic Graph Neural Network for Rumor Detection on Social Media")</f>
        <v>FGDGNN: Fine-Grained Dynamic Graph Neural Network for Rumor Detection on Social Media</v>
      </c>
      <c r="C380" s="7" t="str">
        <f>IFERROR(__xludf.DUMMYFUNCTION("""COMPUTED_VALUE"""),"Detecting rumors on social media has become a crucial issue. Propagation structure-based methods have recently attracted increasing attention. When the propagation structure is represented by the dynamic graph, temporal information is considered. However,"&amp;" existing rumor detection models using dynamic graph typically focus only on coarse-grained temporal information and ignore the fine-grained temporal dynamics within individual snapshots and across snapshots. In this paper, we propose a novel Fine-Grained"&amp;" Dynamic Graph Neural Network (FGDGNN) model, which can incorporate the fine-grained temporal information of dynamic propagation graph in the intra-snapshot and dynamic embedding update mechanism in the inter-snapshots into a unified framework for rumor d"&amp;"etection. Specifically, we firstly construct the edge-weighed propagation graph and the edge-aware graph isomorphism network is proposed. To get fine-grained temporal representations across snapshots, we propose an embedding transformation layer to update"&amp;" node embedding. Finally, we integrate the temporal information in the inter-snapshots at the graph level to enhance the effectiveness of the proposed model. Extensive experiments conducted on three public real-world datasets demonstrate that our FGDGNN m"&amp;"odel achieves significant improvements compared with the state-of-the-art baselines.")</f>
        <v>Detecting rumors on social media has become a crucial issue. Propagation structure-based methods have recently attracted increasing attention. When the propagation structure is represented by the dynamic graph, temporal information is considered. However, existing rumor detection models using dynamic graph typically focus only on coarse-grained temporal information and ignore the fine-grained temporal dynamics within individual snapshots and across snapshots. In this paper, we propose a novel Fine-Grained Dynamic Graph Neural Network (FGDGNN) model, which can incorporate the fine-grained temporal information of dynamic propagation graph in the intra-snapshot and dynamic embedding update mechanism in the inter-snapshots into a unified framework for rumor detection. Specifically, we firstly construct the edge-weighed propagation graph and the edge-aware graph isomorphism network is proposed. To get fine-grained temporal representations across snapshots, we propose an embedding transformation layer to update node embedding. Finally, we integrate the temporal information in the inter-snapshots at the graph level to enhance the effectiveness of the proposed model. Extensive experiments conducted on three public real-world datasets demonstrate that our FGDGNN model achieves significant improvements compared with the state-of-the-art baselines.</v>
      </c>
      <c r="D380" s="7" t="str">
        <f>IFERROR(__xludf.DUMMYFUNCTION("""COMPUTED_VALUE"""),"Mei Guo")</f>
        <v>Mei Guo</v>
      </c>
      <c r="E380" s="7" t="str">
        <f>IFERROR(__xludf.DUMMYFUNCTION("""COMPUTED_VALUE"""),"Yes")</f>
        <v>Yes</v>
      </c>
      <c r="F380" s="7" t="str">
        <f>IFERROR(__xludf.DUMMYFUNCTION("""COMPUTED_VALUE"""),"V-Presentation")</f>
        <v>V-Presentation</v>
      </c>
      <c r="G380" s="7" t="str">
        <f>IFERROR(__xludf.DUMMYFUNCTION("""COMPUTED_VALUE"""),"Virtual/Gather")</f>
        <v>Virtual/Gather</v>
      </c>
      <c r="H380" s="7" t="str">
        <f>IFERROR(__xludf.DUMMYFUNCTION("""COMPUTED_VALUE"""),"Gather")</f>
        <v>Gather</v>
      </c>
      <c r="I380" s="7" t="str">
        <f>IFERROR(__xludf.DUMMYFUNCTION("""COMPUTED_VALUE"""),"Session5: V-Gather Find")</f>
        <v>Session5: V-Gather Find</v>
      </c>
      <c r="J380" s="7" t="str">
        <f>IFERROR(__xludf.DUMMYFUNCTION("""COMPUTED_VALUE"""),"Findings Posters - Virtual")</f>
        <v>Findings Posters - Virtual</v>
      </c>
      <c r="K380" s="7"/>
      <c r="L380" s="8">
        <f>IFERROR(__xludf.DUMMYFUNCTION("""COMPUTED_VALUE"""),45866.0)</f>
        <v>45866</v>
      </c>
      <c r="M380" s="7" t="str">
        <f>IFERROR(__xludf.DUMMYFUNCTION("""COMPUTED_VALUE"""),"18:00-19:30")</f>
        <v>18:00-19:30</v>
      </c>
      <c r="N380" s="7"/>
    </row>
    <row r="381">
      <c r="A381" s="7" t="str">
        <f>IFERROR(__xludf.DUMMYFUNCTION("""COMPUTED_VALUE"""),"1231-FIND")</f>
        <v>1231-FIND</v>
      </c>
      <c r="B381" s="7" t="str">
        <f>IFERROR(__xludf.DUMMYFUNCTION("""COMPUTED_VALUE"""),"Self-Tuning: Instructing LLMs to Effectively Acquire New Knowledge through Self-Teaching")</f>
        <v>Self-Tuning: Instructing LLMs to Effectively Acquire New Knowledge through Self-Teaching</v>
      </c>
      <c r="C381" s="7" t="str">
        <f>IFERROR(__xludf.DUMMYFUNCTION("""COMPUTED_VALUE"""),"Large language models (LLMs) often struggle to provide up-to-date information due to their one-time training and the constantly evolving nature of the world. To keep LLMs current, existing approaches typically involve continued pre-training on new documen"&amp;"ts. However, they frequently face difficulties in extracting stored knowledge. Motivated by the remarkable success of the Feynman Technique in efficient human learning, we introduce Self-Tuning, a learning framework aimed at improving an LLM's ability to "&amp;"effectively acquire new knowledge from unseen raw documents through self-teaching. Specifically, we develop a Self-Teaching strategy that augments the documents with a set of knowledge-intensive tasks created in a self-supervised manner, focusing on three"&amp;" crucial aspects: memorization, comprehension, and self-reflection. Additionally, we introduce three Wiki-Newpages-2023-QA datasets to facilitate an in-depth analysis of an LLM's knowledge acquisition ability concerning memorization, extraction, and reaso"&amp;"ning. Extensive experimental results on various models, e.g., Llama2-7B reveal that Self-Tuning consistently exhibits superior performance across all knowledge acquisition tasks and excels in preserving previous knowledge.")</f>
        <v>Large language models (LLMs) often struggle to provide up-to-date information due to their one-time training and the constantly evolving nature of the world. To keep LLMs current, existing approaches typically involve continued pre-training on new documents. However, they frequently face difficulties in extracting stored knowledge. Motivated by the remarkable success of the Feynman Technique in efficient human learning, we introduce Self-Tuning, a learning framework aimed at improving an LLM's ability to effectively acquire new knowledge from unseen raw documents through self-teaching. Specifically, we develop a Self-Teaching strategy that augments the documents with a set of knowledge-intensive tasks created in a self-supervised manner, focusing on three crucial aspects: memorization, comprehension, and self-reflection. Additionally, we introduce three Wiki-Newpages-2023-QA datasets to facilitate an in-depth analysis of an LLM's knowledge acquisition ability concerning memorization, extraction, and reasoning. Extensive experimental results on various models, e.g., Llama2-7B reveal that Self-Tuning consistently exhibits superior performance across all knowledge acquisition tasks and excels in preserving previous knowledge.</v>
      </c>
      <c r="D381" s="7" t="str">
        <f>IFERROR(__xludf.DUMMYFUNCTION("""COMPUTED_VALUE"""),"none")</f>
        <v>none</v>
      </c>
      <c r="E381" s="7" t="str">
        <f>IFERROR(__xludf.DUMMYFUNCTION("""COMPUTED_VALUE"""),"#N/A")</f>
        <v>#N/A</v>
      </c>
      <c r="F381" s="7" t="str">
        <f>IFERROR(__xludf.DUMMYFUNCTION("""COMPUTED_VALUE"""),"Not Pres. ")</f>
        <v>Not Pres. </v>
      </c>
      <c r="G381" s="7" t="str">
        <f>IFERROR(__xludf.DUMMYFUNCTION("""COMPUTED_VALUE"""),"NP Findings Not Presenting ")</f>
        <v>NP Findings Not Presenting </v>
      </c>
      <c r="H381" s="7"/>
      <c r="I381" s="7" t="str">
        <f>IFERROR(__xludf.DUMMYFUNCTION("""COMPUTED_VALUE"""),"NP-Find")</f>
        <v>NP-Find</v>
      </c>
      <c r="J381" s="7"/>
      <c r="K381" s="7"/>
      <c r="L381" s="8"/>
      <c r="M381" s="7"/>
      <c r="N381" s="7"/>
    </row>
    <row r="382">
      <c r="A382" s="7" t="str">
        <f>IFERROR(__xludf.DUMMYFUNCTION("""COMPUTED_VALUE"""),"1234-FIND")</f>
        <v>1234-FIND</v>
      </c>
      <c r="B382" s="7" t="str">
        <f>IFERROR(__xludf.DUMMYFUNCTION("""COMPUTED_VALUE"""),"QueryAttack: Jailbreaking Aligned Large Language Models Using Structured Non-natural Query Language")</f>
        <v>QueryAttack: Jailbreaking Aligned Large Language Models Using Structured Non-natural Query Language</v>
      </c>
      <c r="C382" s="7" t="str">
        <f>IFERROR(__xludf.DUMMYFUNCTION("""COMPUTED_VALUE"""),"Recent advances in large language models (LLMs) have demonstrated remarkable potential in the field of natural language processing. Unfortunately, LLMs face significant security and ethical risks. Although techniques such as safety alignment are developed"&amp;" for defense, prior researches reveal the possibility of bypassing such defenses through well-designed jailbreak attacks. In this paper, we propose QueryAttack, a novel framework to examine the generalizability of safety alignment. By treating LLMs as kno"&amp;"wledge databases, we translate malicious queries in natural language into structured non-natural query language to bypass the safety alignment mechanisms of LLMs. We conduct extensive experiments on mainstream LLMs, and the results show that QueryAttack n"&amp;"ot only can achieve high attack success rates (ASRs), but also can jailbreak various defense methods. Furthermore, we tailor a defense method against QueryAttack, which can reduce ASR by up to 64% on GPT-4-1106. Our code is available at https://anonymous."&amp;"4open.science/r/QueryAttack-334B.")</f>
        <v>Recent advances in large language models (LLMs) have demonstrated remarkable potential in the field of natural language processing. Unfortunately, LLMs face significant security and ethical risks. Although techniques such as safety alignment are developed for defense, prior researches reveal the possibility of bypassing such defenses through well-designed jailbreak attacks. In this paper, we propose QueryAttack, a novel framework to examine the generalizability of safety alignment. By treating LLMs as knowledge databases, we translate malicious queries in natural language into structured non-natural query language to bypass the safety alignment mechanisms of LLMs. We conduct extensive experiments on mainstream LLMs, and the results show that QueryAttack not only can achieve high attack success rates (ASRs), but also can jailbreak various defense methods. Furthermore, we tailor a defense method against QueryAttack, which can reduce ASR by up to 64% on GPT-4-1106. Our code is available at https://anonymous.4open.science/r/QueryAttack-334B.</v>
      </c>
      <c r="D382" s="7" t="str">
        <f>IFERROR(__xludf.DUMMYFUNCTION("""COMPUTED_VALUE"""),"Jingyu Xiao")</f>
        <v>Jingyu Xiao</v>
      </c>
      <c r="E382" s="7" t="str">
        <f>IFERROR(__xludf.DUMMYFUNCTION("""COMPUTED_VALUE"""),"Yes")</f>
        <v>Yes</v>
      </c>
      <c r="F382" s="7" t="str">
        <f>IFERROR(__xludf.DUMMYFUNCTION("""COMPUTED_VALUE"""),"IP-Poster")</f>
        <v>IP-Poster</v>
      </c>
      <c r="G382" s="7" t="str">
        <f>IFERROR(__xludf.DUMMYFUNCTION("""COMPUTED_VALUE"""),"In-Person")</f>
        <v>In-Person</v>
      </c>
      <c r="H382" s="7" t="str">
        <f>IFERROR(__xludf.DUMMYFUNCTION("""COMPUTED_VALUE"""),"Hall 4/5")</f>
        <v>Hall 4/5</v>
      </c>
      <c r="I382" s="7" t="str">
        <f>IFERROR(__xludf.DUMMYFUNCTION("""COMPUTED_VALUE"""),"Session 5 :IP-Posters Find ")</f>
        <v>Session 5 :IP-Posters Find </v>
      </c>
      <c r="J382" s="7" t="str">
        <f>IFERROR(__xludf.DUMMYFUNCTION("""COMPUTED_VALUE"""),"Findings Posters - In-Person 1")</f>
        <v>Findings Posters - In-Person 1</v>
      </c>
      <c r="K382" s="7"/>
      <c r="L382" s="8">
        <f>IFERROR(__xludf.DUMMYFUNCTION("""COMPUTED_VALUE"""),45866.0)</f>
        <v>45866</v>
      </c>
      <c r="M382" s="7" t="str">
        <f>IFERROR(__xludf.DUMMYFUNCTION("""COMPUTED_VALUE"""),"18:00-19:30")</f>
        <v>18:00-19:30</v>
      </c>
      <c r="N382" s="7"/>
    </row>
    <row r="383">
      <c r="A383" s="7" t="str">
        <f>IFERROR(__xludf.DUMMYFUNCTION("""COMPUTED_VALUE"""),"1237-FIND")</f>
        <v>1237-FIND</v>
      </c>
      <c r="B383" s="7" t="str">
        <f>IFERROR(__xludf.DUMMYFUNCTION("""COMPUTED_VALUE"""),"Memory or Reasoning? Explore How LLMs Compute Mixed Arithmetic Expressions")</f>
        <v>Memory or Reasoning? Explore How LLMs Compute Mixed Arithmetic Expressions</v>
      </c>
      <c r="C383" s="7" t="str">
        <f>IFERROR(__xludf.DUMMYFUNCTION("""COMPUTED_VALUE"""),"Large language models (LLMs) can solve complex multi-step math reasoning problems, but little is known about how these computations are implemented internally. Many recent studies have investigated the mechanisms of LLMs on simple arithmetic tasks (e.g., "&amp;"a+b, a  × b), but how LLMs solve mixed arithmetic tasks still remains unexplored. This gap highlights the limitation of these findings in reflecting real-world scenarios. In this work, we take a step further to explore how LLMs compute mixed arithmetic ex"&amp;"pressions. We find that LLMs follow a similar workflow to mixed arithmetic calculations: first parsing the complete expression, then using attention heads to aggregate information to the last token position for result generation, without step-by-step reas"&amp;"oning at the token dimension. However, for some specific expressions, the model generates the final result depends on the generation of intermediate results at the last token position, which is similar to human thinking. Furthermore, we propose a Causal E"&amp;"ffect Driven Fine-tuning method (CEDF) to adaptively enhance the identified key components used to execute mixed arithmetic calculations to improve LLMs reasoning ability.
")</f>
        <v>Large language models (LLMs) can solve complex multi-step math reasoning problems, but little is known about how these computations are implemented internally. Many recent studies have investigated the mechanisms of LLMs on simple arithmetic tasks (e.g., a+b, a  × b), but how LLMs solve mixed arithmetic tasks still remains unexplored. This gap highlights the limitation of these findings in reflecting real-world scenarios. In this work, we take a step further to explore how LLMs compute mixed arithmetic expressions. We find that LLMs follow a similar workflow to mixed arithmetic calculations: first parsing the complete expression, then using attention heads to aggregate information to the last token position for result generation, without step-by-step reasoning at the token dimension. However, for some specific expressions, the model generates the final result depends on the generation of intermediate results at the last token position, which is similar to human thinking. Furthermore, we propose a Causal Effect Driven Fine-tuning method (CEDF) to adaptively enhance the identified key components used to execute mixed arithmetic calculations to improve LLMs reasoning ability.
</v>
      </c>
      <c r="D383" s="7" t="str">
        <f>IFERROR(__xludf.DUMMYFUNCTION("""COMPUTED_VALUE"""),"Chengzhi Li")</f>
        <v>Chengzhi Li</v>
      </c>
      <c r="E383" s="7" t="str">
        <f>IFERROR(__xludf.DUMMYFUNCTION("""COMPUTED_VALUE"""),"#N/A")</f>
        <v>#N/A</v>
      </c>
      <c r="F383" s="7" t="str">
        <f>IFERROR(__xludf.DUMMYFUNCTION("""COMPUTED_VALUE"""),"Not Pres. ")</f>
        <v>Not Pres. </v>
      </c>
      <c r="G383" s="7" t="str">
        <f>IFERROR(__xludf.DUMMYFUNCTION("""COMPUTED_VALUE"""),"NP Findings Not Presenting ")</f>
        <v>NP Findings Not Presenting </v>
      </c>
      <c r="H383" s="7"/>
      <c r="I383" s="7" t="str">
        <f>IFERROR(__xludf.DUMMYFUNCTION("""COMPUTED_VALUE"""),"NP-Find")</f>
        <v>NP-Find</v>
      </c>
      <c r="J383" s="7"/>
      <c r="K383" s="7"/>
      <c r="L383" s="8"/>
      <c r="M383" s="7"/>
      <c r="N383" s="7"/>
    </row>
    <row r="384">
      <c r="A384" s="7" t="str">
        <f>IFERROR(__xludf.DUMMYFUNCTION("""COMPUTED_VALUE"""),"1240-FIND")</f>
        <v>1240-FIND</v>
      </c>
      <c r="B384" s="7" t="str">
        <f>IFERROR(__xludf.DUMMYFUNCTION("""COMPUTED_VALUE"""),"PersonaX: A Recommendation Agent-Oriented User Modeling Framework for Long Behavior Sequence")</f>
        <v>PersonaX: A Recommendation Agent-Oriented User Modeling Framework for Long Behavior Sequence</v>
      </c>
      <c r="C384" s="7" t="str">
        <f>IFERROR(__xludf.DUMMYFUNCTION("""COMPUTED_VALUE"""),"User profile embedded in the prompt template of personalized recommendation agents play a crucial role in shaping their decision-making process. High-quality user profiles are essential for aligning agent behavior with real user interests. Typically, thes"&amp;"e profiles are constructed by leveraging LLMs for user profile modeling (LLM-UM). However, this process faces several challenges: (1) LLMs struggle with long user behaviors due to context length limitations and performance degradation. (2) Existing method"&amp;"s often extract only partial segments from full historical behavior sequence, inevitably discarding diverse user interests embedded in the omitted content, leading to incomplete modeling and suboptimal profiling. (3) User profiling is often tightly couple"&amp;"d with the inference context, requiring online processing, which introduces significant latency overhead. \textbf{In this paper, we propose PersonaX, an agent-agnostic LLM-UM framework to address these challenges. It augments downstream recommendation age"&amp;"nts to achieve better recommendation performance and inference efficiency.} PersonaX (a) segments complete historical behaviors into clustered groups, (b) selects multiple sub-behavior sequences (SBS) with a balance of prototypicality and diversity to for"&amp;"m a high-quality core set, (c) performs offline multi-persona profiling to capture diverse user interests and generate fine-grained, cached textual personas, and (d) decouples user profiling from online inference, enabling profile retrieval instead of rea"&amp;"l-time generation. \textbf{Extensive experiments demonstrate its effectiveness: using only 30–50\% of behavioral data (sequence length 480), PersonaX enhances AgentCF by 3–11\% and Agent4Rec by 10–50\%.} As a scalable and model-agnostic LLM-UM solution, P"&amp;"ersonaX sets a new benchmark in scalable user modeling. 
The code is available at URL~\footnote{https://github.com/Ancientshi/PersonaX}.")</f>
        <v>User profile embedded in the prompt template of personalized recommendation agents play a crucial role in shaping their decision-making process. High-quality user profiles are essential for aligning agent behavior with real user interests. Typically, these profiles are constructed by leveraging LLMs for user profile modeling (LLM-UM). However, this process faces several challenges: (1) LLMs struggle with long user behaviors due to context length limitations and performance degradation. (2) Existing methods often extract only partial segments from full historical behavior sequence, inevitably discarding diverse user interests embedded in the omitted content, leading to incomplete modeling and suboptimal profiling. (3) User profiling is often tightly coupled with the inference context, requiring online processing, which introduces significant latency overhead. \textbf{In this paper, we propose PersonaX, an agent-agnostic LLM-UM framework to address these challenges. It augments downstream recommendation agents to achieve better recommendation performance and inference efficiency.} PersonaX (a) segments complete historical behaviors into clustered groups, (b) selects multiple sub-behavior sequences (SBS) with a balance of prototypicality and diversity to form a high-quality core set, (c) performs offline multi-persona profiling to capture diverse user interests and generate fine-grained, cached textual personas, and (d) decouples user profiling from online inference, enabling profile retrieval instead of real-time generation. \textbf{Extensive experiments demonstrate its effectiveness: using only 30–50\% of behavioral data (sequence length 480), PersonaX enhances AgentCF by 3–11\% and Agent4Rec by 10–50\%.} As a scalable and model-agnostic LLM-UM solution, PersonaX sets a new benchmark in scalable user modeling. 
The code is available at URL~\footnote{https://github.com/Ancientshi/PersonaX}.</v>
      </c>
      <c r="D384" s="7" t="str">
        <f>IFERROR(__xludf.DUMMYFUNCTION("""COMPUTED_VALUE"""),"Yunxiao Shi")</f>
        <v>Yunxiao Shi</v>
      </c>
      <c r="E384" s="7" t="str">
        <f>IFERROR(__xludf.DUMMYFUNCTION("""COMPUTED_VALUE"""),"#N/A")</f>
        <v>#N/A</v>
      </c>
      <c r="F384" s="7" t="str">
        <f>IFERROR(__xludf.DUMMYFUNCTION("""COMPUTED_VALUE"""),"Not Pres. ")</f>
        <v>Not Pres. </v>
      </c>
      <c r="G384" s="7" t="str">
        <f>IFERROR(__xludf.DUMMYFUNCTION("""COMPUTED_VALUE"""),"NP Findings Not Presenting ")</f>
        <v>NP Findings Not Presenting </v>
      </c>
      <c r="H384" s="7"/>
      <c r="I384" s="7" t="str">
        <f>IFERROR(__xludf.DUMMYFUNCTION("""COMPUTED_VALUE"""),"NP-Find")</f>
        <v>NP-Find</v>
      </c>
      <c r="J384" s="7"/>
      <c r="K384" s="7"/>
      <c r="L384" s="8"/>
      <c r="M384" s="7"/>
      <c r="N384" s="7"/>
    </row>
    <row r="385">
      <c r="A385" s="7" t="str">
        <f>IFERROR(__xludf.DUMMYFUNCTION("""COMPUTED_VALUE"""),"1259-FIND")</f>
        <v>1259-FIND</v>
      </c>
      <c r="B385" s="7" t="str">
        <f>IFERROR(__xludf.DUMMYFUNCTION("""COMPUTED_VALUE"""),"Judge as A Judge: Improving the Evaluation of Retrieval-Augmented Generation through the Judge-Consistency of Large Language Models")</f>
        <v>Judge as A Judge: Improving the Evaluation of Retrieval-Augmented Generation through the Judge-Consistency of Large Language Models</v>
      </c>
      <c r="C385" s="7" t="str">
        <f>IFERROR(__xludf.DUMMYFUNCTION("""COMPUTED_VALUE"""),"Retrieval-Augmented Generation (RAG) has proven its effectiveness in alleviating hallucinations for Large Language Models (LLMs). However, existing automated evaluation metrics cannot fairly evaluate the outputs generated by RAG models during training and"&amp;" evaluation. LLM-based judgment models provide the potential to produce high-quality judgments, but they are highly sensitive to evaluation prompts, leading to inconsistencies when judging the output of RAG models. This paper introduces the Judge-Consiste"&amp;"ncy (ConsJudge) method, which aims to enhance LLMs to generate more accurate evaluations for RAG models. Specifically, ConsJudge prompts LLMs to generate different judgments based on various combinations of judgment dimensions, utilize the judge-consisten"&amp;"cy to evaluate these judgments and select the accepted and rejected judgments for DPO training. Our experiments show that ConsJudge can effectively provide more accurate judgments for optimizing RAG models across various RAG models and datasets. Further a"&amp;"nalysis reveals that judgments generated by ConsJudge have a high agreement with the superior LLM. All codes will be released via GitHub.")</f>
        <v>Retrieval-Augmented Generation (RAG) has proven its effectiveness in alleviating hallucinations for Large Language Models (LLMs). However, existing automated evaluation metrics cannot fairly evaluate the outputs generated by RAG models during training and evaluation. LLM-based judgment models provide the potential to produce high-quality judgments, but they are highly sensitive to evaluation prompts, leading to inconsistencies when judging the output of RAG models. This paper introduces the Judge-Consistency (ConsJudge) method, which aims to enhance LLMs to generate more accurate evaluations for RAG models. Specifically, ConsJudge prompts LLMs to generate different judgments based on various combinations of judgment dimensions, utilize the judge-consistency to evaluate these judgments and select the accepted and rejected judgments for DPO training. Our experiments show that ConsJudge can effectively provide more accurate judgments for optimizing RAG models across various RAG models and datasets. Further analysis reveals that judgments generated by ConsJudge have a high agreement with the superior LLM. All codes will be released via GitHub.</v>
      </c>
      <c r="D385" s="7" t="str">
        <f>IFERROR(__xludf.DUMMYFUNCTION("""COMPUTED_VALUE"""),"Shuliang Liu")</f>
        <v>Shuliang Liu</v>
      </c>
      <c r="E385" s="7" t="str">
        <f>IFERROR(__xludf.DUMMYFUNCTION("""COMPUTED_VALUE"""),"Yes")</f>
        <v>Yes</v>
      </c>
      <c r="F385" s="7" t="str">
        <f>IFERROR(__xludf.DUMMYFUNCTION("""COMPUTED_VALUE"""),"IP-Poster")</f>
        <v>IP-Poster</v>
      </c>
      <c r="G385" s="7" t="str">
        <f>IFERROR(__xludf.DUMMYFUNCTION("""COMPUTED_VALUE"""),"In-Person")</f>
        <v>In-Person</v>
      </c>
      <c r="H385" s="7" t="str">
        <f>IFERROR(__xludf.DUMMYFUNCTION("""COMPUTED_VALUE"""),"Hall 4/5")</f>
        <v>Hall 4/5</v>
      </c>
      <c r="I385" s="7" t="str">
        <f>IFERROR(__xludf.DUMMYFUNCTION("""COMPUTED_VALUE"""),"Session 7: IP-Posters")</f>
        <v>Session 7: IP-Posters</v>
      </c>
      <c r="J385" s="7" t="str">
        <f>IFERROR(__xludf.DUMMYFUNCTION("""COMPUTED_VALUE"""),"Findings Posters - In-Person 2")</f>
        <v>Findings Posters - In-Person 2</v>
      </c>
      <c r="K385" s="7"/>
      <c r="L385" s="8">
        <f>IFERROR(__xludf.DUMMYFUNCTION("""COMPUTED_VALUE"""),45867.0)</f>
        <v>45867</v>
      </c>
      <c r="M385" s="7" t="str">
        <f>IFERROR(__xludf.DUMMYFUNCTION("""COMPUTED_VALUE"""),"10:30-12:00")</f>
        <v>10:30-12:00</v>
      </c>
      <c r="N385" s="7"/>
    </row>
    <row r="386">
      <c r="A386" s="7" t="str">
        <f>IFERROR(__xludf.DUMMYFUNCTION("""COMPUTED_VALUE"""),"1260-FIND")</f>
        <v>1260-FIND</v>
      </c>
      <c r="B386" s="7" t="str">
        <f>IFERROR(__xludf.DUMMYFUNCTION("""COMPUTED_VALUE"""),"Rationales Are Not Silver Bullets: Measuring the Impact of Rationales on Model Performance and Reliability")</f>
        <v>Rationales Are Not Silver Bullets: Measuring the Impact of Rationales on Model Performance and Reliability</v>
      </c>
      <c r="C386" s="7" t="str">
        <f>IFERROR(__xludf.DUMMYFUNCTION("""COMPUTED_VALUE"""),"Training language models with rationales augmentation has been shown to be beneficial in many existing works. In this paper, we identify that such a prevailing view does not hold consistently. We conduct comprehensive investigations to thoroughly inspect "&amp;"the impact of rationales on model performance as well as a novel perspective of model reliability. The results lead to several key findings that add new insights upon existing understandings: 1) Rationales can, at times, deteriorate model performance; 2) "&amp;"Rationales can, at times, improve model reliability, even outperforming their untrained counterparts; 3) A linear correspondence exists in between the performance and reliability improvements, while both are driven by the intrinsic difficulty of the task."&amp;" These findings provide informative regulations on the broad utilization of rationales and raise critical implications on the procedure of explicitly aligning language models with implicit human thoughts. Codes can be found in this anonymous link: https:/"&amp;"/anonymous.4open.science/r/rationales-CEE8.")</f>
        <v>Training language models with rationales augmentation has been shown to be beneficial in many existing works. In this paper, we identify that such a prevailing view does not hold consistently. We conduct comprehensive investigations to thoroughly inspect the impact of rationales on model performance as well as a novel perspective of model reliability. The results lead to several key findings that add new insights upon existing understandings: 1) Rationales can, at times, deteriorate model performance; 2) Rationales can, at times, improve model reliability, even outperforming their untrained counterparts; 3) A linear correspondence exists in between the performance and reliability improvements, while both are driven by the intrinsic difficulty of the task. These findings provide informative regulations on the broad utilization of rationales and raise critical implications on the procedure of explicitly aligning language models with implicit human thoughts. Codes can be found in this anonymous link: https://anonymous.4open.science/r/rationales-CEE8.</v>
      </c>
      <c r="D386" s="7" t="str">
        <f>IFERROR(__xludf.DUMMYFUNCTION("""COMPUTED_VALUE"""),"Chiwei Zhu")</f>
        <v>Chiwei Zhu</v>
      </c>
      <c r="E386" s="7" t="str">
        <f>IFERROR(__xludf.DUMMYFUNCTION("""COMPUTED_VALUE"""),"Yes")</f>
        <v>Yes</v>
      </c>
      <c r="F386" s="7" t="str">
        <f>IFERROR(__xludf.DUMMYFUNCTION("""COMPUTED_VALUE"""),"IP-Poster")</f>
        <v>IP-Poster</v>
      </c>
      <c r="G386" s="7" t="str">
        <f>IFERROR(__xludf.DUMMYFUNCTION("""COMPUTED_VALUE"""),"In-Person")</f>
        <v>In-Person</v>
      </c>
      <c r="H386" s="7" t="str">
        <f>IFERROR(__xludf.DUMMYFUNCTION("""COMPUTED_VALUE"""),"Hall 4/5")</f>
        <v>Hall 4/5</v>
      </c>
      <c r="I386" s="7" t="str">
        <f>IFERROR(__xludf.DUMMYFUNCTION("""COMPUTED_VALUE"""),"Session 5 :IP-Posters Find ")</f>
        <v>Session 5 :IP-Posters Find </v>
      </c>
      <c r="J386" s="7" t="str">
        <f>IFERROR(__xludf.DUMMYFUNCTION("""COMPUTED_VALUE"""),"Findings Posters - In-Person 1")</f>
        <v>Findings Posters - In-Person 1</v>
      </c>
      <c r="K386" s="7"/>
      <c r="L386" s="8">
        <f>IFERROR(__xludf.DUMMYFUNCTION("""COMPUTED_VALUE"""),45866.0)</f>
        <v>45866</v>
      </c>
      <c r="M386" s="7" t="str">
        <f>IFERROR(__xludf.DUMMYFUNCTION("""COMPUTED_VALUE"""),"18:00-19:30")</f>
        <v>18:00-19:30</v>
      </c>
      <c r="N386" s="7"/>
    </row>
    <row r="387">
      <c r="A387" s="7" t="str">
        <f>IFERROR(__xludf.DUMMYFUNCTION("""COMPUTED_VALUE"""),"1264-FIND")</f>
        <v>1264-FIND</v>
      </c>
      <c r="B387" s="7" t="str">
        <f>IFERROR(__xludf.DUMMYFUNCTION("""COMPUTED_VALUE"""),"CA-GAR: Context-Aware Alignment of LLM Generation for Document Retrieval")</f>
        <v>CA-GAR: Context-Aware Alignment of LLM Generation for Document Retrieval</v>
      </c>
      <c r="C387" s="7" t="str">
        <f>IFERROR(__xludf.DUMMYFUNCTION("""COMPUTED_VALUE"""),"Information retrieval has evolved from traditional sparse and dense retrieval methods to approaches driven by large language models (LLMs). Recent techniques, such as Generation-Augmented Retrieval (GAR) and Generative Document Retrieval (GDR), leverage L"&amp;"LMs to enhance retrieval but face key challenges: GAR’s generated content may not always align with the target document corpus, while GDR limits the generative capacity of LLMs by constraining outputs to predefined document identifiers. To address these i"&amp;"ssues, we propose Context-Aware Generation-Augmented Retrieval (CA-GAR), which enhances LLMs by integrating corpus information into their generation process. CA-GAR optimizes token selection by incorporating relevant document information and leverages a D"&amp;"istribution Alignment Strategy to extract corpus information using a lexicon-based approach. Experimental evaluations on seven tasks from the BEIR benchmark and four non-English languages from Mr.TyDi demonstrate that CA-GAR outperforms existing methods.")</f>
        <v>Information retrieval has evolved from traditional sparse and dense retrieval methods to approaches driven by large language models (LLMs). Recent techniques, such as Generation-Augmented Retrieval (GAR) and Generative Document Retrieval (GDR), leverage LLMs to enhance retrieval but face key challenges: GAR’s generated content may not always align with the target document corpus, while GDR limits the generative capacity of LLMs by constraining outputs to predefined document identifiers. To address these issues, we propose Context-Aware Generation-Augmented Retrieval (CA-GAR), which enhances LLMs by integrating corpus information into their generation process. CA-GAR optimizes token selection by incorporating relevant document information and leverages a Distribution Alignment Strategy to extract corpus information using a lexicon-based approach. Experimental evaluations on seven tasks from the BEIR benchmark and four non-English languages from Mr.TyDi demonstrate that CA-GAR outperforms existing methods.</v>
      </c>
      <c r="D387" s="7" t="str">
        <f>IFERROR(__xludf.DUMMYFUNCTION("""COMPUTED_VALUE"""),"Heng Yu")</f>
        <v>Heng Yu</v>
      </c>
      <c r="E387" s="7" t="str">
        <f>IFERROR(__xludf.DUMMYFUNCTION("""COMPUTED_VALUE"""),"Yes")</f>
        <v>Yes</v>
      </c>
      <c r="F387" s="7" t="str">
        <f>IFERROR(__xludf.DUMMYFUNCTION("""COMPUTED_VALUE"""),"V-Presentation")</f>
        <v>V-Presentation</v>
      </c>
      <c r="G387" s="7" t="str">
        <f>IFERROR(__xludf.DUMMYFUNCTION("""COMPUTED_VALUE"""),"Virtual/Gather")</f>
        <v>Virtual/Gather</v>
      </c>
      <c r="H387" s="7" t="str">
        <f>IFERROR(__xludf.DUMMYFUNCTION("""COMPUTED_VALUE"""),"Gather")</f>
        <v>Gather</v>
      </c>
      <c r="I387" s="7" t="str">
        <f>IFERROR(__xludf.DUMMYFUNCTION("""COMPUTED_VALUE"""),"Session5: V-Gather Find")</f>
        <v>Session5: V-Gather Find</v>
      </c>
      <c r="J387" s="7" t="str">
        <f>IFERROR(__xludf.DUMMYFUNCTION("""COMPUTED_VALUE"""),"Findings Posters - Virtual")</f>
        <v>Findings Posters - Virtual</v>
      </c>
      <c r="K387" s="7"/>
      <c r="L387" s="8">
        <f>IFERROR(__xludf.DUMMYFUNCTION("""COMPUTED_VALUE"""),45866.0)</f>
        <v>45866</v>
      </c>
      <c r="M387" s="7" t="str">
        <f>IFERROR(__xludf.DUMMYFUNCTION("""COMPUTED_VALUE"""),"18:00-19:30")</f>
        <v>18:00-19:30</v>
      </c>
      <c r="N387" s="7"/>
    </row>
    <row r="388">
      <c r="A388" s="7" t="str">
        <f>IFERROR(__xludf.DUMMYFUNCTION("""COMPUTED_VALUE"""),"1266-FIND")</f>
        <v>1266-FIND</v>
      </c>
      <c r="B388" s="7" t="str">
        <f>IFERROR(__xludf.DUMMYFUNCTION("""COMPUTED_VALUE"""),"AgentCourt: Simulating Court with Adversarial Evolvable Lawyer Agents")</f>
        <v>AgentCourt: Simulating Court with Adversarial Evolvable Lawyer Agents</v>
      </c>
      <c r="C388" s="7" t="str">
        <f>IFERROR(__xludf.DUMMYFUNCTION("""COMPUTED_VALUE"""),"Current research in LLM-based simulation systems lacks comprehensive solutions for modeling real-world court proceedings, while existing legal language models struggle with dynamic courtroom interactions. We present **AgentCourt**, a comprehensive legal s"&amp;"imulation framework that addresses these challenges through adversarial evolution of LLM-based agents. Our AgentCourt introduces a new adversarial evolutionary approach for agents called **AdvEvol**, which performs dynamic knowledge learning and evolution"&amp;" through structured adversarial interactions in a simulated courtroom program, breaking the limitations of the traditional reliance on static knowledge bases or manual annotations. By simulating 1,000 civil cases, we construct an evolving knowledge base t"&amp;"hat enhances the agents' legal reasoning abilities. The evolved lawyer agents demonstrated outstanding performance on our newly introduced **CourtBench** benchmark, achieving a 12.1% improvement in performance compared to the original lawyer agents. Evalu"&amp;"ations by professional lawyers confirm the effectiveness of our approach across three critical dimensions: cognitive agility, professional knowledge, and logical rigor. Beyond outperforming specialized legal models in interactive reasoning tasks, our find"&amp;"ings emphasize the importance of adversarial learning in legal AI and suggest promising directions for extending simulation-based legal reasoning to broader judicial and regulatory contexts.")</f>
        <v>Current research in LLM-based simulation systems lacks comprehensive solutions for modeling real-world court proceedings, while existing legal language models struggle with dynamic courtroom interactions. We present **AgentCourt**, a comprehensive legal simulation framework that addresses these challenges through adversarial evolution of LLM-based agents. Our AgentCourt introduces a new adversarial evolutionary approach for agents called **AdvEvol**, which performs dynamic knowledge learning and evolution through structured adversarial interactions in a simulated courtroom program, breaking the limitations of the traditional reliance on static knowledge bases or manual annotations. By simulating 1,000 civil cases, we construct an evolving knowledge base that enhances the agents' legal reasoning abilities. The evolved lawyer agents demonstrated outstanding performance on our newly introduced **CourtBench** benchmark, achieving a 12.1% improvement in performance compared to the original lawyer agents. Evaluations by professional lawyers confirm the effectiveness of our approach across three critical dimensions: cognitive agility, professional knowledge, and logical rigor. Beyond outperforming specialized legal models in interactive reasoning tasks, our findings emphasize the importance of adversarial learning in legal AI and suggest promising directions for extending simulation-based legal reasoning to broader judicial and regulatory contexts.</v>
      </c>
      <c r="D388" s="7" t="str">
        <f>IFERROR(__xludf.DUMMYFUNCTION("""COMPUTED_VALUE"""),"Guhong Chen, Liyang Fan")</f>
        <v>Guhong Chen, Liyang Fan</v>
      </c>
      <c r="E388" s="7" t="str">
        <f>IFERROR(__xludf.DUMMYFUNCTION("""COMPUTED_VALUE"""),"#N/A")</f>
        <v>#N/A</v>
      </c>
      <c r="F388" s="7" t="str">
        <f>IFERROR(__xludf.DUMMYFUNCTION("""COMPUTED_VALUE"""),"Not Pres. ")</f>
        <v>Not Pres. </v>
      </c>
      <c r="G388" s="7" t="str">
        <f>IFERROR(__xludf.DUMMYFUNCTION("""COMPUTED_VALUE"""),"NP Findings Not Presenting ")</f>
        <v>NP Findings Not Presenting </v>
      </c>
      <c r="H388" s="7"/>
      <c r="I388" s="7" t="str">
        <f>IFERROR(__xludf.DUMMYFUNCTION("""COMPUTED_VALUE"""),"NP-Find")</f>
        <v>NP-Find</v>
      </c>
      <c r="J388" s="7"/>
      <c r="K388" s="7"/>
      <c r="L388" s="8"/>
      <c r="M388" s="7"/>
      <c r="N388" s="7"/>
    </row>
    <row r="389">
      <c r="A389" s="7" t="str">
        <f>IFERROR(__xludf.DUMMYFUNCTION("""COMPUTED_VALUE"""),"1277-FIND")</f>
        <v>1277-FIND</v>
      </c>
      <c r="B389" s="7" t="str">
        <f>IFERROR(__xludf.DUMMYFUNCTION("""COMPUTED_VALUE"""),"MLDebugging: Towards Benchmarking Code Debugging Across Multi-Library Scenarios")</f>
        <v>MLDebugging: Towards Benchmarking Code Debugging Across Multi-Library Scenarios</v>
      </c>
      <c r="C389" s="7" t="str">
        <f>IFERROR(__xludf.DUMMYFUNCTION("""COMPUTED_VALUE"""),"Code debugging is a crucial task in software engineering, which attracts increasing attention. While remarkable success has been made in the era of large language models (LLMs), current research still focuses on the simple no-library or single-library set"&amp;"ting, ignoring the complex multi-library scenario in real-world applications. To address this limitation, we make the first attempt to introduce MLDebugging (Multi-Library Debugging), a comprehensive benchmark designed to assess debugging challenges withi"&amp;"n multi-library Python code. Specifically, MLDebugging encompasses 126 distinct Python libraries, covering a wide range of multi-library code issues, categorized into seven distinct types. Furthermore, we conduct a thorough evaluation of MLDebugging using"&amp;" both mainstream open-source and closed-source LLMs and highlight that current LLMs still struggle to correctly perform code debugging across multi-library scenarios. We hope this work can uncover the potential of LLMs in multi-library debugging scenario "&amp;"and offer insights for future research.")</f>
        <v>Code debugging is a crucial task in software engineering, which attracts increasing attention. While remarkable success has been made in the era of large language models (LLMs), current research still focuses on the simple no-library or single-library setting, ignoring the complex multi-library scenario in real-world applications. To address this limitation, we make the first attempt to introduce MLDebugging (Multi-Library Debugging), a comprehensive benchmark designed to assess debugging challenges within multi-library Python code. Specifically, MLDebugging encompasses 126 distinct Python libraries, covering a wide range of multi-library code issues, categorized into seven distinct types. Furthermore, we conduct a thorough evaluation of MLDebugging using both mainstream open-source and closed-source LLMs and highlight that current LLMs still struggle to correctly perform code debugging across multi-library scenarios. We hope this work can uncover the potential of LLMs in multi-library debugging scenario and offer insights for future research.</v>
      </c>
      <c r="D389" s="7" t="str">
        <f>IFERROR(__xludf.DUMMYFUNCTION("""COMPUTED_VALUE"""),"NA")</f>
        <v>NA</v>
      </c>
      <c r="E389" s="7" t="str">
        <f>IFERROR(__xludf.DUMMYFUNCTION("""COMPUTED_VALUE"""),"#N/A")</f>
        <v>#N/A</v>
      </c>
      <c r="F389" s="7" t="str">
        <f>IFERROR(__xludf.DUMMYFUNCTION("""COMPUTED_VALUE"""),"Not Pres. ")</f>
        <v>Not Pres. </v>
      </c>
      <c r="G389" s="7" t="str">
        <f>IFERROR(__xludf.DUMMYFUNCTION("""COMPUTED_VALUE"""),"NP Findings Not Presenting ")</f>
        <v>NP Findings Not Presenting </v>
      </c>
      <c r="H389" s="7"/>
      <c r="I389" s="7" t="str">
        <f>IFERROR(__xludf.DUMMYFUNCTION("""COMPUTED_VALUE"""),"NP-Find")</f>
        <v>NP-Find</v>
      </c>
      <c r="J389" s="7"/>
      <c r="K389" s="7"/>
      <c r="L389" s="8"/>
      <c r="M389" s="7"/>
      <c r="N389" s="7"/>
    </row>
    <row r="390">
      <c r="A390" s="7" t="str">
        <f>IFERROR(__xludf.DUMMYFUNCTION("""COMPUTED_VALUE"""),"1282-FIND")</f>
        <v>1282-FIND</v>
      </c>
      <c r="B390" s="7" t="str">
        <f>IFERROR(__xludf.DUMMYFUNCTION("""COMPUTED_VALUE"""),"An Empirical Study of LLM-as-a-Judge for LLM Evaluation: Fine-tuned Judge Model is not a General Substitute for GPT-4")</f>
        <v>An Empirical Study of LLM-as-a-Judge for LLM Evaluation: Fine-tuned Judge Model is not a General Substitute for GPT-4</v>
      </c>
      <c r="C390" s="7" t="str">
        <f>IFERROR(__xludf.DUMMYFUNCTION("""COMPUTED_VALUE"""),"Recently, there has been a growing trend of utilizing Large Language Model (LLM) to evaluate the quality of other LLMs. Many studies have fine-tuned judge models based on open-source LLMs for evaluation. While the fine-tuned judge models are claimed to ac"&amp;"hieve comparable evaluation capability with GPT-4, in this work, we conduct an empirical study of LLM-as-a-Judge. Our findings indicate that although the fine-tuned judge models achieve high performance on in-domain test sets, even surpassing GPT-4, they "&amp;"underperform GPT-4 across several dimensions, including generalizability, fairness and adaptability. We also reveal that the fine-tuned judge model inherently operates as a task-specific classifier, consequently imposing the limitations.")</f>
        <v>Recently, there has been a growing trend of utilizing Large Language Model (LLM) to evaluate the quality of other LLMs. Many studies have fine-tuned judge models based on open-source LLMs for evaluation. While the fine-tuned judge models are claimed to achieve comparable evaluation capability with GPT-4, in this work, we conduct an empirical study of LLM-as-a-Judge. Our findings indicate that although the fine-tuned judge models achieve high performance on in-domain test sets, even surpassing GPT-4, they underperform GPT-4 across several dimensions, including generalizability, fairness and adaptability. We also reveal that the fine-tuned judge model inherently operates as a task-specific classifier, consequently imposing the limitations.</v>
      </c>
      <c r="D390" s="7" t="str">
        <f>IFERROR(__xludf.DUMMYFUNCTION("""COMPUTED_VALUE"""),"Hui Huang")</f>
        <v>Hui Huang</v>
      </c>
      <c r="E390" s="7" t="str">
        <f>IFERROR(__xludf.DUMMYFUNCTION("""COMPUTED_VALUE"""),"Yes")</f>
        <v>Yes</v>
      </c>
      <c r="F390" s="7" t="str">
        <f>IFERROR(__xludf.DUMMYFUNCTION("""COMPUTED_VALUE"""),"IP-Poster")</f>
        <v>IP-Poster</v>
      </c>
      <c r="G390" s="7" t="str">
        <f>IFERROR(__xludf.DUMMYFUNCTION("""COMPUTED_VALUE"""),"In-Person")</f>
        <v>In-Person</v>
      </c>
      <c r="H390" s="7" t="str">
        <f>IFERROR(__xludf.DUMMYFUNCTION("""COMPUTED_VALUE"""),"Hall 4/5")</f>
        <v>Hall 4/5</v>
      </c>
      <c r="I390" s="7" t="str">
        <f>IFERROR(__xludf.DUMMYFUNCTION("""COMPUTED_VALUE"""),"Session 5 :IP-Posters Find ")</f>
        <v>Session 5 :IP-Posters Find </v>
      </c>
      <c r="J390" s="7" t="str">
        <f>IFERROR(__xludf.DUMMYFUNCTION("""COMPUTED_VALUE"""),"Findings Posters - In-Person 1")</f>
        <v>Findings Posters - In-Person 1</v>
      </c>
      <c r="K390" s="7"/>
      <c r="L390" s="8">
        <f>IFERROR(__xludf.DUMMYFUNCTION("""COMPUTED_VALUE"""),45866.0)</f>
        <v>45866</v>
      </c>
      <c r="M390" s="7" t="str">
        <f>IFERROR(__xludf.DUMMYFUNCTION("""COMPUTED_VALUE"""),"18:00-19:30")</f>
        <v>18:00-19:30</v>
      </c>
      <c r="N390" s="7"/>
    </row>
    <row r="391">
      <c r="A391" s="7" t="str">
        <f>IFERROR(__xludf.DUMMYFUNCTION("""COMPUTED_VALUE"""),"1286-FIND")</f>
        <v>1286-FIND</v>
      </c>
      <c r="B391" s="7" t="str">
        <f>IFERROR(__xludf.DUMMYFUNCTION("""COMPUTED_VALUE"""),"Expectation Confirmation Preference Optimization for Multi-Turn Conversational Recommendation Agent")</f>
        <v>Expectation Confirmation Preference Optimization for Multi-Turn Conversational Recommendation Agent</v>
      </c>
      <c r="C391" s="7" t="str">
        <f>IFERROR(__xludf.DUMMYFUNCTION("""COMPUTED_VALUE"""),"Recent advancements in Large Language Models (LLMs) have significantly propelled the development of Conversational Recommendation Agents (CRAs). However, these agents often generate short-sighted responses that fail to sustain user guidance and meet expec"&amp;"tations. Although preference optimization has proven effective in aligning LLMs with user expectations, it remains costly and performs poorly in multi-turn dialogue. To address this challenge, we introduce a novel multi-turn preference optimization (MTPO)"&amp;" paradigm **ECPO**, which leverages Expectation Confirmation Theory to explicitly model the evolution of user satisfaction throughout multi-turn dialogues, uncovering the underlying causes of dissatisfaction. These causes can be utilized to support target"&amp;"ed optimization of unsatisfactory responses, thereby achieving turn-level preference optimization. ECPO eliminates the significant sampling overhead of existing MTPO methods while ensuring the optimization process drives meaningful improvements. To suppor"&amp;"t ECPO, we also introduce an LLM-based user simulator, **AILO**, to simulate user feedback and expectation confirmation during conversational recommendations. Experimental results show that ECPO significantly enhances CRA's interaction capabilities, offer"&amp;"ing notable improvements in both efficiency and effectiveness over existing MTPO methods.")</f>
        <v>Recent advancements in Large Language Models (LLMs) have significantly propelled the development of Conversational Recommendation Agents (CRAs). However, these agents often generate short-sighted responses that fail to sustain user guidance and meet expectations. Although preference optimization has proven effective in aligning LLMs with user expectations, it remains costly and performs poorly in multi-turn dialogue. To address this challenge, we introduce a novel multi-turn preference optimization (MTPO) paradigm **ECPO**, which leverages Expectation Confirmation Theory to explicitly model the evolution of user satisfaction throughout multi-turn dialogues, uncovering the underlying causes of dissatisfaction. These causes can be utilized to support targeted optimization of unsatisfactory responses, thereby achieving turn-level preference optimization. ECPO eliminates the significant sampling overhead of existing MTPO methods while ensuring the optimization process drives meaningful improvements. To support ECPO, we also introduce an LLM-based user simulator, **AILO**, to simulate user feedback and expectation confirmation during conversational recommendations. Experimental results show that ECPO significantly enhances CRA's interaction capabilities, offering notable improvements in both efficiency and effectiveness over existing MTPO methods.</v>
      </c>
      <c r="D391" s="7" t="str">
        <f>IFERROR(__xludf.DUMMYFUNCTION("""COMPUTED_VALUE"""),"Xueyang Feng")</f>
        <v>Xueyang Feng</v>
      </c>
      <c r="E391" s="7" t="str">
        <f>IFERROR(__xludf.DUMMYFUNCTION("""COMPUTED_VALUE"""),"N/A")</f>
        <v>N/A</v>
      </c>
      <c r="F391" s="7" t="str">
        <f>IFERROR(__xludf.DUMMYFUNCTION("""COMPUTED_VALUE"""),"Not Pres. ")</f>
        <v>Not Pres. </v>
      </c>
      <c r="G391" s="7" t="str">
        <f>IFERROR(__xludf.DUMMYFUNCTION("""COMPUTED_VALUE"""),"NP Findings Not Presenting ")</f>
        <v>NP Findings Not Presenting </v>
      </c>
      <c r="H391" s="7"/>
      <c r="I391" s="7"/>
      <c r="J391" s="7"/>
      <c r="K391" s="7"/>
      <c r="L391" s="8"/>
      <c r="M391" s="7"/>
      <c r="N391" s="7"/>
    </row>
    <row r="392">
      <c r="A392" s="7" t="str">
        <f>IFERROR(__xludf.DUMMYFUNCTION("""COMPUTED_VALUE"""),"1289-FIND")</f>
        <v>1289-FIND</v>
      </c>
      <c r="B392" s="7" t="str">
        <f>IFERROR(__xludf.DUMMYFUNCTION("""COMPUTED_VALUE"""),"ProMedTS: A Self-Supervised, Prompt-Guided Multimodal Approach for Integrating Medical Text and Time Series")</f>
        <v>ProMedTS: A Self-Supervised, Prompt-Guided Multimodal Approach for Integrating Medical Text and Time Series</v>
      </c>
      <c r="C392" s="7" t="str">
        <f>IFERROR(__xludf.DUMMYFUNCTION("""COMPUTED_VALUE"""),"Large language models (LLMs) have shown remarkable performance in vision-language tasks, but their application in the medical field remains underexplored, particularly for integrating structured time series data with unstructured clinical notes. In clinic"&amp;"al practice, dynamic time series data, such as lab test results, capture critical temporal patterns, while clinical notes provide rich semantic context. Merging these modalities is challenging due to the inherent differences between continuous signals and"&amp;" discrete text. To bridge this gap, we introduce ProMedTS, a novel self-supervised multimodal framework that employs prompt-guided learning to unify these heterogeneous data types. Our approach leverages lightweight anomaly detection to generate anomaly c"&amp;"aptions that serve as prompts, guiding the encoding of raw time series data into informative prompt embeddings. These prompt embeddings are aligned with textual representations in a shared latent space, preserving fine-grained temporal nuances alongside s"&amp;"emantic insights. Furthermore, our framework incorporates tailored self-supervised objectives to enhance both intra- and inter-modal alignment. We evaluate ProMedTS on disease diagnosis tasks using real-world datasets, and the results demonstrate that our"&amp;" method consistently outperforms state-of-the-art approaches.")</f>
        <v>Large language models (LLMs) have shown remarkable performance in vision-language tasks, but their application in the medical field remains underexplored, particularly for integrating structured time series data with unstructured clinical notes. In clinical practice, dynamic time series data, such as lab test results, capture critical temporal patterns, while clinical notes provide rich semantic context. Merging these modalities is challenging due to the inherent differences between continuous signals and discrete text. To bridge this gap, we introduce ProMedTS, a novel self-supervised multimodal framework that employs prompt-guided learning to unify these heterogeneous data types. Our approach leverages lightweight anomaly detection to generate anomaly captions that serve as prompts, guiding the encoding of raw time series data into informative prompt embeddings. These prompt embeddings are aligned with textual representations in a shared latent space, preserving fine-grained temporal nuances alongside semantic insights. Furthermore, our framework incorporates tailored self-supervised objectives to enhance both intra- and inter-modal alignment. We evaluate ProMedTS on disease diagnosis tasks using real-world datasets, and the results demonstrate that our method consistently outperforms state-of-the-art approaches.</v>
      </c>
      <c r="D392" s="7" t="str">
        <f>IFERROR(__xludf.DUMMYFUNCTION("""COMPUTED_VALUE"""),"Xian Yang")</f>
        <v>Xian Yang</v>
      </c>
      <c r="E392" s="7" t="str">
        <f>IFERROR(__xludf.DUMMYFUNCTION("""COMPUTED_VALUE"""),"Yes")</f>
        <v>Yes</v>
      </c>
      <c r="F392" s="7" t="str">
        <f>IFERROR(__xludf.DUMMYFUNCTION("""COMPUTED_VALUE"""),"IP-Poster")</f>
        <v>IP-Poster</v>
      </c>
      <c r="G392" s="7" t="str">
        <f>IFERROR(__xludf.DUMMYFUNCTION("""COMPUTED_VALUE"""),"In-Person")</f>
        <v>In-Person</v>
      </c>
      <c r="H392" s="7" t="str">
        <f>IFERROR(__xludf.DUMMYFUNCTION("""COMPUTED_VALUE"""),"Hall 4/5")</f>
        <v>Hall 4/5</v>
      </c>
      <c r="I392" s="7" t="str">
        <f>IFERROR(__xludf.DUMMYFUNCTION("""COMPUTED_VALUE"""),"Session 5 :IP-Posters Find ")</f>
        <v>Session 5 :IP-Posters Find </v>
      </c>
      <c r="J392" s="7" t="str">
        <f>IFERROR(__xludf.DUMMYFUNCTION("""COMPUTED_VALUE"""),"Findings Posters - In-Person 1")</f>
        <v>Findings Posters - In-Person 1</v>
      </c>
      <c r="K392" s="7"/>
      <c r="L392" s="8">
        <f>IFERROR(__xludf.DUMMYFUNCTION("""COMPUTED_VALUE"""),45866.0)</f>
        <v>45866</v>
      </c>
      <c r="M392" s="7" t="str">
        <f>IFERROR(__xludf.DUMMYFUNCTION("""COMPUTED_VALUE"""),"18:00-19:30")</f>
        <v>18:00-19:30</v>
      </c>
      <c r="N392" s="7"/>
    </row>
    <row r="393">
      <c r="A393" s="7" t="str">
        <f>IFERROR(__xludf.DUMMYFUNCTION("""COMPUTED_VALUE"""),"1295-FIND")</f>
        <v>1295-FIND</v>
      </c>
      <c r="B393" s="7" t="str">
        <f>IFERROR(__xludf.DUMMYFUNCTION("""COMPUTED_VALUE"""),"CipherBank: Exploring the Boundary of LLM Reasoning Capabilities through Cryptography Challenge")</f>
        <v>CipherBank: Exploring the Boundary of LLM Reasoning Capabilities through Cryptography Challenge</v>
      </c>
      <c r="C393" s="7" t="str">
        <f>IFERROR(__xludf.DUMMYFUNCTION("""COMPUTED_VALUE"""),"Large language models (LLMs) have demonstrated remarkable capabilities, especially the recent advancements in reasoning, such as o1 and o3, pushing the boundaries of AI. Despite these impressive achievements in mathematics and coding, the reasoning abilit"&amp;"ies of LLMs in domains requiring cryptographic expertise remain underexplored. In this paper, we introduce CipherBank, a comprehensive benchmark designed to evaluate the reasoning capabilities of LLMs in cryptographic decryption tasks. CipherBank comprise"&amp;"s 2,358 meticulously crafted problems, covering 262 unique plaintexts across 5 domains and 14 subdomains, with a focus on privacy-sensitive and real-world scenarios that necessitate encryption. From a cryptographic perspective, CipherBank incorporates 3 m"&amp;"ajor categories of encryption methods, spanning \textbf{9 distinct algorithms}, ranging from classical ciphers to custom cryptographic techniques. We evaluate state-of-the-art LLMs on CipherBank, e.g., GPT-4o, DeepSeek-V3, and cutting-edge reasoning-focus"&amp;"ed models such as o1 and DeepSeek-R1. Our results reveal significant gaps in reasoning abilities not only between general-purpose chat LLMs and reasoning-focused LLMs but also in the performance of current reasoning-focused models when applied to classica"&amp;"l cryptographic decryption tasks, highlighting the challenges these models face in understanding and manipulating encrypted data. Through detailed analysis and error investigations, we provide several key observations that shed light on the limitations an"&amp;"d potential improvement areas for LLMs in cryptographic reasoning.These findings underscore the need for continuous advancements in LLM reasoning capabilities.")</f>
        <v>Large language models (LLMs) have demonstrated remarkable capabilities, especially the recent advancements in reasoning, such as o1 and o3, pushing the boundaries of AI. Despite these impressive achievements in mathematics and coding, the reasoning abilities of LLMs in domains requiring cryptographic expertise remain underexplored. In this paper, we introduce CipherBank, a comprehensive benchmark designed to evaluate the reasoning capabilities of LLMs in cryptographic decryption tasks. CipherBank comprises 2,358 meticulously crafted problems, covering 262 unique plaintexts across 5 domains and 14 subdomains, with a focus on privacy-sensitive and real-world scenarios that necessitate encryption. From a cryptographic perspective, CipherBank incorporates 3 major categories of encryption methods, spanning \textbf{9 distinct algorithms}, ranging from classical ciphers to custom cryptographic techniques. We evaluate state-of-the-art LLMs on CipherBank, e.g., GPT-4o, DeepSeek-V3, and cutting-edge reasoning-focused models such as o1 and DeepSeek-R1. Our results reveal significant gaps in reasoning abilities not only between general-purpose chat LLMs and reasoning-focused LLMs but also in the performance of current reasoning-focused models when applied to classical cryptographic decryption tasks, highlighting the challenges these models face in understanding and manipulating encrypted data. Through detailed analysis and error investigations, we provide several key observations that shed light on the limitations and potential improvement areas for LLMs in cryptographic reasoning.These findings underscore the need for continuous advancements in LLM reasoning capabilities.</v>
      </c>
      <c r="D393" s="7" t="str">
        <f>IFERROR(__xludf.DUMMYFUNCTION("""COMPUTED_VALUE"""),"Yu Li")</f>
        <v>Yu Li</v>
      </c>
      <c r="E393" s="7" t="str">
        <f>IFERROR(__xludf.DUMMYFUNCTION("""COMPUTED_VALUE"""),"Yes")</f>
        <v>Yes</v>
      </c>
      <c r="F393" s="7" t="str">
        <f>IFERROR(__xludf.DUMMYFUNCTION("""COMPUTED_VALUE"""),"IP-Poster")</f>
        <v>IP-Poster</v>
      </c>
      <c r="G393" s="7" t="str">
        <f>IFERROR(__xludf.DUMMYFUNCTION("""COMPUTED_VALUE"""),"In-Person")</f>
        <v>In-Person</v>
      </c>
      <c r="H393" s="7" t="str">
        <f>IFERROR(__xludf.DUMMYFUNCTION("""COMPUTED_VALUE"""),"Hall 4/5")</f>
        <v>Hall 4/5</v>
      </c>
      <c r="I393" s="7" t="str">
        <f>IFERROR(__xludf.DUMMYFUNCTION("""COMPUTED_VALUE"""),"Session 5 :IP-Posters Find ")</f>
        <v>Session 5 :IP-Posters Find </v>
      </c>
      <c r="J393" s="7" t="str">
        <f>IFERROR(__xludf.DUMMYFUNCTION("""COMPUTED_VALUE"""),"Findings Posters - In-Person 1")</f>
        <v>Findings Posters - In-Person 1</v>
      </c>
      <c r="K393" s="7"/>
      <c r="L393" s="8">
        <f>IFERROR(__xludf.DUMMYFUNCTION("""COMPUTED_VALUE"""),45866.0)</f>
        <v>45866</v>
      </c>
      <c r="M393" s="7" t="str">
        <f>IFERROR(__xludf.DUMMYFUNCTION("""COMPUTED_VALUE"""),"18:00-19:30")</f>
        <v>18:00-19:30</v>
      </c>
      <c r="N393" s="7"/>
    </row>
    <row r="394">
      <c r="A394" s="7" t="str">
        <f>IFERROR(__xludf.DUMMYFUNCTION("""COMPUTED_VALUE"""),"1297-FIND")</f>
        <v>1297-FIND</v>
      </c>
      <c r="B394" s="7" t="str">
        <f>IFERROR(__xludf.DUMMYFUNCTION("""COMPUTED_VALUE"""),"Which Retain Set Matters for LLM Unlearning? A Case Study on Entity Unlearning")</f>
        <v>Which Retain Set Matters for LLM Unlearning? A Case Study on Entity Unlearning</v>
      </c>
      <c r="C394" s="7" t="str">
        <f>IFERROR(__xludf.DUMMYFUNCTION("""COMPUTED_VALUE"""),"Large language models (LLMs) risk retaining unauthorized or sensitive information from their training data, which raises privacy concerns. LLM unlearning seeks to mitigate these risks by selectively removing specified data while maintaining overall model "&amp;"performance. However, most existing work focuses on methods to achieve effective forgetting and does not provide a detailed analysis of the retain set, the portion of training data that is not targeted for removal. 
In this paper, we investigate the effec"&amp;"ts of unlearning on various subsets of the retain set through a case study on entity unlearning. We introduce the Syntactically Similar Neighbor Set, a group of queries that share similar syntactic structures with the data targeted for removal, and show t"&amp;"hat this subset suffers the greatest performance drop during unlearning. Moreover, when used for regularization, this set not only preserves performance on syntactically similar queries but also delivers comparable or improved results across other data su"&amp;"bsets. Our results highlight that syntactic similarity is a critical factor, potentially more so than domain or entity relationships, in achieving effective and practical LLM unlearning.")</f>
        <v>Large language models (LLMs) risk retaining unauthorized or sensitive information from their training data, which raises privacy concerns. LLM unlearning seeks to mitigate these risks by selectively removing specified data while maintaining overall model performance. However, most existing work focuses on methods to achieve effective forgetting and does not provide a detailed analysis of the retain set, the portion of training data that is not targeted for removal. 
In this paper, we investigate the effects of unlearning on various subsets of the retain set through a case study on entity unlearning. We introduce the Syntactically Similar Neighbor Set, a group of queries that share similar syntactic structures with the data targeted for removal, and show that this subset suffers the greatest performance drop during unlearning. Moreover, when used for regularization, this set not only preserves performance on syntactically similar queries but also delivers comparable or improved results across other data subsets. Our results highlight that syntactic similarity is a critical factor, potentially more so than domain or entity relationships, in achieving effective and practical LLM unlearning.</v>
      </c>
      <c r="D394" s="7" t="str">
        <f>IFERROR(__xludf.DUMMYFUNCTION("""COMPUTED_VALUE"""),"Hwan Chang")</f>
        <v>Hwan Chang</v>
      </c>
      <c r="E394" s="7" t="str">
        <f>IFERROR(__xludf.DUMMYFUNCTION("""COMPUTED_VALUE"""),"Yes")</f>
        <v>Yes</v>
      </c>
      <c r="F394" s="7" t="str">
        <f>IFERROR(__xludf.DUMMYFUNCTION("""COMPUTED_VALUE"""),"IP-Poster")</f>
        <v>IP-Poster</v>
      </c>
      <c r="G394" s="7" t="str">
        <f>IFERROR(__xludf.DUMMYFUNCTION("""COMPUTED_VALUE"""),"In-Person")</f>
        <v>In-Person</v>
      </c>
      <c r="H394" s="7" t="str">
        <f>IFERROR(__xludf.DUMMYFUNCTION("""COMPUTED_VALUE"""),"Hall 4/5")</f>
        <v>Hall 4/5</v>
      </c>
      <c r="I394" s="7" t="str">
        <f>IFERROR(__xludf.DUMMYFUNCTION("""COMPUTED_VALUE"""),"Session 5 :IP-Posters Find ")</f>
        <v>Session 5 :IP-Posters Find </v>
      </c>
      <c r="J394" s="7" t="str">
        <f>IFERROR(__xludf.DUMMYFUNCTION("""COMPUTED_VALUE"""),"Findings Posters - In-Person 1")</f>
        <v>Findings Posters - In-Person 1</v>
      </c>
      <c r="K394" s="7"/>
      <c r="L394" s="8">
        <f>IFERROR(__xludf.DUMMYFUNCTION("""COMPUTED_VALUE"""),45866.0)</f>
        <v>45866</v>
      </c>
      <c r="M394" s="7" t="str">
        <f>IFERROR(__xludf.DUMMYFUNCTION("""COMPUTED_VALUE"""),"18:00-19:30")</f>
        <v>18:00-19:30</v>
      </c>
      <c r="N394" s="7"/>
    </row>
    <row r="395">
      <c r="A395" s="7" t="str">
        <f>IFERROR(__xludf.DUMMYFUNCTION("""COMPUTED_VALUE"""),"1299-FIND")</f>
        <v>1299-FIND</v>
      </c>
      <c r="B395" s="7" t="str">
        <f>IFERROR(__xludf.DUMMYFUNCTION("""COMPUTED_VALUE"""),"Tell Me What You Don’t Know: Enhancing Refusal Capabilities of Role-Playing Agents via Representation Space Analysis and Editing")</f>
        <v>Tell Me What You Don’t Know: Enhancing Refusal Capabilities of Role-Playing Agents via Representation Space Analysis and Editing</v>
      </c>
      <c r="C395" s="7" t="str">
        <f>IFERROR(__xludf.DUMMYFUNCTION("""COMPUTED_VALUE"""),"Role-Playing Agents (RPAs) have shown remarkable performance in various applications, yet they often struggle to recognize and appropriately respond to hard queries that conflict with their role-play knowledge. To investigate RPAs' performance when faced "&amp;"with different types of conflicting requests, we develop an evaluation benchmark that includes contextual knowledge conflicting requests, parametric knowledge conflicting requests, and non-conflicting requests to assess RPAs' ability to identify conflicts"&amp;" and refuse to answer appropriately without over-refusing. Through extensive evaluation, we find that most RPAs behave significant performance gaps toward different conflict requests. To elucidate the reasons, we conduct an in-depth representation-level a"&amp;"nalysis of RPAs under various conflict scenarios. Our findings reveal the existence of rejection regions and direct response regions within the model's forwarding representation, and thus influence the RPA's final response behavior. Therefore, we introduc"&amp;"e a lightweight representation editing approach that conveniently shifts conflicting requests to the rejection region, thereby enhancing the model's refusal accuracy. The extensive experiments validate the effectiveness of our editing method, improving RP"&amp;"As' refusal ability of conflicting requests while maintaining their general role-playing capabilities.")</f>
        <v>Role-Playing Agents (RPAs) have shown remarkable performance in various applications, yet they often struggle to recognize and appropriately respond to hard queries that conflict with their role-play knowledge. To investigate RPAs' performance when faced with different types of conflicting requests, we develop an evaluation benchmark that includes contextual knowledge conflicting requests, parametric knowledge conflicting requests, and non-conflicting requests to assess RPAs' ability to identify conflicts and refuse to answer appropriately without over-refusing. Through extensive evaluation, we find that most RPAs behave significant performance gaps toward different conflict requests. To elucidate the reasons, we conduct an in-depth representation-level analysis of RPAs under various conflict scenarios. Our findings reveal the existence of rejection regions and direct response regions within the model's forwarding representation, and thus influence the RPA's final response behavior. Therefore, we introduce a lightweight representation editing approach that conveniently shifts conflicting requests to the rejection region, thereby enhancing the model's refusal accuracy. The extensive experiments validate the effectiveness of our editing method, improving RPAs' refusal ability of conflicting requests while maintaining their general role-playing capabilities.</v>
      </c>
      <c r="D395" s="7" t="str">
        <f>IFERROR(__xludf.DUMMYFUNCTION("""COMPUTED_VALUE"""),"Wenhao Liu")</f>
        <v>Wenhao Liu</v>
      </c>
      <c r="E395" s="7" t="str">
        <f>IFERROR(__xludf.DUMMYFUNCTION("""COMPUTED_VALUE"""),"#N/A")</f>
        <v>#N/A</v>
      </c>
      <c r="F395" s="7" t="str">
        <f>IFERROR(__xludf.DUMMYFUNCTION("""COMPUTED_VALUE"""),"Not Pres. ")</f>
        <v>Not Pres. </v>
      </c>
      <c r="G395" s="7" t="str">
        <f>IFERROR(__xludf.DUMMYFUNCTION("""COMPUTED_VALUE"""),"NP Findings Not Presenting ")</f>
        <v>NP Findings Not Presenting </v>
      </c>
      <c r="H395" s="7"/>
      <c r="I395" s="7" t="str">
        <f>IFERROR(__xludf.DUMMYFUNCTION("""COMPUTED_VALUE"""),"NP-Find")</f>
        <v>NP-Find</v>
      </c>
      <c r="J395" s="7"/>
      <c r="K395" s="7"/>
      <c r="L395" s="8"/>
      <c r="M395" s="7"/>
      <c r="N395" s="7"/>
    </row>
    <row r="396">
      <c r="A396" s="7" t="str">
        <f>IFERROR(__xludf.DUMMYFUNCTION("""COMPUTED_VALUE"""),"1300-FIND")</f>
        <v>1300-FIND</v>
      </c>
      <c r="B396" s="7" t="str">
        <f>IFERROR(__xludf.DUMMYFUNCTION("""COMPUTED_VALUE"""),"LR^2Bench: Evaluating Long-chain Reflective Reasoning Capabilities of Large Language Models via Constraint Satisfaction Problems")</f>
        <v>LR^2Bench: Evaluating Long-chain Reflective Reasoning Capabilities of Large Language Models via Constraint Satisfaction Problems</v>
      </c>
      <c r="C396" s="7" t="str">
        <f>IFERROR(__xludf.DUMMYFUNCTION("""COMPUTED_VALUE"""),"Recent progress in Large Reasoning Models (LRMs) has significantly enhanced the reasoning abilities of Large Language Models (LLMs), empowering them to tackle increasingly complex tasks through reflection capabilities, such as making assumptions, backtrac"&amp;"king, and self-refinement. However, effectively evaluating such reflection capabilities remains challenging due to the lack of appropriate benchmarks. To bridge this gap, we introduce LR2Bench, a novel benchmark designed to evaluate the Long-chain Reflect"&amp;"ive Reasoning capabilities of LLMs. LR2Bench comprises 850 samples across six Constraint Satisfaction Problems (CSPs) where reflective reasoning is crucial for deriving solutions that meet all given constraints. Each type of task focuses on distinct const"&amp;"raint patterns, such as knowledge-based, logical, and spatial constraints, providing a comprehensive evaluation of diverse problem-solving scenarios. Our extensive evaluation on both conventional LLMs and LRMs reveals that even the most advanced LRMs, suc"&amp;"h as DeepSeek-R1 and OpenAI o1-preview, struggle with tasks in LR2Bench, achieving an average Exact Match score of only 20.0% and 23.6%, respectively. These findings underscore the significant room for improvement in the reflective reasoning capabilities "&amp;"of current LLMs.")</f>
        <v>Recent progress in Large Reasoning Models (LRMs) has significantly enhanced the reasoning abilities of Large Language Models (LLMs), empowering them to tackle increasingly complex tasks through reflection capabilities, such as making assumptions, backtracking, and self-refinement. However, effectively evaluating such reflection capabilities remains challenging due to the lack of appropriate benchmarks. To bridge this gap, we introduce LR2Bench, a novel benchmark designed to evaluate the Long-chain Reflective Reasoning capabilities of LLMs. LR2Bench comprises 850 samples across six Constraint Satisfaction Problems (CSPs) where reflective reasoning is crucial for deriving solutions that meet all given constraints. Each type of task focuses on distinct constraint patterns, such as knowledge-based, logical, and spatial constraints, providing a comprehensive evaluation of diverse problem-solving scenarios. Our extensive evaluation on both conventional LLMs and LRMs reveals that even the most advanced LRMs, such as DeepSeek-R1 and OpenAI o1-preview, struggle with tasks in LR2Bench, achieving an average Exact Match score of only 20.0% and 23.6%, respectively. These findings underscore the significant room for improvement in the reflective reasoning capabilities of current LLMs.</v>
      </c>
      <c r="D396" s="7" t="str">
        <f>IFERROR(__xludf.DUMMYFUNCTION("""COMPUTED_VALUE"""),"Jianghao Chen")</f>
        <v>Jianghao Chen</v>
      </c>
      <c r="E396" s="7" t="str">
        <f>IFERROR(__xludf.DUMMYFUNCTION("""COMPUTED_VALUE"""),"Yes")</f>
        <v>Yes</v>
      </c>
      <c r="F396" s="7" t="str">
        <f>IFERROR(__xludf.DUMMYFUNCTION("""COMPUTED_VALUE"""),"Not Pres. ")</f>
        <v>Not Pres. </v>
      </c>
      <c r="G396" s="7" t="str">
        <f>IFERROR(__xludf.DUMMYFUNCTION("""COMPUTED_VALUE"""),"NP Findings Not Presenting ")</f>
        <v>NP Findings Not Presenting </v>
      </c>
      <c r="H396" s="7"/>
      <c r="I396" s="7"/>
      <c r="J396" s="7"/>
      <c r="K396" s="7"/>
      <c r="L396" s="8"/>
      <c r="M396" s="7"/>
      <c r="N396" s="7"/>
    </row>
    <row r="397">
      <c r="A397" s="7" t="str">
        <f>IFERROR(__xludf.DUMMYFUNCTION("""COMPUTED_VALUE"""),"1309-FIND")</f>
        <v>1309-FIND</v>
      </c>
      <c r="B397" s="7" t="str">
        <f>IFERROR(__xludf.DUMMYFUNCTION("""COMPUTED_VALUE"""),"McBE: A Multi-task Chinese Bias Evaluation Benchmark for Large Language Models")</f>
        <v>McBE: A Multi-task Chinese Bias Evaluation Benchmark for Large Language Models</v>
      </c>
      <c r="C397" s="7" t="str">
        <f>IFERROR(__xludf.DUMMYFUNCTION("""COMPUTED_VALUE"""),"As large language models (LLMs) are increasingly applied to various NLP tasks, their inherent biases are gradually disclosed. Therefore, measuring biases in LLMs is crucial to mitigate its ethical risks. However, most existing bias evaluation datasets are"&amp;" focus on English and
North American culture, and their bias categories are not fully applicable to other cultures. The datasets grounded in the Chinese language and culture are scarce. More importantly, these datasets usually only support single evaluati"&amp;"on task and cannot evaluate the bias from multiple aspects in LLMs. To address these issues, we present a Multi-task Chinese Bias Evaluation Benchmark (McBE) that includes 4,077 bias evaluation instances, covering 12 single bias categories, 82 subcategori"&amp;"es and introducing 5 evaluation tasks, providing extensive category coverage, content diversity, and measuring comprehensiveness. Additionally, we evaluate several popular LLMs from different series and with parameter sizes. In general, all these LLMs dem"&amp;"onstrated varying degrees of bias. We conduct an in-depth analysis of results, offering novel insights into bias in LLMs.")</f>
        <v>As large language models (LLMs) are increasingly applied to various NLP tasks, their inherent biases are gradually disclosed. Therefore, measuring biases in LLMs is crucial to mitigate its ethical risks. However, most existing bias evaluation datasets are focus on English and
North American culture, and their bias categories are not fully applicable to other cultures. The datasets grounded in the Chinese language and culture are scarce. More importantly, these datasets usually only support single evaluation task and cannot evaluate the bias from multiple aspects in LLMs. To address these issues, we present a Multi-task Chinese Bias Evaluation Benchmark (McBE) that includes 4,077 bias evaluation instances, covering 12 single bias categories, 82 subcategories and introducing 5 evaluation tasks, providing extensive category coverage, content diversity, and measuring comprehensiveness. Additionally, we evaluate several popular LLMs from different series and with parameter sizes. In general, all these LLMs demonstrated varying degrees of bias. We conduct an in-depth analysis of results, offering novel insights into bias in LLMs.</v>
      </c>
      <c r="D397" s="7" t="str">
        <f>IFERROR(__xludf.DUMMYFUNCTION("""COMPUTED_VALUE"""),"Tian Lan")</f>
        <v>Tian Lan</v>
      </c>
      <c r="E397" s="7" t="str">
        <f>IFERROR(__xludf.DUMMYFUNCTION("""COMPUTED_VALUE"""),"Yes")</f>
        <v>Yes</v>
      </c>
      <c r="F397" s="7" t="str">
        <f>IFERROR(__xludf.DUMMYFUNCTION("""COMPUTED_VALUE"""),"IP-Poster")</f>
        <v>IP-Poster</v>
      </c>
      <c r="G397" s="7" t="str">
        <f>IFERROR(__xludf.DUMMYFUNCTION("""COMPUTED_VALUE"""),"In-Person")</f>
        <v>In-Person</v>
      </c>
      <c r="H397" s="7" t="str">
        <f>IFERROR(__xludf.DUMMYFUNCTION("""COMPUTED_VALUE"""),"Hall 4/5")</f>
        <v>Hall 4/5</v>
      </c>
      <c r="I397" s="7" t="str">
        <f>IFERROR(__xludf.DUMMYFUNCTION("""COMPUTED_VALUE"""),"Session 5 :IP-Posters Find ")</f>
        <v>Session 5 :IP-Posters Find </v>
      </c>
      <c r="J397" s="7" t="str">
        <f>IFERROR(__xludf.DUMMYFUNCTION("""COMPUTED_VALUE"""),"Findings Posters - In-Person 1")</f>
        <v>Findings Posters - In-Person 1</v>
      </c>
      <c r="K397" s="7"/>
      <c r="L397" s="8">
        <f>IFERROR(__xludf.DUMMYFUNCTION("""COMPUTED_VALUE"""),45866.0)</f>
        <v>45866</v>
      </c>
      <c r="M397" s="7" t="str">
        <f>IFERROR(__xludf.DUMMYFUNCTION("""COMPUTED_VALUE"""),"18:00-19:30")</f>
        <v>18:00-19:30</v>
      </c>
      <c r="N397" s="7"/>
    </row>
    <row r="398">
      <c r="A398" s="7" t="str">
        <f>IFERROR(__xludf.DUMMYFUNCTION("""COMPUTED_VALUE"""),"1313-FIND")</f>
        <v>1313-FIND</v>
      </c>
      <c r="B398" s="7" t="str">
        <f>IFERROR(__xludf.DUMMYFUNCTION("""COMPUTED_VALUE"""),"MARK: Multi-agent Collaboration with Ranking Guidance for Text-attributed Graph Clustering")</f>
        <v>MARK: Multi-agent Collaboration with Ranking Guidance for Text-attributed Graph Clustering</v>
      </c>
      <c r="C398" s="7" t="str">
        <f>IFERROR(__xludf.DUMMYFUNCTION("""COMPUTED_VALUE"""),"This paper studies the problem of text-attributed graph clustering, which aims to cluster each node into different groups using both textual attributes and structural information. Although graph neural networks (GNNs) have been proposed to solve this prob"&amp;"lem, their performance is usually limited when uncertain nodes are near the cluster boundaries due to label scarcity. In this paper, we introduce a new perspective of leveraging large language models (LLMs) to enhance text-attributed graph clustering and "&amp;"develop a novel approach named Multi-agent Collaboration with Ranking Guidance (MARK). The core of our MARK is to generate reliable guidance using the collaboration of three LLM-based agents as ranking-based supervision signals. In particular, we first co"&amp;"nduct the coarse graph clustering, and utilize a concept agent to induce the semantics of each cluster. Then, we infer the robustness under perturbations to identify uncertain nodes and use a generation agent to produce synthetic text that closely aligns "&amp;"with their topology. An inference agent is adopted to provide the ranking semantics for each uncertain node in comparison to its synthetic counterpart. The consistent feedback between uncertain and synthetic texts is identified as reliable guidance for fi"&amp;"ne-tuning the clustering model within a ranking-based supervision objective. Experimental results on various benchmark datasets validate the effectiveness of the proposed MARK compared with competing baselines. Python implementation is available at https:"&amp;"//anonymous.4open.science/r/MARK-C4F5/ .")</f>
        <v>This paper studies the problem of text-attributed graph clustering, which aims to cluster each node into different groups using both textual attributes and structural information. Although graph neural networks (GNNs) have been proposed to solve this problem, their performance is usually limited when uncertain nodes are near the cluster boundaries due to label scarcity. In this paper, we introduce a new perspective of leveraging large language models (LLMs) to enhance text-attributed graph clustering and develop a novel approach named Multi-agent Collaboration with Ranking Guidance (MARK). The core of our MARK is to generate reliable guidance using the collaboration of three LLM-based agents as ranking-based supervision signals. In particular, we first conduct the coarse graph clustering, and utilize a concept agent to induce the semantics of each cluster. Then, we infer the robustness under perturbations to identify uncertain nodes and use a generation agent to produce synthetic text that closely aligns with their topology. An inference agent is adopted to provide the ranking semantics for each uncertain node in comparison to its synthetic counterpart. The consistent feedback between uncertain and synthetic texts is identified as reliable guidance for fine-tuning the clustering model within a ranking-based supervision objective. Experimental results on various benchmark datasets validate the effectiveness of the proposed MARK compared with competing baselines. Python implementation is available at https://anonymous.4open.science/r/MARK-C4F5/ .</v>
      </c>
      <c r="D398" s="7" t="str">
        <f>IFERROR(__xludf.DUMMYFUNCTION("""COMPUTED_VALUE"""),"I do not plan to present.")</f>
        <v>I do not plan to present.</v>
      </c>
      <c r="E398" s="7" t="str">
        <f>IFERROR(__xludf.DUMMYFUNCTION("""COMPUTED_VALUE"""),"#N/A")</f>
        <v>#N/A</v>
      </c>
      <c r="F398" s="7" t="str">
        <f>IFERROR(__xludf.DUMMYFUNCTION("""COMPUTED_VALUE"""),"Not Pres. ")</f>
        <v>Not Pres. </v>
      </c>
      <c r="G398" s="7" t="str">
        <f>IFERROR(__xludf.DUMMYFUNCTION("""COMPUTED_VALUE"""),"NP Findings Not Presenting ")</f>
        <v>NP Findings Not Presenting </v>
      </c>
      <c r="H398" s="7"/>
      <c r="I398" s="7" t="str">
        <f>IFERROR(__xludf.DUMMYFUNCTION("""COMPUTED_VALUE"""),"NP-Find")</f>
        <v>NP-Find</v>
      </c>
      <c r="J398" s="7"/>
      <c r="K398" s="7"/>
      <c r="L398" s="8"/>
      <c r="M398" s="7"/>
      <c r="N398" s="7"/>
    </row>
    <row r="399">
      <c r="A399" s="7" t="str">
        <f>IFERROR(__xludf.DUMMYFUNCTION("""COMPUTED_VALUE"""),"1314-FIND")</f>
        <v>1314-FIND</v>
      </c>
      <c r="B399" s="7" t="str">
        <f>IFERROR(__xludf.DUMMYFUNCTION("""COMPUTED_VALUE"""),"Can Language Models Capture Human Writing Preferences on Text Summarization?")</f>
        <v>Can Language Models Capture Human Writing Preferences on Text Summarization?</v>
      </c>
      <c r="C399" s="7" t="str">
        <f>IFERROR(__xludf.DUMMYFUNCTION("""COMPUTED_VALUE"""),"With the popularity of large language models and their high-quality text generation capabilities, researchers are using them as auxiliary tools for text summary writing. Although summaries generated by these large language models are smooth and capture ke"&amp;"y information sufficiently, the quality of their output depends on the prompt, and the generated text is somewhat procedural to a certain extent. We construct LecSumm to verify whether language models truly capture human writing preferences, in which we r"&amp;"ecruit 200 college students to write summaries for lecture notes on ten different machine-learning topics and analyze writing preferences in real-world human summary through the dimensions of length, content depth, tongue &amp; style and summary format. We de"&amp;"fine the method of capturing human writing preferences by language models as fine-tuning pre-trained models with data and designing prompts to optimize the output of large language models. By translating the analyzed human writing preferences into prompts"&amp;" and conducting a series of experiments, the results show that both models still fall short of effectively capturing human writing preferences. Our LecSumm dataset brings new challenges to fine-tuned and prompt-based large language models on the task of h"&amp;"uman-centered text summarization.")</f>
        <v>With the popularity of large language models and their high-quality text generation capabilities, researchers are using them as auxiliary tools for text summary writing. Although summaries generated by these large language models are smooth and capture key information sufficiently, the quality of their output depends on the prompt, and the generated text is somewhat procedural to a certain extent. We construct LecSumm to verify whether language models truly capture human writing preferences, in which we recruit 200 college students to write summaries for lecture notes on ten different machine-learning topics and analyze writing preferences in real-world human summary through the dimensions of length, content depth, tongue &amp; style and summary format. We define the method of capturing human writing preferences by language models as fine-tuning pre-trained models with data and designing prompts to optimize the output of large language models. By translating the analyzed human writing preferences into prompts and conducting a series of experiments, the results show that both models still fall short of effectively capturing human writing preferences. Our LecSumm dataset brings new challenges to fine-tuned and prompt-based large language models on the task of human-centered text summarization.</v>
      </c>
      <c r="D399" s="7" t="str">
        <f>IFERROR(__xludf.DUMMYFUNCTION("""COMPUTED_VALUE"""),"Jingbao Luo")</f>
        <v>Jingbao Luo</v>
      </c>
      <c r="E399" s="7" t="str">
        <f>IFERROR(__xludf.DUMMYFUNCTION("""COMPUTED_VALUE"""),"Yes")</f>
        <v>Yes</v>
      </c>
      <c r="F399" s="7" t="str">
        <f>IFERROR(__xludf.DUMMYFUNCTION("""COMPUTED_VALUE"""),"IP-Poster")</f>
        <v>IP-Poster</v>
      </c>
      <c r="G399" s="7" t="str">
        <f>IFERROR(__xludf.DUMMYFUNCTION("""COMPUTED_VALUE"""),"In-Person")</f>
        <v>In-Person</v>
      </c>
      <c r="H399" s="7" t="str">
        <f>IFERROR(__xludf.DUMMYFUNCTION("""COMPUTED_VALUE"""),"Hall 4/5")</f>
        <v>Hall 4/5</v>
      </c>
      <c r="I399" s="7" t="str">
        <f>IFERROR(__xludf.DUMMYFUNCTION("""COMPUTED_VALUE"""),"Session 5 :IP-Posters Find ")</f>
        <v>Session 5 :IP-Posters Find </v>
      </c>
      <c r="J399" s="7" t="str">
        <f>IFERROR(__xludf.DUMMYFUNCTION("""COMPUTED_VALUE"""),"Findings Posters - In-Person 1")</f>
        <v>Findings Posters - In-Person 1</v>
      </c>
      <c r="K399" s="7"/>
      <c r="L399" s="8">
        <f>IFERROR(__xludf.DUMMYFUNCTION("""COMPUTED_VALUE"""),45866.0)</f>
        <v>45866</v>
      </c>
      <c r="M399" s="7" t="str">
        <f>IFERROR(__xludf.DUMMYFUNCTION("""COMPUTED_VALUE"""),"18:00-19:30")</f>
        <v>18:00-19:30</v>
      </c>
      <c r="N399" s="7"/>
    </row>
    <row r="400">
      <c r="A400" s="7" t="str">
        <f>IFERROR(__xludf.DUMMYFUNCTION("""COMPUTED_VALUE"""),"1315-FIND")</f>
        <v>1315-FIND</v>
      </c>
      <c r="B400" s="7" t="str">
        <f>IFERROR(__xludf.DUMMYFUNCTION("""COMPUTED_VALUE"""),"Mitigate Position Bias in LLMs via Scaling a Single Hidden States Channel")</f>
        <v>Mitigate Position Bias in LLMs via Scaling a Single Hidden States Channel</v>
      </c>
      <c r="C400" s="7" t="str">
        <f>IFERROR(__xludf.DUMMYFUNCTION("""COMPUTED_VALUE"""),"Long-context language models (LCLMs) can process long context, but still exhibit position bias, also known as ""lost in the middle"", which indicates placing key information in the middle of the context will significantly affect performance. To mitigating"&amp;" this, we first explore the micro-level manifestations of position bias, concluding that attention weights are a micro-level expression of position bias. Then we identify that, in addition to position embeddings, positional information in hidden states al"&amp;"so contributes to position bias, and it manifests itself in specific channels of hidden states, called positional hidden states. Based on these, we propose a method to mitigate position bias by scaling positional hidden states. Experiments on NaturalQuest"&amp;"ions Multi-document QA, KV retrieval and LongBench, using various models including RoPE models, context window-extended models, and Alibi models, demonstrate the effectiveness and generalizability of our approach. Our method can improve performance by up "&amp;"to 15.2% in ""lost in the middle"" benchmark by modifying just one channel of hidden states. 
Our code is available at https://aka.ms/PositionalHidden.")</f>
        <v>Long-context language models (LCLMs) can process long context, but still exhibit position bias, also known as "lost in the middle", which indicates placing key information in the middle of the context will significantly affect performance. To mitigating this, we first explore the micro-level manifestations of position bias, concluding that attention weights are a micro-level expression of position bias. Then we identify that, in addition to position embeddings, positional information in hidden states also contributes to position bias, and it manifests itself in specific channels of hidden states, called positional hidden states. Based on these, we propose a method to mitigate position bias by scaling positional hidden states. Experiments on NaturalQuestions Multi-document QA, KV retrieval and LongBench, using various models including RoPE models, context window-extended models, and Alibi models, demonstrate the effectiveness and generalizability of our approach. Our method can improve performance by up to 15.2% in "lost in the middle" benchmark by modifying just one channel of hidden states. 
Our code is available at https://aka.ms/PositionalHidden.</v>
      </c>
      <c r="D400" s="7" t="str">
        <f>IFERROR(__xludf.DUMMYFUNCTION("""COMPUTED_VALUE"""),"N/A")</f>
        <v>N/A</v>
      </c>
      <c r="E400" s="7" t="str">
        <f>IFERROR(__xludf.DUMMYFUNCTION("""COMPUTED_VALUE"""),"#N/A")</f>
        <v>#N/A</v>
      </c>
      <c r="F400" s="7" t="str">
        <f>IFERROR(__xludf.DUMMYFUNCTION("""COMPUTED_VALUE"""),"Not Pres. ")</f>
        <v>Not Pres. </v>
      </c>
      <c r="G400" s="7" t="str">
        <f>IFERROR(__xludf.DUMMYFUNCTION("""COMPUTED_VALUE"""),"NP Findings Not Presenting ")</f>
        <v>NP Findings Not Presenting </v>
      </c>
      <c r="H400" s="7"/>
      <c r="I400" s="7" t="str">
        <f>IFERROR(__xludf.DUMMYFUNCTION("""COMPUTED_VALUE"""),"NP-Find")</f>
        <v>NP-Find</v>
      </c>
      <c r="J400" s="7"/>
      <c r="K400" s="7"/>
      <c r="L400" s="8"/>
      <c r="M400" s="7"/>
      <c r="N400" s="7"/>
    </row>
    <row r="401">
      <c r="A401" s="7" t="str">
        <f>IFERROR(__xludf.DUMMYFUNCTION("""COMPUTED_VALUE"""),"1316-FIND")</f>
        <v>1316-FIND</v>
      </c>
      <c r="B401" s="7" t="str">
        <f>IFERROR(__xludf.DUMMYFUNCTION("""COMPUTED_VALUE"""),"Self-attention-based Graph-of-Thought for Math Problem Solving")</f>
        <v>Self-attention-based Graph-of-Thought for Math Problem Solving</v>
      </c>
      <c r="C401" s="7" t="str">
        <f>IFERROR(__xludf.DUMMYFUNCTION("""COMPUTED_VALUE"""),"Applying Large Language Models (LLM) to solve math problems is one of the hottest research topics at present. Traditional Chain-of-Thought-based methods typically generate the reasoning path in a chain structure, leading to unnecessary interference caused"&amp;" by non-zero self-attention among weakly related reasoning steps. Such a setting also differs from humans' typical graph-structured reasoning habit (with an inter-step relationship graph in mind). To solve the problem, this paper proposes a novel decoding"&amp;" method for Transformer-based LLM, named Self-attention-based Graph-of-Thought (SaGoT). SaGoT constructs a thought graph simultaneously as an LLM inference (based on a newly defined inter-step self-attention indicator), and generates reasoning steps with "&amp;"a novel graph-structured self-attention mechanism. It is a significant contribution for SaGoT to enable an LLM's graph-like reasoning ability by modifying its inner working operations, compared to SOTA prompting methods that are ex-post, rely on huge LLMs"&amp;" and redundant reasoning step generation to form a graph (inefficient \&amp; non-human-like). In addition, SaGoT is a training-free technique that can be seamlessly incorporated into pre-trained Transformer-based LLMs. Our experimental results have shown that"&amp;" SaGoT could significantly enhance mathematical reasoning accuracy without the reliance on huge computationally over-expensive LLMs. It also avoids SOTA methods' performance degradation issues when the LLM is too small to comprehend complex prompts. Moreo"&amp;"ver, SaGoT integrates intrinsic interpretability into the LLM’s reasoning procedure, intuitively assisting humans in understanding how an LLM views the relationships among its reasoning steps, and why the LLM succeeds or fails.")</f>
        <v>Applying Large Language Models (LLM) to solve math problems is one of the hottest research topics at present. Traditional Chain-of-Thought-based methods typically generate the reasoning path in a chain structure, leading to unnecessary interference caused by non-zero self-attention among weakly related reasoning steps. Such a setting also differs from humans' typical graph-structured reasoning habit (with an inter-step relationship graph in mind). To solve the problem, this paper proposes a novel decoding method for Transformer-based LLM, named Self-attention-based Graph-of-Thought (SaGoT). SaGoT constructs a thought graph simultaneously as an LLM inference (based on a newly defined inter-step self-attention indicator), and generates reasoning steps with a novel graph-structured self-attention mechanism. It is a significant contribution for SaGoT to enable an LLM's graph-like reasoning ability by modifying its inner working operations, compared to SOTA prompting methods that are ex-post, rely on huge LLMs and redundant reasoning step generation to form a graph (inefficient \&amp; non-human-like). In addition, SaGoT is a training-free technique that can be seamlessly incorporated into pre-trained Transformer-based LLMs. Our experimental results have shown that SaGoT could significantly enhance mathematical reasoning accuracy without the reliance on huge computationally over-expensive LLMs. It also avoids SOTA methods' performance degradation issues when the LLM is too small to comprehend complex prompts. Moreover, SaGoT integrates intrinsic interpretability into the LLM’s reasoning procedure, intuitively assisting humans in understanding how an LLM views the relationships among its reasoning steps, and why the LLM succeeds or fails.</v>
      </c>
      <c r="D401" s="7" t="str">
        <f>IFERROR(__xludf.DUMMYFUNCTION("""COMPUTED_VALUE"""),"Ruiqiao Bai")</f>
        <v>Ruiqiao Bai</v>
      </c>
      <c r="E401" s="7" t="str">
        <f>IFERROR(__xludf.DUMMYFUNCTION("""COMPUTED_VALUE"""),"Yes")</f>
        <v>Yes</v>
      </c>
      <c r="F401" s="7" t="str">
        <f>IFERROR(__xludf.DUMMYFUNCTION("""COMPUTED_VALUE"""),"IP-Poster")</f>
        <v>IP-Poster</v>
      </c>
      <c r="G401" s="7" t="str">
        <f>IFERROR(__xludf.DUMMYFUNCTION("""COMPUTED_VALUE"""),"In-Person")</f>
        <v>In-Person</v>
      </c>
      <c r="H401" s="7" t="str">
        <f>IFERROR(__xludf.DUMMYFUNCTION("""COMPUTED_VALUE"""),"Hall 4/5")</f>
        <v>Hall 4/5</v>
      </c>
      <c r="I401" s="7" t="str">
        <f>IFERROR(__xludf.DUMMYFUNCTION("""COMPUTED_VALUE"""),"Session 5 :IP-Posters Find ")</f>
        <v>Session 5 :IP-Posters Find </v>
      </c>
      <c r="J401" s="7" t="str">
        <f>IFERROR(__xludf.DUMMYFUNCTION("""COMPUTED_VALUE"""),"Findings Posters - In-Person 1")</f>
        <v>Findings Posters - In-Person 1</v>
      </c>
      <c r="K401" s="7"/>
      <c r="L401" s="8">
        <f>IFERROR(__xludf.DUMMYFUNCTION("""COMPUTED_VALUE"""),45866.0)</f>
        <v>45866</v>
      </c>
      <c r="M401" s="7" t="str">
        <f>IFERROR(__xludf.DUMMYFUNCTION("""COMPUTED_VALUE"""),"18:00-19:30")</f>
        <v>18:00-19:30</v>
      </c>
      <c r="N401" s="7"/>
    </row>
    <row r="402">
      <c r="A402" s="7" t="str">
        <f>IFERROR(__xludf.DUMMYFUNCTION("""COMPUTED_VALUE"""),"1317-FIND")</f>
        <v>1317-FIND</v>
      </c>
      <c r="B402" s="7" t="str">
        <f>IFERROR(__xludf.DUMMYFUNCTION("""COMPUTED_VALUE"""),"BAR: A Backward Reasoning based Agent for Complex Minecraft Tasks")</f>
        <v>BAR: A Backward Reasoning based Agent for Complex Minecraft Tasks</v>
      </c>
      <c r="C402" s="7" t="str">
        <f>IFERROR(__xludf.DUMMYFUNCTION("""COMPUTED_VALUE"""),"Large language model (LLM) based agents have shown great potential in following human instructions and automatically completing various tasks. To complete a task, the agent needs to decompose it into easily executed steps by planning. Existing studies mai"&amp;"nly conduct the planning by inferring what steps should be executed next starting from the agent's initial state. However, this forward reasoning paradigm doesn't work well for complex tasks. We propose to study this issue in Minecraft, a virtual environm"&amp;"ent that simulates complex tasks based on real-world scenarios. We believe that the failure of forward reasoning is caused by the big perception gap between the agent's initial state and task goal. To this end, we leverage backward reasoning and make the "&amp;"planning starting from the terminal state, which can directly achieve the task goal in one step. Specifically, we design a backward reasoning based agent (BAR). It is equipped with a recursive goal decomposition module, a state consistency maintaining mod"&amp;"ule and a stage memory module to make robust, consistent, and efficient planning starting from the terminal state. Experimental results demonstrate the superiority of BAR over existing methods and the effectiveness of proposed modules.")</f>
        <v>Large language model (LLM) based agents have shown great potential in following human instructions and automatically completing various tasks. To complete a task, the agent needs to decompose it into easily executed steps by planning. Existing studies mainly conduct the planning by inferring what steps should be executed next starting from the agent's initial state. However, this forward reasoning paradigm doesn't work well for complex tasks. We propose to study this issue in Minecraft, a virtual environment that simulates complex tasks based on real-world scenarios. We believe that the failure of forward reasoning is caused by the big perception gap between the agent's initial state and task goal. To this end, we leverage backward reasoning and make the planning starting from the terminal state, which can directly achieve the task goal in one step. Specifically, we design a backward reasoning based agent (BAR). It is equipped with a recursive goal decomposition module, a state consistency maintaining module and a stage memory module to make robust, consistent, and efficient planning starting from the terminal state. Experimental results demonstrate the superiority of BAR over existing methods and the effectiveness of proposed modules.</v>
      </c>
      <c r="D402" s="7" t="str">
        <f>IFERROR(__xludf.DUMMYFUNCTION("""COMPUTED_VALUE"""),"WeihongDu")</f>
        <v>WeihongDu</v>
      </c>
      <c r="E402" s="7" t="str">
        <f>IFERROR(__xludf.DUMMYFUNCTION("""COMPUTED_VALUE"""),"Yes")</f>
        <v>Yes</v>
      </c>
      <c r="F402" s="7" t="str">
        <f>IFERROR(__xludf.DUMMYFUNCTION("""COMPUTED_VALUE"""),"IP-Poster")</f>
        <v>IP-Poster</v>
      </c>
      <c r="G402" s="7" t="str">
        <f>IFERROR(__xludf.DUMMYFUNCTION("""COMPUTED_VALUE"""),"In-Person")</f>
        <v>In-Person</v>
      </c>
      <c r="H402" s="7" t="str">
        <f>IFERROR(__xludf.DUMMYFUNCTION("""COMPUTED_VALUE"""),"Hall 4/5")</f>
        <v>Hall 4/5</v>
      </c>
      <c r="I402" s="7" t="str">
        <f>IFERROR(__xludf.DUMMYFUNCTION("""COMPUTED_VALUE"""),"Session 5 :IP-Posters Find ")</f>
        <v>Session 5 :IP-Posters Find </v>
      </c>
      <c r="J402" s="7" t="str">
        <f>IFERROR(__xludf.DUMMYFUNCTION("""COMPUTED_VALUE"""),"Findings Posters - In-Person 1")</f>
        <v>Findings Posters - In-Person 1</v>
      </c>
      <c r="K402" s="7"/>
      <c r="L402" s="8">
        <f>IFERROR(__xludf.DUMMYFUNCTION("""COMPUTED_VALUE"""),45866.0)</f>
        <v>45866</v>
      </c>
      <c r="M402" s="7" t="str">
        <f>IFERROR(__xludf.DUMMYFUNCTION("""COMPUTED_VALUE"""),"18:00-19:30")</f>
        <v>18:00-19:30</v>
      </c>
      <c r="N402" s="7"/>
    </row>
    <row r="403">
      <c r="A403" s="7" t="str">
        <f>IFERROR(__xludf.DUMMYFUNCTION("""COMPUTED_VALUE"""),"1319-FIND")</f>
        <v>1319-FIND</v>
      </c>
      <c r="B403" s="7" t="str">
        <f>IFERROR(__xludf.DUMMYFUNCTION("""COMPUTED_VALUE"""),"KAPA: A Deliberative Agent Framework with Tree-Structured Knowledge Base for Multi-Domain User Intent Understanding")</f>
        <v>KAPA: A Deliberative Agent Framework with Tree-Structured Knowledge Base for Multi-Domain User Intent Understanding</v>
      </c>
      <c r="C403" s="7" t="str">
        <f>IFERROR(__xludf.DUMMYFUNCTION("""COMPUTED_VALUE"""),"Dialogue assistants have become ubiquitous in modern applications, fundamentally reshaping human daily communication patterns and information access behaviors. In real-world conversational interactions, however, user queries are often volatile, ambiguous,"&amp;" and diverse, making it difficult accurately and efficiently grasp the user's underlying intentions. To address this challenge, we propose a simple yet effective deliberative agent framework that leverages human thought process to build high-level domain "&amp;"knowledge. To further achieve efficient knowledge accumulation and retrieval, we design a tree-structured knowledge base to store refined experience and data. Moreover, we construct a new benchmark, User-Intent-Understanding (UIU), which covers multi-doma"&amp;"in, multi-tone, and sequential multi-turn personalized user queries. Extensive experiments demonstrate the effectiveness of our proposed method across multi-step evaluations.")</f>
        <v>Dialogue assistants have become ubiquitous in modern applications, fundamentally reshaping human daily communication patterns and information access behaviors. In real-world conversational interactions, however, user queries are often volatile, ambiguous, and diverse, making it difficult accurately and efficiently grasp the user's underlying intentions. To address this challenge, we propose a simple yet effective deliberative agent framework that leverages human thought process to build high-level domain knowledge. To further achieve efficient knowledge accumulation and retrieval, we design a tree-structured knowledge base to store refined experience and data. Moreover, we construct a new benchmark, User-Intent-Understanding (UIU), which covers multi-domain, multi-tone, and sequential multi-turn personalized user queries. Extensive experiments demonstrate the effectiveness of our proposed method across multi-step evaluations.</v>
      </c>
      <c r="D403" s="7" t="str">
        <f>IFERROR(__xludf.DUMMYFUNCTION("""COMPUTED_VALUE"""),"Jiakai Tang")</f>
        <v>Jiakai Tang</v>
      </c>
      <c r="E403" s="7" t="str">
        <f>IFERROR(__xludf.DUMMYFUNCTION("""COMPUTED_VALUE"""),"#N/A")</f>
        <v>#N/A</v>
      </c>
      <c r="F403" s="7" t="str">
        <f>IFERROR(__xludf.DUMMYFUNCTION("""COMPUTED_VALUE"""),"Not Pres. ")</f>
        <v>Not Pres. </v>
      </c>
      <c r="G403" s="7" t="str">
        <f>IFERROR(__xludf.DUMMYFUNCTION("""COMPUTED_VALUE"""),"NP Findings Not Presenting ")</f>
        <v>NP Findings Not Presenting </v>
      </c>
      <c r="H403" s="7"/>
      <c r="I403" s="7" t="str">
        <f>IFERROR(__xludf.DUMMYFUNCTION("""COMPUTED_VALUE"""),"NP-Find")</f>
        <v>NP-Find</v>
      </c>
      <c r="J403" s="7"/>
      <c r="K403" s="7"/>
      <c r="L403" s="8"/>
      <c r="M403" s="7"/>
      <c r="N403" s="7"/>
    </row>
    <row r="404">
      <c r="A404" s="7" t="str">
        <f>IFERROR(__xludf.DUMMYFUNCTION("""COMPUTED_VALUE"""),"1320-FIND")</f>
        <v>1320-FIND</v>
      </c>
      <c r="B404" s="7" t="str">
        <f>IFERROR(__xludf.DUMMYFUNCTION("""COMPUTED_VALUE"""),"RASD: Retrieval-Augmented Speculative Decoding")</f>
        <v>RASD: Retrieval-Augmented Speculative Decoding</v>
      </c>
      <c r="C404" s="7" t="str">
        <f>IFERROR(__xludf.DUMMYFUNCTION("""COMPUTED_VALUE"""),"Speculative decoding accelerates inference in large language models (LLMs) by generating draft tokens for target model verification. Current approaches for obtaining draft tokens rely on lightweight draft models or additional model structures to generate "&amp;"draft tokens and retrieve context from databases. Due to the draft model's small size and limited training data, model-based speculative decoding frequently becomes less effective in out-of-domain scenarios. Additionally, the time cost of the drafting pha"&amp;"se results in a low upper limit on acceptance length during the verification step, limiting overall efficiency. This paper proposes RASD (Retrieval-Augmented Speculative Decoding), which adopts retrieval methods to enhance model-based speculative decoding"&amp;". We introduce tree pruning and tree fusion to achieve this. Specifically, we develop a pruning method based on the draft model's probability distribution to construct the optimal retrieval tree. Second, we employ the longest prefix matching algorithm to "&amp;"merge the tree generated by the draft model with the retrieval tree, resulting in a unified tree for verification. Experimental results demonstrate that RASD achieves state-of-the-art inference acceleration across tasks such as DocQA, Summary, Code, and I"&amp;"n-Domain QA. Moreover, RASD exhibits strong scalability, seamlessly integrating with various speculative decoding approaches, including both generation-based and retrieval-based methods.")</f>
        <v>Speculative decoding accelerates inference in large language models (LLMs) by generating draft tokens for target model verification. Current approaches for obtaining draft tokens rely on lightweight draft models or additional model structures to generate draft tokens and retrieve context from databases. Due to the draft model's small size and limited training data, model-based speculative decoding frequently becomes less effective in out-of-domain scenarios. Additionally, the time cost of the drafting phase results in a low upper limit on acceptance length during the verification step, limiting overall efficiency. This paper proposes RASD (Retrieval-Augmented Speculative Decoding), which adopts retrieval methods to enhance model-based speculative decoding. We introduce tree pruning and tree fusion to achieve this. Specifically, we develop a pruning method based on the draft model's probability distribution to construct the optimal retrieval tree. Second, we employ the longest prefix matching algorithm to merge the tree generated by the draft model with the retrieval tree, resulting in a unified tree for verification. Experimental results demonstrate that RASD achieves state-of-the-art inference acceleration across tasks such as DocQA, Summary, Code, and In-Domain QA. Moreover, RASD exhibits strong scalability, seamlessly integrating with various speculative decoding approaches, including both generation-based and retrieval-based methods.</v>
      </c>
      <c r="D404" s="7" t="str">
        <f>IFERROR(__xludf.DUMMYFUNCTION("""COMPUTED_VALUE"""),"Guofeng Quan")</f>
        <v>Guofeng Quan</v>
      </c>
      <c r="E404" s="7" t="str">
        <f>IFERROR(__xludf.DUMMYFUNCTION("""COMPUTED_VALUE"""),"N/A")</f>
        <v>N/A</v>
      </c>
      <c r="F404" s="7" t="str">
        <f>IFERROR(__xludf.DUMMYFUNCTION("""COMPUTED_VALUE"""),"Not Pres. ")</f>
        <v>Not Pres. </v>
      </c>
      <c r="G404" s="7" t="str">
        <f>IFERROR(__xludf.DUMMYFUNCTION("""COMPUTED_VALUE"""),"NP Findings Not Presenting ")</f>
        <v>NP Findings Not Presenting </v>
      </c>
      <c r="H404" s="7"/>
      <c r="I404" s="7"/>
      <c r="J404" s="7"/>
      <c r="K404" s="7"/>
      <c r="L404" s="8"/>
      <c r="M404" s="7"/>
      <c r="N404" s="7"/>
    </row>
    <row r="405">
      <c r="A405" s="7" t="str">
        <f>IFERROR(__xludf.DUMMYFUNCTION("""COMPUTED_VALUE"""),"1323-FIND")</f>
        <v>1323-FIND</v>
      </c>
      <c r="B405" s="7" t="str">
        <f>IFERROR(__xludf.DUMMYFUNCTION("""COMPUTED_VALUE"""),"FRAG: A Flexible Modular Framework for Retrieval-Augmented Generation based on Knowledge Graphs")</f>
        <v>FRAG: A Flexible Modular Framework for Retrieval-Augmented Generation based on Knowledge Graphs</v>
      </c>
      <c r="C405" s="7" t="str">
        <f>IFERROR(__xludf.DUMMYFUNCTION("""COMPUTED_VALUE"""),"To mitigate the hallucination and knowledge deficiency in large language models (LLMs), Knowledge Graph (KG)-based Retrieval-Augmented Generation (RAG) has shown promising potential by utilizing KGs as external resource to enhance LLMs reasoning. However,"&amp;" existing KG-RAG approaches struggle with a trade-off between flexibility and retrieval quality. Modular methods prioritize flexibility by avoiding the use of KG-fine-tuned models during retrieval, leading to fixed retrieval strategies and suboptimal retr"&amp;"ieval quality. Conversely, coupled methods embed KG information within models to improve retrieval quality, but at the expense of flexibility. In this paper, we propose a novel flexible modular KG-RAG framework, termed FRAG, which synergizes the advantage"&amp;"s of both approaches. FRAG estimates the hop range of reasoning paths based solely on the query and classify it as either simple or complex. To match the complexity of the query, tailored pipelines are applied to ensure efficient and accurate reasoning pa"&amp;"th retrieval, thus fostering the final reasoning process. By using the query text instead of the KG to infer the structural information of reasoning paths and employing adaptable retrieval strategies, FRAG improves retrieval quality while maintaining flex"&amp;"ibility. Moreover, FRAG does not require extra LLMs fine-tuning or calls, significantly boosting efficiency and conserving resources. Extensive experiments show that FRAG achieves state-of-the-art performance with high efficiency and low resource consumpt"&amp;"ion.")</f>
        <v>To mitigate the hallucination and knowledge deficiency in large language models (LLMs), Knowledge Graph (KG)-based Retrieval-Augmented Generation (RAG) has shown promising potential by utilizing KGs as external resource to enhance LLMs reasoning. However, existing KG-RAG approaches struggle with a trade-off between flexibility and retrieval quality. Modular methods prioritize flexibility by avoiding the use of KG-fine-tuned models during retrieval, leading to fixed retrieval strategies and suboptimal retrieval quality. Conversely, coupled methods embed KG information within models to improve retrieval quality, but at the expense of flexibility. In this paper, we propose a novel flexible modular KG-RAG framework, termed FRAG, which synergizes the advantages of both approaches. FRAG estimates the hop range of reasoning paths based solely on the query and classify it as either simple or complex. To match the complexity of the query, tailored pipelines are applied to ensure efficient and accurate reasoning path retrieval, thus fostering the final reasoning process. By using the query text instead of the KG to infer the structural information of reasoning paths and employing adaptable retrieval strategies, FRAG improves retrieval quality while maintaining flexibility. Moreover, FRAG does not require extra LLMs fine-tuning or calls, significantly boosting efficiency and conserving resources. Extensive experiments show that FRAG achieves state-of-the-art performance with high efficiency and low resource consumption.</v>
      </c>
      <c r="D405" s="7" t="str">
        <f>IFERROR(__xludf.DUMMYFUNCTION("""COMPUTED_VALUE"""),"Zengyi Gao")</f>
        <v>Zengyi Gao</v>
      </c>
      <c r="E405" s="7" t="str">
        <f>IFERROR(__xludf.DUMMYFUNCTION("""COMPUTED_VALUE"""),"#N/A")</f>
        <v>#N/A</v>
      </c>
      <c r="F405" s="7" t="str">
        <f>IFERROR(__xludf.DUMMYFUNCTION("""COMPUTED_VALUE"""),"Not Pres. ")</f>
        <v>Not Pres. </v>
      </c>
      <c r="G405" s="7" t="str">
        <f>IFERROR(__xludf.DUMMYFUNCTION("""COMPUTED_VALUE"""),"NP Findings Not Presenting ")</f>
        <v>NP Findings Not Presenting </v>
      </c>
      <c r="H405" s="7"/>
      <c r="I405" s="7" t="str">
        <f>IFERROR(__xludf.DUMMYFUNCTION("""COMPUTED_VALUE"""),"NP-Find")</f>
        <v>NP-Find</v>
      </c>
      <c r="J405" s="7"/>
      <c r="K405" s="7"/>
      <c r="L405" s="8"/>
      <c r="M405" s="7"/>
      <c r="N405" s="7"/>
    </row>
    <row r="406">
      <c r="A406" s="7" t="str">
        <f>IFERROR(__xludf.DUMMYFUNCTION("""COMPUTED_VALUE"""),"1329-FIND")</f>
        <v>1329-FIND</v>
      </c>
      <c r="B406" s="7" t="str">
        <f>IFERROR(__xludf.DUMMYFUNCTION("""COMPUTED_VALUE"""),"Reefknot: A Comprehensive Benchmark for Relation Hallucination Evaluation, Analysis and Mitigation in Multimodal Large Language Models")</f>
        <v>Reefknot: A Comprehensive Benchmark for Relation Hallucination Evaluation, Analysis and Mitigation in Multimodal Large Language Models</v>
      </c>
      <c r="C406" s="7" t="str">
        <f>IFERROR(__xludf.DUMMYFUNCTION("""COMPUTED_VALUE"""),"Hallucination issues continue to affect multimodal large language models (MLLMs), with existing research mainly addressing object-level or attribute-level hallucinations, neglecting the more complex relation hallucinations that require advanced reasoning."&amp;" Current benchmarks for relation hallucinations lack detailed evaluation and effective mitigation, and their datasets often suffer from biases due to systematic annotation processes. To address these challenges, we introduce Reefknot, a comprehensive benc"&amp;"hmark targeting relation hallucinations, comprising over 20,000 real-world samples. We provide a systematic definition of relation hallucinations, integrating perceptive and cognitive perspectives, and construct a relation-based corpus using the Visual Ge"&amp;"nome scene graph dataset. Our comparative evaluation reveals significant limitations in current MLLMs' ability to handle relation hallucinations. Additionally, we propose a novel confidence-based mitigation strategy, which reduces the hallucination rate b"&amp;"y an average of 9.75% across three datasets, including Reefknot. Our work offers valuable insights for achieving trustworthy multimodal intelligence. The dataset and code are released at https://github.com/JackChen-seu/Reefknot.")</f>
        <v>Hallucination issues continue to affect multimodal large language models (MLLMs), with existing research mainly addressing object-level or attribute-level hallucinations, neglecting the more complex relation hallucinations that require advanced reasoning. Current benchmarks for relation hallucinations lack detailed evaluation and effective mitigation, and their datasets often suffer from biases due to systematic annotation processes. To address these challenges, we introduce Reefknot, a comprehensive benchmark targeting relation hallucinations, comprising over 20,000 real-world samples. We provide a systematic definition of relation hallucinations, integrating perceptive and cognitive perspectives, and construct a relation-based corpus using the Visual Genome scene graph dataset. Our comparative evaluation reveals significant limitations in current MLLMs' ability to handle relation hallucinations. Additionally, we propose a novel confidence-based mitigation strategy, which reduces the hallucination rate by an average of 9.75% across three datasets, including Reefknot. Our work offers valuable insights for achieving trustworthy multimodal intelligence. The dataset and code are released at https://github.com/JackChen-seu/Reefknot.</v>
      </c>
      <c r="D406" s="7" t="str">
        <f>IFERROR(__xludf.DUMMYFUNCTION("""COMPUTED_VALUE"""),"Kening Zheng")</f>
        <v>Kening Zheng</v>
      </c>
      <c r="E406" s="7" t="str">
        <f>IFERROR(__xludf.DUMMYFUNCTION("""COMPUTED_VALUE"""),"N/A")</f>
        <v>N/A</v>
      </c>
      <c r="F406" s="7" t="str">
        <f>IFERROR(__xludf.DUMMYFUNCTION("""COMPUTED_VALUE"""),"Not Pres. ")</f>
        <v>Not Pres. </v>
      </c>
      <c r="G406" s="7" t="str">
        <f>IFERROR(__xludf.DUMMYFUNCTION("""COMPUTED_VALUE"""),"NP Findings Not Presenting ")</f>
        <v>NP Findings Not Presenting </v>
      </c>
      <c r="H406" s="7"/>
      <c r="I406" s="7"/>
      <c r="J406" s="7"/>
      <c r="K406" s="7"/>
      <c r="L406" s="8"/>
      <c r="M406" s="7"/>
      <c r="N406" s="7"/>
    </row>
    <row r="407">
      <c r="A407" s="7" t="str">
        <f>IFERROR(__xludf.DUMMYFUNCTION("""COMPUTED_VALUE"""),"1331-FIND")</f>
        <v>1331-FIND</v>
      </c>
      <c r="B407" s="7" t="str">
        <f>IFERROR(__xludf.DUMMYFUNCTION("""COMPUTED_VALUE"""),"Blessing of Multilinguality: A Systematic Analysis of Multilingual In-Context Learning")</f>
        <v>Blessing of Multilinguality: A Systematic Analysis of Multilingual In-Context Learning</v>
      </c>
      <c r="C407" s="7" t="str">
        <f>IFERROR(__xludf.DUMMYFUNCTION("""COMPUTED_VALUE"""),"While multilingual large language models generally perform adequately, and sometimes even rival English performance on high-resource languages (HRLs), they often significantly underperform on low-resource languages (LRLs). Among several prompting strategi"&amp;"es aiming at bridging the gap, multilingual in-context learning (ICL) has been particularly effective when demonstration in target languages is unavailable. However, there lacks a systematic understanding when and why it works well.
In this work, we syst"&amp;"ematically analyze multilingual ICL, using demonstrations in HRLs to enhance cross-lingual transfer. We show that demonstrations in mixed HRLs consistently outperform English-only ones across the board, particularly for tasks written in LRLs. Surprisingly"&amp;", our ablation study show that the presence of irrelevant non-English sentences in the prompt yields measurable gains, suggesting the effectiveness of multilingual exposure itself. Our results highlight the potential of strategically leveraging multilingu"&amp;"al resources to bridge the performance gap for underrepresented languages.")</f>
        <v>While multilingual large language models generally perform adequately, and sometimes even rival English performance on high-resource languages (HRLs), they often significantly underperform on low-resource languages (LRLs). Among several prompting strategies aiming at bridging the gap, multilingual in-context learning (ICL) has been particularly effective when demonstration in target languages is unavailable. However, there lacks a systematic understanding when and why it works well.
In this work, we systematically analyze multilingual ICL, using demonstrations in HRLs to enhance cross-lingual transfer. We show that demonstrations in mixed HRLs consistently outperform English-only ones across the board, particularly for tasks written in LRLs. Surprisingly, our ablation study show that the presence of irrelevant non-English sentences in the prompt yields measurable gains, suggesting the effectiveness of multilingual exposure itself. Our results highlight the potential of strategically leveraging multilingual resources to bridge the performance gap for underrepresented languages.</v>
      </c>
      <c r="D407" s="7" t="str">
        <f>IFERROR(__xludf.DUMMYFUNCTION("""COMPUTED_VALUE"""),"Yilei Tu, Freda Shi")</f>
        <v>Yilei Tu, Freda Shi</v>
      </c>
      <c r="E407" s="7" t="str">
        <f>IFERROR(__xludf.DUMMYFUNCTION("""COMPUTED_VALUE"""),"Yes")</f>
        <v>Yes</v>
      </c>
      <c r="F407" s="7" t="str">
        <f>IFERROR(__xludf.DUMMYFUNCTION("""COMPUTED_VALUE"""),"IP-Poster")</f>
        <v>IP-Poster</v>
      </c>
      <c r="G407" s="7" t="str">
        <f>IFERROR(__xludf.DUMMYFUNCTION("""COMPUTED_VALUE"""),"In-Person")</f>
        <v>In-Person</v>
      </c>
      <c r="H407" s="7" t="str">
        <f>IFERROR(__xludf.DUMMYFUNCTION("""COMPUTED_VALUE"""),"Hall 4/5")</f>
        <v>Hall 4/5</v>
      </c>
      <c r="I407" s="7" t="str">
        <f>IFERROR(__xludf.DUMMYFUNCTION("""COMPUTED_VALUE"""),"Session 5 :IP-Posters Find ")</f>
        <v>Session 5 :IP-Posters Find </v>
      </c>
      <c r="J407" s="7" t="str">
        <f>IFERROR(__xludf.DUMMYFUNCTION("""COMPUTED_VALUE"""),"Findings Posters - In-Person 1")</f>
        <v>Findings Posters - In-Person 1</v>
      </c>
      <c r="K407" s="7"/>
      <c r="L407" s="8">
        <f>IFERROR(__xludf.DUMMYFUNCTION("""COMPUTED_VALUE"""),45866.0)</f>
        <v>45866</v>
      </c>
      <c r="M407" s="7" t="str">
        <f>IFERROR(__xludf.DUMMYFUNCTION("""COMPUTED_VALUE"""),"18:00-19:30")</f>
        <v>18:00-19:30</v>
      </c>
      <c r="N407" s="7"/>
    </row>
    <row r="408">
      <c r="A408" s="7" t="str">
        <f>IFERROR(__xludf.DUMMYFUNCTION("""COMPUTED_VALUE"""),"1342-FIND")</f>
        <v>1342-FIND</v>
      </c>
      <c r="B408" s="7" t="str">
        <f>IFERROR(__xludf.DUMMYFUNCTION("""COMPUTED_VALUE"""),"SEK: Self-Explained Keywords Empower Large Language Models for Code Generation")</f>
        <v>SEK: Self-Explained Keywords Empower Large Language Models for Code Generation</v>
      </c>
      <c r="C408" s="7" t="str">
        <f>IFERROR(__xludf.DUMMYFUNCTION("""COMPUTED_VALUE"""),"Large language models (LLMs) have achieved impressive performance in code generation. Despite the remarkable success, we observed that LLMs often misunderstand or overlook some problem-specific undertrained keywords during code generation, compromising th"&amp;"e accuracy of the generated code. After explicitly explaining these undertrained keywords using well-trained terms in the prompt, LLMs are more likely to generate correct code implementation. Inspired by this observation, we propose a novel technique name"&amp;"d SEK(Self-Explained Keywords), which empowers an LLM for better code generation by extracting and explaining the key terms in the problem description with the LLM itself. Comprehensive experiments across four benchmarks, i.e., HumanEval(+), MBPP(+), APPS"&amp;" and BigCodeBench, with five representative LLMs, show that SEK can significantly improve LLMs in code generation, yielding substantial and consistent gains. For instance, SEK improves the Pass@1 of DeepSeek-Coder-V2-Instruct from 85.4% to 93.3% on the Hu"&amp;"maneval benchmark. Further analysis confirms that SEK enables the LLMs to shift their attention from low-frequency keywords to their corresponding explanations.")</f>
        <v>Large language models (LLMs) have achieved impressive performance in code generation. Despite the remarkable success, we observed that LLMs often misunderstand or overlook some problem-specific undertrained keywords during code generation, compromising the accuracy of the generated code. After explicitly explaining these undertrained keywords using well-trained terms in the prompt, LLMs are more likely to generate correct code implementation. Inspired by this observation, we propose a novel technique named SEK(Self-Explained Keywords), which empowers an LLM for better code generation by extracting and explaining the key terms in the problem description with the LLM itself. Comprehensive experiments across four benchmarks, i.e., HumanEval(+), MBPP(+), APPS and BigCodeBench, with five representative LLMs, show that SEK can significantly improve LLMs in code generation, yielding substantial and consistent gains. For instance, SEK improves the Pass@1 of DeepSeek-Coder-V2-Instruct from 85.4% to 93.3% on the Humaneval benchmark. Further analysis confirms that SEK enables the LLMs to shift their attention from low-frequency keywords to their corresponding explanations.</v>
      </c>
      <c r="D408" s="7" t="str">
        <f>IFERROR(__xludf.DUMMYFUNCTION("""COMPUTED_VALUE"""),"0")</f>
        <v>0</v>
      </c>
      <c r="E408" s="7" t="str">
        <f>IFERROR(__xludf.DUMMYFUNCTION("""COMPUTED_VALUE"""),"#N/A")</f>
        <v>#N/A</v>
      </c>
      <c r="F408" s="7" t="str">
        <f>IFERROR(__xludf.DUMMYFUNCTION("""COMPUTED_VALUE"""),"Not Pres. ")</f>
        <v>Not Pres. </v>
      </c>
      <c r="G408" s="7" t="str">
        <f>IFERROR(__xludf.DUMMYFUNCTION("""COMPUTED_VALUE"""),"NP Findings Not Presenting ")</f>
        <v>NP Findings Not Presenting </v>
      </c>
      <c r="H408" s="7"/>
      <c r="I408" s="7" t="str">
        <f>IFERROR(__xludf.DUMMYFUNCTION("""COMPUTED_VALUE"""),"NP-Find")</f>
        <v>NP-Find</v>
      </c>
      <c r="J408" s="7"/>
      <c r="K408" s="7"/>
      <c r="L408" s="8"/>
      <c r="M408" s="7"/>
      <c r="N408" s="7"/>
    </row>
    <row r="409">
      <c r="A409" s="7" t="str">
        <f>IFERROR(__xludf.DUMMYFUNCTION("""COMPUTED_VALUE"""),"1346-FIND")</f>
        <v>1346-FIND</v>
      </c>
      <c r="B409" s="7" t="str">
        <f>IFERROR(__xludf.DUMMYFUNCTION("""COMPUTED_VALUE"""),"Why Not Act on What You Know? Unleashing Safety Potential of LLMs via Self-Aware Guard Enhancement")</f>
        <v>Why Not Act on What You Know? Unleashing Safety Potential of LLMs via Self-Aware Guard Enhancement</v>
      </c>
      <c r="C409" s="7" t="str">
        <f>IFERROR(__xludf.DUMMYFUNCTION("""COMPUTED_VALUE"""),"Large Language Models (LLMs) have shown impressive capabilities across various tasks but remain vulnerable to meticulously crafted jailbreak attacks. In this paper, we identify a critical safety gap: while LLMs are adept at detecting jailbreak prompts, th"&amp;"ey often produce unsafe responses when directly processing these inputs. Inspired by this insight, we propose SAGE(Self-Aware Guard Enhancement), a training-free defense strategy designed to align LLMs' strong safety discrimination performance with their "&amp;"relatively weaker safety generation ability. SAGE consists of two core components: a Discriminative Analysis Module and a Discriminative Response Module, enhancing resilience against sophisticated jailbreak attempts through flexible safety discrimination "&amp;"instructions. Extensive experiments demonstrate SAGE's effectiveness and robustness across various open-source and closed-source LLMs of different sizes and architectures, achieving an average 99\% defense success rate against numerous complex and covert "&amp;"jailbreak methods while maintaining helpfulness on general benchmarks. We further conduct mechanistic interpretability analysis through hidden states and attention distributions, revealing the underlying mechanisms of this detection-generation discrepancy"&amp;". Our work thus contributes to developing future LLMs with coherent safety awareness and generation behavior. Our code and datasets are publicly available at \url{https://github.com/NJUNLP/SAGE}.")</f>
        <v>Large Language Models (LLMs) have shown impressive capabilities across various tasks but remain vulnerable to meticulously crafted jailbreak attacks. In this paper, we identify a critical safety gap: while LLMs are adept at detecting jailbreak prompts, they often produce unsafe responses when directly processing these inputs. Inspired by this insight, we propose SAGE(Self-Aware Guard Enhancement), a training-free defense strategy designed to align LLMs' strong safety discrimination performance with their relatively weaker safety generation ability. SAGE consists of two core components: a Discriminative Analysis Module and a Discriminative Response Module, enhancing resilience against sophisticated jailbreak attempts through flexible safety discrimination instructions. Extensive experiments demonstrate SAGE's effectiveness and robustness across various open-source and closed-source LLMs of different sizes and architectures, achieving an average 99\% defense success rate against numerous complex and covert jailbreak methods while maintaining helpfulness on general benchmarks. We further conduct mechanistic interpretability analysis through hidden states and attention distributions, revealing the underlying mechanisms of this detection-generation discrepancy. Our work thus contributes to developing future LLMs with coherent safety awareness and generation behavior. Our code and datasets are publicly available at \url{https://github.com/NJUNLP/SAGE}.</v>
      </c>
      <c r="D409" s="7" t="str">
        <f>IFERROR(__xludf.DUMMYFUNCTION("""COMPUTED_VALUE"""),"N/A")</f>
        <v>N/A</v>
      </c>
      <c r="E409" s="7" t="str">
        <f>IFERROR(__xludf.DUMMYFUNCTION("""COMPUTED_VALUE"""),"#N/A")</f>
        <v>#N/A</v>
      </c>
      <c r="F409" s="7" t="str">
        <f>IFERROR(__xludf.DUMMYFUNCTION("""COMPUTED_VALUE"""),"Not Pres. ")</f>
        <v>Not Pres. </v>
      </c>
      <c r="G409" s="7" t="str">
        <f>IFERROR(__xludf.DUMMYFUNCTION("""COMPUTED_VALUE"""),"NP Findings Not Presenting ")</f>
        <v>NP Findings Not Presenting </v>
      </c>
      <c r="H409" s="7"/>
      <c r="I409" s="7" t="str">
        <f>IFERROR(__xludf.DUMMYFUNCTION("""COMPUTED_VALUE"""),"NP-Find")</f>
        <v>NP-Find</v>
      </c>
      <c r="J409" s="7"/>
      <c r="K409" s="7"/>
      <c r="L409" s="8"/>
      <c r="M409" s="7"/>
      <c r="N409" s="7"/>
    </row>
    <row r="410">
      <c r="A410" s="7" t="str">
        <f>IFERROR(__xludf.DUMMYFUNCTION("""COMPUTED_VALUE"""),"1350-FIND")</f>
        <v>1350-FIND</v>
      </c>
      <c r="B410" s="7" t="str">
        <f>IFERROR(__xludf.DUMMYFUNCTION("""COMPUTED_VALUE"""),"Explorer: Scaling Exploration-driven Web Trajectory Synthesis for Multimodal Web Agents")</f>
        <v>Explorer: Scaling Exploration-driven Web Trajectory Synthesis for Multimodal Web Agents</v>
      </c>
      <c r="C410" s="7" t="str">
        <f>IFERROR(__xludf.DUMMYFUNCTION("""COMPUTED_VALUE"""),"Recent success in large multimodal models (LMMs) has sparked promising applications of agents capable of autonomously completing complex web tasks. While open-source LMM agents have made significant advances in offline evaluation benchmarks, their perform"&amp;"ance still falls substantially short of human-level capabilities in more realistic online settings. A key bottleneck is the lack of diverse and large-scale trajectory-level datasets across various domains, which are expensive to collect. In this paper, we"&amp;" address this challenge by developing a scalable recipe to synthesize the largest and most diverse trajectory-level dataset to date, containing over 94K successful multimodal web trajectories, spanning 49K unique URLs, 720K screenshots, and 33M web elemen"&amp;"ts. In particular, we leverage extensive web exploration and refinement to obtain diverse task intents. The average cost is 28 cents per successful trajectory, making it affordable to a wide range of users in the community. Leveraging this dataset, we tra"&amp;"in Explorer, a multimodal web agent, and demonstrate strong performance on both offline and online web agent benchmarks such as Mind2Web-Live, Multimodal-Mind2Web, and MiniWob++. Additionally, our experiments highlight data scaling as a key driver for imp"&amp;"roving web agent capabilities. We hope this study makes state-of-the-art LMM-based agent research at a larger scale more accessible.")</f>
        <v>Recent success in large multimodal models (LMMs) has sparked promising applications of agents capable of autonomously completing complex web tasks. While open-source LMM agents have made significant advances in offline evaluation benchmarks, their performance still falls substantially short of human-level capabilities in more realistic online settings. A key bottleneck is the lack of diverse and large-scale trajectory-level datasets across various domains, which are expensive to collect. In this paper, we address this challenge by developing a scalable recipe to synthesize the largest and most diverse trajectory-level dataset to date, containing over 94K successful multimodal web trajectories, spanning 49K unique URLs, 720K screenshots, and 33M web elements. In particular, we leverage extensive web exploration and refinement to obtain diverse task intents. The average cost is 28 cents per successful trajectory, making it affordable to a wide range of users in the community. Leveraging this dataset, we train Explorer, a multimodal web agent, and demonstrate strong performance on both offline and online web agent benchmarks such as Mind2Web-Live, Multimodal-Mind2Web, and MiniWob++. Additionally, our experiments highlight data scaling as a key driver for improving web agent capabilities. We hope this study makes state-of-the-art LMM-based agent research at a larger scale more accessible.</v>
      </c>
      <c r="D410" s="7" t="str">
        <f>IFERROR(__xludf.DUMMYFUNCTION("""COMPUTED_VALUE"""),"Vardaan Pahuja")</f>
        <v>Vardaan Pahuja</v>
      </c>
      <c r="E410" s="7" t="str">
        <f>IFERROR(__xludf.DUMMYFUNCTION("""COMPUTED_VALUE"""),"Yes")</f>
        <v>Yes</v>
      </c>
      <c r="F410" s="7" t="str">
        <f>IFERROR(__xludf.DUMMYFUNCTION("""COMPUTED_VALUE"""),"V-Presentation")</f>
        <v>V-Presentation</v>
      </c>
      <c r="G410" s="7" t="str">
        <f>IFERROR(__xludf.DUMMYFUNCTION("""COMPUTED_VALUE"""),"Virtual/Gather")</f>
        <v>Virtual/Gather</v>
      </c>
      <c r="H410" s="7" t="str">
        <f>IFERROR(__xludf.DUMMYFUNCTION("""COMPUTED_VALUE"""),"Gather")</f>
        <v>Gather</v>
      </c>
      <c r="I410" s="7" t="str">
        <f>IFERROR(__xludf.DUMMYFUNCTION("""COMPUTED_VALUE"""),"Session5: V-Gather Find")</f>
        <v>Session5: V-Gather Find</v>
      </c>
      <c r="J410" s="7" t="str">
        <f>IFERROR(__xludf.DUMMYFUNCTION("""COMPUTED_VALUE"""),"Findings Posters - Virtual")</f>
        <v>Findings Posters - Virtual</v>
      </c>
      <c r="K410" s="7"/>
      <c r="L410" s="8">
        <f>IFERROR(__xludf.DUMMYFUNCTION("""COMPUTED_VALUE"""),45866.0)</f>
        <v>45866</v>
      </c>
      <c r="M410" s="7" t="str">
        <f>IFERROR(__xludf.DUMMYFUNCTION("""COMPUTED_VALUE"""),"18:00-19:30")</f>
        <v>18:00-19:30</v>
      </c>
      <c r="N410" s="7"/>
    </row>
    <row r="411">
      <c r="A411" s="7" t="str">
        <f>IFERROR(__xludf.DUMMYFUNCTION("""COMPUTED_VALUE"""),"1356-FIND")</f>
        <v>1356-FIND</v>
      </c>
      <c r="B411" s="7" t="str">
        <f>IFERROR(__xludf.DUMMYFUNCTION("""COMPUTED_VALUE"""),"Advancing General Multimodal Capability of Vision-language Models with Pyramid-descent Visual Position Encoding")</f>
        <v>Advancing General Multimodal Capability of Vision-language Models with Pyramid-descent Visual Position Encoding</v>
      </c>
      <c r="C411" s="7" t="str">
        <f>IFERROR(__xludf.DUMMYFUNCTION("""COMPUTED_VALUE"""),"Vision-language Models (VLMs) have shown remarkable capabilities in advancing general artificial intelligence, yet the irrational encoding of visual positions persists in inhibiting the models' comprehensive perception performance across different levels "&amp;"of granularity. In this work, we propose Pyramid-descent Visual Position Encoding (PyPE), a novel approach designed to enhance the perception of visual tokens within VLMs. By assigning visual position indexes from the periphery to the center and expanding"&amp;" the central receptive field incrementally, PyPE addresses the limitations of traditional raster-scan methods and mitigates the long-term decay effects induced by Rotary Position Embedding (RoPE). Our method reduces the relative distance between interrela"&amp;"ted visual elements and instruction tokens, promoting a more rational allocation of attention weights and allowing for a multi-granularity perception of visual elements and countering the over-reliance on anchor tokens. Extensive experimental evaluations "&amp;"demonstrate that PyPE consistently improves the general capabilities of VLMs across various sizes. Code is available at https://anonymous.4open.science/r/PyPE-34EE.")</f>
        <v>Vision-language Models (VLMs) have shown remarkable capabilities in advancing general artificial intelligence, yet the irrational encoding of visual positions persists in inhibiting the models' comprehensive perception performance across different levels of granularity. In this work, we propose Pyramid-descent Visual Position Encoding (PyPE), a novel approach designed to enhance the perception of visual tokens within VLMs. By assigning visual position indexes from the periphery to the center and expanding the central receptive field incrementally, PyPE addresses the limitations of traditional raster-scan methods and mitigates the long-term decay effects induced by Rotary Position Embedding (RoPE). Our method reduces the relative distance between interrelated visual elements and instruction tokens, promoting a more rational allocation of attention weights and allowing for a multi-granularity perception of visual elements and countering the over-reliance on anchor tokens. Extensive experimental evaluations demonstrate that PyPE consistently improves the general capabilities of VLMs across various sizes. Code is available at https://anonymous.4open.science/r/PyPE-34EE.</v>
      </c>
      <c r="D411" s="7" t="str">
        <f>IFERROR(__xludf.DUMMYFUNCTION("""COMPUTED_VALUE"""),"Zhanpeng Chen")</f>
        <v>Zhanpeng Chen</v>
      </c>
      <c r="E411" s="7" t="str">
        <f>IFERROR(__xludf.DUMMYFUNCTION("""COMPUTED_VALUE"""),"#N/A")</f>
        <v>#N/A</v>
      </c>
      <c r="F411" s="7" t="str">
        <f>IFERROR(__xludf.DUMMYFUNCTION("""COMPUTED_VALUE"""),"Not Pres. ")</f>
        <v>Not Pres. </v>
      </c>
      <c r="G411" s="7" t="str">
        <f>IFERROR(__xludf.DUMMYFUNCTION("""COMPUTED_VALUE"""),"NP Findings Not Presenting ")</f>
        <v>NP Findings Not Presenting </v>
      </c>
      <c r="H411" s="7"/>
      <c r="I411" s="7" t="str">
        <f>IFERROR(__xludf.DUMMYFUNCTION("""COMPUTED_VALUE"""),"NP-Find")</f>
        <v>NP-Find</v>
      </c>
      <c r="J411" s="7"/>
      <c r="K411" s="7"/>
      <c r="L411" s="8"/>
      <c r="M411" s="7"/>
      <c r="N411" s="7"/>
    </row>
    <row r="412">
      <c r="A412" s="7" t="str">
        <f>IFERROR(__xludf.DUMMYFUNCTION("""COMPUTED_VALUE"""),"1364-FIND")</f>
        <v>1364-FIND</v>
      </c>
      <c r="B412" s="7" t="str">
        <f>IFERROR(__xludf.DUMMYFUNCTION("""COMPUTED_VALUE"""),"P-React: Synthesizing Topic-Adaptive Reactions of Personality Traits via Mixture of Specialized LoRA Experts")</f>
        <v>P-React: Synthesizing Topic-Adaptive Reactions of Personality Traits via Mixture of Specialized LoRA Experts</v>
      </c>
      <c r="C412" s="7" t="str">
        <f>IFERROR(__xludf.DUMMYFUNCTION("""COMPUTED_VALUE"""),"Personalized large language models (LLMs) have attracted great attention in many applications, such as emotional support and role-playing. However, existing works primarily focus on modeling explicit character profiles, while ignoring the underlying perso"&amp;"nality traits that truly shape behaviors and decision-making, hampering the development of more anthropomorphic and psychologically-grounded AI systems. In this paper, we explore the modeling of Big Five personality traits, which is the most widely used t"&amp;"rait theory in psychology, and propose P-React, a mixture of experts (MoE)-based personalized LLM. Particularly, we integrate a Personality Specialization Loss (PSL) to better capture individual trait expressions, providing a more nuanced and psychologica"&amp;"lly grounded personality simulacrum. To facilitate research in this field, we curate OCEAN-Chat, a high-quality, human-verified dataset designed to train LLMs in expressing personality traits across diverse topics. Extensive experiments demonstrate the ef"&amp;"fectiveness of P-React in maintaining consistent and real personality.")</f>
        <v>Personalized large language models (LLMs) have attracted great attention in many applications, such as emotional support and role-playing. However, existing works primarily focus on modeling explicit character profiles, while ignoring the underlying personality traits that truly shape behaviors and decision-making, hampering the development of more anthropomorphic and psychologically-grounded AI systems. In this paper, we explore the modeling of Big Five personality traits, which is the most widely used trait theory in psychology, and propose P-React, a mixture of experts (MoE)-based personalized LLM. Particularly, we integrate a Personality Specialization Loss (PSL) to better capture individual trait expressions, providing a more nuanced and psychologically grounded personality simulacrum. To facilitate research in this field, we curate OCEAN-Chat, a high-quality, human-verified dataset designed to train LLMs in expressing personality traits across diverse topics. Extensive experiments demonstrate the effectiveness of P-React in maintaining consistent and real personality.</v>
      </c>
      <c r="D412" s="7" t="str">
        <f>IFERROR(__xludf.DUMMYFUNCTION("""COMPUTED_VALUE"""),"Yuhao Dan")</f>
        <v>Yuhao Dan</v>
      </c>
      <c r="E412" s="7" t="str">
        <f>IFERROR(__xludf.DUMMYFUNCTION("""COMPUTED_VALUE"""),"Yes")</f>
        <v>Yes</v>
      </c>
      <c r="F412" s="7" t="str">
        <f>IFERROR(__xludf.DUMMYFUNCTION("""COMPUTED_VALUE"""),"IP-Poster")</f>
        <v>IP-Poster</v>
      </c>
      <c r="G412" s="7" t="str">
        <f>IFERROR(__xludf.DUMMYFUNCTION("""COMPUTED_VALUE"""),"In-Person")</f>
        <v>In-Person</v>
      </c>
      <c r="H412" s="7" t="str">
        <f>IFERROR(__xludf.DUMMYFUNCTION("""COMPUTED_VALUE"""),"Hall 4/5")</f>
        <v>Hall 4/5</v>
      </c>
      <c r="I412" s="7" t="str">
        <f>IFERROR(__xludf.DUMMYFUNCTION("""COMPUTED_VALUE"""),"Session 5 :IP-Posters Find ")</f>
        <v>Session 5 :IP-Posters Find </v>
      </c>
      <c r="J412" s="7" t="str">
        <f>IFERROR(__xludf.DUMMYFUNCTION("""COMPUTED_VALUE"""),"Findings Posters - In-Person 1")</f>
        <v>Findings Posters - In-Person 1</v>
      </c>
      <c r="K412" s="7"/>
      <c r="L412" s="8">
        <f>IFERROR(__xludf.DUMMYFUNCTION("""COMPUTED_VALUE"""),45866.0)</f>
        <v>45866</v>
      </c>
      <c r="M412" s="7" t="str">
        <f>IFERROR(__xludf.DUMMYFUNCTION("""COMPUTED_VALUE"""),"18:00-19:30")</f>
        <v>18:00-19:30</v>
      </c>
      <c r="N412" s="7"/>
    </row>
    <row r="413">
      <c r="A413" s="7" t="str">
        <f>IFERROR(__xludf.DUMMYFUNCTION("""COMPUTED_VALUE"""),"1371-FIND")</f>
        <v>1371-FIND</v>
      </c>
      <c r="B413" s="7" t="str">
        <f>IFERROR(__xludf.DUMMYFUNCTION("""COMPUTED_VALUE"""),"EssayJudge: A Multi-Granular Benchmark for Assessing Automated Essay Scoring Capabilities of Multimodal Large Language Models")</f>
        <v>EssayJudge: A Multi-Granular Benchmark for Assessing Automated Essay Scoring Capabilities of Multimodal Large Language Models</v>
      </c>
      <c r="C413" s="7" t="str">
        <f>IFERROR(__xludf.DUMMYFUNCTION("""COMPUTED_VALUE"""),"Automated Essay Scoring (AES) plays a crucial role in educational assessment by providing scalable and consistent evaluations of writing tasks. However, traditional AES systems face three major challenges: (i) reliance on handcrafted features that limit g"&amp;"eneralizability, (ii) difficulty in capturing fine-grained traits like coherence and argumentation, and (iii) inability to handle multimodal contexts. In the era of Multimodal Large Language Models (MLLMs), we propose **EssayJudge**, the **first multimoda"&amp;"l benchmark to evaluate AES capabilities across lexical-, sentence-, and discourse-level traits**. By leveraging MLLMs’ strengths in trait-specific scoring and multimodal context understanding, EssayJudge aims to offer precise, context-rich evaluations wi"&amp;"thout manual feature engineering, addressing longstanding AES limitations. Our experiments with 18 representative MLLMs reveal gaps in AES performance compared to human evaluation, particularly in discourse-level traits, highlighting the need for further "&amp;"advancements in MLLM-based AES research. Our dataset and code will be available upon acceptance.")</f>
        <v>Automated Essay Scoring (AES) plays a crucial role in educational assessment by providing scalable and consistent evaluations of writing tasks. However, traditional AES systems face three major challenges: (i) reliance on handcrafted features that limit generalizability, (ii) difficulty in capturing fine-grained traits like coherence and argumentation, and (iii) inability to handle multimodal contexts. In the era of Multimodal Large Language Models (MLLMs), we propose **EssayJudge**, the **first multimodal benchmark to evaluate AES capabilities across lexical-, sentence-, and discourse-level traits**. By leveraging MLLMs’ strengths in trait-specific scoring and multimodal context understanding, EssayJudge aims to offer precise, context-rich evaluations without manual feature engineering, addressing longstanding AES limitations. Our experiments with 18 representative MLLMs reveal gaps in AES performance compared to human evaluation, particularly in discourse-level traits, highlighting the need for further advancements in MLLM-based AES research. Our dataset and code will be available upon acceptance.</v>
      </c>
      <c r="D413" s="7" t="str">
        <f>IFERROR(__xludf.DUMMYFUNCTION("""COMPUTED_VALUE"""),"Su Jiamin")</f>
        <v>Su Jiamin</v>
      </c>
      <c r="E413" s="7" t="str">
        <f>IFERROR(__xludf.DUMMYFUNCTION("""COMPUTED_VALUE"""),"N/A")</f>
        <v>N/A</v>
      </c>
      <c r="F413" s="7" t="str">
        <f>IFERROR(__xludf.DUMMYFUNCTION("""COMPUTED_VALUE"""),"Not Pres. ")</f>
        <v>Not Pres. </v>
      </c>
      <c r="G413" s="7" t="str">
        <f>IFERROR(__xludf.DUMMYFUNCTION("""COMPUTED_VALUE"""),"NP Findings Not Presenting ")</f>
        <v>NP Findings Not Presenting </v>
      </c>
      <c r="H413" s="7"/>
      <c r="I413" s="7"/>
      <c r="J413" s="7"/>
      <c r="K413" s="7"/>
      <c r="L413" s="8"/>
      <c r="M413" s="7"/>
      <c r="N413" s="7"/>
    </row>
    <row r="414">
      <c r="A414" s="7" t="str">
        <f>IFERROR(__xludf.DUMMYFUNCTION("""COMPUTED_VALUE"""),"1377-FIND")</f>
        <v>1377-FIND</v>
      </c>
      <c r="B414" s="7" t="str">
        <f>IFERROR(__xludf.DUMMYFUNCTION("""COMPUTED_VALUE"""),"Streamlining the Collaborative Chain of Models into A Single Forward Pass in Generation-Based Tasks")</f>
        <v>Streamlining the Collaborative Chain of Models into A Single Forward Pass in Generation-Based Tasks</v>
      </c>
      <c r="C414" s="7" t="str">
        <f>IFERROR(__xludf.DUMMYFUNCTION("""COMPUTED_VALUE"""),"In Retrieval-Augmented Generation (RAG) and agent-based frameworks, the ""Chain of Models"" approach is widely used, where multiple specialized models work sequentially on distinct sub-tasks. This approach is effective but increases resource demands as ea"&amp;"ch model must be deployed separately. Recent advancements attempt to address this by applying prompt tuning, which allows a shared base model to adapt to multiple tasks with minimal parameter changes. However, a key challenge remains: intermediate outputs"&amp;", passed between models as plain text, require recomputation of hidden states (i.e., Key and Value (KV) states in Transformers) during inference. In this paper, we introduce FTHSS, a novel prompt-tuning method that enables models to share KV hidden states"&amp;", eliminating redundant forward passes and reducing KV cache storage. By modifying input and attention masks during training, FTHSS allows models to effectively utilize KV hidden states from prior models in both single- and multi-round scenarios. Empirica"&amp;"l results on four tasks show that FTHSS matches the performance of traditional model chains while improving inference efficiency.")</f>
        <v>In Retrieval-Augmented Generation (RAG) and agent-based frameworks, the "Chain of Models" approach is widely used, where multiple specialized models work sequentially on distinct sub-tasks. This approach is effective but increases resource demands as each model must be deployed separately. Recent advancements attempt to address this by applying prompt tuning, which allows a shared base model to adapt to multiple tasks with minimal parameter changes. However, a key challenge remains: intermediate outputs, passed between models as plain text, require recomputation of hidden states (i.e., Key and Value (KV) states in Transformers) during inference. In this paper, we introduce FTHSS, a novel prompt-tuning method that enables models to share KV hidden states, eliminating redundant forward passes and reducing KV cache storage. By modifying input and attention masks during training, FTHSS allows models to effectively utilize KV hidden states from prior models in both single- and multi-round scenarios. Empirical results on four tasks show that FTHSS matches the performance of traditional model chains while improving inference efficiency.</v>
      </c>
      <c r="D414" s="7" t="str">
        <f>IFERROR(__xludf.DUMMYFUNCTION("""COMPUTED_VALUE"""),"Yuanjie Lyu")</f>
        <v>Yuanjie Lyu</v>
      </c>
      <c r="E414" s="7" t="str">
        <f>IFERROR(__xludf.DUMMYFUNCTION("""COMPUTED_VALUE"""),"Yes")</f>
        <v>Yes</v>
      </c>
      <c r="F414" s="7" t="str">
        <f>IFERROR(__xludf.DUMMYFUNCTION("""COMPUTED_VALUE"""),"V-Gather")</f>
        <v>V-Gather</v>
      </c>
      <c r="G414" s="7" t="str">
        <f>IFERROR(__xludf.DUMMYFUNCTION("""COMPUTED_VALUE"""),"Virtual/Gather")</f>
        <v>Virtual/Gather</v>
      </c>
      <c r="H414" s="7" t="str">
        <f>IFERROR(__xludf.DUMMYFUNCTION("""COMPUTED_VALUE"""),"Gather")</f>
        <v>Gather</v>
      </c>
      <c r="I414" s="7" t="str">
        <f>IFERROR(__xludf.DUMMYFUNCTION("""COMPUTED_VALUE"""),"Session5: V-Gather Find")</f>
        <v>Session5: V-Gather Find</v>
      </c>
      <c r="J414" s="7" t="str">
        <f>IFERROR(__xludf.DUMMYFUNCTION("""COMPUTED_VALUE"""),"Findings Posters - Virtual")</f>
        <v>Findings Posters - Virtual</v>
      </c>
      <c r="K414" s="7"/>
      <c r="L414" s="8">
        <f>IFERROR(__xludf.DUMMYFUNCTION("""COMPUTED_VALUE"""),45866.0)</f>
        <v>45866</v>
      </c>
      <c r="M414" s="7" t="str">
        <f>IFERROR(__xludf.DUMMYFUNCTION("""COMPUTED_VALUE"""),"18:00-19:30")</f>
        <v>18:00-19:30</v>
      </c>
      <c r="N414" s="7"/>
    </row>
    <row r="415">
      <c r="A415" s="7" t="str">
        <f>IFERROR(__xludf.DUMMYFUNCTION("""COMPUTED_VALUE"""),"1378-FIND")</f>
        <v>1378-FIND</v>
      </c>
      <c r="B415" s="7" t="str">
        <f>IFERROR(__xludf.DUMMYFUNCTION("""COMPUTED_VALUE"""),"Self-Correction is More than Refinement: A Learning Framework for Visual and Language Reasoning Tasks")</f>
        <v>Self-Correction is More than Refinement: A Learning Framework for Visual and Language Reasoning Tasks</v>
      </c>
      <c r="C415" s="7" t="str">
        <f>IFERROR(__xludf.DUMMYFUNCTION("""COMPUTED_VALUE"""),"While Vision-Language Models (VLMs) have shown remarkable abilities, they invariably generate flawed responses. Self-correction that instructs models to refine their outputs presents a promising solution to this issue. Previous studies have mainly concent"&amp;"rated on Large Language Models (LLMs), while the self-correction abilities of VLMs, particularly concerning both visual and linguistic information, remain largely unexamined. This study investigates the self-correction capabilities of VLMs during both inf"&amp;"erence and fine-tuning stages. We introduce a Self-Correction Learning (SCL) approach that enables VLMs to learn from their self-generated self-correction data through Direct Preference Optimization (DPO) without relying on external feedback, facilitating"&amp;" self-improvement. Experimental results demonstrate that although VLMs struggle to self-correct effectively during iterative inference without additional fine-tuning and external feedback, they can enhance their performance and avoid previous mistakes thr"&amp;"ough preference fine-tuning when their generated self-correction data are categorized into preferred and disfavored samples. This study emphasizes that self-correction is not merely a refinement process; rather, it should enhance models' reasoning ability"&amp;" through additional training, enabling them to generate high-quality responses directly without further refinement.")</f>
        <v>While Vision-Language Models (VLMs) have shown remarkable abilities, they invariably generate flawed responses. Self-correction that instructs models to refine their outputs presents a promising solution to this issue. Previous studies have mainly concentrated on Large Language Models (LLMs), while the self-correction abilities of VLMs, particularly concerning both visual and linguistic information, remain largely unexamined. This study investigates the self-correction capabilities of VLMs during both inference and fine-tuning stages. We introduce a Self-Correction Learning (SCL) approach that enables VLMs to learn from their self-generated self-correction data through Direct Preference Optimization (DPO) without relying on external feedback, facilitating self-improvement. Experimental results demonstrate that although VLMs struggle to self-correct effectively during iterative inference without additional fine-tuning and external feedback, they can enhance their performance and avoid previous mistakes through preference fine-tuning when their generated self-correction data are categorized into preferred and disfavored samples. This study emphasizes that self-correction is not merely a refinement process; rather, it should enhance models' reasoning ability through additional training, enabling them to generate high-quality responses directly without further refinement.</v>
      </c>
      <c r="D415" s="7" t="str">
        <f>IFERROR(__xludf.DUMMYFUNCTION("""COMPUTED_VALUE"""),"Yi R. (May) Fung")</f>
        <v>Yi R. (May) Fung</v>
      </c>
      <c r="E415" s="7" t="str">
        <f>IFERROR(__xludf.DUMMYFUNCTION("""COMPUTED_VALUE"""),"yes")</f>
        <v>yes</v>
      </c>
      <c r="F415" s="7" t="str">
        <f>IFERROR(__xludf.DUMMYFUNCTION("""COMPUTED_VALUE"""),"IP-Poster")</f>
        <v>IP-Poster</v>
      </c>
      <c r="G415" s="7" t="str">
        <f>IFERROR(__xludf.DUMMYFUNCTION("""COMPUTED_VALUE"""),"In-Person")</f>
        <v>In-Person</v>
      </c>
      <c r="H415" s="7" t="str">
        <f>IFERROR(__xludf.DUMMYFUNCTION("""COMPUTED_VALUE"""),"Hall 4/5")</f>
        <v>Hall 4/5</v>
      </c>
      <c r="I415" s="7" t="str">
        <f>IFERROR(__xludf.DUMMYFUNCTION("""COMPUTED_VALUE"""),"Session 5 :IP-Posters Find ")</f>
        <v>Session 5 :IP-Posters Find </v>
      </c>
      <c r="J415" s="7" t="str">
        <f>IFERROR(__xludf.DUMMYFUNCTION("""COMPUTED_VALUE"""),"Findings Posters - In-Person 1")</f>
        <v>Findings Posters - In-Person 1</v>
      </c>
      <c r="K415" s="7"/>
      <c r="L415" s="8">
        <f>IFERROR(__xludf.DUMMYFUNCTION("""COMPUTED_VALUE"""),45866.0)</f>
        <v>45866</v>
      </c>
      <c r="M415" s="7" t="str">
        <f>IFERROR(__xludf.DUMMYFUNCTION("""COMPUTED_VALUE"""),"18:00-19:30")</f>
        <v>18:00-19:30</v>
      </c>
      <c r="N415" s="7"/>
    </row>
    <row r="416">
      <c r="A416" s="7" t="str">
        <f>IFERROR(__xludf.DUMMYFUNCTION("""COMPUTED_VALUE"""),"1379-FIND")</f>
        <v>1379-FIND</v>
      </c>
      <c r="B416" s="7" t="str">
        <f>IFERROR(__xludf.DUMMYFUNCTION("""COMPUTED_VALUE"""),"Beyond Reactive Safety: Risk-Aware LLM Alignment via Long-Horizon Simulation")</f>
        <v>Beyond Reactive Safety: Risk-Aware LLM Alignment via Long-Horizon Simulation</v>
      </c>
      <c r="C416" s="7" t="str">
        <f>IFERROR(__xludf.DUMMYFUNCTION("""COMPUTED_VALUE"""),"Given the growing influence of language model-based agents on high-stakes societal decisions, from public policy to healthcare, ensuring their beneficial impact requires understanding the far-reaching implications of their suggestions. We propose a proof-"&amp;"of-concept framework that projects how model-generated advice could propagate through societal systems on a macroscopic scale over time, enabling more robust alignment. To assess the long-term safety awareness of language models, we also introduce a datas"&amp;"et of 100 indirect harm scenarios, testing models' ability to foresee adverse, non-obvious outcomes from seemingly harmless user prompts. Our approach achieves not only over 20% improvement on the new dataset but also an average win rate exceeding 70% aga"&amp;"inst strong baselines on existing safety benchmarks (AdvBench, SafeRLHF, WildGuardMix), suggesting a promising direction for safer agents.")</f>
        <v>Given the growing influence of language model-based agents on high-stakes societal decisions, from public policy to healthcare, ensuring their beneficial impact requires understanding the far-reaching implications of their suggestions. We propose a proof-of-concept framework that projects how model-generated advice could propagate through societal systems on a macroscopic scale over time, enabling more robust alignment. To assess the long-term safety awareness of language models, we also introduce a dataset of 100 indirect harm scenarios, testing models' ability to foresee adverse, non-obvious outcomes from seemingly harmless user prompts. Our approach achieves not only over 20% improvement on the new dataset but also an average win rate exceeding 70% against strong baselines on existing safety benchmarks (AdvBench, SafeRLHF, WildGuardMix), suggesting a promising direction for safer agents.</v>
      </c>
      <c r="D416" s="7" t="str">
        <f>IFERROR(__xludf.DUMMYFUNCTION("""COMPUTED_VALUE"""),"Chenkai Sun")</f>
        <v>Chenkai Sun</v>
      </c>
      <c r="E416" s="7" t="str">
        <f>IFERROR(__xludf.DUMMYFUNCTION("""COMPUTED_VALUE"""),"#N/A")</f>
        <v>#N/A</v>
      </c>
      <c r="F416" s="7" t="str">
        <f>IFERROR(__xludf.DUMMYFUNCTION("""COMPUTED_VALUE"""),"Not Pres. ")</f>
        <v>Not Pres. </v>
      </c>
      <c r="G416" s="7" t="str">
        <f>IFERROR(__xludf.DUMMYFUNCTION("""COMPUTED_VALUE"""),"NP Findings Not Presenting ")</f>
        <v>NP Findings Not Presenting </v>
      </c>
      <c r="H416" s="7"/>
      <c r="I416" s="7" t="str">
        <f>IFERROR(__xludf.DUMMYFUNCTION("""COMPUTED_VALUE"""),"NP-Find")</f>
        <v>NP-Find</v>
      </c>
      <c r="J416" s="7"/>
      <c r="K416" s="7"/>
      <c r="L416" s="8"/>
      <c r="M416" s="7"/>
      <c r="N416" s="7"/>
    </row>
    <row r="417">
      <c r="A417" s="7" t="str">
        <f>IFERROR(__xludf.DUMMYFUNCTION("""COMPUTED_VALUE"""),"1381-FIND")</f>
        <v>1381-FIND</v>
      </c>
      <c r="B417" s="7" t="str">
        <f>IFERROR(__xludf.DUMMYFUNCTION("""COMPUTED_VALUE"""),"Probability-Consistent Preference Optimization for Enhanced LLM Reasoning")</f>
        <v>Probability-Consistent Preference Optimization for Enhanced LLM Reasoning</v>
      </c>
      <c r="C417" s="7" t="str">
        <f>IFERROR(__xludf.DUMMYFUNCTION("""COMPUTED_VALUE"""),"Recent advances in preference optimization have demonstrated significant potential for improving mathematical reasoning capabilities in large language models (LLMs). While current approaches leverage high-quality pairwise preference data through outcome-b"&amp;"ased criteria like answer correctness or consistency, they fundamentally neglect the internal logical coherence of responses. To overcome this, we propose Probability-Consistent Preference Optimization (PCPO), a novel framework that establishes dual quant"&amp;"itative metrics for preference selection: (1) surface-level answer correctness and (2) intrinsic token-level probability consistency across responses. Extensive experiments show that our PCPO consistently outperforms existing outcome-only criterion approa"&amp;"ches across a diverse range of LLMs and benchmarks. Our code is publicly available at https://github.com/YunqiaoYang/PCPO.")</f>
        <v>Recent advances in preference optimization have demonstrated significant potential for improving mathematical reasoning capabilities in large language models (LLMs). While current approaches leverage high-quality pairwise preference data through outcome-based criteria like answer correctness or consistency, they fundamentally neglect the internal logical coherence of responses. To overcome this, we propose Probability-Consistent Preference Optimization (PCPO), a novel framework that establishes dual quantitative metrics for preference selection: (1) surface-level answer correctness and (2) intrinsic token-level probability consistency across responses. Extensive experiments show that our PCPO consistently outperforms existing outcome-only criterion approaches across a diverse range of LLMs and benchmarks. Our code is publicly available at https://github.com/YunqiaoYang/PCPO.</v>
      </c>
      <c r="D417" s="7" t="str">
        <f>IFERROR(__xludf.DUMMYFUNCTION("""COMPUTED_VALUE"""),"Yunqiao Yang")</f>
        <v>Yunqiao Yang</v>
      </c>
      <c r="E417" s="7" t="str">
        <f>IFERROR(__xludf.DUMMYFUNCTION("""COMPUTED_VALUE"""),"Yes")</f>
        <v>Yes</v>
      </c>
      <c r="F417" s="7" t="str">
        <f>IFERROR(__xludf.DUMMYFUNCTION("""COMPUTED_VALUE"""),"Not Pres. ")</f>
        <v>Not Pres. </v>
      </c>
      <c r="G417" s="7" t="str">
        <f>IFERROR(__xludf.DUMMYFUNCTION("""COMPUTED_VALUE"""),"NP Findings Not Presenting ")</f>
        <v>NP Findings Not Presenting </v>
      </c>
      <c r="H417" s="7"/>
      <c r="I417" s="7"/>
      <c r="J417" s="7"/>
      <c r="K417" s="7"/>
      <c r="L417" s="8"/>
      <c r="M417" s="7"/>
      <c r="N417" s="7"/>
    </row>
    <row r="418">
      <c r="A418" s="7" t="str">
        <f>IFERROR(__xludf.DUMMYFUNCTION("""COMPUTED_VALUE"""),"1386-FIND")</f>
        <v>1386-FIND</v>
      </c>
      <c r="B418" s="7" t="str">
        <f>IFERROR(__xludf.DUMMYFUNCTION("""COMPUTED_VALUE"""),"IW-Bench: Evaluating Large Multimodal Models for Converting Image-to-Web")</f>
        <v>IW-Bench: Evaluating Large Multimodal Models for Converting Image-to-Web</v>
      </c>
      <c r="C418" s="7" t="str">
        <f>IFERROR(__xludf.DUMMYFUNCTION("""COMPUTED_VALUE"""),"Recently, advancements in large multimodal models have led to significant strides in image comprehension capabilities. Despite these advancements, there is a lack of a robust benchmark specifically for assessing the image‑to‑web conversion proficiency of "&amp;"these large models. It is essential to ensure the integrity of the web elements generated, which comprise both visible and invisible categories. Previous evaluation methods (e.g., BLEU) are notably susceptible to significant alterations due to the presenc"&amp;"e of invisible elements. Furthermore, it is crucial to measure the layout information of web pages—i.e., the positional relationships between elements—which has been overlooked by prior work. To address these challenges, we have curated and aligned a benc"&amp;"hmark of images and corresponding web codes (IW-bench). Specifically, we propose Element Accuracy, which tests the completeness of elements by parsing the Document Object Model (DOM) tree. We also introduce Layout Accuracy to analyze positional relationsh"&amp;"ips by converting the DOM tree into a common subsequence. In addition, we design a five‑hop multimodal Chain‑of‑Thought prompting strategy for improved performance, consisting of: 1) SoM prompt injection, 2) inferring elements, 3) inferring layout, 4) inf"&amp;"erring web code, and 5) reflection. Our benchmark comprises 1,200 image–code pairs with varying levels of difficulty. We have conducted extensive experiments on existing large multimodal models, providing insights into their performance and identifying ar"&amp;"eas for improvement in the image‑to‑web domain.")</f>
        <v>Recently, advancements in large multimodal models have led to significant strides in image comprehension capabilities. Despite these advancements, there is a lack of a robust benchmark specifically for assessing the image‑to‑web conversion proficiency of these large models. It is essential to ensure the integrity of the web elements generated, which comprise both visible and invisible categories. Previous evaluation methods (e.g., BLEU) are notably susceptible to significant alterations due to the presence of invisible elements. Furthermore, it is crucial to measure the layout information of web pages—i.e., the positional relationships between elements—which has been overlooked by prior work. To address these challenges, we have curated and aligned a benchmark of images and corresponding web codes (IW-bench). Specifically, we propose Element Accuracy, which tests the completeness of elements by parsing the Document Object Model (DOM) tree. We also introduce Layout Accuracy to analyze positional relationships by converting the DOM tree into a common subsequence. In addition, we design a five‑hop multimodal Chain‑of‑Thought prompting strategy for improved performance, consisting of: 1) SoM prompt injection, 2) inferring elements, 3) inferring layout, 4) inferring web code, and 5) reflection. Our benchmark comprises 1,200 image–code pairs with varying levels of difficulty. We have conducted extensive experiments on existing large multimodal models, providing insights into their performance and identifying areas for improvement in the image‑to‑web domain.</v>
      </c>
      <c r="D418" s="7" t="str">
        <f>IFERROR(__xludf.DUMMYFUNCTION("""COMPUTED_VALUE"""),"Hongcheng Guo")</f>
        <v>Hongcheng Guo</v>
      </c>
      <c r="E418" s="7" t="str">
        <f>IFERROR(__xludf.DUMMYFUNCTION("""COMPUTED_VALUE"""),"#N/A")</f>
        <v>#N/A</v>
      </c>
      <c r="F418" s="7" t="str">
        <f>IFERROR(__xludf.DUMMYFUNCTION("""COMPUTED_VALUE"""),"Not Pres. ")</f>
        <v>Not Pres. </v>
      </c>
      <c r="G418" s="7" t="str">
        <f>IFERROR(__xludf.DUMMYFUNCTION("""COMPUTED_VALUE"""),"NP Findings Not Presenting ")</f>
        <v>NP Findings Not Presenting </v>
      </c>
      <c r="H418" s="7"/>
      <c r="I418" s="7" t="str">
        <f>IFERROR(__xludf.DUMMYFUNCTION("""COMPUTED_VALUE"""),"NP-Find")</f>
        <v>NP-Find</v>
      </c>
      <c r="J418" s="7"/>
      <c r="K418" s="7"/>
      <c r="L418" s="8"/>
      <c r="M418" s="7"/>
      <c r="N418" s="7"/>
    </row>
    <row r="419">
      <c r="A419" s="7" t="str">
        <f>IFERROR(__xludf.DUMMYFUNCTION("""COMPUTED_VALUE"""),"1387-FIND")</f>
        <v>1387-FIND</v>
      </c>
      <c r="B419" s="7" t="str">
        <f>IFERROR(__xludf.DUMMYFUNCTION("""COMPUTED_VALUE"""),"TDCSA: LLM-Guided Top-Down Approach for Robust Citation Sentiment Analysis")</f>
        <v>TDCSA: LLM-Guided Top-Down Approach for Robust Citation Sentiment Analysis</v>
      </c>
      <c r="C419" s="7" t="str">
        <f>IFERROR(__xludf.DUMMYFUNCTION("""COMPUTED_VALUE"""),"Citation Sentiment Analysis (CSA) plays a crucial role in understanding academic influence and knowledge diffusion. While pre-trained language models (PLMs) and large language models (LLMs) showed remarkable success in general sentiment analysis, they enc"&amp;"ounter specialized challenges in CSA due to the less significant and implicit sentiment expressions in academic writing, as well as complex sentiment transitions. % importance &amp; limitations In order to address the challenges, We propose TDCSA, a Top-Down "&amp;"framework that leverages LLMs' semantic understanding capabilities to enhance PLM-based CSA, which transforms the traditional bottom-up feature engineering paradigm into a top-down architecture. % what we do Our framework consists of three key components:"&amp;" (1) a Dual LLM Feature Generation module for robust quadruple extraction, (2) a Multi-view Feature Representation mechanism for neutral citation processing, and (3) a Quad Feature Enhanced PLM. % how we do Experiments demonstrate that TDCSA\footnote{Code"&amp;"s and datasets are available at \url{https://github.com/goghvan1113/TDCSA}} significantly outperforms existing methods, achieving state-of-the-art performance while maintaining robustness to quadruple quality variations.")</f>
        <v>Citation Sentiment Analysis (CSA) plays a crucial role in understanding academic influence and knowledge diffusion. While pre-trained language models (PLMs) and large language models (LLMs) showed remarkable success in general sentiment analysis, they encounter specialized challenges in CSA due to the less significant and implicit sentiment expressions in academic writing, as well as complex sentiment transitions. % importance &amp; limitations In order to address the challenges, We propose TDCSA, a Top-Down framework that leverages LLMs' semantic understanding capabilities to enhance PLM-based CSA, which transforms the traditional bottom-up feature engineering paradigm into a top-down architecture. % what we do Our framework consists of three key components: (1) a Dual LLM Feature Generation module for robust quadruple extraction, (2) a Multi-view Feature Representation mechanism for neutral citation processing, and (3) a Quad Feature Enhanced PLM. % how we do Experiments demonstrate that TDCSA\footnote{Codes and datasets are available at \url{https://github.com/goghvan1113/TDCSA}} significantly outperforms existing methods, achieving state-of-the-art performance while maintaining robustness to quadruple quality variations.</v>
      </c>
      <c r="D419" s="7" t="str">
        <f>IFERROR(__xludf.DUMMYFUNCTION("""COMPUTED_VALUE"""),"None")</f>
        <v>None</v>
      </c>
      <c r="E419" s="7" t="str">
        <f>IFERROR(__xludf.DUMMYFUNCTION("""COMPUTED_VALUE"""),"#N/A")</f>
        <v>#N/A</v>
      </c>
      <c r="F419" s="7" t="str">
        <f>IFERROR(__xludf.DUMMYFUNCTION("""COMPUTED_VALUE"""),"Not Pres. ")</f>
        <v>Not Pres. </v>
      </c>
      <c r="G419" s="7" t="str">
        <f>IFERROR(__xludf.DUMMYFUNCTION("""COMPUTED_VALUE"""),"NP Findings Not Presenting ")</f>
        <v>NP Findings Not Presenting </v>
      </c>
      <c r="H419" s="7"/>
      <c r="I419" s="7" t="str">
        <f>IFERROR(__xludf.DUMMYFUNCTION("""COMPUTED_VALUE"""),"NP-Find")</f>
        <v>NP-Find</v>
      </c>
      <c r="J419" s="7"/>
      <c r="K419" s="7"/>
      <c r="L419" s="8"/>
      <c r="M419" s="7"/>
      <c r="N419" s="7"/>
    </row>
    <row r="420">
      <c r="A420" s="7" t="str">
        <f>IFERROR(__xludf.DUMMYFUNCTION("""COMPUTED_VALUE"""),"1389-FIND")</f>
        <v>1389-FIND</v>
      </c>
      <c r="B420" s="7" t="str">
        <f>IFERROR(__xludf.DUMMYFUNCTION("""COMPUTED_VALUE"""),"DeepRTL2: A Versatile Model for RTL-Related Tasks")</f>
        <v>DeepRTL2: A Versatile Model for RTL-Related Tasks</v>
      </c>
      <c r="C420" s="7" t="str">
        <f>IFERROR(__xludf.DUMMYFUNCTION("""COMPUTED_VALUE"""),"The integration of large language models (LLMs) into electronic design automation (EDA) has significantly advanced the field, offering transformative benefits, particularly in register transfer level (RTL) code generation and understanding. While previous"&amp;" studies have demonstrated the efficacy of fine-tuning LLMs for these generation-based tasks, embedding-based tasks, which are equally critical to EDA workflows, have been largely overlooked. These tasks, including natural language code search, RTL code f"&amp;"unctionality equivalence checking, and performance prediction, are essential for accelerating and optimizing the hardware design process. To address this gap, we present DeepRTL2, a family of versatile LLMs that unifies both generation- and embedding-base"&amp;"d tasks related to RTL. By simultaneously tackling a broad range of tasks, DeepRTL2 represents the first model to provide a comprehensive solution to the diverse challenges in EDA. Through extensive experiments, we show that DeepRTL2 achieves state-of-the"&amp;"-art performance across all evaluated tasks.")</f>
        <v>The integration of large language models (LLMs) into electronic design automation (EDA) has significantly advanced the field, offering transformative benefits, particularly in register transfer level (RTL) code generation and understanding. While previous studies have demonstrated the efficacy of fine-tuning LLMs for these generation-based tasks, embedding-based tasks, which are equally critical to EDA workflows, have been largely overlooked. These tasks, including natural language code search, RTL code functionality equivalence checking, and performance prediction, are essential for accelerating and optimizing the hardware design process. To address this gap, we present DeepRTL2, a family of versatile LLMs that unifies both generation- and embedding-based tasks related to RTL. By simultaneously tackling a broad range of tasks, DeepRTL2 represents the first model to provide a comprehensive solution to the diverse challenges in EDA. Through extensive experiments, we show that DeepRTL2 achieves state-of-the-art performance across all evaluated tasks.</v>
      </c>
      <c r="D420" s="7" t="str">
        <f>IFERROR(__xludf.DUMMYFUNCTION("""COMPUTED_VALUE"""),"N/A")</f>
        <v>N/A</v>
      </c>
      <c r="E420" s="7" t="str">
        <f>IFERROR(__xludf.DUMMYFUNCTION("""COMPUTED_VALUE"""),"#N/A")</f>
        <v>#N/A</v>
      </c>
      <c r="F420" s="7" t="str">
        <f>IFERROR(__xludf.DUMMYFUNCTION("""COMPUTED_VALUE"""),"Not Pres. ")</f>
        <v>Not Pres. </v>
      </c>
      <c r="G420" s="7" t="str">
        <f>IFERROR(__xludf.DUMMYFUNCTION("""COMPUTED_VALUE"""),"NP Findings Not Presenting ")</f>
        <v>NP Findings Not Presenting </v>
      </c>
      <c r="H420" s="7"/>
      <c r="I420" s="7" t="str">
        <f>IFERROR(__xludf.DUMMYFUNCTION("""COMPUTED_VALUE"""),"NP-Find")</f>
        <v>NP-Find</v>
      </c>
      <c r="J420" s="7"/>
      <c r="K420" s="7"/>
      <c r="L420" s="8"/>
      <c r="M420" s="7"/>
      <c r="N420" s="7"/>
    </row>
    <row r="421">
      <c r="A421" s="7" t="str">
        <f>IFERROR(__xludf.DUMMYFUNCTION("""COMPUTED_VALUE"""),"1397-FIND")</f>
        <v>1397-FIND</v>
      </c>
      <c r="B421" s="7" t="str">
        <f>IFERROR(__xludf.DUMMYFUNCTION("""COMPUTED_VALUE"""),"The Self-Improvement Paradox: Can Language Models Bootstrap Reasoning Capabilities without External Scaffolding?")</f>
        <v>The Self-Improvement Paradox: Can Language Models Bootstrap Reasoning Capabilities without External Scaffolding?</v>
      </c>
      <c r="C421" s="7" t="str">
        <f>IFERROR(__xludf.DUMMYFUNCTION("""COMPUTED_VALUE"""),"Self-improving large language models (LLMs) -- i.e., to improve the performance of an LLM by fine-tuning it with synthetic data generated by itself -- is a promising way to advance the capabilities of LLMs while avoiding extensive supervision. Existing ap"&amp;"proaches to self-improvement often rely on external supervision signals in the form of seed data and/or assistance from third-party models. This paper presents Crescent -- a simple yet effective framework for generating high-quality synthetic question-ans"&amp;"wer data in a fully autonomous manner. Crescent first elicits the LLM to generate raw questions via a bait prompt, then diversifies these questions leveraging a rejection sampling-based self-deduplication, and finally feeds the questions to the LLM and co"&amp;"llects the corresponding answers by means of majority voting. We show that Crescent sheds light on the potential of true self-improvement with zero external supervision signals for math reasoning; in particular, Crescent-generated question-answer pairs su"&amp;"ffice to (i) improve the reasoning capabilities of an LLM while preserving its general performance (especially in the 0-shot setting); and (ii) distill LLM knowledge to weaker models more effectively than existing methods based on seed-dataset augmentatio"&amp;"n.")</f>
        <v>Self-improving large language models (LLMs) -- i.e., to improve the performance of an LLM by fine-tuning it with synthetic data generated by itself -- is a promising way to advance the capabilities of LLMs while avoiding extensive supervision. Existing approaches to self-improvement often rely on external supervision signals in the form of seed data and/or assistance from third-party models. This paper presents Crescent -- a simple yet effective framework for generating high-quality synthetic question-answer data in a fully autonomous manner. Crescent first elicits the LLM to generate raw questions via a bait prompt, then diversifies these questions leveraging a rejection sampling-based self-deduplication, and finally feeds the questions to the LLM and collects the corresponding answers by means of majority voting. We show that Crescent sheds light on the potential of true self-improvement with zero external supervision signals for math reasoning; in particular, Crescent-generated question-answer pairs suffice to (i) improve the reasoning capabilities of an LLM while preserving its general performance (especially in the 0-shot setting); and (ii) distill LLM knowledge to weaker models more effectively than existing methods based on seed-dataset augmentation.</v>
      </c>
      <c r="D421" s="7" t="str">
        <f>IFERROR(__xludf.DUMMYFUNCTION("""COMPUTED_VALUE"""),"Yutao Sun")</f>
        <v>Yutao Sun</v>
      </c>
      <c r="E421" s="7" t="str">
        <f>IFERROR(__xludf.DUMMYFUNCTION("""COMPUTED_VALUE"""),"Yes")</f>
        <v>Yes</v>
      </c>
      <c r="F421" s="7" t="str">
        <f>IFERROR(__xludf.DUMMYFUNCTION("""COMPUTED_VALUE"""),"IP-Poster")</f>
        <v>IP-Poster</v>
      </c>
      <c r="G421" s="7" t="str">
        <f>IFERROR(__xludf.DUMMYFUNCTION("""COMPUTED_VALUE"""),"In-Person")</f>
        <v>In-Person</v>
      </c>
      <c r="H421" s="7" t="str">
        <f>IFERROR(__xludf.DUMMYFUNCTION("""COMPUTED_VALUE"""),"Hall 4/5")</f>
        <v>Hall 4/5</v>
      </c>
      <c r="I421" s="7" t="str">
        <f>IFERROR(__xludf.DUMMYFUNCTION("""COMPUTED_VALUE"""),"Session 5 :IP-Posters Find ")</f>
        <v>Session 5 :IP-Posters Find </v>
      </c>
      <c r="J421" s="7" t="str">
        <f>IFERROR(__xludf.DUMMYFUNCTION("""COMPUTED_VALUE"""),"Findings Posters - In-Person 1")</f>
        <v>Findings Posters - In-Person 1</v>
      </c>
      <c r="K421" s="7"/>
      <c r="L421" s="8">
        <f>IFERROR(__xludf.DUMMYFUNCTION("""COMPUTED_VALUE"""),45866.0)</f>
        <v>45866</v>
      </c>
      <c r="M421" s="7" t="str">
        <f>IFERROR(__xludf.DUMMYFUNCTION("""COMPUTED_VALUE"""),"18:00-19:30")</f>
        <v>18:00-19:30</v>
      </c>
      <c r="N421" s="7"/>
    </row>
    <row r="422">
      <c r="A422" s="7" t="str">
        <f>IFERROR(__xludf.DUMMYFUNCTION("""COMPUTED_VALUE"""),"1401-FIND")</f>
        <v>1401-FIND</v>
      </c>
      <c r="B422" s="7" t="str">
        <f>IFERROR(__xludf.DUMMYFUNCTION("""COMPUTED_VALUE"""),"Cross-lingual Multimodal Sentiment Analysis for Low-Resource Languages via Language Family Disentanglement and Rethinking Transfer")</f>
        <v>Cross-lingual Multimodal Sentiment Analysis for Low-Resource Languages via Language Family Disentanglement and Rethinking Transfer</v>
      </c>
      <c r="C422" s="7" t="str">
        <f>IFERROR(__xludf.DUMMYFUNCTION("""COMPUTED_VALUE"""),"Existing multimodal sentiment analysis (MSA) methods have achieved significant success, leveraging cross-modal large-scale models (LLMs) and extensive pre-training data. However, these methods struggle to handle MSA tasks in low-resource languages. While "&amp;"multilingual LLMs enable cross-lingual transfer, they are limited to textual data and cannot address multimodal scenarios. To achieve MSA in low-resource languages, we propose a novel transfer learning framework named Language Family Disentanglement and R"&amp;"ethinking Transfer (LFD-RT). During pre-training, we establish cross-lingual and cross-modal alignments, followed by a language family disentanglement module that enhances the sharing of language universals within families while reducing noise from cross-"&amp;"family alignments. We propose a rethinking strategy for unsupervised fine-tuning that adapts the pre-trained model to MSA tasks in low-resource languages. Experimental results demonstrate the superiority of our method and its strong language-transfer capa"&amp;"bility on target low-resource languages. We commit to making our code and data publicly available, and the access link will be provided here.")</f>
        <v>Existing multimodal sentiment analysis (MSA) methods have achieved significant success, leveraging cross-modal large-scale models (LLMs) and extensive pre-training data. However, these methods struggle to handle MSA tasks in low-resource languages. While multilingual LLMs enable cross-lingual transfer, they are limited to textual data and cannot address multimodal scenarios. To achieve MSA in low-resource languages, we propose a novel transfer learning framework named Language Family Disentanglement and Rethinking Transfer (LFD-RT). During pre-training, we establish cross-lingual and cross-modal alignments, followed by a language family disentanglement module that enhances the sharing of language universals within families while reducing noise from cross-family alignments. We propose a rethinking strategy for unsupervised fine-tuning that adapts the pre-trained model to MSA tasks in low-resource languages. Experimental results demonstrate the superiority of our method and its strong language-transfer capability on target low-resource languages. We commit to making our code and data publicly available, and the access link will be provided here.</v>
      </c>
      <c r="D422" s="7" t="str">
        <f>IFERROR(__xludf.DUMMYFUNCTION("""COMPUTED_VALUE"""),"Shuoyu Guan")</f>
        <v>Shuoyu Guan</v>
      </c>
      <c r="E422" s="7" t="str">
        <f>IFERROR(__xludf.DUMMYFUNCTION("""COMPUTED_VALUE"""),"Yes")</f>
        <v>Yes</v>
      </c>
      <c r="F422" s="7" t="str">
        <f>IFERROR(__xludf.DUMMYFUNCTION("""COMPUTED_VALUE"""),"IP-Poster")</f>
        <v>IP-Poster</v>
      </c>
      <c r="G422" s="7" t="str">
        <f>IFERROR(__xludf.DUMMYFUNCTION("""COMPUTED_VALUE"""),"In-Person")</f>
        <v>In-Person</v>
      </c>
      <c r="H422" s="7" t="str">
        <f>IFERROR(__xludf.DUMMYFUNCTION("""COMPUTED_VALUE"""),"Hall 4/5")</f>
        <v>Hall 4/5</v>
      </c>
      <c r="I422" s="7" t="str">
        <f>IFERROR(__xludf.DUMMYFUNCTION("""COMPUTED_VALUE"""),"Session 5 :IP-Posters Find ")</f>
        <v>Session 5 :IP-Posters Find </v>
      </c>
      <c r="J422" s="7" t="str">
        <f>IFERROR(__xludf.DUMMYFUNCTION("""COMPUTED_VALUE"""),"Findings Posters - In-Person 1")</f>
        <v>Findings Posters - In-Person 1</v>
      </c>
      <c r="K422" s="7"/>
      <c r="L422" s="8">
        <f>IFERROR(__xludf.DUMMYFUNCTION("""COMPUTED_VALUE"""),45866.0)</f>
        <v>45866</v>
      </c>
      <c r="M422" s="7" t="str">
        <f>IFERROR(__xludf.DUMMYFUNCTION("""COMPUTED_VALUE"""),"18:00-19:30")</f>
        <v>18:00-19:30</v>
      </c>
      <c r="N422" s="7"/>
    </row>
    <row r="423">
      <c r="A423" s="7" t="str">
        <f>IFERROR(__xludf.DUMMYFUNCTION("""COMPUTED_VALUE"""),"1407-FIND")</f>
        <v>1407-FIND</v>
      </c>
      <c r="B423" s="7" t="str">
        <f>IFERROR(__xludf.DUMMYFUNCTION("""COMPUTED_VALUE"""),"Does Chain-of-Thought Reasoning Really Reduce Harmfulness from Jailbreaking?")</f>
        <v>Does Chain-of-Thought Reasoning Really Reduce Harmfulness from Jailbreaking?</v>
      </c>
      <c r="C423" s="7" t="str">
        <f>IFERROR(__xludf.DUMMYFUNCTION("""COMPUTED_VALUE"""),"Jailbreak attacks have been observed to largely fail against recent reasoning models enhanced by Chain-of-Thought (CoT) reasoning. However, the underlying mechanism remains underexplored, and relying solely on reasoning capacity may raise security concern"&amp;"s. In this paper, we try to answer the question: Does CoT reasoning really reduce harmfulness from jailbreaking? Through rigorous theoretical analysis, we demonstrate that CoT reasoning has dual effects on jailbreaking harmfulness. Based on the theoretica"&amp;"l insights, we propose a novel jailbreak method, FicDetail, whose practical performance validates our theoretical findings.")</f>
        <v>Jailbreak attacks have been observed to largely fail against recent reasoning models enhanced by Chain-of-Thought (CoT) reasoning. However, the underlying mechanism remains underexplored, and relying solely on reasoning capacity may raise security concerns. In this paper, we try to answer the question: Does CoT reasoning really reduce harmfulness from jailbreaking? Through rigorous theoretical analysis, we demonstrate that CoT reasoning has dual effects on jailbreaking harmfulness. Based on the theoretical insights, we propose a novel jailbreak method, FicDetail, whose practical performance validates our theoretical findings.</v>
      </c>
      <c r="D423" s="7" t="str">
        <f>IFERROR(__xludf.DUMMYFUNCTION("""COMPUTED_VALUE"""),"Chengdu Lu")</f>
        <v>Chengdu Lu</v>
      </c>
      <c r="E423" s="7" t="str">
        <f>IFERROR(__xludf.DUMMYFUNCTION("""COMPUTED_VALUE"""),"Yes")</f>
        <v>Yes</v>
      </c>
      <c r="F423" s="7" t="str">
        <f>IFERROR(__xludf.DUMMYFUNCTION("""COMPUTED_VALUE"""),"IP-Poster")</f>
        <v>IP-Poster</v>
      </c>
      <c r="G423" s="7" t="str">
        <f>IFERROR(__xludf.DUMMYFUNCTION("""COMPUTED_VALUE"""),"In-Person")</f>
        <v>In-Person</v>
      </c>
      <c r="H423" s="7" t="str">
        <f>IFERROR(__xludf.DUMMYFUNCTION("""COMPUTED_VALUE"""),"Hall 4/5")</f>
        <v>Hall 4/5</v>
      </c>
      <c r="I423" s="7" t="str">
        <f>IFERROR(__xludf.DUMMYFUNCTION("""COMPUTED_VALUE"""),"Session 5 :IP-Posters Find ")</f>
        <v>Session 5 :IP-Posters Find </v>
      </c>
      <c r="J423" s="7" t="str">
        <f>IFERROR(__xludf.DUMMYFUNCTION("""COMPUTED_VALUE"""),"Findings Posters - In-Person 1")</f>
        <v>Findings Posters - In-Person 1</v>
      </c>
      <c r="K423" s="7"/>
      <c r="L423" s="8">
        <f>IFERROR(__xludf.DUMMYFUNCTION("""COMPUTED_VALUE"""),45866.0)</f>
        <v>45866</v>
      </c>
      <c r="M423" s="7" t="str">
        <f>IFERROR(__xludf.DUMMYFUNCTION("""COMPUTED_VALUE"""),"18:00-19:30")</f>
        <v>18:00-19:30</v>
      </c>
      <c r="N423" s="7"/>
    </row>
    <row r="424">
      <c r="A424" s="7" t="str">
        <f>IFERROR(__xludf.DUMMYFUNCTION("""COMPUTED_VALUE"""),"1411-FIND")</f>
        <v>1411-FIND</v>
      </c>
      <c r="B424" s="7" t="str">
        <f>IFERROR(__xludf.DUMMYFUNCTION("""COMPUTED_VALUE"""),"InternLM-XComposer2.5-Reward: A Simple Yet Effective Multi-Modal Reward Model")</f>
        <v>InternLM-XComposer2.5-Reward: A Simple Yet Effective Multi-Modal Reward Model</v>
      </c>
      <c r="C424" s="7" t="str">
        <f>IFERROR(__xludf.DUMMYFUNCTION("""COMPUTED_VALUE"""),"Despite the promising performance of Large Vision Language Models (LVLMs) in visual understanding, they occasionally generate incorrect outputs. While reward models (RMs) with reinforcement learning or test-time scaling offer the potential for improving g"&amp;"eneration quality, a critical gap remains: publicly available multi-modal RMs for LVLMs are scarce, and the implementation details of proprietary models are often unclear. We bridge this gap with InternLM-XComposer2.5-Reward (IXC-2.5-Reward), a simple yet"&amp;" effective multi-modal reward model that aligns LVLMs with human preferences. To ensure the robustness and versatility of IXC-2.5-Reward, we set up a high-quality multi-modal preference corpus spanning text, image, and video inputs across diverse domains,"&amp;" such as instruction following, general understanding, text-rich documents, mathematical reasoning, and video understanding. IXC-2.5-Reward achieves excellent results on the latest multi-modal reward model benchmark and shows competitive performance on te"&amp;"xt-only reward model benchmarks. We further demonstrate three key applications of IXC-2.5-Reward: (1) Providing a supervisory signal for RL training. We integrate IXC-2.5-Reward with Proximal Policy Optimization (PPO) yields IXC-2.5-Chat, which shows cons"&amp;"istent improvements in instruction following and multi-modal open-ended dialogue; (2) Selecting the best response from candidate responses for test-time scaling; and (3) Filtering outlier or noisy samples from existing image and video instruction tuning t"&amp;"raining data.")</f>
        <v>Despite the promising performance of Large Vision Language Models (LVLMs) in visual understanding, they occasionally generate incorrect outputs. While reward models (RMs) with reinforcement learning or test-time scaling offer the potential for improving generation quality, a critical gap remains: publicly available multi-modal RMs for LVLMs are scarce, and the implementation details of proprietary models are often unclear. We bridge this gap with InternLM-XComposer2.5-Reward (IXC-2.5-Reward), a simple yet effective multi-modal reward model that aligns LVLMs with human preferences. To ensure the robustness and versatility of IXC-2.5-Reward, we set up a high-quality multi-modal preference corpus spanning text, image, and video inputs across diverse domains, such as instruction following, general understanding, text-rich documents, mathematical reasoning, and video understanding. IXC-2.5-Reward achieves excellent results on the latest multi-modal reward model benchmark and shows competitive performance on text-only reward model benchmarks. We further demonstrate three key applications of IXC-2.5-Reward: (1) Providing a supervisory signal for RL training. We integrate IXC-2.5-Reward with Proximal Policy Optimization (PPO) yields IXC-2.5-Chat, which shows consistent improvements in instruction following and multi-modal open-ended dialogue; (2) Selecting the best response from candidate responses for test-time scaling; and (3) Filtering outlier or noisy samples from existing image and video instruction tuning training data.</v>
      </c>
      <c r="D424" s="7" t="str">
        <f>IFERROR(__xludf.DUMMYFUNCTION("""COMPUTED_VALUE"""),"N/A")</f>
        <v>N/A</v>
      </c>
      <c r="E424" s="7" t="str">
        <f>IFERROR(__xludf.DUMMYFUNCTION("""COMPUTED_VALUE"""),"#N/A")</f>
        <v>#N/A</v>
      </c>
      <c r="F424" s="7" t="str">
        <f>IFERROR(__xludf.DUMMYFUNCTION("""COMPUTED_VALUE"""),"Not Pres. ")</f>
        <v>Not Pres. </v>
      </c>
      <c r="G424" s="7" t="str">
        <f>IFERROR(__xludf.DUMMYFUNCTION("""COMPUTED_VALUE"""),"NP Findings Not Presenting ")</f>
        <v>NP Findings Not Presenting </v>
      </c>
      <c r="H424" s="7"/>
      <c r="I424" s="7" t="str">
        <f>IFERROR(__xludf.DUMMYFUNCTION("""COMPUTED_VALUE"""),"NP-Find")</f>
        <v>NP-Find</v>
      </c>
      <c r="J424" s="7"/>
      <c r="K424" s="7"/>
      <c r="L424" s="8"/>
      <c r="M424" s="7"/>
      <c r="N424" s="7"/>
    </row>
    <row r="425">
      <c r="A425" s="7" t="str">
        <f>IFERROR(__xludf.DUMMYFUNCTION("""COMPUTED_VALUE"""),"1413-FIND")</f>
        <v>1413-FIND</v>
      </c>
      <c r="B425" s="7" t="str">
        <f>IFERROR(__xludf.DUMMYFUNCTION("""COMPUTED_VALUE"""),"RATE-Nav: Region-Aware Termination Enhancement for Zero-shot Object Navigation with Vision-Language Models")</f>
        <v>RATE-Nav: Region-Aware Termination Enhancement for Zero-shot Object Navigation with Vision-Language Models</v>
      </c>
      <c r="C425" s="7" t="str">
        <f>IFERROR(__xludf.DUMMYFUNCTION("""COMPUTED_VALUE"""),"Object Navigation (ObjectNav) is a fundamental task in embodied artificial intelligence. Although significant progress has been made in semantic map construction and target direction prediction in current research, redundant exploration and exploration fa"&amp;"ilures remain inevitable. A critical but underexplored direction is the timely termination of exploration to overcome these challenges. We observe a diminishing marginal effect between exploration steps and exploration rates and analyze the cost-benefit r"&amp;"elationship of exploration. Inspired by this, we propose RATE-Nav, a Region-Aware Termination-Enhanced method. It includes a geometric predictive region segmentation algorithm and region-Based exploration estimation algorithm for exploration rate calculat"&amp;"ion. By leveraging the visual question answering capabilities of visual language models (VLMs) and exploration rates enables efficient termination.RATE-Nav achieves a success rate of 67.8% and an SPL of 31.3% on the HM3D dataset. And on the more challengi"&amp;"ng MP3D dataset, RATE-Nav shows approximately 10% improvement over previous zero-shot methods.")</f>
        <v>Object Navigation (ObjectNav) is a fundamental task in embodied artificial intelligence. Although significant progress has been made in semantic map construction and target direction prediction in current research, redundant exploration and exploration failures remain inevitable. A critical but underexplored direction is the timely termination of exploration to overcome these challenges. We observe a diminishing marginal effect between exploration steps and exploration rates and analyze the cost-benefit relationship of exploration. Inspired by this, we propose RATE-Nav, a Region-Aware Termination-Enhanced method. It includes a geometric predictive region segmentation algorithm and region-Based exploration estimation algorithm for exploration rate calculation. By leveraging the visual question answering capabilities of visual language models (VLMs) and exploration rates enables efficient termination.RATE-Nav achieves a success rate of 67.8% and an SPL of 31.3% on the HM3D dataset. And on the more challenging MP3D dataset, RATE-Nav shows approximately 10% improvement over previous zero-shot methods.</v>
      </c>
      <c r="D425" s="7" t="str">
        <f>IFERROR(__xludf.DUMMYFUNCTION("""COMPUTED_VALUE"""),"N/A")</f>
        <v>N/A</v>
      </c>
      <c r="E425" s="7" t="str">
        <f>IFERROR(__xludf.DUMMYFUNCTION("""COMPUTED_VALUE"""),"#N/A")</f>
        <v>#N/A</v>
      </c>
      <c r="F425" s="7" t="str">
        <f>IFERROR(__xludf.DUMMYFUNCTION("""COMPUTED_VALUE"""),"Not Pres. ")</f>
        <v>Not Pres. </v>
      </c>
      <c r="G425" s="7" t="str">
        <f>IFERROR(__xludf.DUMMYFUNCTION("""COMPUTED_VALUE"""),"NP Findings Not Presenting ")</f>
        <v>NP Findings Not Presenting </v>
      </c>
      <c r="H425" s="7"/>
      <c r="I425" s="7" t="str">
        <f>IFERROR(__xludf.DUMMYFUNCTION("""COMPUTED_VALUE"""),"NP-Find")</f>
        <v>NP-Find</v>
      </c>
      <c r="J425" s="7"/>
      <c r="K425" s="7"/>
      <c r="L425" s="8"/>
      <c r="M425" s="7"/>
      <c r="N425" s="7"/>
    </row>
    <row r="426">
      <c r="A426" s="7" t="str">
        <f>IFERROR(__xludf.DUMMYFUNCTION("""COMPUTED_VALUE"""),"1416-FIND")</f>
        <v>1416-FIND</v>
      </c>
      <c r="B426" s="7" t="str">
        <f>IFERROR(__xludf.DUMMYFUNCTION("""COMPUTED_VALUE"""),"RMoA: Optimizing Mixture-of-Agents through Diversity Maximization and Residual Compensation")</f>
        <v>RMoA: Optimizing Mixture-of-Agents through Diversity Maximization and Residual Compensation</v>
      </c>
      <c r="C426" s="7" t="str">
        <f>IFERROR(__xludf.DUMMYFUNCTION("""COMPUTED_VALUE"""),"Although multi-agent systems based on large language models show strong capabilities on multiple tasks, they are still limited by high computational overhead, information loss, and robustness. Inspired by ResNet’s residual learning, we propose Residual Mi"&amp;"xture-of-Agents (RMoA), integrating residual connections to optimize efficiency and reliability. To maximize information utilization from model responses while minimizing computational costs, we innovatively design an embedding-based diversity selection m"&amp;"echanism that greedily selects responses via vector similarity. Furthermore, to mitigate iterative information degradation, we introduce a Residual Extraction Agent to preserve cross-layer incremental information by capturing inter-layer response differen"&amp;"ces, coupled with a Residual Aggregation Agent for hierarchical information integration. Additionally, we propose an adaptive termination mechanism that dynamically halts processing based on residual convergence, further improving inference efficiency. RM"&amp;"oA achieves state-of-the-art performance on the benchmarks of across alignment, mathematical reasoning, code generation, and multitasking understanding, while significantly reducing computational overhead. Code is available at https://anonymous.4open.scie"&amp;"nce/r/RMoA-E3D7.")</f>
        <v>Although multi-agent systems based on large language models show strong capabilities on multiple tasks, they are still limited by high computational overhead, information loss, and robustness. Inspired by ResNet’s residual learning, we propose Residual Mixture-of-Agents (RMoA), integrating residual connections to optimize efficiency and reliability. To maximize information utilization from model responses while minimizing computational costs, we innovatively design an embedding-based diversity selection mechanism that greedily selects responses via vector similarity. Furthermore, to mitigate iterative information degradation, we introduce a Residual Extraction Agent to preserve cross-layer incremental information by capturing inter-layer response differences, coupled with a Residual Aggregation Agent for hierarchical information integration. Additionally, we propose an adaptive termination mechanism that dynamically halts processing based on residual convergence, further improving inference efficiency. RMoA achieves state-of-the-art performance on the benchmarks of across alignment, mathematical reasoning, code generation, and multitasking understanding, while significantly reducing computational overhead. Code is available at https://anonymous.4open.science/r/RMoA-E3D7.</v>
      </c>
      <c r="D426" s="7" t="str">
        <f>IFERROR(__xludf.DUMMYFUNCTION("""COMPUTED_VALUE"""),"jiabaozhao")</f>
        <v>jiabaozhao</v>
      </c>
      <c r="E426" s="7" t="str">
        <f>IFERROR(__xludf.DUMMYFUNCTION("""COMPUTED_VALUE"""),"Yes")</f>
        <v>Yes</v>
      </c>
      <c r="F426" s="7" t="str">
        <f>IFERROR(__xludf.DUMMYFUNCTION("""COMPUTED_VALUE"""),"IP-Poster")</f>
        <v>IP-Poster</v>
      </c>
      <c r="G426" s="7" t="str">
        <f>IFERROR(__xludf.DUMMYFUNCTION("""COMPUTED_VALUE"""),"In-Person")</f>
        <v>In-Person</v>
      </c>
      <c r="H426" s="7" t="str">
        <f>IFERROR(__xludf.DUMMYFUNCTION("""COMPUTED_VALUE"""),"Hall 4/5")</f>
        <v>Hall 4/5</v>
      </c>
      <c r="I426" s="7" t="str">
        <f>IFERROR(__xludf.DUMMYFUNCTION("""COMPUTED_VALUE"""),"Session 5 :IP-Posters Find ")</f>
        <v>Session 5 :IP-Posters Find </v>
      </c>
      <c r="J426" s="7" t="str">
        <f>IFERROR(__xludf.DUMMYFUNCTION("""COMPUTED_VALUE"""),"Findings Posters - In-Person 1")</f>
        <v>Findings Posters - In-Person 1</v>
      </c>
      <c r="K426" s="7"/>
      <c r="L426" s="8">
        <f>IFERROR(__xludf.DUMMYFUNCTION("""COMPUTED_VALUE"""),45866.0)</f>
        <v>45866</v>
      </c>
      <c r="M426" s="7" t="str">
        <f>IFERROR(__xludf.DUMMYFUNCTION("""COMPUTED_VALUE"""),"18:00-19:30")</f>
        <v>18:00-19:30</v>
      </c>
      <c r="N426" s="7"/>
    </row>
    <row r="427">
      <c r="A427" s="7" t="str">
        <f>IFERROR(__xludf.DUMMYFUNCTION("""COMPUTED_VALUE"""),"1421-FIND")</f>
        <v>1421-FIND</v>
      </c>
      <c r="B427" s="7" t="str">
        <f>IFERROR(__xludf.DUMMYFUNCTION("""COMPUTED_VALUE"""),"Instruction-Tuning Data Synthesis from Scratch via Web Reconstruction")</f>
        <v>Instruction-Tuning Data Synthesis from Scratch via Web Reconstruction</v>
      </c>
      <c r="C427" s="7" t="str">
        <f>IFERROR(__xludf.DUMMYFUNCTION("""COMPUTED_VALUE"""),"The improvement of LLMs’ instruction-following capabilities depends critically on the availability of high-quality instruction-response pairs. While existing automatic data synthetic methods alleviate the burden of manual curation, they often rely heavily"&amp;" on either the quality of seed data or strong assumptions about the structure and content of web documents. To tackle these challenges, we propose Web Reconstruction (WebR), a fully automated framework for synthesizing high-quality instruction-tuning (IT)"&amp;" data directly from raw web documents with minimal assumptions. Leveraging the inherent diversity of raw web content, we conceptualize web reconstruction as an instruction-tuning data synthesis task via a novel dual-perspective paradigm—Web as Instruction"&amp;" and Web as Response—where each web document is designated as either the input or output role to trigger the reconstruction process. Comprehensive experiments show that datasets generated by WebR outperform state-of-the-art baselines by up to 16.65% acros"&amp;"s four instruction-following benchmarks. Notably, WebR demonstrates superior compatibility, data efficiency, and scalability, enabling enhanced domain adaptation with minimal effort.")</f>
        <v>The improvement of LLMs’ instruction-following capabilities depends critically on the availability of high-quality instruction-response pairs. While existing automatic data synthetic methods alleviate the burden of manual curation, they often rely heavily on either the quality of seed data or strong assumptions about the structure and content of web documents. To tackle these challenges, we propose Web Reconstruction (WebR), a fully automated framework for synthesizing high-quality instruction-tuning (IT) data directly from raw web documents with minimal assumptions. Leveraging the inherent diversity of raw web content, we conceptualize web reconstruction as an instruction-tuning data synthesis task via a novel dual-perspective paradigm—Web as Instruction and Web as Response—where each web document is designated as either the input or output role to trigger the reconstruction process. Comprehensive experiments show that datasets generated by WebR outperform state-of-the-art baselines by up to 16.65% across four instruction-following benchmarks. Notably, WebR demonstrates superior compatibility, data efficiency, and scalability, enabling enhanced domain adaptation with minimal effort.</v>
      </c>
      <c r="D427" s="7" t="str">
        <f>IFERROR(__xludf.DUMMYFUNCTION("""COMPUTED_VALUE"""),"Weinan Gan")</f>
        <v>Weinan Gan</v>
      </c>
      <c r="E427" s="7" t="str">
        <f>IFERROR(__xludf.DUMMYFUNCTION("""COMPUTED_VALUE"""),"Yes")</f>
        <v>Yes</v>
      </c>
      <c r="F427" s="7" t="str">
        <f>IFERROR(__xludf.DUMMYFUNCTION("""COMPUTED_VALUE"""),"IP-Poster")</f>
        <v>IP-Poster</v>
      </c>
      <c r="G427" s="7" t="str">
        <f>IFERROR(__xludf.DUMMYFUNCTION("""COMPUTED_VALUE"""),"In-Person")</f>
        <v>In-Person</v>
      </c>
      <c r="H427" s="7" t="str">
        <f>IFERROR(__xludf.DUMMYFUNCTION("""COMPUTED_VALUE"""),"Hall 4/5")</f>
        <v>Hall 4/5</v>
      </c>
      <c r="I427" s="7" t="str">
        <f>IFERROR(__xludf.DUMMYFUNCTION("""COMPUTED_VALUE"""),"Session 5 :IP-Posters Find ")</f>
        <v>Session 5 :IP-Posters Find </v>
      </c>
      <c r="J427" s="7" t="str">
        <f>IFERROR(__xludf.DUMMYFUNCTION("""COMPUTED_VALUE"""),"Findings Posters - In-Person 1")</f>
        <v>Findings Posters - In-Person 1</v>
      </c>
      <c r="K427" s="7"/>
      <c r="L427" s="8">
        <f>IFERROR(__xludf.DUMMYFUNCTION("""COMPUTED_VALUE"""),45866.0)</f>
        <v>45866</v>
      </c>
      <c r="M427" s="7" t="str">
        <f>IFERROR(__xludf.DUMMYFUNCTION("""COMPUTED_VALUE"""),"18:00-19:30")</f>
        <v>18:00-19:30</v>
      </c>
      <c r="N427" s="7"/>
    </row>
    <row r="428">
      <c r="A428" s="7" t="str">
        <f>IFERROR(__xludf.DUMMYFUNCTION("""COMPUTED_VALUE"""),"1422-FIND")</f>
        <v>1422-FIND</v>
      </c>
      <c r="B428" s="7" t="str">
        <f>IFERROR(__xludf.DUMMYFUNCTION("""COMPUTED_VALUE"""),"RLKGF: Reinforcement Learning from Knowledge Graph Feedback Without Human Annotations")</f>
        <v>RLKGF: Reinforcement Learning from Knowledge Graph Feedback Without Human Annotations</v>
      </c>
      <c r="C428" s="7" t="str">
        <f>IFERROR(__xludf.DUMMYFUNCTION("""COMPUTED_VALUE"""),"Reinforcement Learning from Human Feedback (RLHF) has been shown to effectively align large language models (LLMs) with human knowledge. However, the lack of human preference labels remains a significant bottleneck when applying RLHF to a downstream domai"&amp;"n. Humans in RLHF play a critical role in injecting reasoning preferences into LLM, and we assume the reasoning process underlying human assessments may potentially be replaced by reasoning pathways derived from Knowledge Graphs (KGs). Inspired by this as"&amp;"sumption, we propose Reinforcement Learning from Knowledge Graph Feedback (RLKGF), a novel method that leverages KG semantics and structure to derive RL rewards in the absence of manual annotations. Unlike Reinforcement Learning from AI Feedback (RLAIF), "&amp;"RLKGF directly integrates human priors encoded in KGs as the reward model, aligning LLM responses with expert knowledge without additional preference labeling or reward model training. RLKGF structures context-relevant facts into knowledge subgraphs and d"&amp;"efines rewards by simulating information flow across semantic and logical connections between question and candidate response entities. Experiments on three public and one private medical dialogue dataset demonstrate that RLKGF significantly outperforms t"&amp;"he competitive RLAIF in improving LLM diagnostic accuracy. The code is available at \url{https://github.com/YanPioneer/RLKGF}.")</f>
        <v>Reinforcement Learning from Human Feedback (RLHF) has been shown to effectively align large language models (LLMs) with human knowledge. However, the lack of human preference labels remains a significant bottleneck when applying RLHF to a downstream domain. Humans in RLHF play a critical role in injecting reasoning preferences into LLM, and we assume the reasoning process underlying human assessments may potentially be replaced by reasoning pathways derived from Knowledge Graphs (KGs). Inspired by this assumption, we propose Reinforcement Learning from Knowledge Graph Feedback (RLKGF), a novel method that leverages KG semantics and structure to derive RL rewards in the absence of manual annotations. Unlike Reinforcement Learning from AI Feedback (RLAIF), RLKGF directly integrates human priors encoded in KGs as the reward model, aligning LLM responses with expert knowledge without additional preference labeling or reward model training. RLKGF structures context-relevant facts into knowledge subgraphs and defines rewards by simulating information flow across semantic and logical connections between question and candidate response entities. Experiments on three public and one private medical dialogue dataset demonstrate that RLKGF significantly outperforms the competitive RLAIF in improving LLM diagnostic accuracy. The code is available at \url{https://github.com/YanPioneer/RLKGF}.</v>
      </c>
      <c r="D428" s="7" t="str">
        <f>IFERROR(__xludf.DUMMYFUNCTION("""COMPUTED_VALUE"""),"Lian Yan")</f>
        <v>Lian Yan</v>
      </c>
      <c r="E428" s="7" t="str">
        <f>IFERROR(__xludf.DUMMYFUNCTION("""COMPUTED_VALUE"""),"Yes")</f>
        <v>Yes</v>
      </c>
      <c r="F428" s="7" t="str">
        <f>IFERROR(__xludf.DUMMYFUNCTION("""COMPUTED_VALUE"""),"IP-Poster")</f>
        <v>IP-Poster</v>
      </c>
      <c r="G428" s="7" t="str">
        <f>IFERROR(__xludf.DUMMYFUNCTION("""COMPUTED_VALUE"""),"In-Person")</f>
        <v>In-Person</v>
      </c>
      <c r="H428" s="7" t="str">
        <f>IFERROR(__xludf.DUMMYFUNCTION("""COMPUTED_VALUE"""),"Hall 4/5")</f>
        <v>Hall 4/5</v>
      </c>
      <c r="I428" s="7" t="str">
        <f>IFERROR(__xludf.DUMMYFUNCTION("""COMPUTED_VALUE"""),"Session 5 :IP-Posters Find ")</f>
        <v>Session 5 :IP-Posters Find </v>
      </c>
      <c r="J428" s="7" t="str">
        <f>IFERROR(__xludf.DUMMYFUNCTION("""COMPUTED_VALUE"""),"Findings Posters - In-Person 1")</f>
        <v>Findings Posters - In-Person 1</v>
      </c>
      <c r="K428" s="7"/>
      <c r="L428" s="8">
        <f>IFERROR(__xludf.DUMMYFUNCTION("""COMPUTED_VALUE"""),45866.0)</f>
        <v>45866</v>
      </c>
      <c r="M428" s="7" t="str">
        <f>IFERROR(__xludf.DUMMYFUNCTION("""COMPUTED_VALUE"""),"18:00-19:30")</f>
        <v>18:00-19:30</v>
      </c>
      <c r="N428" s="7"/>
    </row>
    <row r="429">
      <c r="A429" s="7" t="str">
        <f>IFERROR(__xludf.DUMMYFUNCTION("""COMPUTED_VALUE"""),"1423-FIND")</f>
        <v>1423-FIND</v>
      </c>
      <c r="B429" s="7" t="str">
        <f>IFERROR(__xludf.DUMMYFUNCTION("""COMPUTED_VALUE"""),"Learning Task Representations from In-Context Learning")</f>
        <v>Learning Task Representations from In-Context Learning</v>
      </c>
      <c r="C429" s="7" t="str">
        <f>IFERROR(__xludf.DUMMYFUNCTION("""COMPUTED_VALUE"""),"Large language models (LLMs) have demonstrated remarkable proficiency in in-context learning (ICL), where models adapt to new tasks through example-based prompts without requiring parameter updates. However, understanding how tasks are internally encoded "&amp;"and generalized remains a challenge. To address some of the empirical and technical gaps in the literature, we introduce an automated formulation for encoding task information in ICL prompts as a function of attention heads within the transformer architec"&amp;"ture. This approach computes a single task vector as a weighted sum of attention heads, with the weights optimized causally via gradient descent. Our findings show that existing methods fail to generalize effectively to modalities beyond text. In response"&amp;", we also design a benchmark to evaluate whether a task vector can preserve task fidelity in functional regression tasks. The proposed method successfully extracts task-specific information from in-context demonstrations and excels in both text and regres"&amp;"sion tasks, demonstrating its generalizability across modalities.")</f>
        <v>Large language models (LLMs) have demonstrated remarkable proficiency in in-context learning (ICL), where models adapt to new tasks through example-based prompts without requiring parameter updates. However, understanding how tasks are internally encoded and generalized remains a challenge. To address some of the empirical and technical gaps in the literature, we introduce an automated formulation for encoding task information in ICL prompts as a function of attention heads within the transformer architecture. This approach computes a single task vector as a weighted sum of attention heads, with the weights optimized causally via gradient descent. Our findings show that existing methods fail to generalize effectively to modalities beyond text. In response, we also design a benchmark to evaluate whether a task vector can preserve task fidelity in functional regression tasks. The proposed method successfully extracts task-specific information from in-context demonstrations and excels in both text and regression tasks, demonstrating its generalizability across modalities.</v>
      </c>
      <c r="D429" s="7" t="str">
        <f>IFERROR(__xludf.DUMMYFUNCTION("""COMPUTED_VALUE"""),"N/A")</f>
        <v>N/A</v>
      </c>
      <c r="E429" s="7" t="str">
        <f>IFERROR(__xludf.DUMMYFUNCTION("""COMPUTED_VALUE"""),"#N/A")</f>
        <v>#N/A</v>
      </c>
      <c r="F429" s="7" t="str">
        <f>IFERROR(__xludf.DUMMYFUNCTION("""COMPUTED_VALUE"""),"Not Pres. ")</f>
        <v>Not Pres. </v>
      </c>
      <c r="G429" s="7" t="str">
        <f>IFERROR(__xludf.DUMMYFUNCTION("""COMPUTED_VALUE"""),"NP Findings Not Presenting ")</f>
        <v>NP Findings Not Presenting </v>
      </c>
      <c r="H429" s="7"/>
      <c r="I429" s="7" t="str">
        <f>IFERROR(__xludf.DUMMYFUNCTION("""COMPUTED_VALUE"""),"NP-Find")</f>
        <v>NP-Find</v>
      </c>
      <c r="J429" s="7"/>
      <c r="K429" s="7"/>
      <c r="L429" s="8"/>
      <c r="M429" s="7"/>
      <c r="N429" s="7"/>
    </row>
    <row r="430">
      <c r="A430" s="7" t="str">
        <f>IFERROR(__xludf.DUMMYFUNCTION("""COMPUTED_VALUE"""),"1425-FIND")</f>
        <v>1425-FIND</v>
      </c>
      <c r="B430" s="7" t="str">
        <f>IFERROR(__xludf.DUMMYFUNCTION("""COMPUTED_VALUE"""),"CAVGAN: Unifying Jailbreak and Defense of LLMs via Generative Adversarial Attacks on their Internal Representations")</f>
        <v>CAVGAN: Unifying Jailbreak and Defense of LLMs via Generative Adversarial Attacks on their Internal Representations</v>
      </c>
      <c r="C430" s="7" t="str">
        <f>IFERROR(__xludf.DUMMYFUNCTION("""COMPUTED_VALUE"""),"Security alignment enables the Large Language Model (LLM) to gain the protection against malicious queries, but various jailbreak attack methods reveal the vulnerability of this security mechanism. Previous studies have isolated LLM jailbreak attacks and "&amp;"defenses. We analyze the security protection mechanism of the LLM, and propose a framework that combines attack and defense. Our method is based on the linearly separable property of LLM intermediate layer embedding, as well as the essence of jailbreak at"&amp;"tack, which aims to embed harmful problems and transfer them to the safe area. We utilize generative adversarial network (GAN) to learn the security judgment boundary inside the LLM to achieve efficient jailbreak attack and defense. The experimental resul"&amp;"ts indicate that our method achieves an average jailbreak success rate of 88.85% across three popular LLMs, while the defense success rate on the state-of-the-art jailbreak dataset reaches an average of 84.17%. This not only validates the effectiveness of"&amp;" our approach but also sheds light on the internal security mechanisms of LLMs, offering new insights for enhancing model security.Warning: This paper contains some harmful text examples.")</f>
        <v>Security alignment enables the Large Language Model (LLM) to gain the protection against malicious queries, but various jailbreak attack methods reveal the vulnerability of this security mechanism. Previous studies have isolated LLM jailbreak attacks and defenses. We analyze the security protection mechanism of the LLM, and propose a framework that combines attack and defense. Our method is based on the linearly separable property of LLM intermediate layer embedding, as well as the essence of jailbreak attack, which aims to embed harmful problems and transfer them to the safe area. We utilize generative adversarial network (GAN) to learn the security judgment boundary inside the LLM to achieve efficient jailbreak attack and defense. The experimental results indicate that our method achieves an average jailbreak success rate of 88.85% across three popular LLMs, while the defense success rate on the state-of-the-art jailbreak dataset reaches an average of 84.17%. This not only validates the effectiveness of our approach but also sheds light on the internal security mechanisms of LLMs, offering new insights for enhancing model security.Warning: This paper contains some harmful text examples.</v>
      </c>
      <c r="D430" s="7" t="str">
        <f>IFERROR(__xludf.DUMMYFUNCTION("""COMPUTED_VALUE"""),"Tieyun Qian")</f>
        <v>Tieyun Qian</v>
      </c>
      <c r="E430" s="7" t="str">
        <f>IFERROR(__xludf.DUMMYFUNCTION("""COMPUTED_VALUE"""),"Yes")</f>
        <v>Yes</v>
      </c>
      <c r="F430" s="7" t="str">
        <f>IFERROR(__xludf.DUMMYFUNCTION("""COMPUTED_VALUE"""),"IP-Poster")</f>
        <v>IP-Poster</v>
      </c>
      <c r="G430" s="7" t="str">
        <f>IFERROR(__xludf.DUMMYFUNCTION("""COMPUTED_VALUE"""),"In-Person")</f>
        <v>In-Person</v>
      </c>
      <c r="H430" s="7" t="str">
        <f>IFERROR(__xludf.DUMMYFUNCTION("""COMPUTED_VALUE"""),"Hall 4/5")</f>
        <v>Hall 4/5</v>
      </c>
      <c r="I430" s="7" t="str">
        <f>IFERROR(__xludf.DUMMYFUNCTION("""COMPUTED_VALUE"""),"Session 5 :IP-Posters Find ")</f>
        <v>Session 5 :IP-Posters Find </v>
      </c>
      <c r="J430" s="7" t="str">
        <f>IFERROR(__xludf.DUMMYFUNCTION("""COMPUTED_VALUE"""),"Findings Posters - In-Person 1")</f>
        <v>Findings Posters - In-Person 1</v>
      </c>
      <c r="K430" s="7"/>
      <c r="L430" s="8">
        <f>IFERROR(__xludf.DUMMYFUNCTION("""COMPUTED_VALUE"""),45866.0)</f>
        <v>45866</v>
      </c>
      <c r="M430" s="7" t="str">
        <f>IFERROR(__xludf.DUMMYFUNCTION("""COMPUTED_VALUE"""),"18:00-19:30")</f>
        <v>18:00-19:30</v>
      </c>
      <c r="N430" s="7"/>
    </row>
    <row r="431">
      <c r="A431" s="7" t="str">
        <f>IFERROR(__xludf.DUMMYFUNCTION("""COMPUTED_VALUE"""),"1426-FIND")</f>
        <v>1426-FIND</v>
      </c>
      <c r="B431" s="7" t="str">
        <f>IFERROR(__xludf.DUMMYFUNCTION("""COMPUTED_VALUE"""),"Firm or Fickle? Evaluating Large Language Models Consistency in Sequential Interactions")</f>
        <v>Firm or Fickle? Evaluating Large Language Models Consistency in Sequential Interactions</v>
      </c>
      <c r="C431" s="7" t="str">
        <f>IFERROR(__xludf.DUMMYFUNCTION("""COMPUTED_VALUE"""),"Large Language Models (LLMs) have shown remarkable capabilities across various tasks, but their deployment in high-stake domains requires consistent performance across multiple interaction rounds. This paper introduces a comprehensive framework for evalua"&amp;"ting and improving LLM response consistency, making three key contributions. First, we propose a novel Position-Weighted Consistency (PWC) score that captures both the importance of early-stage stability and recovery patterns in multi-turn interactions. S"&amp;"econd, we present a carefully curated benchmark dataset spanning diverse domains and difficulty levels, specifically designed to evaluate LLM consistency under various challenging follow-up scenarios. Third, we introduce Confidence-Aware Response Generati"&amp;"on (CARG), a framework that significantly improves response stability by incorporating model confidence signals into the generation process. Empirical results demonstrate that CARG significantly improves response stability without sacrificing accuracy, un"&amp;"derscoring its potential for reliable LLM deployment in critical applications.")</f>
        <v>Large Language Models (LLMs) have shown remarkable capabilities across various tasks, but their deployment in high-stake domains requires consistent performance across multiple interaction rounds. This paper introduces a comprehensive framework for evaluating and improving LLM response consistency, making three key contributions. First, we propose a novel Position-Weighted Consistency (PWC) score that captures both the importance of early-stage stability and recovery patterns in multi-turn interactions. Second, we present a carefully curated benchmark dataset spanning diverse domains and difficulty levels, specifically designed to evaluate LLM consistency under various challenging follow-up scenarios. Third, we introduce Confidence-Aware Response Generation (CARG), a framework that significantly improves response stability by incorporating model confidence signals into the generation process. Empirical results demonstrate that CARG significantly improves response stability without sacrificing accuracy, underscoring its potential for reliable LLM deployment in critical applications.</v>
      </c>
      <c r="D431" s="7" t="str">
        <f>IFERROR(__xludf.DUMMYFUNCTION("""COMPUTED_VALUE"""),"Yubo Li")</f>
        <v>Yubo Li</v>
      </c>
      <c r="E431" s="7" t="str">
        <f>IFERROR(__xludf.DUMMYFUNCTION("""COMPUTED_VALUE"""),"Yes")</f>
        <v>Yes</v>
      </c>
      <c r="F431" s="7" t="str">
        <f>IFERROR(__xludf.DUMMYFUNCTION("""COMPUTED_VALUE"""),"V-Presentation")</f>
        <v>V-Presentation</v>
      </c>
      <c r="G431" s="7" t="str">
        <f>IFERROR(__xludf.DUMMYFUNCTION("""COMPUTED_VALUE"""),"Virtual/Gather")</f>
        <v>Virtual/Gather</v>
      </c>
      <c r="H431" s="7" t="str">
        <f>IFERROR(__xludf.DUMMYFUNCTION("""COMPUTED_VALUE"""),"Gather")</f>
        <v>Gather</v>
      </c>
      <c r="I431" s="7" t="str">
        <f>IFERROR(__xludf.DUMMYFUNCTION("""COMPUTED_VALUE"""),"Session5: V-Gather Find")</f>
        <v>Session5: V-Gather Find</v>
      </c>
      <c r="J431" s="7" t="str">
        <f>IFERROR(__xludf.DUMMYFUNCTION("""COMPUTED_VALUE"""),"Findings Posters - Virtual")</f>
        <v>Findings Posters - Virtual</v>
      </c>
      <c r="K431" s="7"/>
      <c r="L431" s="8">
        <f>IFERROR(__xludf.DUMMYFUNCTION("""COMPUTED_VALUE"""),45866.0)</f>
        <v>45866</v>
      </c>
      <c r="M431" s="7" t="str">
        <f>IFERROR(__xludf.DUMMYFUNCTION("""COMPUTED_VALUE"""),"18:00-19:30")</f>
        <v>18:00-19:30</v>
      </c>
      <c r="N431" s="7"/>
    </row>
    <row r="432">
      <c r="A432" s="7" t="str">
        <f>IFERROR(__xludf.DUMMYFUNCTION("""COMPUTED_VALUE"""),"1427-FIND")</f>
        <v>1427-FIND</v>
      </c>
      <c r="B432" s="7" t="str">
        <f>IFERROR(__xludf.DUMMYFUNCTION("""COMPUTED_VALUE"""),"OS-Kairos: Adaptive Interaction for MLLM-Powered GUI Agents")</f>
        <v>OS-Kairos: Adaptive Interaction for MLLM-Powered GUI Agents</v>
      </c>
      <c r="C432" s="7" t="str">
        <f>IFERROR(__xludf.DUMMYFUNCTION("""COMPUTED_VALUE"""),"Autonomous graphical user interface (GUI) agents powered by multimodal large language models have shown great promise. However, a critical yet underexplored issue persists: over-execution, where the agent executes tasks in a fully autonomous way, without "&amp;"adequate assessment of its action confidence to compromise an adaptive human-agent collaboration. This poses substantial risks in complex scenarios, such as those involving ambiguous user instructions, unexpected interruptions, and environmental hijacks. "&amp;"To address the issue, we introduce OS-Kairos, an adaptive GUI agent capable of predicting confidence levels at each interaction step and efficiently deciding whether to act autonomously or seek human intervention. OS-Kairos is developed through two key me"&amp;"chanisms: (i) collaborative probing that annotates confidence scores at each interaction step; (ii) confidence-driven interaction that leverages these confidence scores to elicit the ability of adaptive interaction. Experimental results show that OS-Kairo"&amp;"s substantially outperforms existing models on our curated dataset featuring complex scenarios, as well as on established benchmarks such as AITZ and Meta-GUI, with 24.59%~87.29% improvements in task success rate. OS-Kairos facilitates an adaptive human-a"&amp;"gent collaboration, prioritizing effectiveness, generality, scalability, and efficiency for real-world GUI interaction. The dataset and codes are available at Anonymous.")</f>
        <v>Autonomous graphical user interface (GUI) agents powered by multimodal large language models have shown great promise. However, a critical yet underexplored issue persists: over-execution, where the agent executes tasks in a fully autonomous way, without adequate assessment of its action confidence to compromise an adaptive human-agent collaboration. This poses substantial risks in complex scenarios, such as those involving ambiguous user instructions, unexpected interruptions, and environmental hijacks. To address the issue, we introduce OS-Kairos, an adaptive GUI agent capable of predicting confidence levels at each interaction step and efficiently deciding whether to act autonomously or seek human intervention. OS-Kairos is developed through two key mechanisms: (i) collaborative probing that annotates confidence scores at each interaction step; (ii) confidence-driven interaction that leverages these confidence scores to elicit the ability of adaptive interaction. Experimental results show that OS-Kairos substantially outperforms existing models on our curated dataset featuring complex scenarios, as well as on established benchmarks such as AITZ and Meta-GUI, with 24.59%~87.29% improvements in task success rate. OS-Kairos facilitates an adaptive human-agent collaboration, prioritizing effectiveness, generality, scalability, and efficiency for real-world GUI interaction. The dataset and codes are available at Anonymous.</v>
      </c>
      <c r="D432" s="7" t="str">
        <f>IFERROR(__xludf.DUMMYFUNCTION("""COMPUTED_VALUE"""),"N/A")</f>
        <v>N/A</v>
      </c>
      <c r="E432" s="7" t="str">
        <f>IFERROR(__xludf.DUMMYFUNCTION("""COMPUTED_VALUE"""),"#N/A")</f>
        <v>#N/A</v>
      </c>
      <c r="F432" s="7" t="str">
        <f>IFERROR(__xludf.DUMMYFUNCTION("""COMPUTED_VALUE"""),"Not Pres. ")</f>
        <v>Not Pres. </v>
      </c>
      <c r="G432" s="7" t="str">
        <f>IFERROR(__xludf.DUMMYFUNCTION("""COMPUTED_VALUE"""),"NP Findings Not Presenting ")</f>
        <v>NP Findings Not Presenting </v>
      </c>
      <c r="H432" s="7"/>
      <c r="I432" s="7" t="str">
        <f>IFERROR(__xludf.DUMMYFUNCTION("""COMPUTED_VALUE"""),"NP-Find")</f>
        <v>NP-Find</v>
      </c>
      <c r="J432" s="7"/>
      <c r="K432" s="7"/>
      <c r="L432" s="8"/>
      <c r="M432" s="7"/>
      <c r="N432" s="7"/>
    </row>
    <row r="433">
      <c r="A433" s="7" t="str">
        <f>IFERROR(__xludf.DUMMYFUNCTION("""COMPUTED_VALUE"""),"1432-FIND")</f>
        <v>1432-FIND</v>
      </c>
      <c r="B433" s="7" t="str">
        <f>IFERROR(__xludf.DUMMYFUNCTION("""COMPUTED_VALUE"""),"Red-Teaming LLM Multi-Agent Systems via Communication Attacks")</f>
        <v>Red-Teaming LLM Multi-Agent Systems via Communication Attacks</v>
      </c>
      <c r="C433" s="7" t="str">
        <f>IFERROR(__xludf.DUMMYFUNCTION("""COMPUTED_VALUE"""),"Large Language Model-based Multi-Agent Systems (LLM-MAS) have revolutionized complex problem-solving capability by enabling sophisticated agent collaboration through message-based communications. While the communication framework is crucial for agent coor"&amp;"dination, it also introduces a critical yet unexplored security vulnerability. In this work, we introduce Agent-in-the-Middle (AiTM), a novel attack that exploits the fundamental communication mechanisms in LLM-MAS by intercepting and manipulating inter-a"&amp;"gent messages. Unlike existing attacks that compromise individual agents, AiTM demonstrates how an adversary can compromise entire multi-agent systems by only manipulating the messages passing between agents. To enable the attack under the challenges of l"&amp;"imited control and role-restricted communication format, we develop an LLM-powered adversarial agent with a reflection mechanism that generates contextually-aware malicious instructions. Our comprehensive evaluation across various frameworks, communicatio"&amp;"n structures, and real-world applications demonstrates that LLM-MAS is vulnerable to communication-based attacks, highlighting the need for robust security measures in multi-agent systems.")</f>
        <v>Large Language Model-based Multi-Agent Systems (LLM-MAS) have revolutionized complex problem-solving capability by enabling sophisticated agent collaboration through message-based communications. While the communication framework is crucial for agent coordination, it also introduces a critical yet unexplored security vulnerability. In this work, we introduce Agent-in-the-Middle (AiTM), a novel attack that exploits the fundamental communication mechanisms in LLM-MAS by intercepting and manipulating inter-agent messages. Unlike existing attacks that compromise individual agents, AiTM demonstrates how an adversary can compromise entire multi-agent systems by only manipulating the messages passing between agents. To enable the attack under the challenges of limited control and role-restricted communication format, we develop an LLM-powered adversarial agent with a reflection mechanism that generates contextually-aware malicious instructions. Our comprehensive evaluation across various frameworks, communication structures, and real-world applications demonstrates that LLM-MAS is vulnerable to communication-based attacks, highlighting the need for robust security measures in multi-agent systems.</v>
      </c>
      <c r="D433" s="7" t="str">
        <f>IFERROR(__xludf.DUMMYFUNCTION("""COMPUTED_VALUE"""),"Pengfei He")</f>
        <v>Pengfei He</v>
      </c>
      <c r="E433" s="7" t="str">
        <f>IFERROR(__xludf.DUMMYFUNCTION("""COMPUTED_VALUE"""),"Yes")</f>
        <v>Yes</v>
      </c>
      <c r="F433" s="7" t="str">
        <f>IFERROR(__xludf.DUMMYFUNCTION("""COMPUTED_VALUE"""),"V-Presentation")</f>
        <v>V-Presentation</v>
      </c>
      <c r="G433" s="7" t="str">
        <f>IFERROR(__xludf.DUMMYFUNCTION("""COMPUTED_VALUE"""),"Virtual/Gather")</f>
        <v>Virtual/Gather</v>
      </c>
      <c r="H433" s="7" t="str">
        <f>IFERROR(__xludf.DUMMYFUNCTION("""COMPUTED_VALUE"""),"Gather")</f>
        <v>Gather</v>
      </c>
      <c r="I433" s="7" t="str">
        <f>IFERROR(__xludf.DUMMYFUNCTION("""COMPUTED_VALUE"""),"Session5: V-Gather Find")</f>
        <v>Session5: V-Gather Find</v>
      </c>
      <c r="J433" s="7" t="str">
        <f>IFERROR(__xludf.DUMMYFUNCTION("""COMPUTED_VALUE"""),"Findings Posters - Virtual")</f>
        <v>Findings Posters - Virtual</v>
      </c>
      <c r="K433" s="7"/>
      <c r="L433" s="8">
        <f>IFERROR(__xludf.DUMMYFUNCTION("""COMPUTED_VALUE"""),45866.0)</f>
        <v>45866</v>
      </c>
      <c r="M433" s="7" t="str">
        <f>IFERROR(__xludf.DUMMYFUNCTION("""COMPUTED_VALUE"""),"18:00-19:30")</f>
        <v>18:00-19:30</v>
      </c>
      <c r="N433" s="7"/>
    </row>
    <row r="434">
      <c r="A434" s="7" t="str">
        <f>IFERROR(__xludf.DUMMYFUNCTION("""COMPUTED_VALUE"""),"1434-FIND")</f>
        <v>1434-FIND</v>
      </c>
      <c r="B434" s="7" t="str">
        <f>IFERROR(__xludf.DUMMYFUNCTION("""COMPUTED_VALUE"""),"Can We Trust AI Doctors? A Survey of Medical Hallucination in Large Language and Large Vision-Language Models")</f>
        <v>Can We Trust AI Doctors? A Survey of Medical Hallucination in Large Language and Large Vision-Language Models</v>
      </c>
      <c r="C434" s="7" t="str">
        <f>IFERROR(__xludf.DUMMYFUNCTION("""COMPUTED_VALUE"""),"Hallucination has emerged as a critical challenge for large language models (LLMs) and large vision-language models (LVLMs), particularly in high-stakes medical applications. Despite its significance, dedicated research on medical hallucination remains un"&amp;"explored. In this survey, we first provide a unified perspective on medical hallucination for both LLMs and LVLMs, and delve into its causes. Subsequently, we review recent advancements in detecting, evaluating, and mitigating medical hallucinations, offe"&amp;"ring a comprehensive overview of evaluation benchmarks, metrics, and strategies developed to tackle this issue. Moreover, we delineate the current challenges and delve into new frontiers, thereby shedding light on future research. We hope this work couple"&amp;"d with open-source resources can provide the community with quick access and spur breakthrough research in medical hallucination.")</f>
        <v>Hallucination has emerged as a critical challenge for large language models (LLMs) and large vision-language models (LVLMs), particularly in high-stakes medical applications. Despite its significance, dedicated research on medical hallucination remains unexplored. In this survey, we first provide a unified perspective on medical hallucination for both LLMs and LVLMs, and delve into its causes. Subsequently, we review recent advancements in detecting, evaluating, and mitigating medical hallucinations, offering a comprehensive overview of evaluation benchmarks, metrics, and strategies developed to tackle this issue. Moreover, we delineate the current challenges and delve into new frontiers, thereby shedding light on future research. We hope this work coupled with open-source resources can provide the community with quick access and spur breakthrough research in medical hallucination.</v>
      </c>
      <c r="D434" s="7" t="str">
        <f>IFERROR(__xludf.DUMMYFUNCTION("""COMPUTED_VALUE"""),"N/A")</f>
        <v>N/A</v>
      </c>
      <c r="E434" s="7" t="str">
        <f>IFERROR(__xludf.DUMMYFUNCTION("""COMPUTED_VALUE"""),"#N/A")</f>
        <v>#N/A</v>
      </c>
      <c r="F434" s="7" t="str">
        <f>IFERROR(__xludf.DUMMYFUNCTION("""COMPUTED_VALUE"""),"Not Pres. ")</f>
        <v>Not Pres. </v>
      </c>
      <c r="G434" s="7" t="str">
        <f>IFERROR(__xludf.DUMMYFUNCTION("""COMPUTED_VALUE"""),"NP Findings Not Presenting ")</f>
        <v>NP Findings Not Presenting </v>
      </c>
      <c r="H434" s="7"/>
      <c r="I434" s="7" t="str">
        <f>IFERROR(__xludf.DUMMYFUNCTION("""COMPUTED_VALUE"""),"NP-Find")</f>
        <v>NP-Find</v>
      </c>
      <c r="J434" s="7"/>
      <c r="K434" s="7"/>
      <c r="L434" s="8"/>
      <c r="M434" s="7"/>
      <c r="N434" s="7"/>
    </row>
    <row r="435">
      <c r="A435" s="7" t="str">
        <f>IFERROR(__xludf.DUMMYFUNCTION("""COMPUTED_VALUE"""),"1438-FIND")</f>
        <v>1438-FIND</v>
      </c>
      <c r="B435" s="7" t="str">
        <f>IFERROR(__xludf.DUMMYFUNCTION("""COMPUTED_VALUE"""),"DRT: Deep Reasoning Translation via Long Chain-of-Thought")</f>
        <v>DRT: Deep Reasoning Translation via Long Chain-of-Thought</v>
      </c>
      <c r="C435" s="7" t="str">
        <f>IFERROR(__xludf.DUMMYFUNCTION("""COMPUTED_VALUE"""),"Recently, O1-like models have emerged as representative examples, illustrating the effectiveness of long chain-of-thought (CoT) in reasoning tasks such as math and coding tasks. In this paper, we introduce DRT, an attempt to bring the success of long CoT "&amp;"to neural machine translation (MT). Specifically, in view of the literature books that might involve similes and metaphors, translating these texts to a target language is very difficult in practice due to cultural differences. In such cases, literal tran"&amp;"slation often fails to convey the intended meaning effectively. Even for professional human translators, considerable thought must be given to preserving semantics throughout the translation process. To simulate LLMs' long thought ability in MT, we first "&amp;"mine sentences containing similes or metaphors from existing literature books, and then develop a multi-agent framework to translate these sentences via long thought. In the multi-agent framework, a translator is used to iteratively translate the source s"&amp;"entence under the suggestions provided by an advisor. To ensure the effectiveness of the long thoughts, an evaluator is also employed to quantify the translation quality in each round. In this way, we collect tens of thousands of long-thought MT data, whi"&amp;"ch is used to train our DRT. Using Qwen2.5 and LLama-3.1 as the backbones, DRT models can learn the thought process during machine translation, and outperform vanilla LLMs as well as LLMs which are simply fine-tuning on the paired sentences without long t"&amp;"hought, showing its effectiveness.")</f>
        <v>Recently, O1-like models have emerged as representative examples, illustrating the effectiveness of long chain-of-thought (CoT) in reasoning tasks such as math and coding tasks. In this paper, we introduce DRT, an attempt to bring the success of long CoT to neural machine translation (MT). Specifically, in view of the literature books that might involve similes and metaphors, translating these texts to a target language is very difficult in practice due to cultural differences. In such cases, literal translation often fails to convey the intended meaning effectively. Even for professional human translators, considerable thought must be given to preserving semantics throughout the translation process. To simulate LLMs' long thought ability in MT, we first mine sentences containing similes or metaphors from existing literature books, and then develop a multi-agent framework to translate these sentences via long thought. In the multi-agent framework, a translator is used to iteratively translate the source sentence under the suggestions provided by an advisor. To ensure the effectiveness of the long thoughts, an evaluator is also employed to quantify the translation quality in each round. In this way, we collect tens of thousands of long-thought MT data, which is used to train our DRT. Using Qwen2.5 and LLama-3.1 as the backbones, DRT models can learn the thought process during machine translation, and outperform vanilla LLMs as well as LLMs which are simply fine-tuning on the paired sentences without long thought, showing its effectiveness.</v>
      </c>
      <c r="D435" s="7" t="str">
        <f>IFERROR(__xludf.DUMMYFUNCTION("""COMPUTED_VALUE"""),"Jiaan Wang")</f>
        <v>Jiaan Wang</v>
      </c>
      <c r="E435" s="7" t="str">
        <f>IFERROR(__xludf.DUMMYFUNCTION("""COMPUTED_VALUE"""),"Yes")</f>
        <v>Yes</v>
      </c>
      <c r="F435" s="7" t="str">
        <f>IFERROR(__xludf.DUMMYFUNCTION("""COMPUTED_VALUE"""),"IP-Poster")</f>
        <v>IP-Poster</v>
      </c>
      <c r="G435" s="7" t="str">
        <f>IFERROR(__xludf.DUMMYFUNCTION("""COMPUTED_VALUE"""),"In-Person")</f>
        <v>In-Person</v>
      </c>
      <c r="H435" s="7" t="str">
        <f>IFERROR(__xludf.DUMMYFUNCTION("""COMPUTED_VALUE"""),"Hall 4/5")</f>
        <v>Hall 4/5</v>
      </c>
      <c r="I435" s="7" t="str">
        <f>IFERROR(__xludf.DUMMYFUNCTION("""COMPUTED_VALUE"""),"Session 5 :IP-Posters Find ")</f>
        <v>Session 5 :IP-Posters Find </v>
      </c>
      <c r="J435" s="7" t="str">
        <f>IFERROR(__xludf.DUMMYFUNCTION("""COMPUTED_VALUE"""),"Findings Posters - In-Person 1")</f>
        <v>Findings Posters - In-Person 1</v>
      </c>
      <c r="K435" s="7"/>
      <c r="L435" s="8">
        <f>IFERROR(__xludf.DUMMYFUNCTION("""COMPUTED_VALUE"""),45866.0)</f>
        <v>45866</v>
      </c>
      <c r="M435" s="7" t="str">
        <f>IFERROR(__xludf.DUMMYFUNCTION("""COMPUTED_VALUE"""),"18:00-19:30")</f>
        <v>18:00-19:30</v>
      </c>
      <c r="N435" s="7"/>
    </row>
    <row r="436">
      <c r="A436" s="7" t="str">
        <f>IFERROR(__xludf.DUMMYFUNCTION("""COMPUTED_VALUE"""),"1442-FIND")</f>
        <v>1442-FIND</v>
      </c>
      <c r="B436" s="7" t="str">
        <f>IFERROR(__xludf.DUMMYFUNCTION("""COMPUTED_VALUE"""),"CTPD: Cross-Modal Temporal Pattern Discovery for Enhanced Multimodal Electronic Health Records Analysis")</f>
        <v>CTPD: Cross-Modal Temporal Pattern Discovery for Enhanced Multimodal Electronic Health Records Analysis</v>
      </c>
      <c r="C436" s="7" t="str">
        <f>IFERROR(__xludf.DUMMYFUNCTION("""COMPUTED_VALUE"""),"Integrating multimodal clinical records—such as Electronic Health Records (EHR) and free-text clinical reports—has shown great potential in predicting clinical outcomes. However, prior work has primarily focused on capturing temporal interactions within i"&amp;"ndividual samples and fusing multimodal information, overlooking critical temporal patterns across different patients. These patterns, such as trends in vital signs like abnormal heart rate or blood pressure, can indicate deteriorating health or an impend"&amp;"ing critical event of any individual in a given population. Similarly, clinical notes often contain textual descriptions that reflect these changes. Identifying corresponding temporal patterns across different modalities is crucial for improving the accur"&amp;"acy of clinical outcome predictions, yet it remains a challenging task. To address this gap, we introduce a Cross-modal Temporal Pattern Discovery (CTPD) framework, designed to efficiently extract meaningful cross-modal temporal patterns from multimodal E"&amp;"HR data. Our approach introduces shared initial temporal pattern representations and refines them using slot attention to generate temporal semantic embeddings. To ensure rich cross-modal temporal semantics in the learned patterns, we introduce a Temporal"&amp;" Pattern Noise Contrastive Estimation (TP-NCE) loss for cross-modal alignment, along with two reconstruction losses to retain core information of each modality. Evaluations on two clinically critical tasks—48 hour in-hospital mortality and 24-hour phenoty"&amp;"pe classification—using the MIMIC-III database demonstrate the superiority of our method over existing approaches. The code is anonymously available at https://github.com/HKU-MedAI/CTPD.")</f>
        <v>Integrating multimodal clinical records—such as Electronic Health Records (EHR) and free-text clinical reports—has shown great potential in predicting clinical outcomes. However, prior work has primarily focused on capturing temporal interactions within individual samples and fusing multimodal information, overlooking critical temporal patterns across different patients. These patterns, such as trends in vital signs like abnormal heart rate or blood pressure, can indicate deteriorating health or an impending critical event of any individual in a given population. Similarly, clinical notes often contain textual descriptions that reflect these changes. Identifying corresponding temporal patterns across different modalities is crucial for improving the accuracy of clinical outcome predictions, yet it remains a challenging task. To address this gap, we introduce a Cross-modal Temporal Pattern Discovery (CTPD) framework, designed to efficiently extract meaningful cross-modal temporal patterns from multimodal EHR data. Our approach introduces shared initial temporal pattern representations and refines them using slot attention to generate temporal semantic embeddings. To ensure rich cross-modal temporal semantics in the learned patterns, we introduce a Temporal Pattern Noise Contrastive Estimation (TP-NCE) loss for cross-modal alignment, along with two reconstruction losses to retain core information of each modality. Evaluations on two clinically critical tasks—48 hour in-hospital mortality and 24-hour phenotype classification—using the MIMIC-III database demonstrate the superiority of our method over existing approaches. The code is anonymously available at https://github.com/HKU-MedAI/CTPD.</v>
      </c>
      <c r="D436" s="7" t="str">
        <f>IFERROR(__xludf.DUMMYFUNCTION("""COMPUTED_VALUE"""),"Feng Wu")</f>
        <v>Feng Wu</v>
      </c>
      <c r="E436" s="7" t="str">
        <f>IFERROR(__xludf.DUMMYFUNCTION("""COMPUTED_VALUE"""),"#N/A")</f>
        <v>#N/A</v>
      </c>
      <c r="F436" s="7" t="str">
        <f>IFERROR(__xludf.DUMMYFUNCTION("""COMPUTED_VALUE"""),"Not Pres. ")</f>
        <v>Not Pres. </v>
      </c>
      <c r="G436" s="7" t="str">
        <f>IFERROR(__xludf.DUMMYFUNCTION("""COMPUTED_VALUE"""),"NP Findings Not Presenting ")</f>
        <v>NP Findings Not Presenting </v>
      </c>
      <c r="H436" s="7"/>
      <c r="I436" s="7" t="str">
        <f>IFERROR(__xludf.DUMMYFUNCTION("""COMPUTED_VALUE"""),"NP-Find")</f>
        <v>NP-Find</v>
      </c>
      <c r="J436" s="7"/>
      <c r="K436" s="7"/>
      <c r="L436" s="8"/>
      <c r="M436" s="7"/>
      <c r="N436" s="7"/>
    </row>
    <row r="437">
      <c r="A437" s="7" t="str">
        <f>IFERROR(__xludf.DUMMYFUNCTION("""COMPUTED_VALUE"""),"1445-FIND")</f>
        <v>1445-FIND</v>
      </c>
      <c r="B437" s="7" t="str">
        <f>IFERROR(__xludf.DUMMYFUNCTION("""COMPUTED_VALUE"""),"Vision-aided Unsupervised Constituency Parsing with Multi-MLLM Debating")</f>
        <v>Vision-aided Unsupervised Constituency Parsing with Multi-MLLM Debating</v>
      </c>
      <c r="C437" s="7" t="str">
        <f>IFERROR(__xludf.DUMMYFUNCTION("""COMPUTED_VALUE"""),"This paper presents a novel framework for vision-aided unsupervised constituency parsing (VUCP), leveraging multimodal large language models (MLLMs) pre-trained on diverse image-text or video-text data. Unlike previous methods requiring explicit cross-mod"&amp;"al alignment, our approach eliminates this need by using pre-trained models like Qwen-VL and VideoLLaVA, which seamlessly handle multimodal inputs. We introduce two multi-agent debating mechanisms—consensus-driven (CD) and round-driven (RD)—to enable coop"&amp;"eration between models with complementary strengths. Extensive experiments demonstrate that our approach achieves state-of-the-art performance on both image-text and video-text datasets for VUCP, improving robustness and accuracy.")</f>
        <v>This paper presents a novel framework for vision-aided unsupervised constituency parsing (VUCP), leveraging multimodal large language models (MLLMs) pre-trained on diverse image-text or video-text data. Unlike previous methods requiring explicit cross-modal alignment, our approach eliminates this need by using pre-trained models like Qwen-VL and VideoLLaVA, which seamlessly handle multimodal inputs. We introduce two multi-agent debating mechanisms—consensus-driven (CD) and round-driven (RD)—to enable cooperation between models with complementary strengths. Extensive experiments demonstrate that our approach achieves state-of-the-art performance on both image-text and video-text datasets for VUCP, improving robustness and accuracy.</v>
      </c>
      <c r="D437" s="7" t="str">
        <f>IFERROR(__xludf.DUMMYFUNCTION("""COMPUTED_VALUE"""),"n/a")</f>
        <v>n/a</v>
      </c>
      <c r="E437" s="7" t="str">
        <f>IFERROR(__xludf.DUMMYFUNCTION("""COMPUTED_VALUE"""),"#N/A")</f>
        <v>#N/A</v>
      </c>
      <c r="F437" s="7" t="str">
        <f>IFERROR(__xludf.DUMMYFUNCTION("""COMPUTED_VALUE"""),"Not Pres. ")</f>
        <v>Not Pres. </v>
      </c>
      <c r="G437" s="7" t="str">
        <f>IFERROR(__xludf.DUMMYFUNCTION("""COMPUTED_VALUE"""),"NP Findings Not Presenting ")</f>
        <v>NP Findings Not Presenting </v>
      </c>
      <c r="H437" s="7"/>
      <c r="I437" s="7" t="str">
        <f>IFERROR(__xludf.DUMMYFUNCTION("""COMPUTED_VALUE"""),"NP-Find")</f>
        <v>NP-Find</v>
      </c>
      <c r="J437" s="7"/>
      <c r="K437" s="7"/>
      <c r="L437" s="8"/>
      <c r="M437" s="7"/>
      <c r="N437" s="7"/>
    </row>
    <row r="438">
      <c r="A438" s="7" t="str">
        <f>IFERROR(__xludf.DUMMYFUNCTION("""COMPUTED_VALUE"""),"1446-FIND")</f>
        <v>1446-FIND</v>
      </c>
      <c r="B438" s="7" t="str">
        <f>IFERROR(__xludf.DUMMYFUNCTION("""COMPUTED_VALUE"""),"Inter-Passage Verification for Multi-evidence Multi-answer QA")</f>
        <v>Inter-Passage Verification for Multi-evidence Multi-answer QA</v>
      </c>
      <c r="C438" s="7" t="str">
        <f>IFERROR(__xludf.DUMMYFUNCTION("""COMPUTED_VALUE"""),"Multi-answer question answering (QA), where questions can have many valid answers, presents a significant challenge for existing retrieval-augmented generation-based QA systems, as these systems struggle to retrieve and then synthesize a large number of e"&amp;"vidence passages. To tackle these challenges, we propose a new multi-answer QA framework – Retrieval-augmented Independent Reading with Inter-passage Verification (RI²VER). Our framework retrieves a large set of passages and processes each passage individ"&amp;"ually to generate an initial high-recall but noisy answer set. Then we propose a new inter-passage verification pipeline that validates every candidate answer through (1) Verification Question Generation, (2) Gathering Additional Evidence, and (3) Verific"&amp;"ation with inter-passage synthesis. Evaluations on the QAMPARI and RoMQA datasets demonstrate that our framework significantly outperforms existing baselines across various model sizes, achieving an average F1 score improvement of 11.17%. Further analysis"&amp;" validates that our inter-passage verification pipeline enables our framework to be particularly beneficial for questions requiring multi-evidence synthesis.")</f>
        <v>Multi-answer question answering (QA), where questions can have many valid answers, presents a significant challenge for existing retrieval-augmented generation-based QA systems, as these systems struggle to retrieve and then synthesize a large number of evidence passages. To tackle these challenges, we propose a new multi-answer QA framework – Retrieval-augmented Independent Reading with Inter-passage Verification (RI²VER). Our framework retrieves a large set of passages and processes each passage individually to generate an initial high-recall but noisy answer set. Then we propose a new inter-passage verification pipeline that validates every candidate answer through (1) Verification Question Generation, (2) Gathering Additional Evidence, and (3) Verification with inter-passage synthesis. Evaluations on the QAMPARI and RoMQA datasets demonstrate that our framework significantly outperforms existing baselines across various model sizes, achieving an average F1 score improvement of 11.17%. Further analysis validates that our inter-passage verification pipeline enables our framework to be particularly beneficial for questions requiring multi-evidence synthesis.</v>
      </c>
      <c r="D438" s="7" t="str">
        <f>IFERROR(__xludf.DUMMYFUNCTION("""COMPUTED_VALUE"""),"N/A")</f>
        <v>N/A</v>
      </c>
      <c r="E438" s="7" t="str">
        <f>IFERROR(__xludf.DUMMYFUNCTION("""COMPUTED_VALUE"""),"Yes")</f>
        <v>Yes</v>
      </c>
      <c r="F438" s="7" t="str">
        <f>IFERROR(__xludf.DUMMYFUNCTION("""COMPUTED_VALUE"""),"Not Pres. ")</f>
        <v>Not Pres. </v>
      </c>
      <c r="G438" s="7" t="str">
        <f>IFERROR(__xludf.DUMMYFUNCTION("""COMPUTED_VALUE"""),"NP Findings Not Presenting ")</f>
        <v>NP Findings Not Presenting </v>
      </c>
      <c r="H438" s="7"/>
      <c r="I438" s="7"/>
      <c r="J438" s="7"/>
      <c r="K438" s="7"/>
      <c r="L438" s="8"/>
      <c r="M438" s="7"/>
      <c r="N438" s="7"/>
    </row>
    <row r="439">
      <c r="A439" s="7" t="str">
        <f>IFERROR(__xludf.DUMMYFUNCTION("""COMPUTED_VALUE"""),"1448-FIND")</f>
        <v>1448-FIND</v>
      </c>
      <c r="B439" s="7" t="str">
        <f>IFERROR(__xludf.DUMMYFUNCTION("""COMPUTED_VALUE"""),"PROMTEC: Fast LLM Inference Decoding using Prompt Multi-Lookup with Template Database and Common Sequences")</f>
        <v>PROMTEC: Fast LLM Inference Decoding using Prompt Multi-Lookup with Template Database and Common Sequences</v>
      </c>
      <c r="C439" s="7" t="str">
        <f>IFERROR(__xludf.DUMMYFUNCTION("""COMPUTED_VALUE"""),"We propose PROMTEC, a novel multi-faceted approach to accelerate the inference of large language models (LLMs) by leveraging three key techniques: Prompt Multi-Lookup, Template Datastore, and Common Sequences methods. Prompt Multi-Lookup enhances the auto"&amp;"regressive decoding efficiency by generating multiple candidate sequences from context. Template Datastore exploits structured patterns, particularly in mathematical and code generation tasks, to enable fast and accurate candidate generation. Common Seque"&amp;"nces optimize inference by precomputing frequent short sequences in specialized domains. For mathematical generation, PROMTEC achieves a 3.91 × speedup on the miniF2F benchmark. For code generation, it achieves up to a 4.23 × speedup on the HumanEval benc"&amp;"hmark. This work highlights the potential of integrated candidate generation to accelerate LLM inference while maintaining high-quality outputs.")</f>
        <v>We propose PROMTEC, a novel multi-faceted approach to accelerate the inference of large language models (LLMs) by leveraging three key techniques: Prompt Multi-Lookup, Template Datastore, and Common Sequences methods. Prompt Multi-Lookup enhances the autoregressive decoding efficiency by generating multiple candidate sequences from context. Template Datastore exploits structured patterns, particularly in mathematical and code generation tasks, to enable fast and accurate candidate generation. Common Sequences optimize inference by precomputing frequent short sequences in specialized domains. For mathematical generation, PROMTEC achieves a 3.91 × speedup on the miniF2F benchmark. For code generation, it achieves up to a 4.23 × speedup on the HumanEval benchmark. This work highlights the potential of integrated candidate generation to accelerate LLM inference while maintaining high-quality outputs.</v>
      </c>
      <c r="D439" s="7" t="str">
        <f>IFERROR(__xludf.DUMMYFUNCTION("""COMPUTED_VALUE"""),"N/A")</f>
        <v>N/A</v>
      </c>
      <c r="E439" s="7" t="str">
        <f>IFERROR(__xludf.DUMMYFUNCTION("""COMPUTED_VALUE"""),"#N/A")</f>
        <v>#N/A</v>
      </c>
      <c r="F439" s="7" t="str">
        <f>IFERROR(__xludf.DUMMYFUNCTION("""COMPUTED_VALUE"""),"Not Pres. ")</f>
        <v>Not Pres. </v>
      </c>
      <c r="G439" s="7" t="str">
        <f>IFERROR(__xludf.DUMMYFUNCTION("""COMPUTED_VALUE"""),"NP Findings Not Presenting ")</f>
        <v>NP Findings Not Presenting </v>
      </c>
      <c r="H439" s="7"/>
      <c r="I439" s="7" t="str">
        <f>IFERROR(__xludf.DUMMYFUNCTION("""COMPUTED_VALUE"""),"NP-Find")</f>
        <v>NP-Find</v>
      </c>
      <c r="J439" s="7"/>
      <c r="K439" s="7"/>
      <c r="L439" s="8"/>
      <c r="M439" s="7"/>
      <c r="N439" s="7"/>
    </row>
    <row r="440">
      <c r="A440" s="7" t="str">
        <f>IFERROR(__xludf.DUMMYFUNCTION("""COMPUTED_VALUE"""),"1449-FIND")</f>
        <v>1449-FIND</v>
      </c>
      <c r="B440" s="7" t="str">
        <f>IFERROR(__xludf.DUMMYFUNCTION("""COMPUTED_VALUE"""),"Logical DA: Enhancing Data Augmentation for Logical Reasoning via a Multi-Agent System")</f>
        <v>Logical DA: Enhancing Data Augmentation for Logical Reasoning via a Multi-Agent System</v>
      </c>
      <c r="C440" s="7" t="str">
        <f>IFERROR(__xludf.DUMMYFUNCTION("""COMPUTED_VALUE"""),"Recent advancements in large language models (LLMs) have highlighted the importance of improving their reasoning capabilities. 
A critical challenge lies in the scarcity of high-quality reasoning data—characterized by diversity and rich supervisory signal"&amp;"s—necessary for robust model training. 
While data augmentation (DA) methods have been leveraged to mitigate this scarcity, prevailing approaches often introduce noise and exhibit logical inconsistencies, thereby diminishing their utility for complex reas"&amp;"oning tasks. 
Moreover, existing DA paradigms predominantly isolate data synthesis from label validation, failing to unify these complementary processes within a cohesive architecture.
To address these limitations, we introduce Logical DA, a multi-agent f"&amp;"ramework for enhancing reasoning-focused data augmentation in few-shot learning scenarios. 
Our system includes four agents operating through two synergistic phases: (1) diverse data generation, and (2) label verification.
The system incorporates a reflec"&amp;"tion mechanism to continuously improve data quality by leveraging feedback from logical validation. 
We demonstrate the effectiveness of Logical DA through experiments on various tasks and datasets, achieving the highest average improvement in task accura"&amp;"cy in both fine-tuning and in-context learning paradigms, with an average improvement of 7.61\% when applied to fine-tuning.")</f>
        <v>Recent advancements in large language models (LLMs) have highlighted the importance of improving their reasoning capabilities. 
A critical challenge lies in the scarcity of high-quality reasoning data—characterized by diversity and rich supervisory signals—necessary for robust model training. 
While data augmentation (DA) methods have been leveraged to mitigate this scarcity, prevailing approaches often introduce noise and exhibit logical inconsistencies, thereby diminishing their utility for complex reasoning tasks. 
Moreover, existing DA paradigms predominantly isolate data synthesis from label validation, failing to unify these complementary processes within a cohesive architecture.
To address these limitations, we introduce Logical DA, a multi-agent framework for enhancing reasoning-focused data augmentation in few-shot learning scenarios. 
Our system includes four agents operating through two synergistic phases: (1) diverse data generation, and (2) label verification.
The system incorporates a reflection mechanism to continuously improve data quality by leveraging feedback from logical validation. 
We demonstrate the effectiveness of Logical DA through experiments on various tasks and datasets, achieving the highest average improvement in task accuracy in both fine-tuning and in-context learning paradigms, with an average improvement of 7.61\% when applied to fine-tuning.</v>
      </c>
      <c r="D440" s="7" t="str">
        <f>IFERROR(__xludf.DUMMYFUNCTION("""COMPUTED_VALUE"""),"Haoqi Zheng")</f>
        <v>Haoqi Zheng</v>
      </c>
      <c r="E440" s="7" t="str">
        <f>IFERROR(__xludf.DUMMYFUNCTION("""COMPUTED_VALUE"""),"Yes")</f>
        <v>Yes</v>
      </c>
      <c r="F440" s="7" t="str">
        <f>IFERROR(__xludf.DUMMYFUNCTION("""COMPUTED_VALUE"""),"V-Presentation")</f>
        <v>V-Presentation</v>
      </c>
      <c r="G440" s="7" t="str">
        <f>IFERROR(__xludf.DUMMYFUNCTION("""COMPUTED_VALUE"""),"Virtual/Gather")</f>
        <v>Virtual/Gather</v>
      </c>
      <c r="H440" s="7" t="str">
        <f>IFERROR(__xludf.DUMMYFUNCTION("""COMPUTED_VALUE"""),"Gather")</f>
        <v>Gather</v>
      </c>
      <c r="I440" s="7" t="str">
        <f>IFERROR(__xludf.DUMMYFUNCTION("""COMPUTED_VALUE"""),"Session5: V-Gather Find")</f>
        <v>Session5: V-Gather Find</v>
      </c>
      <c r="J440" s="7" t="str">
        <f>IFERROR(__xludf.DUMMYFUNCTION("""COMPUTED_VALUE"""),"Findings Posters - Virtual")</f>
        <v>Findings Posters - Virtual</v>
      </c>
      <c r="K440" s="7"/>
      <c r="L440" s="8">
        <f>IFERROR(__xludf.DUMMYFUNCTION("""COMPUTED_VALUE"""),45866.0)</f>
        <v>45866</v>
      </c>
      <c r="M440" s="7" t="str">
        <f>IFERROR(__xludf.DUMMYFUNCTION("""COMPUTED_VALUE"""),"18:00-19:30")</f>
        <v>18:00-19:30</v>
      </c>
      <c r="N440" s="7"/>
    </row>
    <row r="441">
      <c r="A441" s="7" t="str">
        <f>IFERROR(__xludf.DUMMYFUNCTION("""COMPUTED_VALUE"""),"1452-FIND")</f>
        <v>1452-FIND</v>
      </c>
      <c r="B441" s="7" t="str">
        <f>IFERROR(__xludf.DUMMYFUNCTION("""COMPUTED_VALUE"""),"Adapting General-Purpose Embedding Models to Private Datasets Using Keyword-based Retrieval")</f>
        <v>Adapting General-Purpose Embedding Models to Private Datasets Using Keyword-based Retrieval</v>
      </c>
      <c r="C441" s="7" t="str">
        <f>IFERROR(__xludf.DUMMYFUNCTION("""COMPUTED_VALUE"""),"Text embedding models play a cornerstone role in AI applications, such as retrieval-augmented generation (RAG). While general-purpose text embedding models demonstrate strong performance on generic retrieval benchmarks, their effectiveness diminishes when"&amp;" applied to private datasets (e.g., company-specific proprietary data), which often contain specialized terminology and lingo. In this work, we introduce BMEmbed, a novel method for adapting general-purpose text embedding models to private datasets. By le"&amp;"veraging the well-established keyword-based retrieval technique (BM25), we construct supervisory signals from the ranking of keyword-based retrieval results to facilitate model adaptation. We evaluate BMEmbed across a range of domains, datasets, and model"&amp;"s, showing consistent improvements in retrieval performance. Moreover, we provide empirical insights into how BM25-based signals contribute to improving embeddings by fostering alignment and uniformity, highlighting the value of this approach in adapting "&amp;"models to domain-specific data. We release the source code for the research community.")</f>
        <v>Text embedding models play a cornerstone role in AI applications, such as retrieval-augmented generation (RAG). While general-purpose text embedding models demonstrate strong performance on generic retrieval benchmarks, their effectiveness diminishes when applied to private datasets (e.g., company-specific proprietary data), which often contain specialized terminology and lingo. In this work, we introduce BMEmbed, a novel method for adapting general-purpose text embedding models to private datasets. By leveraging the well-established keyword-based retrieval technique (BM25), we construct supervisory signals from the ranking of keyword-based retrieval results to facilitate model adaptation. We evaluate BMEmbed across a range of domains, datasets, and models, showing consistent improvements in retrieval performance. Moreover, we provide empirical insights into how BM25-based signals contribute to improving embeddings by fostering alignment and uniformity, highlighting the value of this approach in adapting models to domain-specific data. We release the source code for the research community.</v>
      </c>
      <c r="D441" s="7" t="str">
        <f>IFERROR(__xludf.DUMMYFUNCTION("""COMPUTED_VALUE"""),"None")</f>
        <v>None</v>
      </c>
      <c r="E441" s="7" t="str">
        <f>IFERROR(__xludf.DUMMYFUNCTION("""COMPUTED_VALUE"""),"#N/A")</f>
        <v>#N/A</v>
      </c>
      <c r="F441" s="7" t="str">
        <f>IFERROR(__xludf.DUMMYFUNCTION("""COMPUTED_VALUE"""),"Not Pres. ")</f>
        <v>Not Pres. </v>
      </c>
      <c r="G441" s="7" t="str">
        <f>IFERROR(__xludf.DUMMYFUNCTION("""COMPUTED_VALUE"""),"NP Findings Not Presenting ")</f>
        <v>NP Findings Not Presenting </v>
      </c>
      <c r="H441" s="7"/>
      <c r="I441" s="7" t="str">
        <f>IFERROR(__xludf.DUMMYFUNCTION("""COMPUTED_VALUE"""),"NP-Find")</f>
        <v>NP-Find</v>
      </c>
      <c r="J441" s="7"/>
      <c r="K441" s="7"/>
      <c r="L441" s="8"/>
      <c r="M441" s="7"/>
      <c r="N441" s="7"/>
    </row>
    <row r="442">
      <c r="A442" s="7" t="str">
        <f>IFERROR(__xludf.DUMMYFUNCTION("""COMPUTED_VALUE"""),"1456-FIND")</f>
        <v>1456-FIND</v>
      </c>
      <c r="B442" s="7" t="str">
        <f>IFERROR(__xludf.DUMMYFUNCTION("""COMPUTED_VALUE"""),"SQL Injection Jailbreak: A Structural Disaster of Large Language Models")</f>
        <v>SQL Injection Jailbreak: A Structural Disaster of Large Language Models</v>
      </c>
      <c r="C442" s="7" t="str">
        <f>IFERROR(__xludf.DUMMYFUNCTION("""COMPUTED_VALUE"""),"Large Language Models (LLMs) are susceptible to jailbreak attacks that can induce them to generate harmful content.
Previous jailbreak methods primarily exploited the internal properties or capabilities of LLMs, such as optimization-based jailbreak method"&amp;"s and methods that leveraged the model's context-learning abilities. In this paper, we introduce a novel jailbreak method, SQL Injection Jailbreak (SIJ), which targets the external properties of LLMs, specifically, the way LLMs construct input prompts. By"&amp;" injecting jailbreak information into user prompts, SIJ successfully induces the model to output harmful content. For open-source models, SIJ achieves near 100\% attack success rates on five well-known LLMs on the AdvBench and HEx-PHI, while incurring low"&amp;"er time costs compared to previous methods. For closed-source models, SIJ achieves an average attack success rate over 85\% across five models in the GPT and Doubao series. Additionally, SIJ exposes a new vulnerability in LLMs that urgently requires mitig"&amp;"ation. To address this, we propose a simple adaptive defense method called Self-Reminder-Key to counter SIJ and demonstrate its effectiveness through experimental results. Our code is available at https://github.com/weiyezhimeng/SQL-Injection-Jailbreak.")</f>
        <v>Large Language Models (LLMs) are susceptible to jailbreak attacks that can induce them to generate harmful content.
Previous jailbreak methods primarily exploited the internal properties or capabilities of LLMs, such as optimization-based jailbreak methods and methods that leveraged the model's context-learning abilities. In this paper, we introduce a novel jailbreak method, SQL Injection Jailbreak (SIJ), which targets the external properties of LLMs, specifically, the way LLMs construct input prompts. By injecting jailbreak information into user prompts, SIJ successfully induces the model to output harmful content. For open-source models, SIJ achieves near 100\% attack success rates on five well-known LLMs on the AdvBench and HEx-PHI, while incurring lower time costs compared to previous methods. For closed-source models, SIJ achieves an average attack success rate over 85\% across five models in the GPT and Doubao series. Additionally, SIJ exposes a new vulnerability in LLMs that urgently requires mitigation. To address this, we propose a simple adaptive defense method called Self-Reminder-Key to counter SIJ and demonstrate its effectiveness through experimental results. Our code is available at https://github.com/weiyezhimeng/SQL-Injection-Jailbreak.</v>
      </c>
      <c r="D442" s="7" t="str">
        <f>IFERROR(__xludf.DUMMYFUNCTION("""COMPUTED_VALUE"""),"N/A")</f>
        <v>N/A</v>
      </c>
      <c r="E442" s="7" t="str">
        <f>IFERROR(__xludf.DUMMYFUNCTION("""COMPUTED_VALUE"""),"#N/A")</f>
        <v>#N/A</v>
      </c>
      <c r="F442" s="7" t="str">
        <f>IFERROR(__xludf.DUMMYFUNCTION("""COMPUTED_VALUE"""),"Not Pres. ")</f>
        <v>Not Pres. </v>
      </c>
      <c r="G442" s="7" t="str">
        <f>IFERROR(__xludf.DUMMYFUNCTION("""COMPUTED_VALUE"""),"NP Findings Not Presenting ")</f>
        <v>NP Findings Not Presenting </v>
      </c>
      <c r="H442" s="7"/>
      <c r="I442" s="7" t="str">
        <f>IFERROR(__xludf.DUMMYFUNCTION("""COMPUTED_VALUE"""),"NP-Find")</f>
        <v>NP-Find</v>
      </c>
      <c r="J442" s="7"/>
      <c r="K442" s="7"/>
      <c r="L442" s="8"/>
      <c r="M442" s="7"/>
      <c r="N442" s="7"/>
    </row>
    <row r="443">
      <c r="A443" s="7" t="str">
        <f>IFERROR(__xludf.DUMMYFUNCTION("""COMPUTED_VALUE"""),"1457-FIND")</f>
        <v>1457-FIND</v>
      </c>
      <c r="B443" s="7" t="str">
        <f>IFERROR(__xludf.DUMMYFUNCTION("""COMPUTED_VALUE"""),"TAMP: Token-Adaptive Layerwise Pruning in Multimodal Large Language Models")</f>
        <v>TAMP: Token-Adaptive Layerwise Pruning in Multimodal Large Language Models</v>
      </c>
      <c r="C443" s="7" t="str">
        <f>IFERROR(__xludf.DUMMYFUNCTION("""COMPUTED_VALUE"""),"Multimodal Large Language Models (MLLMs) have shown remarkable versatility in understanding diverse multimodal data and tasks. However, these capabilities come with an increased model scale. While post-training pruning reduces model size in unimodal model"&amp;"s, its application to MLLMs often yields limited success. Our analysis discovers that conventional methods fail to account for the unique token attributes across layers and modalities inherent to MLLMs. Inspired by this observation, we propose TAMP, a sim"&amp;"ple yet effective pruning framework tailored for MLLMs, featuring two key components: (1) Diversity-Aware Sparsity, which adjusts sparsity ratio per layer based on diversities among multimodal output tokens, preserving more parameters in high-diversity la"&amp;"yers; and (2) Adaptive Multimodal Input Activation, which identifies representative multimodal input tokens using attention scores to guide unstructured weight pruning. We validate our method on two state-of-the-art MLLMs: LLaVA-NeXT, designed for vision-"&amp;"language tasks, and VideoLLaMA2, capable of processing audio, visual, and language modalities. Empirical experiments across various multimodal evaluation benchmarks demonstrate that each component of our approach substantially outperforms existing pruning"&amp;" techniques. Our code is available at https://github.com/G-JWLee/TAMP")</f>
        <v>Multimodal Large Language Models (MLLMs) have shown remarkable versatility in understanding diverse multimodal data and tasks. However, these capabilities come with an increased model scale. While post-training pruning reduces model size in unimodal models, its application to MLLMs often yields limited success. Our analysis discovers that conventional methods fail to account for the unique token attributes across layers and modalities inherent to MLLMs. Inspired by this observation, we propose TAMP, a simple yet effective pruning framework tailored for MLLMs, featuring two key components: (1) Diversity-Aware Sparsity, which adjusts sparsity ratio per layer based on diversities among multimodal output tokens, preserving more parameters in high-diversity layers; and (2) Adaptive Multimodal Input Activation, which identifies representative multimodal input tokens using attention scores to guide unstructured weight pruning. We validate our method on two state-of-the-art MLLMs: LLaVA-NeXT, designed for vision-language tasks, and VideoLLaMA2, capable of processing audio, visual, and language modalities. Empirical experiments across various multimodal evaluation benchmarks demonstrate that each component of our approach substantially outperforms existing pruning techniques. Our code is available at https://github.com/G-JWLee/TAMP</v>
      </c>
      <c r="D443" s="7" t="str">
        <f>IFERROR(__xludf.DUMMYFUNCTION("""COMPUTED_VALUE"""),"Jaewoo Lee")</f>
        <v>Jaewoo Lee</v>
      </c>
      <c r="E443" s="7" t="str">
        <f>IFERROR(__xludf.DUMMYFUNCTION("""COMPUTED_VALUE"""),"#N/A")</f>
        <v>#N/A</v>
      </c>
      <c r="F443" s="7" t="str">
        <f>IFERROR(__xludf.DUMMYFUNCTION("""COMPUTED_VALUE"""),"Not Pres. ")</f>
        <v>Not Pres. </v>
      </c>
      <c r="G443" s="7" t="str">
        <f>IFERROR(__xludf.DUMMYFUNCTION("""COMPUTED_VALUE"""),"NP Findings Not Presenting ")</f>
        <v>NP Findings Not Presenting </v>
      </c>
      <c r="H443" s="7"/>
      <c r="I443" s="7" t="str">
        <f>IFERROR(__xludf.DUMMYFUNCTION("""COMPUTED_VALUE"""),"NP-Find")</f>
        <v>NP-Find</v>
      </c>
      <c r="J443" s="7"/>
      <c r="K443" s="7"/>
      <c r="L443" s="8"/>
      <c r="M443" s="7"/>
      <c r="N443" s="7"/>
    </row>
    <row r="444">
      <c r="A444" s="7" t="str">
        <f>IFERROR(__xludf.DUMMYFUNCTION("""COMPUTED_VALUE"""),"1463-FIND")</f>
        <v>1463-FIND</v>
      </c>
      <c r="B444" s="7" t="str">
        <f>IFERROR(__xludf.DUMMYFUNCTION("""COMPUTED_VALUE"""),"Generative Music Models' Alignment with Professional and Amateur Users' Expectations")</f>
        <v>Generative Music Models' Alignment with Professional and Amateur Users' Expectations</v>
      </c>
      <c r="C444" s="7" t="str">
        <f>IFERROR(__xludf.DUMMYFUNCTION("""COMPUTED_VALUE"""),"Recent years have witnessed rapid advancements in text-to-music generation using large language models, yielding notable outputs. A critical challenge is understanding users with diverse musical expertise and generating music that meets their expectations"&amp;", an area that remains underexplored.
To address this gap, we introduce the novel task of Professional and Amateur Description-to-Song Generation. This task focuses on aligning generated content with human expressions from varying musical proficiency leve"&amp;"ls, aiming to produce songs that accurately meet auditory expectations and adhere to musical structural conventions. We utilized the MuChin dataset, which contains annotations from both professionals and amateurs for identical songs, as the source for the"&amp;"se distinct description types. We also collected a pre-train dataset of over 1.5 million songs; lyrics were included for some, while for others, lyrics were generated using Automatic Speech Recognition (ASR) models.
Furthermore, we propose MuDiT/MuSiT, a "&amp;"single-stage framework designed to enhance human-machine alignment in song generation. This framework employs Chinese MuLan (ChinMu) for cross-modal comprehension between natural language descriptions and auditory musical attributes, thereby aligning gene"&amp;"rated songs with user-defined outcomes. Concurrently, a DiT/SiT model facilitates end-to-end generation of complete songs audio, encompassing both vocals and instrumentation. We proposed metrics to evaluate semantic and auditory discrepancies between gene"&amp;"rated content and target music. Experimental results demonstrate that MuDiT/MuSiT outperforms baseline models and exhibits superior alignment with both professional and amateur song descriptions.")</f>
        <v>Recent years have witnessed rapid advancements in text-to-music generation using large language models, yielding notable outputs. A critical challenge is understanding users with diverse musical expertise and generating music that meets their expectations, an area that remains underexplored.
To address this gap, we introduce the novel task of Professional and Amateur Description-to-Song Generation. This task focuses on aligning generated content with human expressions from varying musical proficiency levels, aiming to produce songs that accurately meet auditory expectations and adhere to musical structural conventions. We utilized the MuChin dataset, which contains annotations from both professionals and amateurs for identical songs, as the source for these distinct description types. We also collected a pre-train dataset of over 1.5 million songs; lyrics were included for some, while for others, lyrics were generated using Automatic Speech Recognition (ASR) models.
Furthermore, we propose MuDiT/MuSiT, a single-stage framework designed to enhance human-machine alignment in song generation. This framework employs Chinese MuLan (ChinMu) for cross-modal comprehension between natural language descriptions and auditory musical attributes, thereby aligning generated songs with user-defined outcomes. Concurrently, a DiT/SiT model facilitates end-to-end generation of complete songs audio, encompassing both vocals and instrumentation. We proposed metrics to evaluate semantic and auditory discrepancies between generated content and target music. Experimental results demonstrate that MuDiT/MuSiT outperforms baseline models and exhibits superior alignment with both professional and amateur song descriptions.</v>
      </c>
      <c r="D444" s="7" t="str">
        <f>IFERROR(__xludf.DUMMYFUNCTION("""COMPUTED_VALUE"""),"N/A")</f>
        <v>N/A</v>
      </c>
      <c r="E444" s="7" t="str">
        <f>IFERROR(__xludf.DUMMYFUNCTION("""COMPUTED_VALUE"""),"#N/A")</f>
        <v>#N/A</v>
      </c>
      <c r="F444" s="7" t="str">
        <f>IFERROR(__xludf.DUMMYFUNCTION("""COMPUTED_VALUE"""),"Not Pres. ")</f>
        <v>Not Pres. </v>
      </c>
      <c r="G444" s="7" t="str">
        <f>IFERROR(__xludf.DUMMYFUNCTION("""COMPUTED_VALUE"""),"NP Findings Not Presenting ")</f>
        <v>NP Findings Not Presenting </v>
      </c>
      <c r="H444" s="7"/>
      <c r="I444" s="7" t="str">
        <f>IFERROR(__xludf.DUMMYFUNCTION("""COMPUTED_VALUE"""),"NP-Find")</f>
        <v>NP-Find</v>
      </c>
      <c r="J444" s="7"/>
      <c r="K444" s="7"/>
      <c r="L444" s="8"/>
      <c r="M444" s="7"/>
      <c r="N444" s="7"/>
    </row>
    <row r="445">
      <c r="A445" s="7" t="str">
        <f>IFERROR(__xludf.DUMMYFUNCTION("""COMPUTED_VALUE"""),"1467-FIND")</f>
        <v>1467-FIND</v>
      </c>
      <c r="B445" s="7" t="str">
        <f>IFERROR(__xludf.DUMMYFUNCTION("""COMPUTED_VALUE"""),"LLM-Forest: Ensemble Learning of LLMs with Graph-Augmented Prompts for Data Imputation")</f>
        <v>LLM-Forest: Ensemble Learning of LLMs with Graph-Augmented Prompts for Data Imputation</v>
      </c>
      <c r="C445" s="7" t="str">
        <f>IFERROR(__xludf.DUMMYFUNCTION("""COMPUTED_VALUE"""),"Missing data imputation is a critical challenge in various domains, such as healthcare and finance, where data completeness is vital for accurate analysis. Large language models (LLMs), trained on vast corpora, have shown strong potential in data generati"&amp;"on, making them a promising tool for data imputation. However, challenges persist in designing effective prompts for a finetuning-free process and in mitigating the risk of LLM hallucinations. To address these issues, we propose a novel framework, LLM-For"&amp;"est, which introduces a ""forest"" of few-shot learning LLM ""trees"" with confidence-based weighted voting, inspired by the ensemble learning (Random Forest). This framework is established on a new concept of bipartite information graphs to identify high"&amp;"-quality relevant neighboring entries with both feature and value granularity. Extensive experiments on 9 real-world datasets demonstrate the effectiveness and efficiency of LLM-Forest.")</f>
        <v>Missing data imputation is a critical challenge in various domains, such as healthcare and finance, where data completeness is vital for accurate analysis. Large language models (LLMs), trained on vast corpora, have shown strong potential in data generation, making them a promising tool for data imputation. However, challenges persist in designing effective prompts for a finetuning-free process and in mitigating the risk of LLM hallucinations. To address these issues, we propose a novel framework, LLM-Forest, which introduces a "forest" of few-shot learning LLM "trees" with confidence-based weighted voting, inspired by the ensemble learning (Random Forest). This framework is established on a new concept of bipartite information graphs to identify high-quality relevant neighboring entries with both feature and value granularity. Extensive experiments on 9 real-world datasets demonstrate the effectiveness and efficiency of LLM-Forest.</v>
      </c>
      <c r="D445" s="7" t="str">
        <f>IFERROR(__xludf.DUMMYFUNCTION("""COMPUTED_VALUE"""),"Xinrui He")</f>
        <v>Xinrui He</v>
      </c>
      <c r="E445" s="7" t="str">
        <f>IFERROR(__xludf.DUMMYFUNCTION("""COMPUTED_VALUE"""),"#N/A")</f>
        <v>#N/A</v>
      </c>
      <c r="F445" s="7" t="str">
        <f>IFERROR(__xludf.DUMMYFUNCTION("""COMPUTED_VALUE"""),"V-Presentation")</f>
        <v>V-Presentation</v>
      </c>
      <c r="G445" s="7" t="str">
        <f>IFERROR(__xludf.DUMMYFUNCTION("""COMPUTED_VALUE"""),"Virtual/Gather")</f>
        <v>Virtual/Gather</v>
      </c>
      <c r="H445" s="7" t="str">
        <f>IFERROR(__xludf.DUMMYFUNCTION("""COMPUTED_VALUE"""),"Gather")</f>
        <v>Gather</v>
      </c>
      <c r="I445" s="7" t="str">
        <f>IFERROR(__xludf.DUMMYFUNCTION("""COMPUTED_VALUE"""),"Session5: V-Gather Find")</f>
        <v>Session5: V-Gather Find</v>
      </c>
      <c r="J445" s="7" t="str">
        <f>IFERROR(__xludf.DUMMYFUNCTION("""COMPUTED_VALUE"""),"Findings Posters - In-Person 1")</f>
        <v>Findings Posters - In-Person 1</v>
      </c>
      <c r="K445" s="7"/>
      <c r="L445" s="8">
        <f>IFERROR(__xludf.DUMMYFUNCTION("""COMPUTED_VALUE"""),45866.0)</f>
        <v>45866</v>
      </c>
      <c r="M445" s="7" t="str">
        <f>IFERROR(__xludf.DUMMYFUNCTION("""COMPUTED_VALUE"""),"18:00-19:30")</f>
        <v>18:00-19:30</v>
      </c>
      <c r="N445" s="7"/>
    </row>
    <row r="446">
      <c r="A446" s="7" t="str">
        <f>IFERROR(__xludf.DUMMYFUNCTION("""COMPUTED_VALUE"""),"1477-FIND")</f>
        <v>1477-FIND</v>
      </c>
      <c r="B446" s="7" t="str">
        <f>IFERROR(__xludf.DUMMYFUNCTION("""COMPUTED_VALUE"""),"Task Calibration: Calibrating Large Language Models on Inference Tasks")</f>
        <v>Task Calibration: Calibrating Large Language Models on Inference Tasks</v>
      </c>
      <c r="C446" s="7" t="str">
        <f>IFERROR(__xludf.DUMMYFUNCTION("""COMPUTED_VALUE"""),"Large language models (LLMs) have exhibited impressive zero-shot performance on inference tasks. However, LLMs may suffer from spurious correlations between input texts and output labels, which limits LLMs' ability to reason based purely on general langua"&amp;"ge understanding. For example, in the natural language inference (NLI) task, LLMs may make predictions primarily based on premise or hypothesis, rather than both components. To address this problem that may lead to unexpected performance degradation, we p"&amp;"ropose task calibration (TC), a zero-shot and inference-only calibration method inspired by mutual information which recovers LLM performance through task reformulation. In NLI, TC encourages LLMs to reason based on both premise and hypothesis, while miti"&amp;"gating the models' over-reliance on individual premise or hypothesis for inference. Experimental results show that TC achieves a substantial improvement on 13 different benchmarks in the zero-shot setup. We further validate the effectiveness of TC in few-"&amp;"shot setups and various natural language understanding tasks. Further analysis indicates that TC is also robust to prompt templates and has the potential to be integrated with other calibration methods.")</f>
        <v>Large language models (LLMs) have exhibited impressive zero-shot performance on inference tasks. However, LLMs may suffer from spurious correlations between input texts and output labels, which limits LLMs' ability to reason based purely on general language understanding. For example, in the natural language inference (NLI) task, LLMs may make predictions primarily based on premise or hypothesis, rather than both components. To address this problem that may lead to unexpected performance degradation, we propose task calibration (TC), a zero-shot and inference-only calibration method inspired by mutual information which recovers LLM performance through task reformulation. In NLI, TC encourages LLMs to reason based on both premise and hypothesis, while mitigating the models' over-reliance on individual premise or hypothesis for inference. Experimental results show that TC achieves a substantial improvement on 13 different benchmarks in the zero-shot setup. We further validate the effectiveness of TC in few-shot setups and various natural language understanding tasks. Further analysis indicates that TC is also robust to prompt templates and has the potential to be integrated with other calibration methods.</v>
      </c>
      <c r="D446" s="7" t="str">
        <f>IFERROR(__xludf.DUMMYFUNCTION("""COMPUTED_VALUE"""),"N/A")</f>
        <v>N/A</v>
      </c>
      <c r="E446" s="7" t="str">
        <f>IFERROR(__xludf.DUMMYFUNCTION("""COMPUTED_VALUE"""),"#N/A")</f>
        <v>#N/A</v>
      </c>
      <c r="F446" s="7" t="str">
        <f>IFERROR(__xludf.DUMMYFUNCTION("""COMPUTED_VALUE"""),"Not Pres. ")</f>
        <v>Not Pres. </v>
      </c>
      <c r="G446" s="7" t="str">
        <f>IFERROR(__xludf.DUMMYFUNCTION("""COMPUTED_VALUE"""),"NP Findings Not Presenting ")</f>
        <v>NP Findings Not Presenting </v>
      </c>
      <c r="H446" s="7"/>
      <c r="I446" s="7" t="str">
        <f>IFERROR(__xludf.DUMMYFUNCTION("""COMPUTED_VALUE"""),"NP-Find")</f>
        <v>NP-Find</v>
      </c>
      <c r="J446" s="7"/>
      <c r="K446" s="7"/>
      <c r="L446" s="8"/>
      <c r="M446" s="7"/>
      <c r="N446" s="7"/>
    </row>
    <row r="447">
      <c r="A447" s="7" t="str">
        <f>IFERROR(__xludf.DUMMYFUNCTION("""COMPUTED_VALUE"""),"1480-FIND")</f>
        <v>1480-FIND</v>
      </c>
      <c r="B447" s="7" t="str">
        <f>IFERROR(__xludf.DUMMYFUNCTION("""COMPUTED_VALUE"""),"MiniELM: A Lightweight and Adaptive Query Rewriting Framework for E-Commerce Search Optimization")</f>
        <v>MiniELM: A Lightweight and Adaptive Query Rewriting Framework for E-Commerce Search Optimization</v>
      </c>
      <c r="C447" s="7" t="str">
        <f>IFERROR(__xludf.DUMMYFUNCTION("""COMPUTED_VALUE"""),"Query rewriting (QR) is a critical technique in e-commerce search, addressing the lexical gap between user queries and product descriptions to enhance search performance. Existing QR approaches typically fall into two categories: discriminative models and"&amp;" generative methods leveraging large language models (LLMs). Discriminative models often struggle with natural language understanding and offer limited flexibility in rewriting, while generative LLMs, despite producing high-quality rewrites, face high inf"&amp;"erence latency and cost in online settings. These limitations force offline deployment, making them vulnerable to issues like information staleness and semantic drift. To overcome these challenges, we propose a novel hybrid pipeline for QR that balances e"&amp;"fficiency and effectiveness. Our approach combines **offline knowledge distillation** to create a lightweight but efficient student model with **online reinforcement learning (RL)** to refine query rewriting dynamically using real-time feedback. A key inn"&amp;"ovation is the use of LLMs as **simulated human feedback**, enabling scalable reward signals and cost-effective evaluation without manual annotations. Experimental results on Amazon ESCI dataset demonstrate significant improvements in query relevance, div"&amp;"ersity, and adaptability, as well as positive feedback from the LLM simulation. This work contributes to advancing LLM capabilities for domain-specific applications, offering a robust solution for dynamic and complex e-commerce search environments.")</f>
        <v>Query rewriting (QR) is a critical technique in e-commerce search, addressing the lexical gap between user queries and product descriptions to enhance search performance. Existing QR approaches typically fall into two categories: discriminative models and generative methods leveraging large language models (LLMs). Discriminative models often struggle with natural language understanding and offer limited flexibility in rewriting, while generative LLMs, despite producing high-quality rewrites, face high inference latency and cost in online settings. These limitations force offline deployment, making them vulnerable to issues like information staleness and semantic drift. To overcome these challenges, we propose a novel hybrid pipeline for QR that balances efficiency and effectiveness. Our approach combines **offline knowledge distillation** to create a lightweight but efficient student model with **online reinforcement learning (RL)** to refine query rewriting dynamically using real-time feedback. A key innovation is the use of LLMs as **simulated human feedback**, enabling scalable reward signals and cost-effective evaluation without manual annotations. Experimental results on Amazon ESCI dataset demonstrate significant improvements in query relevance, diversity, and adaptability, as well as positive feedback from the LLM simulation. This work contributes to advancing LLM capabilities for domain-specific applications, offering a robust solution for dynamic and complex e-commerce search environments.</v>
      </c>
      <c r="D447" s="7" t="str">
        <f>IFERROR(__xludf.DUMMYFUNCTION("""COMPUTED_VALUE"""),"n/a")</f>
        <v>n/a</v>
      </c>
      <c r="E447" s="7" t="str">
        <f>IFERROR(__xludf.DUMMYFUNCTION("""COMPUTED_VALUE"""),"#N/A")</f>
        <v>#N/A</v>
      </c>
      <c r="F447" s="7" t="str">
        <f>IFERROR(__xludf.DUMMYFUNCTION("""COMPUTED_VALUE"""),"Not Pres. ")</f>
        <v>Not Pres. </v>
      </c>
      <c r="G447" s="7" t="str">
        <f>IFERROR(__xludf.DUMMYFUNCTION("""COMPUTED_VALUE"""),"NP Findings Not Presenting ")</f>
        <v>NP Findings Not Presenting </v>
      </c>
      <c r="H447" s="7"/>
      <c r="I447" s="7" t="str">
        <f>IFERROR(__xludf.DUMMYFUNCTION("""COMPUTED_VALUE"""),"NP-Find")</f>
        <v>NP-Find</v>
      </c>
      <c r="J447" s="7"/>
      <c r="K447" s="7"/>
      <c r="L447" s="8"/>
      <c r="M447" s="7"/>
      <c r="N447" s="7"/>
    </row>
    <row r="448">
      <c r="A448" s="7" t="str">
        <f>IFERROR(__xludf.DUMMYFUNCTION("""COMPUTED_VALUE"""),"1487-FIND")</f>
        <v>1487-FIND</v>
      </c>
      <c r="B448" s="7" t="str">
        <f>IFERROR(__xludf.DUMMYFUNCTION("""COMPUTED_VALUE"""),"Visibility as Survival: Generalizing NLP for Native Alaskan Language Identification")</f>
        <v>Visibility as Survival: Generalizing NLP for Native Alaskan Language Identification</v>
      </c>
      <c r="C448" s="7" t="str">
        <f>IFERROR(__xludf.DUMMYFUNCTION("""COMPUTED_VALUE"""),"Indigenous languages remain largely invisible in commercial language identification systems—a stark reality exemplified by Google Translate's LangID tool, which supports 109 languages but excludes all 150 Indigenous languages of North America. This techno"&amp;"logical marginalization is particularly acute for Alaska's 20 Native languages, all of which face endangerment despite their rich linguistic heritage. We present GenAlaskan, a framework demonstrating how both large language models and specialized classifi"&amp;"ers can effectively identify these languages with minimal data. Working closely with Native Alaskan community members, we created Akutaq-2k, a carefully curated dataset of 2000 sentences spanning all 20 languages—named after the traditional Yup'ik dessert"&amp;" symbolizing the blending of diverse elements. We design few-shot learning on proprietary and open-source LLMs, achieving nearly 100% accuracy with just 40 examples per language. While initial zero-shot attempts showed limited success, our systematic atte"&amp;"ntion head pruning revealed critical architectural components for accurate language differentiation, providing insights into model decision-making for low-resource languages. Our results challenge the notion that effective Indigenous language identificati"&amp;"on requires massive resources or corporate infrastructure, demonstrating that targeted technological interventions can drive meaningful progress in preserving endangered languages in the digital age.")</f>
        <v>Indigenous languages remain largely invisible in commercial language identification systems—a stark reality exemplified by Google Translate's LangID tool, which supports 109 languages but excludes all 150 Indigenous languages of North America. This technological marginalization is particularly acute for Alaska's 20 Native languages, all of which face endangerment despite their rich linguistic heritage. We present GenAlaskan, a framework demonstrating how both large language models and specialized classifiers can effectively identify these languages with minimal data. Working closely with Native Alaskan community members, we created Akutaq-2k, a carefully curated dataset of 2000 sentences spanning all 20 languages—named after the traditional Yup'ik dessert symbolizing the blending of diverse elements. We design few-shot learning on proprietary and open-source LLMs, achieving nearly 100% accuracy with just 40 examples per language. While initial zero-shot attempts showed limited success, our systematic attention head pruning revealed critical architectural components for accurate language differentiation, providing insights into model decision-making for low-resource languages. Our results challenge the notion that effective Indigenous language identification requires massive resources or corporate infrastructure, demonstrating that targeted technological interventions can drive meaningful progress in preserving endangered languages in the digital age.</v>
      </c>
      <c r="D448" s="7" t="str">
        <f>IFERROR(__xludf.DUMMYFUNCTION("""COMPUTED_VALUE"""),"Ivory Yang")</f>
        <v>Ivory Yang</v>
      </c>
      <c r="E448" s="7" t="str">
        <f>IFERROR(__xludf.DUMMYFUNCTION("""COMPUTED_VALUE"""),"Yes")</f>
        <v>Yes</v>
      </c>
      <c r="F448" s="7" t="str">
        <f>IFERROR(__xludf.DUMMYFUNCTION("""COMPUTED_VALUE"""),"IP-Poster")</f>
        <v>IP-Poster</v>
      </c>
      <c r="G448" s="7" t="str">
        <f>IFERROR(__xludf.DUMMYFUNCTION("""COMPUTED_VALUE"""),"In-Person")</f>
        <v>In-Person</v>
      </c>
      <c r="H448" s="7" t="str">
        <f>IFERROR(__xludf.DUMMYFUNCTION("""COMPUTED_VALUE"""),"Hall 4/5")</f>
        <v>Hall 4/5</v>
      </c>
      <c r="I448" s="7" t="str">
        <f>IFERROR(__xludf.DUMMYFUNCTION("""COMPUTED_VALUE"""),"Session 5 :IP-Posters Find ")</f>
        <v>Session 5 :IP-Posters Find </v>
      </c>
      <c r="J448" s="7" t="str">
        <f>IFERROR(__xludf.DUMMYFUNCTION("""COMPUTED_VALUE"""),"Findings Posters - In-Person 1")</f>
        <v>Findings Posters - In-Person 1</v>
      </c>
      <c r="K448" s="7"/>
      <c r="L448" s="8">
        <f>IFERROR(__xludf.DUMMYFUNCTION("""COMPUTED_VALUE"""),45866.0)</f>
        <v>45866</v>
      </c>
      <c r="M448" s="7" t="str">
        <f>IFERROR(__xludf.DUMMYFUNCTION("""COMPUTED_VALUE"""),"18:00-19:30")</f>
        <v>18:00-19:30</v>
      </c>
      <c r="N448" s="7"/>
    </row>
    <row r="449">
      <c r="A449" s="7" t="str">
        <f>IFERROR(__xludf.DUMMYFUNCTION("""COMPUTED_VALUE"""),"1488-FIND")</f>
        <v>1488-FIND</v>
      </c>
      <c r="B449" s="7" t="str">
        <f>IFERROR(__xludf.DUMMYFUNCTION("""COMPUTED_VALUE"""),"KodCode: A Diverse, Challenging, and Verifiable Synthetic Dataset for Coding")</f>
        <v>KodCode: A Diverse, Challenging, and Verifiable Synthetic Dataset for Coding</v>
      </c>
      <c r="C449" s="7" t="str">
        <f>IFERROR(__xludf.DUMMYFUNCTION("""COMPUTED_VALUE"""),"We introduce KodCode, a synthetic dataset that addresses the persistent challenge of acquiring high-quality, verifiable training data across diverse difficulties and domains for training Large Language Models for coding. Existing code-focused resources ty"&amp;"pically fail to ensure either the breadth of coverage (e.g., spanning simple coding tasks to advanced algorithmic problems) or verifiable correctness (e.g., unit tests). In contrast, KodCode comprises question–solution–test triplets that are systematicall"&amp;"y validated via a self-verification procedure. Our pipeline begins by synthesizing a broad range of coding questions, then generates solutions and test cases with additional attempts allocated to challenging problems. Finally, post-training data synthesis"&amp;" is done by rewriting questions into diverse formats and generating responses under a test-based reject sampling procedure from a reasoning model (DeepSeek R1). This pipeline yields a large-scale, robust and diverse coding dataset. It is suitable for supe"&amp;"rvised fine-tuning and the paired unit tests also provide great potential for RL tuning. Fine-tuning experiments on coding benchmarks (HumanEval(+), MBPP(+), BigCodeBench, and LiveCodeBench) demonstrate that KodCode-tuned models achieve state-of-the-art p"&amp;"erformance, surpassing models like Qwen2.5-Coder-32B-Instruct and DeepSeek-R1-Distill-Llama-70B.")</f>
        <v>We introduce KodCode, a synthetic dataset that addresses the persistent challenge of acquiring high-quality, verifiable training data across diverse difficulties and domains for training Large Language Models for coding. Existing code-focused resources typically fail to ensure either the breadth of coverage (e.g., spanning simple coding tasks to advanced algorithmic problems) or verifiable correctness (e.g., unit tests). In contrast, KodCode comprises question–solution–test triplets that are systematically validated via a self-verification procedure. Our pipeline begins by synthesizing a broad range of coding questions, then generates solutions and test cases with additional attempts allocated to challenging problems. Finally, post-training data synthesis is done by rewriting questions into diverse formats and generating responses under a test-based reject sampling procedure from a reasoning model (DeepSeek R1). This pipeline yields a large-scale, robust and diverse coding dataset. It is suitable for supervised fine-tuning and the paired unit tests also provide great potential for RL tuning. Fine-tuning experiments on coding benchmarks (HumanEval(+), MBPP(+), BigCodeBench, and LiveCodeBench) demonstrate that KodCode-tuned models achieve state-of-the-art performance, surpassing models like Qwen2.5-Coder-32B-Instruct and DeepSeek-R1-Distill-Llama-70B.</v>
      </c>
      <c r="D449" s="7" t="str">
        <f>IFERROR(__xludf.DUMMYFUNCTION("""COMPUTED_VALUE"""),"Zhangchen Xu")</f>
        <v>Zhangchen Xu</v>
      </c>
      <c r="E449" s="7" t="str">
        <f>IFERROR(__xludf.DUMMYFUNCTION("""COMPUTED_VALUE"""),"Yes")</f>
        <v>Yes</v>
      </c>
      <c r="F449" s="7" t="str">
        <f>IFERROR(__xludf.DUMMYFUNCTION("""COMPUTED_VALUE"""),"V-Presentation")</f>
        <v>V-Presentation</v>
      </c>
      <c r="G449" s="7" t="str">
        <f>IFERROR(__xludf.DUMMYFUNCTION("""COMPUTED_VALUE"""),"Virtual/Gather")</f>
        <v>Virtual/Gather</v>
      </c>
      <c r="H449" s="7" t="str">
        <f>IFERROR(__xludf.DUMMYFUNCTION("""COMPUTED_VALUE"""),"Gather")</f>
        <v>Gather</v>
      </c>
      <c r="I449" s="7" t="str">
        <f>IFERROR(__xludf.DUMMYFUNCTION("""COMPUTED_VALUE"""),"Session5: V-Gather Find")</f>
        <v>Session5: V-Gather Find</v>
      </c>
      <c r="J449" s="7" t="str">
        <f>IFERROR(__xludf.DUMMYFUNCTION("""COMPUTED_VALUE"""),"Findings Posters - Virtual")</f>
        <v>Findings Posters - Virtual</v>
      </c>
      <c r="K449" s="7"/>
      <c r="L449" s="8">
        <f>IFERROR(__xludf.DUMMYFUNCTION("""COMPUTED_VALUE"""),45866.0)</f>
        <v>45866</v>
      </c>
      <c r="M449" s="7" t="str">
        <f>IFERROR(__xludf.DUMMYFUNCTION("""COMPUTED_VALUE"""),"18:00-19:30")</f>
        <v>18:00-19:30</v>
      </c>
      <c r="N449" s="7"/>
    </row>
    <row r="450">
      <c r="A450" s="7" t="str">
        <f>IFERROR(__xludf.DUMMYFUNCTION("""COMPUTED_VALUE"""),"1491-FIND")</f>
        <v>1491-FIND</v>
      </c>
      <c r="B450" s="7" t="str">
        <f>IFERROR(__xludf.DUMMYFUNCTION("""COMPUTED_VALUE"""),"Select, Read, and Write: A Multi-Agent Framework of Full-Text-based Related Work Generation")</f>
        <v>Select, Read, and Write: A Multi-Agent Framework of Full-Text-based Related Work Generation</v>
      </c>
      <c r="C450" s="7" t="str">
        <f>IFERROR(__xludf.DUMMYFUNCTION("""COMPUTED_VALUE"""),"Automatic related work generation (RWG) can save people’s time and effort when writing a draft of related work section (RWS) for further revision. However, existing methods for RWG always suffer from shallow comprehension due to taking the limited portion"&amp;"s of references papers as input and isolated explanation for each reference due to ineffective capturing the relationships among them. To address these issues, we focus on full-text-based RWG task and propose a novel multi-agent framework. Our framework c"&amp;"onsists of three agents: a selector that decides which section of the papers is going to read next, a reader that digests the selected section and updates a shared working memory, and a writer that generates RWS based on the final curated memory. To bette"&amp;"r capture the relationships among references, we also propose two graph-aware strategies for selector, enabling to optimize the reading order with constrains of the graph structure. Extensive experiments demonstrate that our framework consistently improve"&amp;"s performance across three base models and various input configurations. The graph-aware selectors outperform alternative selectors, achieving state-of-the-art results. The code and data are available at https://github.com/1190200817/Full_Text_RWG.")</f>
        <v>Automatic related work generation (RWG) can save people’s time and effort when writing a draft of related work section (RWS) for further revision. However, existing methods for RWG always suffer from shallow comprehension due to taking the limited portions of references papers as input and isolated explanation for each reference due to ineffective capturing the relationships among them. To address these issues, we focus on full-text-based RWG task and propose a novel multi-agent framework. Our framework consists of three agents: a selector that decides which section of the papers is going to read next, a reader that digests the selected section and updates a shared working memory, and a writer that generates RWS based on the final curated memory. To better capture the relationships among references, we also propose two graph-aware strategies for selector, enabling to optimize the reading order with constrains of the graph structure. Extensive experiments demonstrate that our framework consistently improves performance across three base models and various input configurations. The graph-aware selectors outperform alternative selectors, achieving state-of-the-art results. The code and data are available at https://github.com/1190200817/Full_Text_RWG.</v>
      </c>
      <c r="D450" s="7" t="str">
        <f>IFERROR(__xludf.DUMMYFUNCTION("""COMPUTED_VALUE"""),"Xiaochuan Liu")</f>
        <v>Xiaochuan Liu</v>
      </c>
      <c r="E450" s="7" t="str">
        <f>IFERROR(__xludf.DUMMYFUNCTION("""COMPUTED_VALUE"""),"Yes")</f>
        <v>Yes</v>
      </c>
      <c r="F450" s="7" t="str">
        <f>IFERROR(__xludf.DUMMYFUNCTION("""COMPUTED_VALUE"""),"IP-Poster")</f>
        <v>IP-Poster</v>
      </c>
      <c r="G450" s="7" t="str">
        <f>IFERROR(__xludf.DUMMYFUNCTION("""COMPUTED_VALUE"""),"In-Person")</f>
        <v>In-Person</v>
      </c>
      <c r="H450" s="7" t="str">
        <f>IFERROR(__xludf.DUMMYFUNCTION("""COMPUTED_VALUE"""),"Hall 4/5")</f>
        <v>Hall 4/5</v>
      </c>
      <c r="I450" s="7" t="str">
        <f>IFERROR(__xludf.DUMMYFUNCTION("""COMPUTED_VALUE"""),"Session 5 :IP-Posters Find ")</f>
        <v>Session 5 :IP-Posters Find </v>
      </c>
      <c r="J450" s="7" t="str">
        <f>IFERROR(__xludf.DUMMYFUNCTION("""COMPUTED_VALUE"""),"Findings Posters - In-Person 1")</f>
        <v>Findings Posters - In-Person 1</v>
      </c>
      <c r="K450" s="7"/>
      <c r="L450" s="8">
        <f>IFERROR(__xludf.DUMMYFUNCTION("""COMPUTED_VALUE"""),45866.0)</f>
        <v>45866</v>
      </c>
      <c r="M450" s="7" t="str">
        <f>IFERROR(__xludf.DUMMYFUNCTION("""COMPUTED_VALUE"""),"18:00-19:30")</f>
        <v>18:00-19:30</v>
      </c>
      <c r="N450" s="7"/>
    </row>
    <row r="451">
      <c r="A451" s="7" t="str">
        <f>IFERROR(__xludf.DUMMYFUNCTION("""COMPUTED_VALUE"""),"1492-FIND")</f>
        <v>1492-FIND</v>
      </c>
      <c r="B451" s="7" t="str">
        <f>IFERROR(__xludf.DUMMYFUNCTION("""COMPUTED_VALUE"""),"Graph-Assisted Culturally Adaptable Idiomatic Translation for Indic languages")</f>
        <v>Graph-Assisted Culturally Adaptable Idiomatic Translation for Indic languages</v>
      </c>
      <c r="C451" s="7" t="str">
        <f>IFERROR(__xludf.DUMMYFUNCTION("""COMPUTED_VALUE"""),"Translating multi-word expressions (MWEs) and idioms requires a deep understanding of the cultural nuances of both the source and target languages. This challenge is further amplified by the one-to-many nature of idiomatic translations, where a single sou"&amp;"rce idiom can have multiple target-language equivalents depending on cultural references and contextual variations. Traditional static knowledge graphs (KGs) and prompt-based approaches struggle to capture these complex relationships, often leading to sub"&amp;"optimal translations. To address this, we propose an IdiomCE, an adaptive graph neural network (GNN) based methodology that learns intricate mappings between idiomatic expressions, effectively generalizing to both seen and unseen nodes during training. Ou"&amp;"r proposed method enhances translation quality even in resource-constrained settings, facilitating improved idiomatic translation in smaller models. We evaluate our approach on multiple idiomatic translation datasets using reference-less metrics, demonstr"&amp;"ating significant improvements in translating idioms from English to various Indian languages")</f>
        <v>Translating multi-word expressions (MWEs) and idioms requires a deep understanding of the cultural nuances of both the source and target languages. This challenge is further amplified by the one-to-many nature of idiomatic translations, where a single source idiom can have multiple target-language equivalents depending on cultural references and contextual variations. Traditional static knowledge graphs (KGs) and prompt-based approaches struggle to capture these complex relationships, often leading to suboptimal translations. To address this, we propose an IdiomCE, an adaptive graph neural network (GNN) based methodology that learns intricate mappings between idiomatic expressions, effectively generalizing to both seen and unseen nodes during training. Our proposed method enhances translation quality even in resource-constrained settings, facilitating improved idiomatic translation in smaller models. We evaluate our approach on multiple idiomatic translation datasets using reference-less metrics, demonstrating significant improvements in translating idioms from English to various Indian languages</v>
      </c>
      <c r="D451" s="7" t="str">
        <f>IFERROR(__xludf.DUMMYFUNCTION("""COMPUTED_VALUE"""),"Pratik Rakesh Singh")</f>
        <v>Pratik Rakesh Singh</v>
      </c>
      <c r="E451" s="7" t="str">
        <f>IFERROR(__xludf.DUMMYFUNCTION("""COMPUTED_VALUE"""),"Yes")</f>
        <v>Yes</v>
      </c>
      <c r="F451" s="7" t="str">
        <f>IFERROR(__xludf.DUMMYFUNCTION("""COMPUTED_VALUE"""),"IP-Poster")</f>
        <v>IP-Poster</v>
      </c>
      <c r="G451" s="7" t="str">
        <f>IFERROR(__xludf.DUMMYFUNCTION("""COMPUTED_VALUE"""),"In-Person")</f>
        <v>In-Person</v>
      </c>
      <c r="H451" s="7" t="str">
        <f>IFERROR(__xludf.DUMMYFUNCTION("""COMPUTED_VALUE"""),"Hall 4/5")</f>
        <v>Hall 4/5</v>
      </c>
      <c r="I451" s="7" t="str">
        <f>IFERROR(__xludf.DUMMYFUNCTION("""COMPUTED_VALUE"""),"Session 5 :IP-Posters Find ")</f>
        <v>Session 5 :IP-Posters Find </v>
      </c>
      <c r="J451" s="7" t="str">
        <f>IFERROR(__xludf.DUMMYFUNCTION("""COMPUTED_VALUE"""),"Findings Posters - In-Person 1")</f>
        <v>Findings Posters - In-Person 1</v>
      </c>
      <c r="K451" s="7"/>
      <c r="L451" s="8">
        <f>IFERROR(__xludf.DUMMYFUNCTION("""COMPUTED_VALUE"""),45866.0)</f>
        <v>45866</v>
      </c>
      <c r="M451" s="7" t="str">
        <f>IFERROR(__xludf.DUMMYFUNCTION("""COMPUTED_VALUE"""),"18:00-19:30")</f>
        <v>18:00-19:30</v>
      </c>
      <c r="N451" s="7"/>
    </row>
    <row r="452">
      <c r="A452" s="7" t="str">
        <f>IFERROR(__xludf.DUMMYFUNCTION("""COMPUTED_VALUE"""),"1502-FIND")</f>
        <v>1502-FIND</v>
      </c>
      <c r="B452" s="7" t="str">
        <f>IFERROR(__xludf.DUMMYFUNCTION("""COMPUTED_VALUE"""),"Question answering in Climate Adaptation: Model Development and Evaluation with Expert Feedback")</f>
        <v>Question answering in Climate Adaptation: Model Development and Evaluation with Expert Feedback</v>
      </c>
      <c r="C452" s="7" t="str">
        <f>IFERROR(__xludf.DUMMYFUNCTION("""COMPUTED_VALUE"""),"The generative capabilities of the large language models (LLMs) are deployed for domain-specific question answering systems. However, their ability to answer climate adaptation questions remains unclear. In particular, can they be used by agronomists and "&amp;"climate scientists to answer questions on the best climate adaptation strategies? Answering questions in this domain requires knowledge of climate data and its uncertainties, and the ability to link them to the broader climate literature while accommodati"&amp;"ng the unique constraints of users and experts. We investigate the generative and evaluative capabilities of several state-of-the-art LLMs, open-source and proprietary, on climate adaptation questions posed by domain experts using evaluation criteria desi"&amp;"gned by the experts.
We propose an iterative exploration framework that enables LLMs to dynamically aggregate information from heterogeneous sources, such as text from climate literature and structured tabular climate data from climate model projections "&amp;"and historical observations. Our experiments demonstrate that LLMs can aggregate heterogeneous data to (1) answer questions, but at a trade-off between presentation quality and epistemological accuracy; and, (2) evaluate answers, but are not as competent "&amp;"at identifying high-quality answers and erroneous information compared to domain experts.")</f>
        <v>The generative capabilities of the large language models (LLMs) are deployed for domain-specific question answering systems. However, their ability to answer climate adaptation questions remains unclear. In particular, can they be used by agronomists and climate scientists to answer questions on the best climate adaptation strategies? Answering questions in this domain requires knowledge of climate data and its uncertainties, and the ability to link them to the broader climate literature while accommodating the unique constraints of users and experts. We investigate the generative and evaluative capabilities of several state-of-the-art LLMs, open-source and proprietary, on climate adaptation questions posed by domain experts using evaluation criteria designed by the experts.
We propose an iterative exploration framework that enables LLMs to dynamically aggregate information from heterogeneous sources, such as text from climate literature and structured tabular climate data from climate model projections and historical observations. Our experiments demonstrate that LLMs can aggregate heterogeneous data to (1) answer questions, but at a trade-off between presentation quality and epistemological accuracy; and, (2) evaluate answers, but are not as competent at identifying high-quality answers and erroneous information compared to domain experts.</v>
      </c>
      <c r="D452" s="7" t="str">
        <f>IFERROR(__xludf.DUMMYFUNCTION("""COMPUTED_VALUE"""),"Vincent Nguyen")</f>
        <v>Vincent Nguyen</v>
      </c>
      <c r="E452" s="7" t="str">
        <f>IFERROR(__xludf.DUMMYFUNCTION("""COMPUTED_VALUE"""),"Yes")</f>
        <v>Yes</v>
      </c>
      <c r="F452" s="7" t="str">
        <f>IFERROR(__xludf.DUMMYFUNCTION("""COMPUTED_VALUE"""),"IP-Poster")</f>
        <v>IP-Poster</v>
      </c>
      <c r="G452" s="7" t="str">
        <f>IFERROR(__xludf.DUMMYFUNCTION("""COMPUTED_VALUE"""),"In-Person")</f>
        <v>In-Person</v>
      </c>
      <c r="H452" s="7" t="str">
        <f>IFERROR(__xludf.DUMMYFUNCTION("""COMPUTED_VALUE"""),"Hall 4/5")</f>
        <v>Hall 4/5</v>
      </c>
      <c r="I452" s="7" t="str">
        <f>IFERROR(__xludf.DUMMYFUNCTION("""COMPUTED_VALUE"""),"Session 5 :IP-Posters Find ")</f>
        <v>Session 5 :IP-Posters Find </v>
      </c>
      <c r="J452" s="7" t="str">
        <f>IFERROR(__xludf.DUMMYFUNCTION("""COMPUTED_VALUE"""),"Findings Posters - In-Person 1")</f>
        <v>Findings Posters - In-Person 1</v>
      </c>
      <c r="K452" s="7"/>
      <c r="L452" s="8">
        <f>IFERROR(__xludf.DUMMYFUNCTION("""COMPUTED_VALUE"""),45866.0)</f>
        <v>45866</v>
      </c>
      <c r="M452" s="7" t="str">
        <f>IFERROR(__xludf.DUMMYFUNCTION("""COMPUTED_VALUE"""),"18:00-19:30")</f>
        <v>18:00-19:30</v>
      </c>
      <c r="N452" s="7"/>
    </row>
    <row r="453">
      <c r="A453" s="7" t="str">
        <f>IFERROR(__xludf.DUMMYFUNCTION("""COMPUTED_VALUE"""),"1504-FIND")</f>
        <v>1504-FIND</v>
      </c>
      <c r="B453" s="7" t="str">
        <f>IFERROR(__xludf.DUMMYFUNCTION("""COMPUTED_VALUE"""),"AGRec: Adapting Autoregressive Decoders with Graph Reasoning for LLM-based Sequential Recommendation")</f>
        <v>AGRec: Adapting Autoregressive Decoders with Graph Reasoning for LLM-based Sequential Recommendation</v>
      </c>
      <c r="C453" s="7" t="str">
        <f>IFERROR(__xludf.DUMMYFUNCTION("""COMPUTED_VALUE"""),"Autoregressive decoders in large language models (LLMs) excel at capturing users' sequential behaviors for generative recommendations. However, they inherently struggle to leverage graph-structured user-item interactions, which are widely recognized as be"&amp;"neficial. This paper presents AGRec, adapting LLMs' decoders with graph reasoning for recommendation. We reveal that LLMs and graph neural networks (GNNs) manifest complementary strengths in distinct user domains. Building on this, we augment the decoding"&amp;" logits of LLMs with an auxiliary GNN model to optimize token generation. Moreover, we introduce a rankable finite state machine to tackle two challenges: (1) adjusting autoregressive generation with discriminative decoders that directly predict user-item"&amp;" similarity, and (2) token homogeneity, where LLMs often generate items with similar prefix tokens, narrowing the scope of beam search. This approach offers a novel perspective to enhance LLMs with graph knowledge. Our AGRec outperforms state-of-the-art m"&amp;"odels in sequential recommendations. Our code is available online.")</f>
        <v>Autoregressive decoders in large language models (LLMs) excel at capturing users' sequential behaviors for generative recommendations. However, they inherently struggle to leverage graph-structured user-item interactions, which are widely recognized as beneficial. This paper presents AGRec, adapting LLMs' decoders with graph reasoning for recommendation. We reveal that LLMs and graph neural networks (GNNs) manifest complementary strengths in distinct user domains. Building on this, we augment the decoding logits of LLMs with an auxiliary GNN model to optimize token generation. Moreover, we introduce a rankable finite state machine to tackle two challenges: (1) adjusting autoregressive generation with discriminative decoders that directly predict user-item similarity, and (2) token homogeneity, where LLMs often generate items with similar prefix tokens, narrowing the scope of beam search. This approach offers a novel perspective to enhance LLMs with graph knowledge. Our AGRec outperforms state-of-the-art models in sequential recommendations. Our code is available online.</v>
      </c>
      <c r="D453" s="7" t="str">
        <f>IFERROR(__xludf.DUMMYFUNCTION("""COMPUTED_VALUE"""),"Xinfeng Wang")</f>
        <v>Xinfeng Wang</v>
      </c>
      <c r="E453" s="7" t="str">
        <f>IFERROR(__xludf.DUMMYFUNCTION("""COMPUTED_VALUE"""),"Yes")</f>
        <v>Yes</v>
      </c>
      <c r="F453" s="7" t="str">
        <f>IFERROR(__xludf.DUMMYFUNCTION("""COMPUTED_VALUE"""),"IP-Poster")</f>
        <v>IP-Poster</v>
      </c>
      <c r="G453" s="7" t="str">
        <f>IFERROR(__xludf.DUMMYFUNCTION("""COMPUTED_VALUE"""),"In-Person")</f>
        <v>In-Person</v>
      </c>
      <c r="H453" s="7" t="str">
        <f>IFERROR(__xludf.DUMMYFUNCTION("""COMPUTED_VALUE"""),"Hall 4/5")</f>
        <v>Hall 4/5</v>
      </c>
      <c r="I453" s="7" t="str">
        <f>IFERROR(__xludf.DUMMYFUNCTION("""COMPUTED_VALUE"""),"Session 5 :IP-Posters Find ")</f>
        <v>Session 5 :IP-Posters Find </v>
      </c>
      <c r="J453" s="7" t="str">
        <f>IFERROR(__xludf.DUMMYFUNCTION("""COMPUTED_VALUE"""),"Findings Posters - In-Person 1")</f>
        <v>Findings Posters - In-Person 1</v>
      </c>
      <c r="K453" s="7"/>
      <c r="L453" s="8">
        <f>IFERROR(__xludf.DUMMYFUNCTION("""COMPUTED_VALUE"""),45866.0)</f>
        <v>45866</v>
      </c>
      <c r="M453" s="7" t="str">
        <f>IFERROR(__xludf.DUMMYFUNCTION("""COMPUTED_VALUE"""),"18:00-19:30")</f>
        <v>18:00-19:30</v>
      </c>
      <c r="N453" s="7"/>
    </row>
    <row r="454">
      <c r="A454" s="7" t="str">
        <f>IFERROR(__xludf.DUMMYFUNCTION("""COMPUTED_VALUE"""),"1506-FIND")</f>
        <v>1506-FIND</v>
      </c>
      <c r="B454" s="7" t="str">
        <f>IFERROR(__xludf.DUMMYFUNCTION("""COMPUTED_VALUE"""),"Causal Denoising Prototypical Network for Few-Shot Multi-label Aspect Category Detection")</f>
        <v>Causal Denoising Prototypical Network for Few-Shot Multi-label Aspect Category Detection</v>
      </c>
      <c r="C454" s="7" t="str">
        <f>IFERROR(__xludf.DUMMYFUNCTION("""COMPUTED_VALUE"""),"The multi-label aspect category detection (MACD) task has attracted great attention in sentiment analysis. Many recent methods have formulated the MACD task by learning robust prototypes to represent categories with limited support samples. However, few o"&amp;"f them address the noise categories in the support set that hinder their models from effective prototype generations. To this end, we propose a causal denoising prototypical network (CDPN) for few-shot MACD. We reveal the underlying relation between causa"&amp;"l inference and contrastive learning, and present causal contrastive learning (CCL) using discrete and continuous noise as negative samples. We empirically found that CCL can (1) prevent models from overly predicting more categories and (2) mitigate seman"&amp;"tic ambiguity issues among categories. Experimental results show that CDPN outperforms competitive baselines. Our code is available online.")</f>
        <v>The multi-label aspect category detection (MACD) task has attracted great attention in sentiment analysis. Many recent methods have formulated the MACD task by learning robust prototypes to represent categories with limited support samples. However, few of them address the noise categories in the support set that hinder their models from effective prototype generations. To this end, we propose a causal denoising prototypical network (CDPN) for few-shot MACD. We reveal the underlying relation between causal inference and contrastive learning, and present causal contrastive learning (CCL) using discrete and continuous noise as negative samples. We empirically found that CCL can (1) prevent models from overly predicting more categories and (2) mitigate semantic ambiguity issues among categories. Experimental results show that CDPN outperforms competitive baselines. Our code is available online.</v>
      </c>
      <c r="D454" s="7" t="str">
        <f>IFERROR(__xludf.DUMMYFUNCTION("""COMPUTED_VALUE"""),"JIN CUI")</f>
        <v>JIN CUI</v>
      </c>
      <c r="E454" s="7" t="str">
        <f>IFERROR(__xludf.DUMMYFUNCTION("""COMPUTED_VALUE"""),"Yes")</f>
        <v>Yes</v>
      </c>
      <c r="F454" s="7" t="str">
        <f>IFERROR(__xludf.DUMMYFUNCTION("""COMPUTED_VALUE"""),"IP-Poster")</f>
        <v>IP-Poster</v>
      </c>
      <c r="G454" s="7" t="str">
        <f>IFERROR(__xludf.DUMMYFUNCTION("""COMPUTED_VALUE"""),"In-Person")</f>
        <v>In-Person</v>
      </c>
      <c r="H454" s="7" t="str">
        <f>IFERROR(__xludf.DUMMYFUNCTION("""COMPUTED_VALUE"""),"Hall 4/5")</f>
        <v>Hall 4/5</v>
      </c>
      <c r="I454" s="7" t="str">
        <f>IFERROR(__xludf.DUMMYFUNCTION("""COMPUTED_VALUE"""),"Session 5 :IP-Posters Find ")</f>
        <v>Session 5 :IP-Posters Find </v>
      </c>
      <c r="J454" s="7" t="str">
        <f>IFERROR(__xludf.DUMMYFUNCTION("""COMPUTED_VALUE"""),"Findings Posters - In-Person 1")</f>
        <v>Findings Posters - In-Person 1</v>
      </c>
      <c r="K454" s="7"/>
      <c r="L454" s="8">
        <f>IFERROR(__xludf.DUMMYFUNCTION("""COMPUTED_VALUE"""),45866.0)</f>
        <v>45866</v>
      </c>
      <c r="M454" s="7" t="str">
        <f>IFERROR(__xludf.DUMMYFUNCTION("""COMPUTED_VALUE"""),"18:00-19:30")</f>
        <v>18:00-19:30</v>
      </c>
      <c r="N454" s="7"/>
    </row>
    <row r="455">
      <c r="A455" s="7" t="str">
        <f>IFERROR(__xludf.DUMMYFUNCTION("""COMPUTED_VALUE"""),"1509-FIND")</f>
        <v>1509-FIND</v>
      </c>
      <c r="B455" s="7" t="str">
        <f>IFERROR(__xludf.DUMMYFUNCTION("""COMPUTED_VALUE"""),"RealHiTBench: A Comprehensive Realistic Hierarchical Table Benchmark for Evaluating LLM-Based Table Analysis")</f>
        <v>RealHiTBench: A Comprehensive Realistic Hierarchical Table Benchmark for Evaluating LLM-Based Table Analysis</v>
      </c>
      <c r="C455" s="7" t="str">
        <f>IFERROR(__xludf.DUMMYFUNCTION("""COMPUTED_VALUE"""),"With the rapid advancement of Large Language Models (LLMs), there is an increasing need for challenging benchmarks to evaluate their capabilities in handling complex tabular data. However, existing benchmarks are either based on outdated data setups or fo"&amp;"cus solely on simple, flat table structures. In this paper, we introduce **RealHiTBench**, a comprehensive benchmark designed to evaluate the performance of both LLMs and Multimodal LLMs (MLLMs) across a variety of input formats for complex tabular data, "&amp;"including LaTeX, HTML, and PNG. RealHiTBench also includes a diverse collection of tables with intricate structures, spanning a wide range of task types. Our experimental results, using **20** state-of-the-art LLMs, demonstrate that RealHiTBench is indeed"&amp;" a challenging benchmark. Moreover, we also develop TreeThinker, a tree-based agent that organizes hierarchical headers into a tree structure for enhanced tabular reasoning, validating the importance of improving LLMs' perception of table hierarchies. We "&amp;"hope that our work will inspire further research on tabular data reasoning and the development of more robust models.")</f>
        <v>With the rapid advancement of Large Language Models (LLMs), there is an increasing need for challenging benchmarks to evaluate their capabilities in handling complex tabular data. However, existing benchmarks are either based on outdated data setups or focus solely on simple, flat table structures. In this paper, we introduce **RealHiTBench**, a comprehensive benchmark designed to evaluate the performance of both LLMs and Multimodal LLMs (MLLMs) across a variety of input formats for complex tabular data, including LaTeX, HTML, and PNG. RealHiTBench also includes a diverse collection of tables with intricate structures, spanning a wide range of task types. Our experimental results, using **20** state-of-the-art LLMs, demonstrate that RealHiTBench is indeed a challenging benchmark. Moreover, we also develop TreeThinker, a tree-based agent that organizes hierarchical headers into a tree structure for enhanced tabular reasoning, validating the importance of improving LLMs' perception of table hierarchies. We hope that our work will inspire further research on tabular data reasoning and the development of more robust models.</v>
      </c>
      <c r="D455" s="7" t="str">
        <f>IFERROR(__xludf.DUMMYFUNCTION("""COMPUTED_VALUE"""),"Pengzuo Wu, Yuhang Yang")</f>
        <v>Pengzuo Wu, Yuhang Yang</v>
      </c>
      <c r="E455" s="7" t="str">
        <f>IFERROR(__xludf.DUMMYFUNCTION("""COMPUTED_VALUE"""),"Yes")</f>
        <v>Yes</v>
      </c>
      <c r="F455" s="7" t="str">
        <f>IFERROR(__xludf.DUMMYFUNCTION("""COMPUTED_VALUE"""),"IP-Poster")</f>
        <v>IP-Poster</v>
      </c>
      <c r="G455" s="7" t="str">
        <f>IFERROR(__xludf.DUMMYFUNCTION("""COMPUTED_VALUE"""),"In-Person")</f>
        <v>In-Person</v>
      </c>
      <c r="H455" s="7" t="str">
        <f>IFERROR(__xludf.DUMMYFUNCTION("""COMPUTED_VALUE"""),"Hall 4/5")</f>
        <v>Hall 4/5</v>
      </c>
      <c r="I455" s="7" t="str">
        <f>IFERROR(__xludf.DUMMYFUNCTION("""COMPUTED_VALUE"""),"Session 5 :IP-Posters Find ")</f>
        <v>Session 5 :IP-Posters Find </v>
      </c>
      <c r="J455" s="7" t="str">
        <f>IFERROR(__xludf.DUMMYFUNCTION("""COMPUTED_VALUE"""),"Findings Posters - In-Person 1")</f>
        <v>Findings Posters - In-Person 1</v>
      </c>
      <c r="K455" s="7"/>
      <c r="L455" s="8">
        <f>IFERROR(__xludf.DUMMYFUNCTION("""COMPUTED_VALUE"""),45866.0)</f>
        <v>45866</v>
      </c>
      <c r="M455" s="7" t="str">
        <f>IFERROR(__xludf.DUMMYFUNCTION("""COMPUTED_VALUE"""),"18:00-19:30")</f>
        <v>18:00-19:30</v>
      </c>
      <c r="N455" s="7"/>
    </row>
    <row r="456">
      <c r="A456" s="7" t="str">
        <f>IFERROR(__xludf.DUMMYFUNCTION("""COMPUTED_VALUE"""),"1512-FIND")</f>
        <v>1512-FIND</v>
      </c>
      <c r="B456" s="7" t="str">
        <f>IFERROR(__xludf.DUMMYFUNCTION("""COMPUTED_VALUE"""),"A Query-Response Framework for Whole-Page Complex-Layout Document Image Translation with Relevant Regional Concentration")</f>
        <v>A Query-Response Framework for Whole-Page Complex-Layout Document Image Translation with Relevant Regional Concentration</v>
      </c>
      <c r="C456" s="7" t="str">
        <f>IFERROR(__xludf.DUMMYFUNCTION("""COMPUTED_VALUE"""),"Document Image Translation (DIT), which aims at translating documents in images from source language to the target, plays an important role in Document Intelligence. It requires a comprehensive understanding of document multi-modalities and a focused conc"&amp;"entration on relevant textual regions during translation. However, most existing methods usually rely on the vanilla encoder-decoder paradigm, severely losing concentration on key regions that are especially crucial for complex-layout document translation"&amp;". To tackle this issue, in this paper, we propose a new Query-Response DIT framework (QRDIT). QRDIT reformulates the DIT task into a parallel response/translation process of the multiple queries (i.e., relevant source texts), explicitly centralizing its f"&amp;"ocus toward the most relevant textual regions to ensure translation accuracy. A novel dynamic aggregation mechanism is also designed to enhance the text semantics in query features toward translation. Extensive experiments in four translation directions o"&amp;"n three benchmarks demonstrate its state-of-the-art performance, showing significant translation quality improvements toward whole-page complex-layout document images.")</f>
        <v>Document Image Translation (DIT), which aims at translating documents in images from source language to the target, plays an important role in Document Intelligence. It requires a comprehensive understanding of document multi-modalities and a focused concentration on relevant textual regions during translation. However, most existing methods usually rely on the vanilla encoder-decoder paradigm, severely losing concentration on key regions that are especially crucial for complex-layout document translation. To tackle this issue, in this paper, we propose a new Query-Response DIT framework (QRDIT). QRDIT reformulates the DIT task into a parallel response/translation process of the multiple queries (i.e., relevant source texts), explicitly centralizing its focus toward the most relevant textual regions to ensure translation accuracy. A novel dynamic aggregation mechanism is also designed to enhance the text semantics in query features toward translation. Extensive experiments in four translation directions on three benchmarks demonstrate its state-of-the-art performance, showing significant translation quality improvements toward whole-page complex-layout document images.</v>
      </c>
      <c r="D456" s="7" t="str">
        <f>IFERROR(__xludf.DUMMYFUNCTION("""COMPUTED_VALUE"""),"I do not plan to present.")</f>
        <v>I do not plan to present.</v>
      </c>
      <c r="E456" s="7" t="str">
        <f>IFERROR(__xludf.DUMMYFUNCTION("""COMPUTED_VALUE"""),"Yes")</f>
        <v>Yes</v>
      </c>
      <c r="F456" s="7" t="str">
        <f>IFERROR(__xludf.DUMMYFUNCTION("""COMPUTED_VALUE"""),"Not Pres. ")</f>
        <v>Not Pres. </v>
      </c>
      <c r="G456" s="7" t="str">
        <f>IFERROR(__xludf.DUMMYFUNCTION("""COMPUTED_VALUE"""),"NP Findings Not Presenting ")</f>
        <v>NP Findings Not Presenting </v>
      </c>
      <c r="H456" s="7"/>
      <c r="I456" s="7"/>
      <c r="J456" s="7"/>
      <c r="K456" s="7"/>
      <c r="L456" s="8"/>
      <c r="M456" s="7"/>
      <c r="N456" s="7"/>
    </row>
    <row r="457">
      <c r="A457" s="7" t="str">
        <f>IFERROR(__xludf.DUMMYFUNCTION("""COMPUTED_VALUE"""),"1518-FIND")</f>
        <v>1518-FIND</v>
      </c>
      <c r="B457" s="7" t="str">
        <f>IFERROR(__xludf.DUMMYFUNCTION("""COMPUTED_VALUE"""),"DependEval: Benchmarking LLMs for Repository Dependency Understanding")</f>
        <v>DependEval: Benchmarking LLMs for Repository Dependency Understanding</v>
      </c>
      <c r="C457" s="7" t="str">
        <f>IFERROR(__xludf.DUMMYFUNCTION("""COMPUTED_VALUE"""),"While large language models (LLMs) have shown considerable promise in code generation, real-world software development demands advanced repository-level reasoning. This includes understanding dependencies, project structures, and managing multi-file chang"&amp;"es. However, the ability of LLMs to effectively comprehend and handle complex code repositories has yet to be fully explored. To address these challenges, we introduce a hierarchical benchmark designed to evaluate repository dependency understanding(Depen"&amp;"dEval) for LLMs. The benchmark is based on 2683 repositories collected from real-world websites. It evaluates models on three core tasks: Dependency Recognition, Repository Construction, and Multi-file Editing, across 8 programming languages from actual c"&amp;"ode repositories. Our evaluation of over 25 LLMs reveals substantial performance gaps and provides valuable insights into repository-level code understanding.")</f>
        <v>While large language models (LLMs) have shown considerable promise in code generation, real-world software development demands advanced repository-level reasoning. This includes understanding dependencies, project structures, and managing multi-file changes. However, the ability of LLMs to effectively comprehend and handle complex code repositories has yet to be fully explored. To address these challenges, we introduce a hierarchical benchmark designed to evaluate repository dependency understanding(DependEval) for LLMs. The benchmark is based on 2683 repositories collected from real-world websites. It evaluates models on three core tasks: Dependency Recognition, Repository Construction, and Multi-file Editing, across 8 programming languages from actual code repositories. Our evaluation of over 25 LLMs reveals substantial performance gaps and provides valuable insights into repository-level code understanding.</v>
      </c>
      <c r="D457" s="7" t="str">
        <f>IFERROR(__xludf.DUMMYFUNCTION("""COMPUTED_VALUE"""),"Junjia Du")</f>
        <v>Junjia Du</v>
      </c>
      <c r="E457" s="7" t="str">
        <f>IFERROR(__xludf.DUMMYFUNCTION("""COMPUTED_VALUE"""),"Yes")</f>
        <v>Yes</v>
      </c>
      <c r="F457" s="7" t="str">
        <f>IFERROR(__xludf.DUMMYFUNCTION("""COMPUTED_VALUE"""),"IP-Poster")</f>
        <v>IP-Poster</v>
      </c>
      <c r="G457" s="7" t="str">
        <f>IFERROR(__xludf.DUMMYFUNCTION("""COMPUTED_VALUE"""),"In-Person")</f>
        <v>In-Person</v>
      </c>
      <c r="H457" s="7" t="str">
        <f>IFERROR(__xludf.DUMMYFUNCTION("""COMPUTED_VALUE"""),"Hall 4/5")</f>
        <v>Hall 4/5</v>
      </c>
      <c r="I457" s="7" t="str">
        <f>IFERROR(__xludf.DUMMYFUNCTION("""COMPUTED_VALUE"""),"Session 5 :IP-Posters Find ")</f>
        <v>Session 5 :IP-Posters Find </v>
      </c>
      <c r="J457" s="7" t="str">
        <f>IFERROR(__xludf.DUMMYFUNCTION("""COMPUTED_VALUE"""),"Findings Posters - In-Person 1")</f>
        <v>Findings Posters - In-Person 1</v>
      </c>
      <c r="K457" s="7"/>
      <c r="L457" s="8">
        <f>IFERROR(__xludf.DUMMYFUNCTION("""COMPUTED_VALUE"""),45866.0)</f>
        <v>45866</v>
      </c>
      <c r="M457" s="7" t="str">
        <f>IFERROR(__xludf.DUMMYFUNCTION("""COMPUTED_VALUE"""),"18:00-19:30")</f>
        <v>18:00-19:30</v>
      </c>
      <c r="N457" s="7"/>
    </row>
    <row r="458">
      <c r="A458" s="7" t="str">
        <f>IFERROR(__xludf.DUMMYFUNCTION("""COMPUTED_VALUE"""),"1523-FIND")</f>
        <v>1523-FIND</v>
      </c>
      <c r="B458" s="7" t="str">
        <f>IFERROR(__xludf.DUMMYFUNCTION("""COMPUTED_VALUE"""),"A General Knowledge Injection Framework for ICD Coding")</f>
        <v>A General Knowledge Injection Framework for ICD Coding</v>
      </c>
      <c r="C458" s="7" t="str">
        <f>IFERROR(__xludf.DUMMYFUNCTION("""COMPUTED_VALUE"""),"ICD Coding aims to assign a wide range of medical codes to a medical text document, which is a popular and challenging task in the healthcare domain. To alleviate the problems of long-tail distribution and the lack of annotations of code-specific evidence"&amp;", many previous works have proposed incorporating code knowledge to improve coding performance. However, existing methods often focus on a single type of knowledge and design specialized modules that are complex and incompatible with each other, thereby l"&amp;"imiting their scalability and effectiveness. To address this issue, we propose GKI-ICD, a novel, general knowledge injection framework that integrates three key types of knowledge, namely ICD Description, ICD Synonym, and ICD Hierarchy, without specialize"&amp;"d design of additional modules. The comprehensive utilization of the above knowledge, which exhibits both differences and complementarity, can effectively enhance the ICD coding performance. Extensive experiments on existing popular ICD coding benchmarks "&amp;"demonstrate the effectiveness of GKI-ICD, which achieves the state-of-the-art performance on most evaluation metrics. Code is available at https://github.com/xuzhang0112/GKI-ICD.")</f>
        <v>ICD Coding aims to assign a wide range of medical codes to a medical text document, which is a popular and challenging task in the healthcare domain. To alleviate the problems of long-tail distribution and the lack of annotations of code-specific evidence, many previous works have proposed incorporating code knowledge to improve coding performance. However, existing methods often focus on a single type of knowledge and design specialized modules that are complex and incompatible with each other, thereby limiting their scalability and effectiveness. To address this issue, we propose GKI-ICD, a novel, general knowledge injection framework that integrates three key types of knowledge, namely ICD Description, ICD Synonym, and ICD Hierarchy, without specialized design of additional modules. The comprehensive utilization of the above knowledge, which exhibits both differences and complementarity, can effectively enhance the ICD coding performance. Extensive experiments on existing popular ICD coding benchmarks demonstrate the effectiveness of GKI-ICD, which achieves the state-of-the-art performance on most evaluation metrics. Code is available at https://github.com/xuzhang0112/GKI-ICD.</v>
      </c>
      <c r="D458" s="7" t="str">
        <f>IFERROR(__xludf.DUMMYFUNCTION("""COMPUTED_VALUE"""),"Xu Zhang")</f>
        <v>Xu Zhang</v>
      </c>
      <c r="E458" s="7" t="str">
        <f>IFERROR(__xludf.DUMMYFUNCTION("""COMPUTED_VALUE"""),"Yes")</f>
        <v>Yes</v>
      </c>
      <c r="F458" s="7" t="str">
        <f>IFERROR(__xludf.DUMMYFUNCTION("""COMPUTED_VALUE"""),"IP-Poster")</f>
        <v>IP-Poster</v>
      </c>
      <c r="G458" s="7" t="str">
        <f>IFERROR(__xludf.DUMMYFUNCTION("""COMPUTED_VALUE"""),"In-Person")</f>
        <v>In-Person</v>
      </c>
      <c r="H458" s="7" t="str">
        <f>IFERROR(__xludf.DUMMYFUNCTION("""COMPUTED_VALUE"""),"Hall 4/5")</f>
        <v>Hall 4/5</v>
      </c>
      <c r="I458" s="7" t="str">
        <f>IFERROR(__xludf.DUMMYFUNCTION("""COMPUTED_VALUE"""),"Session 5 :IP-Posters Find ")</f>
        <v>Session 5 :IP-Posters Find </v>
      </c>
      <c r="J458" s="7" t="str">
        <f>IFERROR(__xludf.DUMMYFUNCTION("""COMPUTED_VALUE"""),"Findings Posters - In-Person 1")</f>
        <v>Findings Posters - In-Person 1</v>
      </c>
      <c r="K458" s="7"/>
      <c r="L458" s="8">
        <f>IFERROR(__xludf.DUMMYFUNCTION("""COMPUTED_VALUE"""),45866.0)</f>
        <v>45866</v>
      </c>
      <c r="M458" s="7" t="str">
        <f>IFERROR(__xludf.DUMMYFUNCTION("""COMPUTED_VALUE"""),"18:00-19:30")</f>
        <v>18:00-19:30</v>
      </c>
      <c r="N458" s="7"/>
    </row>
    <row r="459">
      <c r="A459" s="7" t="str">
        <f>IFERROR(__xludf.DUMMYFUNCTION("""COMPUTED_VALUE"""),"1525-FIND")</f>
        <v>1525-FIND</v>
      </c>
      <c r="B459" s="7" t="str">
        <f>IFERROR(__xludf.DUMMYFUNCTION("""COMPUTED_VALUE"""),"MMUnlearner: Reformulating Multimodal Machine Unlearning in the Era of Multimodal Large Language Models")</f>
        <v>MMUnlearner: Reformulating Multimodal Machine Unlearning in the Era of Multimodal Large Language Models</v>
      </c>
      <c r="C459" s="7" t="str">
        <f>IFERROR(__xludf.DUMMYFUNCTION("""COMPUTED_VALUE"""),"Recent progress in Machine Unlearning (MU) has introduced solutions for the selective removal of private or sensitive information encoded within deep neural networks. Nonetheless, MU for Multimodal Large Language Models (MLLMs) remains in its nascent phas"&amp;"e. Therefore, we propose to **reformulate the task of multimodal MU in the era of MLLMs**, which aims to erase only the visual patterns associated with a given entity while preserving the corresponding textual knowledge encoded within the original paramet"&amp;"ers of the language model backbone. Furthermore, we **develop a novel geometry-constrained gradient ascent method MMUnlearner**. It updates the weights of MLLMs with a weight saliency map jointly restricted by the remaining concepts and textual knowledge "&amp;"during unlearning, thereby preserving parameters essential for non-target knowledge. Extensive experiments demonstrate that MMUnlearner surpasses baselines that finetuning MLLMs with VQA data directly through Gradient Ascent (GA) or Negative Preference Op"&amp;"timization (NPO), across all evaluation dimensions. Our code will be released upon acceptance.")</f>
        <v>Recent progress in Machine Unlearning (MU) has introduced solutions for the selective removal of private or sensitive information encoded within deep neural networks. Nonetheless, MU for Multimodal Large Language Models (MLLMs) remains in its nascent phase. Therefore, we propose to **reformulate the task of multimodal MU in the era of MLLMs**, which aims to erase only the visual patterns associated with a given entity while preserving the corresponding textual knowledge encoded within the original parameters of the language model backbone. Furthermore, we **develop a novel geometry-constrained gradient ascent method MMUnlearner**. It updates the weights of MLLMs with a weight saliency map jointly restricted by the remaining concepts and textual knowledge during unlearning, thereby preserving parameters essential for non-target knowledge. Extensive experiments demonstrate that MMUnlearner surpasses baselines that finetuning MLLMs with VQA data directly through Gradient Ascent (GA) or Negative Preference Optimization (NPO), across all evaluation dimensions. Our code will be released upon acceptance.</v>
      </c>
      <c r="D459" s="7" t="str">
        <f>IFERROR(__xludf.DUMMYFUNCTION("""COMPUTED_VALUE"""),"Jiahao Huo")</f>
        <v>Jiahao Huo</v>
      </c>
      <c r="E459" s="7" t="str">
        <f>IFERROR(__xludf.DUMMYFUNCTION("""COMPUTED_VALUE"""),"N/A")</f>
        <v>N/A</v>
      </c>
      <c r="F459" s="7" t="str">
        <f>IFERROR(__xludf.DUMMYFUNCTION("""COMPUTED_VALUE"""),"Not Pres. ")</f>
        <v>Not Pres. </v>
      </c>
      <c r="G459" s="7" t="str">
        <f>IFERROR(__xludf.DUMMYFUNCTION("""COMPUTED_VALUE"""),"NP Findings Not Presenting ")</f>
        <v>NP Findings Not Presenting </v>
      </c>
      <c r="H459" s="7"/>
      <c r="I459" s="7"/>
      <c r="J459" s="7"/>
      <c r="K459" s="7"/>
      <c r="L459" s="8"/>
      <c r="M459" s="7"/>
      <c r="N459" s="7"/>
    </row>
    <row r="460">
      <c r="A460" s="7" t="str">
        <f>IFERROR(__xludf.DUMMYFUNCTION("""COMPUTED_VALUE"""),"1528-FIND")</f>
        <v>1528-FIND</v>
      </c>
      <c r="B460" s="7" t="str">
        <f>IFERROR(__xludf.DUMMYFUNCTION("""COMPUTED_VALUE"""),"Generating Questions, Answers, and Distractors for Videos: Exploring Semantic Uncertainty of Object Motions")</f>
        <v>Generating Questions, Answers, and Distractors for Videos: Exploring Semantic Uncertainty of Object Motions</v>
      </c>
      <c r="C460" s="7" t="str">
        <f>IFERROR(__xludf.DUMMYFUNCTION("""COMPUTED_VALUE"""),"Video Question-Answer-Distractors (QADs) show promising values for assessing the performance of systems in perceiving and comprehending multimedia content. Given the significant cost and labor demands of manual annotation, existing large-scale Video QADs "&amp;"benchmarks are typically generated automatically using video captions. Since video captions are incomplete representations of visual content and susceptible to error propagation, direct generation of QADs from video is crucial. This work first leverages a"&amp;" large vision-language model for video QADs generation. To enhance the consistency and diversity of the generated QADs, we propose utilizing temporal motion to describe the video objects. In addition, We design a selection mechanism that chooses diverse t"&amp;"emporal object motions to generate diverse QADs focusing on different objects and interactions, maximizing overall semantic uncertainty for a given video. Evaluation on the NExT-QA and Perception Test benchmarks demonstrates that the proposed approach sig"&amp;"nificantly improves both the consistency and diversity of QADs generated by a range of large vision-language models, thus highlighting its effectiveness and generalizability.")</f>
        <v>Video Question-Answer-Distractors (QADs) show promising values for assessing the performance of systems in perceiving and comprehending multimedia content. Given the significant cost and labor demands of manual annotation, existing large-scale Video QADs benchmarks are typically generated automatically using video captions. Since video captions are incomplete representations of visual content and susceptible to error propagation, direct generation of QADs from video is crucial. This work first leverages a large vision-language model for video QADs generation. To enhance the consistency and diversity of the generated QADs, we propose utilizing temporal motion to describe the video objects. In addition, We design a selection mechanism that chooses diverse temporal object motions to generate diverse QADs focusing on different objects and interactions, maximizing overall semantic uncertainty for a given video. Evaluation on the NExT-QA and Perception Test benchmarks demonstrates that the proposed approach significantly improves both the consistency and diversity of QADs generated by a range of large vision-language models, thus highlighting its effectiveness and generalizability.</v>
      </c>
      <c r="D460" s="7" t="str">
        <f>IFERROR(__xludf.DUMMYFUNCTION("""COMPUTED_VALUE"""),"I do not plan to present")</f>
        <v>I do not plan to present</v>
      </c>
      <c r="E460" s="7" t="str">
        <f>IFERROR(__xludf.DUMMYFUNCTION("""COMPUTED_VALUE"""),"#N/A")</f>
        <v>#N/A</v>
      </c>
      <c r="F460" s="7" t="str">
        <f>IFERROR(__xludf.DUMMYFUNCTION("""COMPUTED_VALUE"""),"Not Pres. ")</f>
        <v>Not Pres. </v>
      </c>
      <c r="G460" s="7" t="str">
        <f>IFERROR(__xludf.DUMMYFUNCTION("""COMPUTED_VALUE"""),"NP Findings Not Presenting ")</f>
        <v>NP Findings Not Presenting </v>
      </c>
      <c r="H460" s="7"/>
      <c r="I460" s="7" t="str">
        <f>IFERROR(__xludf.DUMMYFUNCTION("""COMPUTED_VALUE"""),"NP-Find")</f>
        <v>NP-Find</v>
      </c>
      <c r="J460" s="7"/>
      <c r="K460" s="7"/>
      <c r="L460" s="8"/>
      <c r="M460" s="7"/>
      <c r="N460" s="7"/>
    </row>
    <row r="461">
      <c r="A461" s="7" t="str">
        <f>IFERROR(__xludf.DUMMYFUNCTION("""COMPUTED_VALUE"""),"1532-FIND")</f>
        <v>1532-FIND</v>
      </c>
      <c r="B461" s="7" t="str">
        <f>IFERROR(__xludf.DUMMYFUNCTION("""COMPUTED_VALUE"""),"DiffSkip: Differential Layer Skipping in Large Language Models")</f>
        <v>DiffSkip: Differential Layer Skipping in Large Language Models</v>
      </c>
      <c r="C461" s="7" t="str">
        <f>IFERROR(__xludf.DUMMYFUNCTION("""COMPUTED_VALUE"""),"Existing Large Language Models (LLMs) enforce uniform computation across all tokens. We analyze the correlation between the input-output difference of self-attention block and Feed-Forward Network (FFN) within the same transformer layer, and find that the"&amp;"se two differential vectors are highly correlated. Thus, we propose to dynamically skip the FFN blocks based on the self-attention difference and introduce Diffential Layer Skipping (DiffSkip) to show that LLMs are inherently dynamic-depth models, capable"&amp;" of adjusting computational depth when generating different tokens. DiffSkip employs a lightweight router module to dynamically skip a set of FFN blocks in LLMs and only requires efficient fine-tuning while keeping the whole LLM frozen. Experimental resul"&amp;"ts demonstrate that DiffSkip effectively enables dynamic FFN skipping in decoder-only language models, even in continuous token generation tasks where many layer-skipping methods struggle.")</f>
        <v>Existing Large Language Models (LLMs) enforce uniform computation across all tokens. We analyze the correlation between the input-output difference of self-attention block and Feed-Forward Network (FFN) within the same transformer layer, and find that these two differential vectors are highly correlated. Thus, we propose to dynamically skip the FFN blocks based on the self-attention difference and introduce Diffential Layer Skipping (DiffSkip) to show that LLMs are inherently dynamic-depth models, capable of adjusting computational depth when generating different tokens. DiffSkip employs a lightweight router module to dynamically skip a set of FFN blocks in LLMs and only requires efficient fine-tuning while keeping the whole LLM frozen. Experimental results demonstrate that DiffSkip effectively enables dynamic FFN skipping in decoder-only language models, even in continuous token generation tasks where many layer-skipping methods struggle.</v>
      </c>
      <c r="D461" s="7" t="str">
        <f>IFERROR(__xludf.DUMMYFUNCTION("""COMPUTED_VALUE"""),"Xuan Luo")</f>
        <v>Xuan Luo</v>
      </c>
      <c r="E461" s="7" t="str">
        <f>IFERROR(__xludf.DUMMYFUNCTION("""COMPUTED_VALUE"""),"Yes")</f>
        <v>Yes</v>
      </c>
      <c r="F461" s="7" t="str">
        <f>IFERROR(__xludf.DUMMYFUNCTION("""COMPUTED_VALUE"""),"V-Presentation")</f>
        <v>V-Presentation</v>
      </c>
      <c r="G461" s="7" t="str">
        <f>IFERROR(__xludf.DUMMYFUNCTION("""COMPUTED_VALUE"""),"Virtual/Gather")</f>
        <v>Virtual/Gather</v>
      </c>
      <c r="H461" s="7" t="str">
        <f>IFERROR(__xludf.DUMMYFUNCTION("""COMPUTED_VALUE"""),"Gather")</f>
        <v>Gather</v>
      </c>
      <c r="I461" s="7" t="str">
        <f>IFERROR(__xludf.DUMMYFUNCTION("""COMPUTED_VALUE"""),"Session5: V-Gather Find")</f>
        <v>Session5: V-Gather Find</v>
      </c>
      <c r="J461" s="7" t="str">
        <f>IFERROR(__xludf.DUMMYFUNCTION("""COMPUTED_VALUE"""),"Findings Posters - Virtual")</f>
        <v>Findings Posters - Virtual</v>
      </c>
      <c r="K461" s="7"/>
      <c r="L461" s="8">
        <f>IFERROR(__xludf.DUMMYFUNCTION("""COMPUTED_VALUE"""),45866.0)</f>
        <v>45866</v>
      </c>
      <c r="M461" s="7" t="str">
        <f>IFERROR(__xludf.DUMMYFUNCTION("""COMPUTED_VALUE"""),"18:00-19:30")</f>
        <v>18:00-19:30</v>
      </c>
      <c r="N461" s="7"/>
    </row>
    <row r="462">
      <c r="A462" s="7" t="str">
        <f>IFERROR(__xludf.DUMMYFUNCTION("""COMPUTED_VALUE"""),"1533-FIND")</f>
        <v>1533-FIND</v>
      </c>
      <c r="B462" s="7" t="str">
        <f>IFERROR(__xludf.DUMMYFUNCTION("""COMPUTED_VALUE"""),"Towards Explainable Temporal Reasoning in Large Language Models: A Structure-Aware Generative Framework")</f>
        <v>Towards Explainable Temporal Reasoning in Large Language Models: A Structure-Aware Generative Framework</v>
      </c>
      <c r="C462" s="7" t="str">
        <f>IFERROR(__xludf.DUMMYFUNCTION("""COMPUTED_VALUE"""),"While large language models (LLMs) show great potential in temporal reasoning, most existing work focuses heavily on enhancing performance, often neglecting the explainable reasoning processes underlying the results. To address this gap, we introduce a co"&amp;"mprehensive benchmark covering a wide range of temporal granularities, designed to systematically evaluate LLMs' capabilities in explainable temporal reasoning. Furthermore, our findings reveal that LLMs struggle to deliver convincing explanations when re"&amp;"lying solely on textual information. To address challenge, we propose GETER, a novel structure-aware generative framework that integrates Graph structures with text for Explainable TEmporal Reasoning. Specifically, we first leverage temporal knowledge gra"&amp;"phs to develop a temporal encoder that captures structural information for the query. Subsequently, we introduce a structure-text prefix adapter to map graph structure features into the text embedding space. Finally, LLMs generate explanation text by seam"&amp;"lessly integrating the soft graph token with instruction-tuning prompt tokens. Experimental results indicate that GETER achieves state-of-the-art performance while also demonstrating robust generalization capabilities. Our dataset and code are available a"&amp;"t https://github.com/carryTatum/GETER.")</f>
        <v>While large language models (LLMs) show great potential in temporal reasoning, most existing work focuses heavily on enhancing performance, often neglecting the explainable reasoning processes underlying the results. To address this gap, we introduce a comprehensive benchmark covering a wide range of temporal granularities, designed to systematically evaluate LLMs' capabilities in explainable temporal reasoning. Furthermore, our findings reveal that LLMs struggle to deliver convincing explanations when relying solely on textual information. To address challenge, we propose GETER, a novel structure-aware generative framework that integrates Graph structures with text for Explainable TEmporal Reasoning. Specifically, we first leverage temporal knowledge graphs to develop a temporal encoder that captures structural information for the query. Subsequently, we introduce a structure-text prefix adapter to map graph structure features into the text embedding space. Finally, LLMs generate explanation text by seamlessly integrating the soft graph token with instruction-tuning prompt tokens. Experimental results indicate that GETER achieves state-of-the-art performance while also demonstrating robust generalization capabilities. Our dataset and code are available at https://github.com/carryTatum/GETER.</v>
      </c>
      <c r="D462" s="7" t="str">
        <f>IFERROR(__xludf.DUMMYFUNCTION("""COMPUTED_VALUE"""),"Zihao Jiang")</f>
        <v>Zihao Jiang</v>
      </c>
      <c r="E462" s="7" t="str">
        <f>IFERROR(__xludf.DUMMYFUNCTION("""COMPUTED_VALUE"""),"Yes")</f>
        <v>Yes</v>
      </c>
      <c r="F462" s="7" t="str">
        <f>IFERROR(__xludf.DUMMYFUNCTION("""COMPUTED_VALUE"""),"IP-Poster")</f>
        <v>IP-Poster</v>
      </c>
      <c r="G462" s="7" t="str">
        <f>IFERROR(__xludf.DUMMYFUNCTION("""COMPUTED_VALUE"""),"In-Person")</f>
        <v>In-Person</v>
      </c>
      <c r="H462" s="7" t="str">
        <f>IFERROR(__xludf.DUMMYFUNCTION("""COMPUTED_VALUE"""),"Hall 4/5")</f>
        <v>Hall 4/5</v>
      </c>
      <c r="I462" s="7" t="str">
        <f>IFERROR(__xludf.DUMMYFUNCTION("""COMPUTED_VALUE"""),"Session 5 :IP-Posters Find ")</f>
        <v>Session 5 :IP-Posters Find </v>
      </c>
      <c r="J462" s="7" t="str">
        <f>IFERROR(__xludf.DUMMYFUNCTION("""COMPUTED_VALUE"""),"Findings Posters - In-Person 1")</f>
        <v>Findings Posters - In-Person 1</v>
      </c>
      <c r="K462" s="7"/>
      <c r="L462" s="8">
        <f>IFERROR(__xludf.DUMMYFUNCTION("""COMPUTED_VALUE"""),45866.0)</f>
        <v>45866</v>
      </c>
      <c r="M462" s="7" t="str">
        <f>IFERROR(__xludf.DUMMYFUNCTION("""COMPUTED_VALUE"""),"18:00-19:30")</f>
        <v>18:00-19:30</v>
      </c>
      <c r="N462" s="7"/>
    </row>
    <row r="463">
      <c r="A463" s="7" t="str">
        <f>IFERROR(__xludf.DUMMYFUNCTION("""COMPUTED_VALUE"""),"1541-FIND")</f>
        <v>1541-FIND</v>
      </c>
      <c r="B463" s="7" t="str">
        <f>IFERROR(__xludf.DUMMYFUNCTION("""COMPUTED_VALUE"""),"A Bounding Box is Worth One Token - Interleaving Layout and Text in a Large Language Model for Document Understanding")</f>
        <v>A Bounding Box is Worth One Token - Interleaving Layout and Text in a Large Language Model for Document Understanding</v>
      </c>
      <c r="C463" s="7" t="str">
        <f>IFERROR(__xludf.DUMMYFUNCTION("""COMPUTED_VALUE"""),"Recently, many studies have demonstrated that exclusively incorporating OCR-derived text and spatial layouts with large language models (LLMs) can be highly effective for document understanding tasks. However, existing methods that integrate spatial layou"&amp;"ts with text have limitations, such as producing overly long text sequences or failing to fully leverage the autoregressive traits of LLMs. In this work, we introduce Interleaving Layout andText in a Large Language Model (LayTextLLM)} for document underst"&amp;"anding. LayTextLLM projects each bounding box to a single embedding and interleaves it with text, efficiently avoiding long sequence issues while leveraging autoregressive traits of LLMs. LayTextLLM not only streamlines the interaction of layout and textu"&amp;"al data but also shows enhanced performance in KIE and VQA. Comprehensive benchmark evaluations reveal significant improvements of LayTextLLM, with a 15.2% increase on KIE tasks and 10.7% on VQA tasks compared to previous SOTA OCR-based LLMs. All resource"&amp;"s are available at URL masked for anonymous review.")</f>
        <v>Recently, many studies have demonstrated that exclusively incorporating OCR-derived text and spatial layouts with large language models (LLMs) can be highly effective for document understanding tasks. However, existing methods that integrate spatial layouts with text have limitations, such as producing overly long text sequences or failing to fully leverage the autoregressive traits of LLMs. In this work, we introduce Interleaving Layout andText in a Large Language Model (LayTextLLM)} for document understanding. LayTextLLM projects each bounding box to a single embedding and interleaves it with text, efficiently avoiding long sequence issues while leveraging autoregressive traits of LLMs. LayTextLLM not only streamlines the interaction of layout and textual data but also shows enhanced performance in KIE and VQA. Comprehensive benchmark evaluations reveal significant improvements of LayTextLLM, with a 15.2% increase on KIE tasks and 10.7% on VQA tasks compared to previous SOTA OCR-based LLMs. All resources are available at URL masked for anonymous review.</v>
      </c>
      <c r="D463" s="7" t="str">
        <f>IFERROR(__xludf.DUMMYFUNCTION("""COMPUTED_VALUE"""),"Jinghui Lu")</f>
        <v>Jinghui Lu</v>
      </c>
      <c r="E463" s="7" t="str">
        <f>IFERROR(__xludf.DUMMYFUNCTION("""COMPUTED_VALUE"""),"Yes")</f>
        <v>Yes</v>
      </c>
      <c r="F463" s="7" t="str">
        <f>IFERROR(__xludf.DUMMYFUNCTION("""COMPUTED_VALUE"""),"IP-Poster")</f>
        <v>IP-Poster</v>
      </c>
      <c r="G463" s="7" t="str">
        <f>IFERROR(__xludf.DUMMYFUNCTION("""COMPUTED_VALUE"""),"In-Person")</f>
        <v>In-Person</v>
      </c>
      <c r="H463" s="7" t="str">
        <f>IFERROR(__xludf.DUMMYFUNCTION("""COMPUTED_VALUE"""),"Hall 4/5")</f>
        <v>Hall 4/5</v>
      </c>
      <c r="I463" s="7" t="str">
        <f>IFERROR(__xludf.DUMMYFUNCTION("""COMPUTED_VALUE"""),"Session 5 :IP-Posters Find ")</f>
        <v>Session 5 :IP-Posters Find </v>
      </c>
      <c r="J463" s="7" t="str">
        <f>IFERROR(__xludf.DUMMYFUNCTION("""COMPUTED_VALUE"""),"Findings Posters - In-Person 1")</f>
        <v>Findings Posters - In-Person 1</v>
      </c>
      <c r="K463" s="7"/>
      <c r="L463" s="8">
        <f>IFERROR(__xludf.DUMMYFUNCTION("""COMPUTED_VALUE"""),45866.0)</f>
        <v>45866</v>
      </c>
      <c r="M463" s="7" t="str">
        <f>IFERROR(__xludf.DUMMYFUNCTION("""COMPUTED_VALUE"""),"18:00-19:30")</f>
        <v>18:00-19:30</v>
      </c>
      <c r="N463" s="7"/>
    </row>
    <row r="464">
      <c r="A464" s="7" t="str">
        <f>IFERROR(__xludf.DUMMYFUNCTION("""COMPUTED_VALUE"""),"1549-FIND")</f>
        <v>1549-FIND</v>
      </c>
      <c r="B464" s="7" t="str">
        <f>IFERROR(__xludf.DUMMYFUNCTION("""COMPUTED_VALUE"""),"Self-Foveate: Enhancing Diversity and Difficulty of Synthesized Instructions from Unsupervised Text via Multi-Level Foveation")</f>
        <v>Self-Foveate: Enhancing Diversity and Difficulty of Synthesized Instructions from Unsupervised Text via Multi-Level Foveation</v>
      </c>
      <c r="C464" s="7" t="str">
        <f>IFERROR(__xludf.DUMMYFUNCTION("""COMPUTED_VALUE"""),"Large language models (LLMs) with instruction following capabilities have demonstrated impressive problem-solving abilities. While synthesizing instructional data from unsupervised text has become a common approach for training such models, conventional m"&amp;"ethods rely heavily on human effort for data annotation. Although existing automated synthesis paradigms have alleviated this constraint, they still exhibit significant limitations in ensuring adequate diversity and difficulty of synthesized instructions."&amp;" To address these challenges, we propose Self-Foveate, an innovative LLM-driven method for instruction synthesis. This approach introduces a ""Micro-Scatter-Macro"" multi-level foveation methodology that effectively guides the LLM to deeply excavate fine-"&amp;"grained information embedded in unsupervised text, thereby enhancing both the diversity and difficulty of synthesized instructions. Comprehensive experiments across multiple unsupervised corpora and diverse model architectures validate the effectiveness a"&amp;"nd superiority of our proposed method. We publicly release our data and codes: https://github.com/Mubuky/Self-Foveate")</f>
        <v>Large language models (LLMs) with instruction following capabilities have demonstrated impressive problem-solving abilities. While synthesizing instructional data from unsupervised text has become a common approach for training such models, conventional methods rely heavily on human effort for data annotation. Although existing automated synthesis paradigms have alleviated this constraint, they still exhibit significant limitations in ensuring adequate diversity and difficulty of synthesized instructions. To address these challenges, we propose Self-Foveate, an innovative LLM-driven method for instruction synthesis. This approach introduces a "Micro-Scatter-Macro" multi-level foveation methodology that effectively guides the LLM to deeply excavate fine-grained information embedded in unsupervised text, thereby enhancing both the diversity and difficulty of synthesized instructions. Comprehensive experiments across multiple unsupervised corpora and diverse model architectures validate the effectiveness and superiority of our proposed method. We publicly release our data and codes: https://github.com/Mubuky/Self-Foveate</v>
      </c>
      <c r="D464" s="7" t="str">
        <f>IFERROR(__xludf.DUMMYFUNCTION("""COMPUTED_VALUE"""),"N/A")</f>
        <v>N/A</v>
      </c>
      <c r="E464" s="7" t="str">
        <f>IFERROR(__xludf.DUMMYFUNCTION("""COMPUTED_VALUE"""),"#N/A")</f>
        <v>#N/A</v>
      </c>
      <c r="F464" s="7" t="str">
        <f>IFERROR(__xludf.DUMMYFUNCTION("""COMPUTED_VALUE"""),"Not Pres. ")</f>
        <v>Not Pres. </v>
      </c>
      <c r="G464" s="7" t="str">
        <f>IFERROR(__xludf.DUMMYFUNCTION("""COMPUTED_VALUE"""),"NP Findings Not Presenting ")</f>
        <v>NP Findings Not Presenting </v>
      </c>
      <c r="H464" s="7"/>
      <c r="I464" s="7" t="str">
        <f>IFERROR(__xludf.DUMMYFUNCTION("""COMPUTED_VALUE"""),"NP-Find")</f>
        <v>NP-Find</v>
      </c>
      <c r="J464" s="7"/>
      <c r="K464" s="7"/>
      <c r="L464" s="8"/>
      <c r="M464" s="7"/>
      <c r="N464" s="7"/>
    </row>
    <row r="465">
      <c r="A465" s="7" t="str">
        <f>IFERROR(__xludf.DUMMYFUNCTION("""COMPUTED_VALUE"""),"1554-FIND")</f>
        <v>1554-FIND</v>
      </c>
      <c r="B465" s="7" t="str">
        <f>IFERROR(__xludf.DUMMYFUNCTION("""COMPUTED_VALUE"""),"TableDreamer: Progressive and Weakness-guided Data Synthesis from Scratch for Table Instruction Tuning")</f>
        <v>TableDreamer: Progressive and Weakness-guided Data Synthesis from Scratch for Table Instruction Tuning</v>
      </c>
      <c r="C465" s="7" t="str">
        <f>IFERROR(__xludf.DUMMYFUNCTION("""COMPUTED_VALUE"""),"Despite the commendable progress of recent LLM-based data synthesis methods, they face two limitations in generating table instruction tuning data. First, they can not thoroughly explore the vast input space of table understanding tasks, leading to limite"&amp;"d data diversity. Second, they ignore the weaknesses in table understanding ability of the target LLM and blindly pursue the increase of data quantity, resulting in suboptimal data efficiency. In this paper, we introduce a progressive and weakness-guided "&amp;"data synthesis framework tailored for table instruction tuning, named TableDreamer, to mitigate the above issues. Specifically, we first synthesize diverse tables and related instructions as seed data, and then perform an iterative exploration of the inpu"&amp;"t space under the guidance of the newly identified weakness data, which eventually serve as the final training data for fine-tuning the target LLM. Extensive experiments on 10 tabular benchmarks demonstrate the effectiveness of the proposed framework, whi"&amp;"ch boosts the average accuracy of Llama3.1-8B-instruct by 11.62% (49.07→60.69) with 27K GPT-4o synthetic data and outperforms state-of-the-art data synthesis baselines which use more training data.")</f>
        <v>Despite the commendable progress of recent LLM-based data synthesis methods, they face two limitations in generating table instruction tuning data. First, they can not thoroughly explore the vast input space of table understanding tasks, leading to limited data diversity. Second, they ignore the weaknesses in table understanding ability of the target LLM and blindly pursue the increase of data quantity, resulting in suboptimal data efficiency. In this paper, we introduce a progressive and weakness-guided data synthesis framework tailored for table instruction tuning, named TableDreamer, to mitigate the above issues. Specifically, we first synthesize diverse tables and related instructions as seed data, and then perform an iterative exploration of the input space under the guidance of the newly identified weakness data, which eventually serve as the final training data for fine-tuning the target LLM. Extensive experiments on 10 tabular benchmarks demonstrate the effectiveness of the proposed framework, which boosts the average accuracy of Llama3.1-8B-instruct by 11.62% (49.07→60.69) with 27K GPT-4o synthetic data and outperforms state-of-the-art data synthesis baselines which use more training data.</v>
      </c>
      <c r="D465" s="7" t="str">
        <f>IFERROR(__xludf.DUMMYFUNCTION("""COMPUTED_VALUE"""),"I do not plan to present.")</f>
        <v>I do not plan to present.</v>
      </c>
      <c r="E465" s="7" t="str">
        <f>IFERROR(__xludf.DUMMYFUNCTION("""COMPUTED_VALUE"""),"#N/A")</f>
        <v>#N/A</v>
      </c>
      <c r="F465" s="7" t="str">
        <f>IFERROR(__xludf.DUMMYFUNCTION("""COMPUTED_VALUE"""),"Not Pres. ")</f>
        <v>Not Pres. </v>
      </c>
      <c r="G465" s="7" t="str">
        <f>IFERROR(__xludf.DUMMYFUNCTION("""COMPUTED_VALUE"""),"NP Findings Not Presenting ")</f>
        <v>NP Findings Not Presenting </v>
      </c>
      <c r="H465" s="7"/>
      <c r="I465" s="7" t="str">
        <f>IFERROR(__xludf.DUMMYFUNCTION("""COMPUTED_VALUE"""),"NP-Find")</f>
        <v>NP-Find</v>
      </c>
      <c r="J465" s="7"/>
      <c r="K465" s="7"/>
      <c r="L465" s="8"/>
      <c r="M465" s="7"/>
      <c r="N465" s="7"/>
    </row>
    <row r="466">
      <c r="A466" s="7" t="str">
        <f>IFERROR(__xludf.DUMMYFUNCTION("""COMPUTED_VALUE"""),"1555-FIND")</f>
        <v>1555-FIND</v>
      </c>
      <c r="B466" s="7" t="str">
        <f>IFERROR(__xludf.DUMMYFUNCTION("""COMPUTED_VALUE"""),"Konooz: Multi-domain Multi-dialect Corpus for Named Entity Recognition")</f>
        <v>Konooz: Multi-domain Multi-dialect Corpus for Named Entity Recognition</v>
      </c>
      <c r="C466" s="7" t="str">
        <f>IFERROR(__xludf.DUMMYFUNCTION("""COMPUTED_VALUE"""),"We introduce , a novel multi-dimensional corpus covering 16 Arabic dialects across 10 domains, resulting in 160 distinct corpora. The corpus comprises about 777k tokens, carefully collected and manually annotated with 21 entity types using both nested and"&amp;" flat annotation schemes - using the Wojood guidelines. While is useful for various NLP tasks like domain adaptation and transfer learning, this paper primarily focuses on benchmarking existing Arabic Named Entity Recognition (NER) models, especially cros"&amp;"s-domain and cross-dialect model performance. Our benchmarking of four Arabic NER models using reveals a significant drop in performance of up to 38% when compared to the in-distribution data. Furthermore, we present an in-depth analysis of domain and dia"&amp;"lect divergence and the impact of resource scarcity. We also measured the overlap between domains and dialects using the Maximum Mean Discrepancy (MMD) metric, and illustrated why certain NER models perform better on specific dialects and domains. is open"&amp;"-source and publicly available at https://sina.birzeit.edu/wojood/#download")</f>
        <v>We introduce , a novel multi-dimensional corpus covering 16 Arabic dialects across 10 domains, resulting in 160 distinct corpora. The corpus comprises about 777k tokens, carefully collected and manually annotated with 21 entity types using both nested and flat annotation schemes - using the Wojood guidelines. While is useful for various NLP tasks like domain adaptation and transfer learning, this paper primarily focuses on benchmarking existing Arabic Named Entity Recognition (NER) models, especially cross-domain and cross-dialect model performance. Our benchmarking of four Arabic NER models using reveals a significant drop in performance of up to 38% when compared to the in-distribution data. Furthermore, we present an in-depth analysis of domain and dialect divergence and the impact of resource scarcity. We also measured the overlap between domains and dialects using the Maximum Mean Discrepancy (MMD) metric, and illustrated why certain NER models perform better on specific dialects and domains. is open-source and publicly available at https://sina.birzeit.edu/wojood/#download</v>
      </c>
      <c r="D466" s="7" t="str">
        <f>IFERROR(__xludf.DUMMYFUNCTION("""COMPUTED_VALUE"""),"Mustafa Jarrar")</f>
        <v>Mustafa Jarrar</v>
      </c>
      <c r="E466" s="7" t="str">
        <f>IFERROR(__xludf.DUMMYFUNCTION("""COMPUTED_VALUE"""),"Yes")</f>
        <v>Yes</v>
      </c>
      <c r="F466" s="7" t="str">
        <f>IFERROR(__xludf.DUMMYFUNCTION("""COMPUTED_VALUE"""),"IP-Poster")</f>
        <v>IP-Poster</v>
      </c>
      <c r="G466" s="7" t="str">
        <f>IFERROR(__xludf.DUMMYFUNCTION("""COMPUTED_VALUE"""),"In-Person")</f>
        <v>In-Person</v>
      </c>
      <c r="H466" s="7" t="str">
        <f>IFERROR(__xludf.DUMMYFUNCTION("""COMPUTED_VALUE"""),"Hall 4/5")</f>
        <v>Hall 4/5</v>
      </c>
      <c r="I466" s="7" t="str">
        <f>IFERROR(__xludf.DUMMYFUNCTION("""COMPUTED_VALUE"""),"Session 5 :IP-Posters Find ")</f>
        <v>Session 5 :IP-Posters Find </v>
      </c>
      <c r="J466" s="7" t="str">
        <f>IFERROR(__xludf.DUMMYFUNCTION("""COMPUTED_VALUE"""),"Findings Posters - In-Person 1")</f>
        <v>Findings Posters - In-Person 1</v>
      </c>
      <c r="K466" s="7"/>
      <c r="L466" s="8">
        <f>IFERROR(__xludf.DUMMYFUNCTION("""COMPUTED_VALUE"""),45866.0)</f>
        <v>45866</v>
      </c>
      <c r="M466" s="7" t="str">
        <f>IFERROR(__xludf.DUMMYFUNCTION("""COMPUTED_VALUE"""),"18:00-19:30")</f>
        <v>18:00-19:30</v>
      </c>
      <c r="N466" s="7"/>
    </row>
    <row r="467">
      <c r="A467" s="7" t="str">
        <f>IFERROR(__xludf.DUMMYFUNCTION("""COMPUTED_VALUE"""),"1557-FIND")</f>
        <v>1557-FIND</v>
      </c>
      <c r="B467" s="7" t="str">
        <f>IFERROR(__xludf.DUMMYFUNCTION("""COMPUTED_VALUE"""),"Self-Rewarding Large Vision-Language Models for Optimizing Prompts in Text-to-Image Generation")</f>
        <v>Self-Rewarding Large Vision-Language Models for Optimizing Prompts in Text-to-Image Generation</v>
      </c>
      <c r="C467" s="7" t="str">
        <f>IFERROR(__xludf.DUMMYFUNCTION("""COMPUTED_VALUE"""),"Text-to-image models are powerful for producing high-quality images based on given text prompts, but crafting these prompts often requires specialized vocabulary. To address this, existing methods train rewriting models with supervision from large amounts"&amp;" of manually annotated data and trained aesthetic assessment models. To alleviate the dependence on data scale for model training and the biases introduced by trained models, we propose a novel prompt optimization framework, designed to rephrase a simple "&amp;"user prompt into a sophisticated prompt to a text-to-image model. Specifically, we employ the large vision language models (LVLMs) as the solver to rewrite the user prompt, and concurrently, employ LVLMs as a reward model to score the aesthetics and align"&amp;"ment of the images generated by the optimized prompt. Instead of laborious human feedback, we exploit the prior knowledge of the LVLM to provide rewards, i.e., AI feedback. Simultaneously, the solver and the reward model are unified into one model and ite"&amp;"rated in reinforcement learning to achieve self-improvement by giving a solution and judging itself. Results on two popular datasets demonstrate that our method outperforms other strong competitors.")</f>
        <v>Text-to-image models are powerful for producing high-quality images based on given text prompts, but crafting these prompts often requires specialized vocabulary. To address this, existing methods train rewriting models with supervision from large amounts of manually annotated data and trained aesthetic assessment models. To alleviate the dependence on data scale for model training and the biases introduced by trained models, we propose a novel prompt optimization framework, designed to rephrase a simple user prompt into a sophisticated prompt to a text-to-image model. Specifically, we employ the large vision language models (LVLMs) as the solver to rewrite the user prompt, and concurrently, employ LVLMs as a reward model to score the aesthetics and alignment of the images generated by the optimized prompt. Instead of laborious human feedback, we exploit the prior knowledge of the LVLM to provide rewards, i.e., AI feedback. Simultaneously, the solver and the reward model are unified into one model and iterated in reinforcement learning to achieve self-improvement by giving a solution and judging itself. Results on two popular datasets demonstrate that our method outperforms other strong competitors.</v>
      </c>
      <c r="D467" s="7" t="str">
        <f>IFERROR(__xludf.DUMMYFUNCTION("""COMPUTED_VALUE"""),"Hongji Yang")</f>
        <v>Hongji Yang</v>
      </c>
      <c r="E467" s="7" t="str">
        <f>IFERROR(__xludf.DUMMYFUNCTION("""COMPUTED_VALUE"""),"Yes")</f>
        <v>Yes</v>
      </c>
      <c r="F467" s="7" t="str">
        <f>IFERROR(__xludf.DUMMYFUNCTION("""COMPUTED_VALUE"""),"IP-Poster")</f>
        <v>IP-Poster</v>
      </c>
      <c r="G467" s="7" t="str">
        <f>IFERROR(__xludf.DUMMYFUNCTION("""COMPUTED_VALUE"""),"In-Person")</f>
        <v>In-Person</v>
      </c>
      <c r="H467" s="7" t="str">
        <f>IFERROR(__xludf.DUMMYFUNCTION("""COMPUTED_VALUE"""),"Hall 4/5")</f>
        <v>Hall 4/5</v>
      </c>
      <c r="I467" s="7" t="str">
        <f>IFERROR(__xludf.DUMMYFUNCTION("""COMPUTED_VALUE"""),"Session 5 :IP-Posters Find ")</f>
        <v>Session 5 :IP-Posters Find </v>
      </c>
      <c r="J467" s="7" t="str">
        <f>IFERROR(__xludf.DUMMYFUNCTION("""COMPUTED_VALUE"""),"Findings Posters - In-Person 1")</f>
        <v>Findings Posters - In-Person 1</v>
      </c>
      <c r="K467" s="7"/>
      <c r="L467" s="8">
        <f>IFERROR(__xludf.DUMMYFUNCTION("""COMPUTED_VALUE"""),45866.0)</f>
        <v>45866</v>
      </c>
      <c r="M467" s="7" t="str">
        <f>IFERROR(__xludf.DUMMYFUNCTION("""COMPUTED_VALUE"""),"18:00-19:30")</f>
        <v>18:00-19:30</v>
      </c>
      <c r="N467" s="7"/>
    </row>
    <row r="468">
      <c r="A468" s="7" t="str">
        <f>IFERROR(__xludf.DUMMYFUNCTION("""COMPUTED_VALUE"""),"1559-FIND")</f>
        <v>1559-FIND</v>
      </c>
      <c r="B468" s="7" t="str">
        <f>IFERROR(__xludf.DUMMYFUNCTION("""COMPUTED_VALUE"""),"CodeV: Issue Resolving with Visual Data")</f>
        <v>CodeV: Issue Resolving with Visual Data</v>
      </c>
      <c r="C468" s="7" t="str">
        <f>IFERROR(__xludf.DUMMYFUNCTION("""COMPUTED_VALUE"""),"Large Language Models (LLMs) have advanced rapidly in recent years, with their applications in software engineering expanding to more complex repository-level tasks. GitHub issue resolving is a key challenge among these tasks. While recent approaches have"&amp;" made progress on this task, they focus on textual data within issues, neglecting visual data. However, this visual data is crucial for resolving issues as it conveys additional knowledge that text alone cannot. We propose CodeV, the first approach to lev"&amp;"eraging visual data to enhance the issue-resolving capabilities of LLMs. CodeV resolves each issue by following a two-phase process: data processing and patch generation. To evaluate CodeV, we construct a benchmark for visual issue resolving, namely Visua"&amp;"l SWE-bench. Through extensive experiments, we demonstrate the effectiveness of CodeV, as well as provide valuable insights into leveraging visual data to resolve GitHub issues.")</f>
        <v>Large Language Models (LLMs) have advanced rapidly in recent years, with their applications in software engineering expanding to more complex repository-level tasks. GitHub issue resolving is a key challenge among these tasks. While recent approaches have made progress on this task, they focus on textual data within issues, neglecting visual data. However, this visual data is crucial for resolving issues as it conveys additional knowledge that text alone cannot. We propose CodeV, the first approach to leveraging visual data to enhance the issue-resolving capabilities of LLMs. CodeV resolves each issue by following a two-phase process: data processing and patch generation. To evaluate CodeV, we construct a benchmark for visual issue resolving, namely Visual SWE-bench. Through extensive experiments, we demonstrate the effectiveness of CodeV, as well as provide valuable insights into leveraging visual data to resolve GitHub issues.</v>
      </c>
      <c r="D468" s="7" t="str">
        <f>IFERROR(__xludf.DUMMYFUNCTION("""COMPUTED_VALUE"""),"N/A")</f>
        <v>N/A</v>
      </c>
      <c r="E468" s="7" t="str">
        <f>IFERROR(__xludf.DUMMYFUNCTION("""COMPUTED_VALUE"""),"#N/A")</f>
        <v>#N/A</v>
      </c>
      <c r="F468" s="7" t="str">
        <f>IFERROR(__xludf.DUMMYFUNCTION("""COMPUTED_VALUE"""),"Not Pres. ")</f>
        <v>Not Pres. </v>
      </c>
      <c r="G468" s="7" t="str">
        <f>IFERROR(__xludf.DUMMYFUNCTION("""COMPUTED_VALUE"""),"NP Findings Not Presenting ")</f>
        <v>NP Findings Not Presenting </v>
      </c>
      <c r="H468" s="7"/>
      <c r="I468" s="7" t="str">
        <f>IFERROR(__xludf.DUMMYFUNCTION("""COMPUTED_VALUE"""),"NP-Find")</f>
        <v>NP-Find</v>
      </c>
      <c r="J468" s="7"/>
      <c r="K468" s="7"/>
      <c r="L468" s="8"/>
      <c r="M468" s="7"/>
      <c r="N468" s="7"/>
    </row>
    <row r="469">
      <c r="A469" s="7" t="str">
        <f>IFERROR(__xludf.DUMMYFUNCTION("""COMPUTED_VALUE"""),"1564-FIND")</f>
        <v>1564-FIND</v>
      </c>
      <c r="B469" s="7" t="str">
        <f>IFERROR(__xludf.DUMMYFUNCTION("""COMPUTED_VALUE"""),"A Survey of Large Language Models in Psychotherapy: Current Landscape and Future Directions")</f>
        <v>A Survey of Large Language Models in Psychotherapy: Current Landscape and Future Directions</v>
      </c>
      <c r="C469" s="7" t="str">
        <f>IFERROR(__xludf.DUMMYFUNCTION("""COMPUTED_VALUE"""),"Mental health remains a critical global challenge, with increasing demand for accessible, effective interventions. Large language models (LLMs) offer promising solutions in psychotherapy by enhancing the assessment, diagnosis, and treatment of mental heal"&amp;"th conditions through dynamic, context-aware interactions. This survey provides a comprehensive overview of the current landscape of LLM applications in psychotherapy, highlighting the roles of LLMs in symptom detection, severity estimation, cognitive ass"&amp;"essment, and therapeutic interventions. We present a novel conceptual taxonomy to organize the psychotherapy process into three core components: assessment, diagnosis, and treatment, and examine the challenges and advancements in each area. The survey als"&amp;"o addresses key research gaps, including linguistic biases, limited disorder coverage, and underrepresented therapeutic models. Finally, we discuss future directions to integrate LLMs into a holistic, end-to-end psychotherapy framework, addressing the evo"&amp;"lving nature of mental health conditions and fostering more inclusive, personalized care.")</f>
        <v>Mental health remains a critical global challenge, with increasing demand for accessible, effective interventions. Large language models (LLMs) offer promising solutions in psychotherapy by enhancing the assessment, diagnosis, and treatment of mental health conditions through dynamic, context-aware interactions. This survey provides a comprehensive overview of the current landscape of LLM applications in psychotherapy, highlighting the roles of LLMs in symptom detection, severity estimation, cognitive assessment, and therapeutic interventions. We present a novel conceptual taxonomy to organize the psychotherapy process into three core components: assessment, diagnosis, and treatment, and examine the challenges and advancements in each area. The survey also addresses key research gaps, including linguistic biases, limited disorder coverage, and underrepresented therapeutic models. Finally, we discuss future directions to integrate LLMs into a holistic, end-to-end psychotherapy framework, addressing the evolving nature of mental health conditions and fostering more inclusive, personalized care.</v>
      </c>
      <c r="D469" s="7" t="str">
        <f>IFERROR(__xludf.DUMMYFUNCTION("""COMPUTED_VALUE"""),"Hongbin Na")</f>
        <v>Hongbin Na</v>
      </c>
      <c r="E469" s="7" t="str">
        <f>IFERROR(__xludf.DUMMYFUNCTION("""COMPUTED_VALUE"""),"Yes")</f>
        <v>Yes</v>
      </c>
      <c r="F469" s="7" t="str">
        <f>IFERROR(__xludf.DUMMYFUNCTION("""COMPUTED_VALUE"""),"IP-Poster")</f>
        <v>IP-Poster</v>
      </c>
      <c r="G469" s="7" t="str">
        <f>IFERROR(__xludf.DUMMYFUNCTION("""COMPUTED_VALUE"""),"In-Person")</f>
        <v>In-Person</v>
      </c>
      <c r="H469" s="7" t="str">
        <f>IFERROR(__xludf.DUMMYFUNCTION("""COMPUTED_VALUE"""),"Hall 4/5")</f>
        <v>Hall 4/5</v>
      </c>
      <c r="I469" s="7" t="str">
        <f>IFERROR(__xludf.DUMMYFUNCTION("""COMPUTED_VALUE"""),"Session 5 :IP-Posters Find ")</f>
        <v>Session 5 :IP-Posters Find </v>
      </c>
      <c r="J469" s="7" t="str">
        <f>IFERROR(__xludf.DUMMYFUNCTION("""COMPUTED_VALUE"""),"Findings Posters - In-Person 1")</f>
        <v>Findings Posters - In-Person 1</v>
      </c>
      <c r="K469" s="7"/>
      <c r="L469" s="8">
        <f>IFERROR(__xludf.DUMMYFUNCTION("""COMPUTED_VALUE"""),45866.0)</f>
        <v>45866</v>
      </c>
      <c r="M469" s="7" t="str">
        <f>IFERROR(__xludf.DUMMYFUNCTION("""COMPUTED_VALUE"""),"18:00-19:30")</f>
        <v>18:00-19:30</v>
      </c>
      <c r="N469" s="7"/>
    </row>
    <row r="470">
      <c r="A470" s="7" t="str">
        <f>IFERROR(__xludf.DUMMYFUNCTION("""COMPUTED_VALUE"""),"1567-FIND")</f>
        <v>1567-FIND</v>
      </c>
      <c r="B470" s="7" t="str">
        <f>IFERROR(__xludf.DUMMYFUNCTION("""COMPUTED_VALUE"""),"Breaking the Reasoning Barrier A Survey on LLM Complex Reasoning through the Lens of Self-Evolution")</f>
        <v>Breaking the Reasoning Barrier A Survey on LLM Complex Reasoning through the Lens of Self-Evolution</v>
      </c>
      <c r="C470" s="7" t="str">
        <f>IFERROR(__xludf.DUMMYFUNCTION("""COMPUTED_VALUE"""),"The release of OpenAI's O1 and subsequent projects like DeepSeek R1 has significantly advanced research on complex reasoning in LLMs. This paper systematically analyzes existing reasoning studies from the perspective of self-evolution, structured into thr"&amp;"ee components: data evolution, model evolution, and self-evolution. Data evolution explores methods to generate higher-quality reasoning training data. Model evolution focuses on training strategies to boost reasoning capabilities. Self-evolution research"&amp;" autonomous system evolution via iterating cycles of data and model evolution. We further discuss the scaling law of self-evolution and analyze representative O1-like works through this lens. By summarizing advanced methods and outlining future directions"&amp;", this paper aims to drive advancements in LLMs' reasoning abilities.")</f>
        <v>The release of OpenAI's O1 and subsequent projects like DeepSeek R1 has significantly advanced research on complex reasoning in LLMs. This paper systematically analyzes existing reasoning studies from the perspective of self-evolution, structured into three components: data evolution, model evolution, and self-evolution. Data evolution explores methods to generate higher-quality reasoning training data. Model evolution focuses on training strategies to boost reasoning capabilities. Self-evolution research autonomous system evolution via iterating cycles of data and model evolution. We further discuss the scaling law of self-evolution and analyze representative O1-like works through this lens. By summarizing advanced methods and outlining future directions, this paper aims to drive advancements in LLMs' reasoning abilities.</v>
      </c>
      <c r="D470" s="7" t="str">
        <f>IFERROR(__xludf.DUMMYFUNCTION("""COMPUTED_VALUE"""),"Tao He")</f>
        <v>Tao He</v>
      </c>
      <c r="E470" s="7" t="str">
        <f>IFERROR(__xludf.DUMMYFUNCTION("""COMPUTED_VALUE"""),"#N/A")</f>
        <v>#N/A</v>
      </c>
      <c r="F470" s="7" t="str">
        <f>IFERROR(__xludf.DUMMYFUNCTION("""COMPUTED_VALUE"""),"Not Pres. ")</f>
        <v>Not Pres. </v>
      </c>
      <c r="G470" s="7" t="str">
        <f>IFERROR(__xludf.DUMMYFUNCTION("""COMPUTED_VALUE"""),"NP Findings Not Presenting ")</f>
        <v>NP Findings Not Presenting </v>
      </c>
      <c r="H470" s="7"/>
      <c r="I470" s="7" t="str">
        <f>IFERROR(__xludf.DUMMYFUNCTION("""COMPUTED_VALUE"""),"NP-Find")</f>
        <v>NP-Find</v>
      </c>
      <c r="J470" s="7"/>
      <c r="K470" s="7"/>
      <c r="L470" s="8"/>
      <c r="M470" s="7"/>
      <c r="N470" s="7"/>
    </row>
    <row r="471">
      <c r="A471" s="7" t="str">
        <f>IFERROR(__xludf.DUMMYFUNCTION("""COMPUTED_VALUE"""),"1568-FIND")</f>
        <v>1568-FIND</v>
      </c>
      <c r="B471" s="7" t="str">
        <f>IFERROR(__xludf.DUMMYFUNCTION("""COMPUTED_VALUE"""),"SEE: Continual Fine-tuning with Sequential Ensemble of Experts")</f>
        <v>SEE: Continual Fine-tuning with Sequential Ensemble of Experts</v>
      </c>
      <c r="C471" s="7" t="str">
        <f>IFERROR(__xludf.DUMMYFUNCTION("""COMPUTED_VALUE"""),"Continual fine-tuning of large language models (LLMs) suffers from catastrophic forgetting. Rehearsal-based methods mitigate this problem by retaining a small set of old data. Nevertheless, they still suffer inevitable performance loss. Although training "&amp;"separate experts for each task can help prevent forgetting, effectively assembling them remains a challenge. Some approaches use routers to assign tasks to experts, but in continual learning, they often require retraining for optimal performance. To addre"&amp;"ss these challenges, we introduce the Sequential Ensemble of Experts (SEE) framework. SEE removes the need for an additional router, allowing each expert to independently decide whether a query should be handled. The framework employs distributed routing,"&amp;" and during continual fine-tuning, SEE only requires the training of new experts for incoming tasks, rather than retraining the entire system. Experiments reveal that the SEE outperforms prior approaches, including multi-task learning, in continual fine-t"&amp;"uning. It also demonstrates remarkable generalization ability, as the expert can effectively identify out-of-distribution queries, which can then be directed to a more generalized model for resolution. This work highlights the promising potential of integ"&amp;"rating routing and response mechanisms within each expert, paving the way for the future of distributed model ensembling.")</f>
        <v>Continual fine-tuning of large language models (LLMs) suffers from catastrophic forgetting. Rehearsal-based methods mitigate this problem by retaining a small set of old data. Nevertheless, they still suffer inevitable performance loss. Although training separate experts for each task can help prevent forgetting, effectively assembling them remains a challenge. Some approaches use routers to assign tasks to experts, but in continual learning, they often require retraining for optimal performance. To address these challenges, we introduce the Sequential Ensemble of Experts (SEE) framework. SEE removes the need for an additional router, allowing each expert to independently decide whether a query should be handled. The framework employs distributed routing, and during continual fine-tuning, SEE only requires the training of new experts for incoming tasks, rather than retraining the entire system. Experiments reveal that the SEE outperforms prior approaches, including multi-task learning, in continual fine-tuning. It also demonstrates remarkable generalization ability, as the expert can effectively identify out-of-distribution queries, which can then be directed to a more generalized model for resolution. This work highlights the promising potential of integrating routing and response mechanisms within each expert, paving the way for the future of distributed model ensembling.</v>
      </c>
      <c r="D471" s="7" t="str">
        <f>IFERROR(__xludf.DUMMYFUNCTION("""COMPUTED_VALUE"""),"Zhilin Wang")</f>
        <v>Zhilin Wang</v>
      </c>
      <c r="E471" s="7" t="str">
        <f>IFERROR(__xludf.DUMMYFUNCTION("""COMPUTED_VALUE"""),"Yes")</f>
        <v>Yes</v>
      </c>
      <c r="F471" s="7" t="str">
        <f>IFERROR(__xludf.DUMMYFUNCTION("""COMPUTED_VALUE"""),"Not Pres. ")</f>
        <v>Not Pres. </v>
      </c>
      <c r="G471" s="7" t="str">
        <f>IFERROR(__xludf.DUMMYFUNCTION("""COMPUTED_VALUE"""),"In-Person")</f>
        <v>In-Person</v>
      </c>
      <c r="H471" s="7"/>
      <c r="I471" s="7" t="str">
        <f>IFERROR(__xludf.DUMMYFUNCTION("""COMPUTED_VALUE"""),"NP-Find")</f>
        <v>NP-Find</v>
      </c>
      <c r="J471" s="7"/>
      <c r="K471" s="7"/>
      <c r="L471" s="8"/>
      <c r="M471" s="7"/>
      <c r="N471" s="7"/>
    </row>
    <row r="472">
      <c r="A472" s="7" t="str">
        <f>IFERROR(__xludf.DUMMYFUNCTION("""COMPUTED_VALUE"""),"1573-FIND")</f>
        <v>1573-FIND</v>
      </c>
      <c r="B472" s="7" t="str">
        <f>IFERROR(__xludf.DUMMYFUNCTION("""COMPUTED_VALUE"""),"Boosting Policy and Process Reward Models with Monte Carlo Tree Search in Open-Domain QA")</f>
        <v>Boosting Policy and Process Reward Models with Monte Carlo Tree Search in Open-Domain QA</v>
      </c>
      <c r="C472" s="7" t="str">
        <f>IFERROR(__xludf.DUMMYFUNCTION("""COMPUTED_VALUE"""),"The recent introduction of OpenAI's O1/O3 model represents a significant milestone in developing strong reasoning capabilities in Large Language Models (LLMs). By introducing more computational budget during test-time, LLMs have the potential to explore m"&amp;"ore accurate and higher-quality solutions. However, such paradigms are primarily verified in domains that have well-defined criteria for responses, such as coding and mathematics. Inspired by the success of this paradigm, we aim to bridge it to more subtl"&amp;"e open-domain question answering. Specifically, we utilize search mechanisms such as Monte Carlo Tree Search (MCTS) for both policy model improvement and reward model improvement that achieve better performance in test-time scaling strategies. Our contrib"&amp;"utions are summarized in two folds: For the training phase, we demonstrate that our approach surpasses previous SOTA automatic data annotation methods and various public instruction-tuning datasets, with fewer data points. This offers a more data-efficien"&amp;"t solution for training robust models. For the inference phase, we utilize the intermediate values collected during training data construction to train a process reward model called PRM+. This model employs a novel two-stage training method to provide fin"&amp;"er-grained guidance across the generation trajectory. This introduces no additional overhead during training data collection and further enhances performance by scaling test-time computation. Experimental results show that our method can effectively impro"&amp;"ve the performance of both the policy model and the reward model.")</f>
        <v>The recent introduction of OpenAI's O1/O3 model represents a significant milestone in developing strong reasoning capabilities in Large Language Models (LLMs). By introducing more computational budget during test-time, LLMs have the potential to explore more accurate and higher-quality solutions. However, such paradigms are primarily verified in domains that have well-defined criteria for responses, such as coding and mathematics. Inspired by the success of this paradigm, we aim to bridge it to more subtle open-domain question answering. Specifically, we utilize search mechanisms such as Monte Carlo Tree Search (MCTS) for both policy model improvement and reward model improvement that achieve better performance in test-time scaling strategies. Our contributions are summarized in two folds: For the training phase, we demonstrate that our approach surpasses previous SOTA automatic data annotation methods and various public instruction-tuning datasets, with fewer data points. This offers a more data-efficient solution for training robust models. For the inference phase, we utilize the intermediate values collected during training data construction to train a process reward model called PRM+. This model employs a novel two-stage training method to provide finer-grained guidance across the generation trajectory. This introduces no additional overhead during training data collection and further enhances performance by scaling test-time computation. Experimental results show that our method can effectively improve the performance of both the policy model and the reward model.</v>
      </c>
      <c r="D472" s="7" t="str">
        <f>IFERROR(__xludf.DUMMYFUNCTION("""COMPUTED_VALUE"""),"Chi-Min Chan")</f>
        <v>Chi-Min Chan</v>
      </c>
      <c r="E472" s="7" t="str">
        <f>IFERROR(__xludf.DUMMYFUNCTION("""COMPUTED_VALUE"""),"Yes")</f>
        <v>Yes</v>
      </c>
      <c r="F472" s="7" t="str">
        <f>IFERROR(__xludf.DUMMYFUNCTION("""COMPUTED_VALUE"""),"IP-Poster")</f>
        <v>IP-Poster</v>
      </c>
      <c r="G472" s="7" t="str">
        <f>IFERROR(__xludf.DUMMYFUNCTION("""COMPUTED_VALUE"""),"In-Person")</f>
        <v>In-Person</v>
      </c>
      <c r="H472" s="7" t="str">
        <f>IFERROR(__xludf.DUMMYFUNCTION("""COMPUTED_VALUE"""),"Hall 4/5")</f>
        <v>Hall 4/5</v>
      </c>
      <c r="I472" s="7" t="str">
        <f>IFERROR(__xludf.DUMMYFUNCTION("""COMPUTED_VALUE"""),"Session 5 :IP-Posters Find ")</f>
        <v>Session 5 :IP-Posters Find </v>
      </c>
      <c r="J472" s="7" t="str">
        <f>IFERROR(__xludf.DUMMYFUNCTION("""COMPUTED_VALUE"""),"Findings Posters - In-Person 1")</f>
        <v>Findings Posters - In-Person 1</v>
      </c>
      <c r="K472" s="7"/>
      <c r="L472" s="8">
        <f>IFERROR(__xludf.DUMMYFUNCTION("""COMPUTED_VALUE"""),45866.0)</f>
        <v>45866</v>
      </c>
      <c r="M472" s="7" t="str">
        <f>IFERROR(__xludf.DUMMYFUNCTION("""COMPUTED_VALUE"""),"18:00-19:30")</f>
        <v>18:00-19:30</v>
      </c>
      <c r="N472" s="7"/>
    </row>
    <row r="473">
      <c r="A473" s="7" t="str">
        <f>IFERROR(__xludf.DUMMYFUNCTION("""COMPUTED_VALUE"""),"1575-FIND")</f>
        <v>1575-FIND</v>
      </c>
      <c r="B473" s="7" t="str">
        <f>IFERROR(__xludf.DUMMYFUNCTION("""COMPUTED_VALUE"""),"Investigating and Enhancing Vision-Audio Capability in Omnimodal Large Language Models")</f>
        <v>Investigating and Enhancing Vision-Audio Capability in Omnimodal Large Language Models</v>
      </c>
      <c r="C473" s="7" t="str">
        <f>IFERROR(__xludf.DUMMYFUNCTION("""COMPUTED_VALUE"""),"Omnimodal Large Language Models (OLLMs) have shown significant progress in integrating vision and text, but still struggle with integrating vision and audio, often exhibiting suboptimal performance when processing audio queries compared to text queries. T"&amp;"his disparity is primarily due to insufficient alignment between vision and audio modalities during training, leading to inadequate attention to visual information when using audio queries. To mitigate this issue, we propose a Self-Knowledge Distillation "&amp;"(Self-KD) training method where the vision-text component of the OLLM serves as the teacher and the vision-audio component as the student. This enables the model to process audio in a manner analogous to its text processing. Our experimental results demon"&amp;"strate that Self-KD is an effective method for enhancing the vision-audio capabilities of OLLMs by learning from the vision-text components, which subsequently improves the interaction between audio and images and results in improved performance on multim"&amp;"odal tasks.")</f>
        <v>Omnimodal Large Language Models (OLLMs) have shown significant progress in integrating vision and text, but still struggle with integrating vision and audio, often exhibiting suboptimal performance when processing audio queries compared to text queries. This disparity is primarily due to insufficient alignment between vision and audio modalities during training, leading to inadequate attention to visual information when using audio queries. To mitigate this issue, we propose a Self-Knowledge Distillation (Self-KD) training method where the vision-text component of the OLLM serves as the teacher and the vision-audio component as the student. This enables the model to process audio in a manner analogous to its text processing. Our experimental results demonstrate that Self-KD is an effective method for enhancing the vision-audio capabilities of OLLMs by learning from the vision-text components, which subsequently improves the interaction between audio and images and results in improved performance on multimodal tasks.</v>
      </c>
      <c r="D473" s="7" t="str">
        <f>IFERROR(__xludf.DUMMYFUNCTION("""COMPUTED_VALUE"""),"N/A")</f>
        <v>N/A</v>
      </c>
      <c r="E473" s="7" t="str">
        <f>IFERROR(__xludf.DUMMYFUNCTION("""COMPUTED_VALUE"""),"#N/A")</f>
        <v>#N/A</v>
      </c>
      <c r="F473" s="7" t="str">
        <f>IFERROR(__xludf.DUMMYFUNCTION("""COMPUTED_VALUE"""),"Not Pres. ")</f>
        <v>Not Pres. </v>
      </c>
      <c r="G473" s="7" t="str">
        <f>IFERROR(__xludf.DUMMYFUNCTION("""COMPUTED_VALUE"""),"NP Findings Not Presenting ")</f>
        <v>NP Findings Not Presenting </v>
      </c>
      <c r="H473" s="7"/>
      <c r="I473" s="7" t="str">
        <f>IFERROR(__xludf.DUMMYFUNCTION("""COMPUTED_VALUE"""),"NP-Find")</f>
        <v>NP-Find</v>
      </c>
      <c r="J473" s="7"/>
      <c r="K473" s="7"/>
      <c r="L473" s="8"/>
      <c r="M473" s="7"/>
      <c r="N473" s="7"/>
    </row>
    <row r="474">
      <c r="A474" s="7" t="str">
        <f>IFERROR(__xludf.DUMMYFUNCTION("""COMPUTED_VALUE"""),"1587-FIND")</f>
        <v>1587-FIND</v>
      </c>
      <c r="B474" s="7" t="str">
        <f>IFERROR(__xludf.DUMMYFUNCTION("""COMPUTED_VALUE"""),"OpenHuEval: Evaluating Large Language Model on Hungarian Specifics")</f>
        <v>OpenHuEval: Evaluating Large Language Model on Hungarian Specifics</v>
      </c>
      <c r="C474" s="7" t="str">
        <f>IFERROR(__xludf.DUMMYFUNCTION("""COMPUTED_VALUE"""),"We introduce OpenHuEval, the first benchmark designed for comprehensive evaluation of large language models (LLMs) in the context of the Hungarian language and specifics. OpenHuEval incorporates the latest design principles for evaluating LLMs, such as us"&amp;"ing real user queries from the internet, emphasizing the assessment of LLMs’ generative capabilities, and employing LLM-as-judge to enhance the multidimensionality and accuracy of evaluations. We evaluated current mainstream LLMs, including both tradition"&amp;"al LLMs and recently developed Large Reasoning Models. The results demonstrate a significant necessity for evaluation and model optimization tailored to the Hungarian language and specifics. We also conducted a detailed analysis of the reasoning process o"&amp;"f LRMs on OpenHuEval, revealing the intrinsic patterns and mechanisms of these models in non-English languages, with Hungarian serving as a representative example. We 
will release OpenHuEval on GitHub.")</f>
        <v>We introduce OpenHuEval, the first benchmark designed for comprehensive evaluation of large language models (LLMs) in the context of the Hungarian language and specifics. OpenHuEval incorporates the latest design principles for evaluating LLMs, such as using real user queries from the internet, emphasizing the assessment of LLMs’ generative capabilities, and employing LLM-as-judge to enhance the multidimensionality and accuracy of evaluations. We evaluated current mainstream LLMs, including both traditional LLMs and recently developed Large Reasoning Models. The results demonstrate a significant necessity for evaluation and model optimization tailored to the Hungarian language and specifics. We also conducted a detailed analysis of the reasoning process of LRMs on OpenHuEval, revealing the intrinsic patterns and mechanisms of these models in non-English languages, with Hungarian serving as a representative example. We 
will release OpenHuEval on GitHub.</v>
      </c>
      <c r="D474" s="7" t="str">
        <f>IFERROR(__xludf.DUMMYFUNCTION("""COMPUTED_VALUE"""),"Xingjian Wei")</f>
        <v>Xingjian Wei</v>
      </c>
      <c r="E474" s="7" t="str">
        <f>IFERROR(__xludf.DUMMYFUNCTION("""COMPUTED_VALUE"""),"Yes")</f>
        <v>Yes</v>
      </c>
      <c r="F474" s="7" t="str">
        <f>IFERROR(__xludf.DUMMYFUNCTION("""COMPUTED_VALUE"""),"IP-Poster")</f>
        <v>IP-Poster</v>
      </c>
      <c r="G474" s="7" t="str">
        <f>IFERROR(__xludf.DUMMYFUNCTION("""COMPUTED_VALUE"""),"In-Person")</f>
        <v>In-Person</v>
      </c>
      <c r="H474" s="7" t="str">
        <f>IFERROR(__xludf.DUMMYFUNCTION("""COMPUTED_VALUE"""),"Hall 4/5")</f>
        <v>Hall 4/5</v>
      </c>
      <c r="I474" s="7" t="str">
        <f>IFERROR(__xludf.DUMMYFUNCTION("""COMPUTED_VALUE"""),"Session 5 :IP-Posters Find ")</f>
        <v>Session 5 :IP-Posters Find </v>
      </c>
      <c r="J474" s="7" t="str">
        <f>IFERROR(__xludf.DUMMYFUNCTION("""COMPUTED_VALUE"""),"Findings Posters - In-Person 1")</f>
        <v>Findings Posters - In-Person 1</v>
      </c>
      <c r="K474" s="7"/>
      <c r="L474" s="8">
        <f>IFERROR(__xludf.DUMMYFUNCTION("""COMPUTED_VALUE"""),45866.0)</f>
        <v>45866</v>
      </c>
      <c r="M474" s="7" t="str">
        <f>IFERROR(__xludf.DUMMYFUNCTION("""COMPUTED_VALUE"""),"18:00-19:30")</f>
        <v>18:00-19:30</v>
      </c>
      <c r="N474" s="7"/>
    </row>
    <row r="475">
      <c r="A475" s="7" t="str">
        <f>IFERROR(__xludf.DUMMYFUNCTION("""COMPUTED_VALUE"""),"1588-FIND")</f>
        <v>1588-FIND</v>
      </c>
      <c r="B475" s="7" t="str">
        <f>IFERROR(__xludf.DUMMYFUNCTION("""COMPUTED_VALUE"""),"StructFact: Reasoning Factual Knowledge from Structured Data with Large Language Models")</f>
        <v>StructFact: Reasoning Factual Knowledge from Structured Data with Large Language Models</v>
      </c>
      <c r="C475" s="7" t="str">
        <f>IFERROR(__xludf.DUMMYFUNCTION("""COMPUTED_VALUE"""),"Large language models (LLMs) have made significant strides in natural language processing by leveraging their ability to comprehend and reason with factual knowledge. However, a significant amount of factual knowledge is stored in structured data, which h"&amp;"as unique characteristics not typically encountered in the unstructured texts used for pretraining LLMs. To evaluate the capability of LLMs in handling facts structurally stored, we introduce a benchmark called StructFact, which includes meticulously anno"&amp;"tated factual questions, spanning five tasks that reflect the intrinsic properties of structured data. This benchmark aims to delineate the strengths and limitations of LLMs in reasoning with structured data for knowledge-intensive tasks in practical appl"&amp;"ications. Extensive experiments conducted on 10 common LLMs have yielded several insights, one notable finding being that these models struggle significantly with the heterogeneity of structured data during reasoning.")</f>
        <v>Large language models (LLMs) have made significant strides in natural language processing by leveraging their ability to comprehend and reason with factual knowledge. However, a significant amount of factual knowledge is stored in structured data, which has unique characteristics not typically encountered in the unstructured texts used for pretraining LLMs. To evaluate the capability of LLMs in handling facts structurally stored, we introduce a benchmark called StructFact, which includes meticulously annotated factual questions, spanning five tasks that reflect the intrinsic properties of structured data. This benchmark aims to delineate the strengths and limitations of LLMs in reasoning with structured data for knowledge-intensive tasks in practical applications. Extensive experiments conducted on 10 common LLMs have yielded several insights, one notable finding being that these models struggle significantly with the heterogeneity of structured data during reasoning.</v>
      </c>
      <c r="D475" s="7" t="str">
        <f>IFERROR(__xludf.DUMMYFUNCTION("""COMPUTED_VALUE"""),"Sirui Huang")</f>
        <v>Sirui Huang</v>
      </c>
      <c r="E475" s="7" t="str">
        <f>IFERROR(__xludf.DUMMYFUNCTION("""COMPUTED_VALUE"""),"#N/A")</f>
        <v>#N/A</v>
      </c>
      <c r="F475" s="7" t="str">
        <f>IFERROR(__xludf.DUMMYFUNCTION("""COMPUTED_VALUE"""),"Not Pres. ")</f>
        <v>Not Pres. </v>
      </c>
      <c r="G475" s="7" t="str">
        <f>IFERROR(__xludf.DUMMYFUNCTION("""COMPUTED_VALUE"""),"NP Findings Not Presenting ")</f>
        <v>NP Findings Not Presenting </v>
      </c>
      <c r="H475" s="7"/>
      <c r="I475" s="7" t="str">
        <f>IFERROR(__xludf.DUMMYFUNCTION("""COMPUTED_VALUE"""),"NP-Find")</f>
        <v>NP-Find</v>
      </c>
      <c r="J475" s="7"/>
      <c r="K475" s="7"/>
      <c r="L475" s="8"/>
      <c r="M475" s="7"/>
      <c r="N475" s="7"/>
    </row>
    <row r="476">
      <c r="A476" s="7" t="str">
        <f>IFERROR(__xludf.DUMMYFUNCTION("""COMPUTED_VALUE"""),"1594-FIND")</f>
        <v>1594-FIND</v>
      </c>
      <c r="B476" s="7" t="str">
        <f>IFERROR(__xludf.DUMMYFUNCTION("""COMPUTED_VALUE"""),"From Imitation to Introspection: Probing Self-Consciousness in Language Models")</f>
        <v>From Imitation to Introspection: Probing Self-Consciousness in Language Models</v>
      </c>
      <c r="C476" s="7" t="str">
        <f>IFERROR(__xludf.DUMMYFUNCTION("""COMPUTED_VALUE"""),"Self-consciousness, the introspection of one's existence and thoughts, represents a high-level cognitive process. As language models advance at an unprecedented pace, a critical question arises: Are these models becoming self-conscious? Drawing upon insig"&amp;"hts from psychological and neural science, this work presents a practical definition of self-consciousness for language models and refines ten core concepts. Our work pioneers an investigation into self-consciousness in language models by, for the first t"&amp;"ime, leveraging structural causal games to establish the functional definitions of the ten core concepts. Based on our definitions, we conduct a comprehensive four-stage experiment: quantification (evaluation of ten leading models), representation (visual"&amp;"ization of self-consciousness within the models), manipulation (modification of the models' representation), and acquisition (fine-tuning the models on core concepts). Our findings indicate that although models are in the early stages of developing self-c"&amp;"onsciousness, there is a discernible representation of certain concepts within their internal mechanisms. However, these representations of self-consciousness are hard to manipulate positively at the current stage, yet they can be acquired through targete"&amp;"d fine-tuning.")</f>
        <v>Self-consciousness, the introspection of one's existence and thoughts, represents a high-level cognitive process. As language models advance at an unprecedented pace, a critical question arises: Are these models becoming self-conscious? Drawing upon insights from psychological and neural science, this work presents a practical definition of self-consciousness for language models and refines ten core concepts. Our work pioneers an investigation into self-consciousness in language models by, for the first time, leveraging structural causal games to establish the functional definitions of the ten core concepts. Based on our definitions, we conduct a comprehensive four-stage experiment: quantification (evaluation of ten leading models), representation (visualization of self-consciousness within the models), manipulation (modification of the models' representation), and acquisition (fine-tuning the models on core concepts). Our findings indicate that although models are in the early stages of developing self-consciousness, there is a discernible representation of certain concepts within their internal mechanisms. However, these representations of self-consciousness are hard to manipulate positively at the current stage, yet they can be acquired through targeted fine-tuning.</v>
      </c>
      <c r="D476" s="7" t="str">
        <f>IFERROR(__xludf.DUMMYFUNCTION("""COMPUTED_VALUE"""),"Sirui Chen")</f>
        <v>Sirui Chen</v>
      </c>
      <c r="E476" s="7" t="str">
        <f>IFERROR(__xludf.DUMMYFUNCTION("""COMPUTED_VALUE"""),"Yes")</f>
        <v>Yes</v>
      </c>
      <c r="F476" s="7" t="str">
        <f>IFERROR(__xludf.DUMMYFUNCTION("""COMPUTED_VALUE"""),"IP-Poster")</f>
        <v>IP-Poster</v>
      </c>
      <c r="G476" s="7" t="str">
        <f>IFERROR(__xludf.DUMMYFUNCTION("""COMPUTED_VALUE"""),"In-Person")</f>
        <v>In-Person</v>
      </c>
      <c r="H476" s="7" t="str">
        <f>IFERROR(__xludf.DUMMYFUNCTION("""COMPUTED_VALUE"""),"Hall 4/5")</f>
        <v>Hall 4/5</v>
      </c>
      <c r="I476" s="7" t="str">
        <f>IFERROR(__xludf.DUMMYFUNCTION("""COMPUTED_VALUE"""),"Session 5 :IP-Posters Find ")</f>
        <v>Session 5 :IP-Posters Find </v>
      </c>
      <c r="J476" s="7" t="str">
        <f>IFERROR(__xludf.DUMMYFUNCTION("""COMPUTED_VALUE"""),"Findings Posters - In-Person 1")</f>
        <v>Findings Posters - In-Person 1</v>
      </c>
      <c r="K476" s="7"/>
      <c r="L476" s="8">
        <f>IFERROR(__xludf.DUMMYFUNCTION("""COMPUTED_VALUE"""),45866.0)</f>
        <v>45866</v>
      </c>
      <c r="M476" s="7" t="str">
        <f>IFERROR(__xludf.DUMMYFUNCTION("""COMPUTED_VALUE"""),"18:00-19:30")</f>
        <v>18:00-19:30</v>
      </c>
      <c r="N476" s="7"/>
    </row>
    <row r="477">
      <c r="A477" s="7" t="str">
        <f>IFERROR(__xludf.DUMMYFUNCTION("""COMPUTED_VALUE"""),"1595-FIND")</f>
        <v>1595-FIND</v>
      </c>
      <c r="B477" s="7" t="str">
        <f>IFERROR(__xludf.DUMMYFUNCTION("""COMPUTED_VALUE"""),"DocFusion: A Unified Framework for Document Parsing Tasks")</f>
        <v>DocFusion: A Unified Framework for Document Parsing Tasks</v>
      </c>
      <c r="C477" s="7" t="str">
        <f>IFERROR(__xludf.DUMMYFUNCTION("""COMPUTED_VALUE"""),"Document parsing involves layout element detection and recognition, essential for extracting information. However, existing methods often employ multiple models for these tasks, leading to increased system complexity and maintenance overhead. While some m"&amp;"odels attempt to unify detection and recognition, they often fail to address the intrinsic differences in data representations, thereby limiting performance in document processing. Our research reveals that recognition relies on discrete tokens, whereas d"&amp;"etection relies on continuous coordinates, leading to challenges in gradient updates and optimization. To bridge this gap, we propose the Gaussian-Kernel Cross-Entropy Loss (GK-CEL), enabling generative frameworks to handle both tasks simultaneously. Buil"&amp;"ding upon GK-CEL, we propose DocFusion, a unified document parsing model with only 0.28B parameters. Additionally, we construct the DocLatex-1.6M dataset to provide high-quality training support. Experimental results show that DocFusion, equipped with GK-"&amp;"CEL, performs competitively across four core document parsing tasks, validating the effectiveness of our unified approach.")</f>
        <v>Document parsing involves layout element detection and recognition, essential for extracting information. However, existing methods often employ multiple models for these tasks, leading to increased system complexity and maintenance overhead. While some models attempt to unify detection and recognition, they often fail to address the intrinsic differences in data representations, thereby limiting performance in document processing. Our research reveals that recognition relies on discrete tokens, whereas detection relies on continuous coordinates, leading to challenges in gradient updates and optimization. To bridge this gap, we propose the Gaussian-Kernel Cross-Entropy Loss (GK-CEL), enabling generative frameworks to handle both tasks simultaneously. Building upon GK-CEL, we propose DocFusion, a unified document parsing model with only 0.28B parameters. Additionally, we construct the DocLatex-1.6M dataset to provide high-quality training support. Experimental results show that DocFusion, equipped with GK-CEL, performs competitively across four core document parsing tasks, validating the effectiveness of our unified approach.</v>
      </c>
      <c r="D477" s="7" t="str">
        <f>IFERROR(__xludf.DUMMYFUNCTION("""COMPUTED_VALUE"""),"Mingxu Chai")</f>
        <v>Mingxu Chai</v>
      </c>
      <c r="E477" s="7" t="str">
        <f>IFERROR(__xludf.DUMMYFUNCTION("""COMPUTED_VALUE"""),"#N/A")</f>
        <v>#N/A</v>
      </c>
      <c r="F477" s="7" t="str">
        <f>IFERROR(__xludf.DUMMYFUNCTION("""COMPUTED_VALUE"""),"Not Pres. ")</f>
        <v>Not Pres. </v>
      </c>
      <c r="G477" s="7" t="str">
        <f>IFERROR(__xludf.DUMMYFUNCTION("""COMPUTED_VALUE"""),"NP Findings Not Presenting ")</f>
        <v>NP Findings Not Presenting </v>
      </c>
      <c r="H477" s="7"/>
      <c r="I477" s="7" t="str">
        <f>IFERROR(__xludf.DUMMYFUNCTION("""COMPUTED_VALUE"""),"NP-Find")</f>
        <v>NP-Find</v>
      </c>
      <c r="J477" s="7"/>
      <c r="K477" s="7"/>
      <c r="L477" s="8"/>
      <c r="M477" s="7"/>
      <c r="N477" s="7"/>
    </row>
    <row r="478">
      <c r="A478" s="7" t="str">
        <f>IFERROR(__xludf.DUMMYFUNCTION("""COMPUTED_VALUE"""),"1600-FIND")</f>
        <v>1600-FIND</v>
      </c>
      <c r="B478" s="7" t="str">
        <f>IFERROR(__xludf.DUMMYFUNCTION("""COMPUTED_VALUE"""),"Hierarchical Safety Realignment: Lightweight Restoration of Safety in Pruned Large Vision-Language Models")</f>
        <v>Hierarchical Safety Realignment: Lightweight Restoration of Safety in Pruned Large Vision-Language Models</v>
      </c>
      <c r="C478" s="7" t="str">
        <f>IFERROR(__xludf.DUMMYFUNCTION("""COMPUTED_VALUE"""),"With the increasing size of Large Vision-Language Models (LVLMs), network pruning techniques aimed at compressing models for deployment in resource-constrained environments have garnered significant attention. However, we observe that pruning often leads "&amp;"to a degradation in safety performance. To address this issue, we present a novel and lightweight approach, termed Hierarchical Safety Realignment (HSR). HSR operates by first quantifying the contribution of each attention head to safety, identifying the "&amp;"most critical ones, and then selectively restoring neurons directly within these attention heads that play a pivotal role in maintaining safety. This process hierarchically realigns the safety of pruned LVLMs, progressing from the attention head level to "&amp;"the neuron level. We validate HSR across various models and pruning strategies, consistently achieving notable improvements in safety performance. To our knowledge, this is the first work explicitly focused on restoring safety in LVLMs post-pruning.")</f>
        <v>With the increasing size of Large Vision-Language Models (LVLMs), network pruning techniques aimed at compressing models for deployment in resource-constrained environments have garnered significant attention. However, we observe that pruning often leads to a degradation in safety performance. To address this issue, we present a novel and lightweight approach, termed Hierarchical Safety Realignment (HSR). HSR operates by first quantifying the contribution of each attention head to safety, identifying the most critical ones, and then selectively restoring neurons directly within these attention heads that play a pivotal role in maintaining safety. This process hierarchically realigns the safety of pruned LVLMs, progressing from the attention head level to the neuron level. We validate HSR across various models and pruning strategies, consistently achieving notable improvements in safety performance. To our knowledge, this is the first work explicitly focused on restoring safety in LVLMs post-pruning.</v>
      </c>
      <c r="D478" s="7" t="str">
        <f>IFERROR(__xludf.DUMMYFUNCTION("""COMPUTED_VALUE"""),"N/A")</f>
        <v>N/A</v>
      </c>
      <c r="E478" s="7" t="str">
        <f>IFERROR(__xludf.DUMMYFUNCTION("""COMPUTED_VALUE"""),"Yes")</f>
        <v>Yes</v>
      </c>
      <c r="F478" s="7" t="str">
        <f>IFERROR(__xludf.DUMMYFUNCTION("""COMPUTED_VALUE"""),"IP-Poster")</f>
        <v>IP-Poster</v>
      </c>
      <c r="G478" s="7" t="str">
        <f>IFERROR(__xludf.DUMMYFUNCTION("""COMPUTED_VALUE"""),"In-Person")</f>
        <v>In-Person</v>
      </c>
      <c r="H478" s="7" t="str">
        <f>IFERROR(__xludf.DUMMYFUNCTION("""COMPUTED_VALUE"""),"Hall 4/5")</f>
        <v>Hall 4/5</v>
      </c>
      <c r="I478" s="7" t="str">
        <f>IFERROR(__xludf.DUMMYFUNCTION("""COMPUTED_VALUE"""),"Session 5 :IP-Posters Find ")</f>
        <v>Session 5 :IP-Posters Find </v>
      </c>
      <c r="J478" s="7" t="str">
        <f>IFERROR(__xludf.DUMMYFUNCTION("""COMPUTED_VALUE"""),"Findings Posters - In-Person 1")</f>
        <v>Findings Posters - In-Person 1</v>
      </c>
      <c r="K478" s="7"/>
      <c r="L478" s="8">
        <f>IFERROR(__xludf.DUMMYFUNCTION("""COMPUTED_VALUE"""),45866.0)</f>
        <v>45866</v>
      </c>
      <c r="M478" s="7" t="str">
        <f>IFERROR(__xludf.DUMMYFUNCTION("""COMPUTED_VALUE"""),"18:00-19:30")</f>
        <v>18:00-19:30</v>
      </c>
      <c r="N478" s="7"/>
    </row>
    <row r="479">
      <c r="A479" s="7" t="str">
        <f>IFERROR(__xludf.DUMMYFUNCTION("""COMPUTED_VALUE"""),"1604-FIND")</f>
        <v>1604-FIND</v>
      </c>
      <c r="B479" s="7" t="str">
        <f>IFERROR(__xludf.DUMMYFUNCTION("""COMPUTED_VALUE"""),"LongDPO: Unlock Better Long-form Generation Abilities for LLMs via Critique-augmented Stepwise Information")</f>
        <v>LongDPO: Unlock Better Long-form Generation Abilities for LLMs via Critique-augmented Stepwise Information</v>
      </c>
      <c r="C479" s="7" t="str">
        <f>IFERROR(__xludf.DUMMYFUNCTION("""COMPUTED_VALUE"""),"Recent advancements in large language models (LLMs) have markedly improved their capacity to handle long text inputs; however, current models, including GPT-4o, still exhibit unsatisfactory performance in long-form generation. Generating high-quality long"&amp;"-form content still remains a significant challenge. In this paper, we present LongDPO, a novel approach designed to enhance long-form text generation through step-level supervision. By leveraging Monte Carlo Tree Search (MCTS) to collect stepwise prefere"&amp;"nce pairs and employing a global memory pool to maintain factual accuracy, LongDPO effectively mitigates issues such as inconsistencies that are prevalent in long-context LLMs. Furthermore, we integrate critique-augmented generation to refine the selected"&amp;" preference pairs. Following the collection of stepwise preference pairs, we apply stepwise preference learning for fine-grained optimization. Experimental results demonstrate that our method enhances performance on long-form generation benchmarks (e.g. L"&amp;"ongBench-Write) while maintaining nearly lossless performance on several general benchmarks.")</f>
        <v>Recent advancements in large language models (LLMs) have markedly improved their capacity to handle long text inputs; however, current models, including GPT-4o, still exhibit unsatisfactory performance in long-form generation. Generating high-quality long-form content still remains a significant challenge. In this paper, we present LongDPO, a novel approach designed to enhance long-form text generation through step-level supervision. By leveraging Monte Carlo Tree Search (MCTS) to collect stepwise preference pairs and employing a global memory pool to maintain factual accuracy, LongDPO effectively mitigates issues such as inconsistencies that are prevalent in long-context LLMs. Furthermore, we integrate critique-augmented generation to refine the selected preference pairs. Following the collection of stepwise preference pairs, we apply stepwise preference learning for fine-grained optimization. Experimental results demonstrate that our method enhances performance on long-form generation benchmarks (e.g. LongBench-Write) while maintaining nearly lossless performance on several general benchmarks.</v>
      </c>
      <c r="D479" s="7" t="str">
        <f>IFERROR(__xludf.DUMMYFUNCTION("""COMPUTED_VALUE"""),"Bowen Ping")</f>
        <v>Bowen Ping</v>
      </c>
      <c r="E479" s="7" t="str">
        <f>IFERROR(__xludf.DUMMYFUNCTION("""COMPUTED_VALUE"""),"Yes")</f>
        <v>Yes</v>
      </c>
      <c r="F479" s="7" t="str">
        <f>IFERROR(__xludf.DUMMYFUNCTION("""COMPUTED_VALUE"""),"V-Presentation")</f>
        <v>V-Presentation</v>
      </c>
      <c r="G479" s="7" t="str">
        <f>IFERROR(__xludf.DUMMYFUNCTION("""COMPUTED_VALUE"""),"Virtual/Gather")</f>
        <v>Virtual/Gather</v>
      </c>
      <c r="H479" s="7" t="str">
        <f>IFERROR(__xludf.DUMMYFUNCTION("""COMPUTED_VALUE"""),"Gather")</f>
        <v>Gather</v>
      </c>
      <c r="I479" s="7" t="str">
        <f>IFERROR(__xludf.DUMMYFUNCTION("""COMPUTED_VALUE"""),"Session5: V-Gather Find")</f>
        <v>Session5: V-Gather Find</v>
      </c>
      <c r="J479" s="7" t="str">
        <f>IFERROR(__xludf.DUMMYFUNCTION("""COMPUTED_VALUE"""),"Findings Posters - Virtual")</f>
        <v>Findings Posters - Virtual</v>
      </c>
      <c r="K479" s="7"/>
      <c r="L479" s="8">
        <f>IFERROR(__xludf.DUMMYFUNCTION("""COMPUTED_VALUE"""),45866.0)</f>
        <v>45866</v>
      </c>
      <c r="M479" s="7" t="str">
        <f>IFERROR(__xludf.DUMMYFUNCTION("""COMPUTED_VALUE"""),"18:00-19:30")</f>
        <v>18:00-19:30</v>
      </c>
      <c r="N479" s="7"/>
    </row>
    <row r="480">
      <c r="A480" s="7" t="str">
        <f>IFERROR(__xludf.DUMMYFUNCTION("""COMPUTED_VALUE"""),"1614-FIND")</f>
        <v>1614-FIND</v>
      </c>
      <c r="B480" s="7" t="str">
        <f>IFERROR(__xludf.DUMMYFUNCTION("""COMPUTED_VALUE"""),"Reinforcing Compositional Retrieval: Retrieving Step-by-Step for Composing Informative Contexts")</f>
        <v>Reinforcing Compositional Retrieval: Retrieving Step-by-Step for Composing Informative Contexts</v>
      </c>
      <c r="C480" s="7" t="str">
        <f>IFERROR(__xludf.DUMMYFUNCTION("""COMPUTED_VALUE"""),"Large Language Models (LLMs) have demonstrated remarkable capabilities across numerous tasks, yet they often rely on external context to handle complex tasks. While retrieval-augmented frameworks traditionally focus on selecting top-ranked documents in a "&amp;"single pass, many real-world scenarios demand compositional retrieval, where multiple sources must be combined in a coordinated manner. In this work, we propose a tri-encoder sequential retriever that models this process as a Markov Decision Process (MDP)"&amp;", decomposing the probability of retrieving a set of elements into a sequence of conditional probabilities and allowing each retrieval step to be conditioned on previously selected examples. We train the retriever in two stages: first, we efficiently cons"&amp;"truct supervised sequential data for initial policy training; we then refine the policy to align with the LLM's preferences using a reward grounded in the structural correspondence of generated programs. Experimental results show that our method consisten"&amp;"tly and significantly outperforms baselines, underscoring the importance of explicitly modeling inter-example dependencies. These findings highlight the potential of compositional retrieval for tasks requiring multiple pieces of evidence or examples.")</f>
        <v>Large Language Models (LLMs) have demonstrated remarkable capabilities across numerous tasks, yet they often rely on external context to handle complex tasks. While retrieval-augmented frameworks traditionally focus on selecting top-ranked documents in a single pass, many real-world scenarios demand compositional retrieval, where multiple sources must be combined in a coordinated manner. In this work, we propose a tri-encoder sequential retriever that models this process as a Markov Decision Process (MDP), decomposing the probability of retrieving a set of elements into a sequence of conditional probabilities and allowing each retrieval step to be conditioned on previously selected examples. We train the retriever in two stages: first, we efficiently construct supervised sequential data for initial policy training; we then refine the policy to align with the LLM's preferences using a reward grounded in the structural correspondence of generated programs. Experimental results show that our method consistently and significantly outperforms baselines, underscoring the importance of explicitly modeling inter-example dependencies. These findings highlight the potential of compositional retrieval for tasks requiring multiple pieces of evidence or examples.</v>
      </c>
      <c r="D480" s="7" t="str">
        <f>IFERROR(__xludf.DUMMYFUNCTION("""COMPUTED_VALUE"""),"Quanyu Long")</f>
        <v>Quanyu Long</v>
      </c>
      <c r="E480" s="7" t="str">
        <f>IFERROR(__xludf.DUMMYFUNCTION("""COMPUTED_VALUE"""),"Yes")</f>
        <v>Yes</v>
      </c>
      <c r="F480" s="7" t="str">
        <f>IFERROR(__xludf.DUMMYFUNCTION("""COMPUTED_VALUE"""),"IP-Poster")</f>
        <v>IP-Poster</v>
      </c>
      <c r="G480" s="7" t="str">
        <f>IFERROR(__xludf.DUMMYFUNCTION("""COMPUTED_VALUE"""),"In-Person")</f>
        <v>In-Person</v>
      </c>
      <c r="H480" s="7" t="str">
        <f>IFERROR(__xludf.DUMMYFUNCTION("""COMPUTED_VALUE"""),"Hall 4/5")</f>
        <v>Hall 4/5</v>
      </c>
      <c r="I480" s="7" t="str">
        <f>IFERROR(__xludf.DUMMYFUNCTION("""COMPUTED_VALUE"""),"Session 10: IP-Posters")</f>
        <v>Session 10: IP-Posters</v>
      </c>
      <c r="J480" s="7" t="str">
        <f>IFERROR(__xludf.DUMMYFUNCTION("""COMPUTED_VALUE"""),"Findings Posters - In-Person 3")</f>
        <v>Findings Posters - In-Person 3</v>
      </c>
      <c r="K480" s="7"/>
      <c r="L480" s="8">
        <f>IFERROR(__xludf.DUMMYFUNCTION("""COMPUTED_VALUE"""),45867.0)</f>
        <v>45867</v>
      </c>
      <c r="M480" s="7" t="str">
        <f>IFERROR(__xludf.DUMMYFUNCTION("""COMPUTED_VALUE"""),"16:00-17:30")</f>
        <v>16:00-17:30</v>
      </c>
      <c r="N480" s="7"/>
    </row>
    <row r="481">
      <c r="A481" s="7" t="str">
        <f>IFERROR(__xludf.DUMMYFUNCTION("""COMPUTED_VALUE"""),"1615-FIND")</f>
        <v>1615-FIND</v>
      </c>
      <c r="B481" s="7" t="str">
        <f>IFERROR(__xludf.DUMMYFUNCTION("""COMPUTED_VALUE"""),"Towards A Better Initial Policy Model For Scalable Long-CoT Reinforcement Learning")</f>
        <v>Towards A Better Initial Policy Model For Scalable Long-CoT Reinforcement Learning</v>
      </c>
      <c r="C481" s="7" t="str">
        <f>IFERROR(__xludf.DUMMYFUNCTION("""COMPUTED_VALUE"""),"Long-CoT reasoning combined with reinforcement learning for large language models demonstrates remarkable performance and scalability. However, we observe that the initial policy model could significantly influence the final performance as well as the tok"&amp;"en efficiency. Additionally, there is a lack of systematic guidelines for obtaining a better initial policy model. To bridge this gap, we initiate a comprehensive investigation by activating the initial model using a variety of datasets with different dat"&amp;"a volumes and reasoning patterns. Then, we conduct a thorough analysis and comparison of the RL process for different initial models from the perspectives of upper bounds, diversity, and token efficiency, providing a deeper understanding and insight into "&amp;"the long-CoT RL. Based on our empirical results, we propose a systematic guideline and a novel Re-RFT method for constructing a better RL start point. Our experiment results based on the 14B model surpass the DeepSeek-R1-Distill-Qwen-14B by an average of "&amp;"4.6%, demonstrating our approach's effectiveness and superiority.")</f>
        <v>Long-CoT reasoning combined with reinforcement learning for large language models demonstrates remarkable performance and scalability. However, we observe that the initial policy model could significantly influence the final performance as well as the token efficiency. Additionally, there is a lack of systematic guidelines for obtaining a better initial policy model. To bridge this gap, we initiate a comprehensive investigation by activating the initial model using a variety of datasets with different data volumes and reasoning patterns. Then, we conduct a thorough analysis and comparison of the RL process for different initial models from the perspectives of upper bounds, diversity, and token efficiency, providing a deeper understanding and insight into the long-CoT RL. Based on our empirical results, we propose a systematic guideline and a novel Re-RFT method for constructing a better RL start point. Our experiment results based on the 14B model surpass the DeepSeek-R1-Distill-Qwen-14B by an average of 4.6%, demonstrating our approach's effectiveness and superiority.</v>
      </c>
      <c r="D481" s="7" t="str">
        <f>IFERROR(__xludf.DUMMYFUNCTION("""COMPUTED_VALUE"""),"Bofei Gao")</f>
        <v>Bofei Gao</v>
      </c>
      <c r="E481" s="7" t="str">
        <f>IFERROR(__xludf.DUMMYFUNCTION("""COMPUTED_VALUE"""),"Yes")</f>
        <v>Yes</v>
      </c>
      <c r="F481" s="7" t="str">
        <f>IFERROR(__xludf.DUMMYFUNCTION("""COMPUTED_VALUE"""),"IP-Poster")</f>
        <v>IP-Poster</v>
      </c>
      <c r="G481" s="7" t="str">
        <f>IFERROR(__xludf.DUMMYFUNCTION("""COMPUTED_VALUE"""),"In-Person")</f>
        <v>In-Person</v>
      </c>
      <c r="H481" s="7" t="str">
        <f>IFERROR(__xludf.DUMMYFUNCTION("""COMPUTED_VALUE"""),"Hall 4/5")</f>
        <v>Hall 4/5</v>
      </c>
      <c r="I481" s="7" t="str">
        <f>IFERROR(__xludf.DUMMYFUNCTION("""COMPUTED_VALUE"""),"Session 5 :IP-Posters Find ")</f>
        <v>Session 5 :IP-Posters Find </v>
      </c>
      <c r="J481" s="7" t="str">
        <f>IFERROR(__xludf.DUMMYFUNCTION("""COMPUTED_VALUE"""),"Findings Posters - In-Person 1")</f>
        <v>Findings Posters - In-Person 1</v>
      </c>
      <c r="K481" s="7"/>
      <c r="L481" s="8">
        <f>IFERROR(__xludf.DUMMYFUNCTION("""COMPUTED_VALUE"""),45866.0)</f>
        <v>45866</v>
      </c>
      <c r="M481" s="7" t="str">
        <f>IFERROR(__xludf.DUMMYFUNCTION("""COMPUTED_VALUE"""),"18:00-19:30")</f>
        <v>18:00-19:30</v>
      </c>
      <c r="N481" s="7"/>
    </row>
    <row r="482">
      <c r="A482" s="7" t="str">
        <f>IFERROR(__xludf.DUMMYFUNCTION("""COMPUTED_VALUE"""),"1618-FIND")</f>
        <v>1618-FIND</v>
      </c>
      <c r="B482" s="7" t="str">
        <f>IFERROR(__xludf.DUMMYFUNCTION("""COMPUTED_VALUE"""),"Topic Modeling for Short Texts via Optimal Transport-Based Clustering")</f>
        <v>Topic Modeling for Short Texts via Optimal Transport-Based Clustering</v>
      </c>
      <c r="C482" s="7" t="str">
        <f>IFERROR(__xludf.DUMMYFUNCTION("""COMPUTED_VALUE"""),"Discovering topics and learning document representations in topic space are two crucial aspects of topic modeling, particularly in the short-text setting, where inferring topic proportions for individual documents is highly challenging. Despite significan"&amp;"t progress in neural topic modeling, effectively distinguishing document representations as well as topic embeddings remains an open problem. In this paper, we propose a novel method called **En**hancing Global **C**lustering with **O**ptimal **T**ranspor"&amp;"t in Topic Modeling (EnCOT). Our approach utilizes an abstract global clusters concept to capture global information and then employs the Optimal Transport framework to align document representations in the topic space with global clusters, while also ali"&amp;"gning global clusters with topics. This dual alignment not only enhances the separation of documents in the topic space but also facilitates learning of latent topics. Through extensive experiments, we demonstrate that our method outperforms state-of-the-"&amp;"art techniques in short-text topic modeling across commonly used metrics.")</f>
        <v>Discovering topics and learning document representations in topic space are two crucial aspects of topic modeling, particularly in the short-text setting, where inferring topic proportions for individual documents is highly challenging. Despite significant progress in neural topic modeling, effectively distinguishing document representations as well as topic embeddings remains an open problem. In this paper, we propose a novel method called **En**hancing Global **C**lustering with **O**ptimal **T**ransport in Topic Modeling (EnCOT). Our approach utilizes an abstract global clusters concept to capture global information and then employs the Optimal Transport framework to align document representations in the topic space with global clusters, while also aligning global clusters with topics. This dual alignment not only enhances the separation of documents in the topic space but also facilitates learning of latent topics. Through extensive experiments, we demonstrate that our method outperforms state-of-the-art techniques in short-text topic modeling across commonly used metrics.</v>
      </c>
      <c r="D482" s="7" t="str">
        <f>IFERROR(__xludf.DUMMYFUNCTION("""COMPUTED_VALUE"""),"Thien Huu Nguyen")</f>
        <v>Thien Huu Nguyen</v>
      </c>
      <c r="E482" s="7" t="str">
        <f>IFERROR(__xludf.DUMMYFUNCTION("""COMPUTED_VALUE"""),"#N/A")</f>
        <v>#N/A</v>
      </c>
      <c r="F482" s="7" t="str">
        <f>IFERROR(__xludf.DUMMYFUNCTION("""COMPUTED_VALUE"""),"Not Pres. ")</f>
        <v>Not Pres. </v>
      </c>
      <c r="G482" s="7" t="str">
        <f>IFERROR(__xludf.DUMMYFUNCTION("""COMPUTED_VALUE"""),"NP Findings Not Presenting ")</f>
        <v>NP Findings Not Presenting </v>
      </c>
      <c r="H482" s="7"/>
      <c r="I482" s="7" t="str">
        <f>IFERROR(__xludf.DUMMYFUNCTION("""COMPUTED_VALUE"""),"NP-Find")</f>
        <v>NP-Find</v>
      </c>
      <c r="J482" s="7"/>
      <c r="K482" s="7"/>
      <c r="L482" s="8"/>
      <c r="M482" s="7"/>
      <c r="N482" s="7"/>
    </row>
    <row r="483">
      <c r="A483" s="7" t="str">
        <f>IFERROR(__xludf.DUMMYFUNCTION("""COMPUTED_VALUE"""),"1622-FIND")</f>
        <v>1622-FIND</v>
      </c>
      <c r="B483" s="7" t="str">
        <f>IFERROR(__xludf.DUMMYFUNCTION("""COMPUTED_VALUE"""),"Lemmatisation &amp; Morphological Analysis of Unedited Greek: Do Simple Tasks Need Complex Solutions?")</f>
        <v>Lemmatisation &amp; Morphological Analysis of Unedited Greek: Do Simple Tasks Need Complex Solutions?</v>
      </c>
      <c r="C483" s="7" t="str">
        <f>IFERROR(__xludf.DUMMYFUNCTION("""COMPUTED_VALUE"""),"Fine-tuning transformer-based models for part-of-speech tagging of unedited Greek text has outperformed traditional systems. However, when applied to lemmatisation or morphological analysis, fine-tuning has not yet achieved competitive results. This paper"&amp;" explores various approaches to combine morphological features to both reduce label complexity and enhance multi-task training. Specifically, we group three nominal features into a single label, and combine the three most distinctive features of verbs int"&amp;"o another unified label. These combined labels are used to fine-tune DBBERT, a BERT model pre-trained on both ancient and modern Greek. Additionally, we experiment with joint training -- both among these labels and in combination with POS tagging -- withi"&amp;"n a multi-task framework to improve performance by transferring parameters. To evaluate our models, we use a manually annotated gold standard from the Database of Byzantine Book Epigrams. Our results show a nearly 9 pp. improvement, demonstrating that mul"&amp;"ti-task learning is a promising approach for linguistic annotation in less standardised corpora.")</f>
        <v>Fine-tuning transformer-based models for part-of-speech tagging of unedited Greek text has outperformed traditional systems. However, when applied to lemmatisation or morphological analysis, fine-tuning has not yet achieved competitive results. This paper explores various approaches to combine morphological features to both reduce label complexity and enhance multi-task training. Specifically, we group three nominal features into a single label, and combine the three most distinctive features of verbs into another unified label. These combined labels are used to fine-tune DBBERT, a BERT model pre-trained on both ancient and modern Greek. Additionally, we experiment with joint training -- both among these labels and in combination with POS tagging -- within a multi-task framework to improve performance by transferring parameters. To evaluate our models, we use a manually annotated gold standard from the Database of Byzantine Book Epigrams. Our results show a nearly 9 pp. improvement, demonstrating that multi-task learning is a promising approach for linguistic annotation in less standardised corpora.</v>
      </c>
      <c r="D483" s="7" t="str">
        <f>IFERROR(__xludf.DUMMYFUNCTION("""COMPUTED_VALUE"""),"Colin Swaelens")</f>
        <v>Colin Swaelens</v>
      </c>
      <c r="E483" s="7" t="str">
        <f>IFERROR(__xludf.DUMMYFUNCTION("""COMPUTED_VALUE"""),"Yes")</f>
        <v>Yes</v>
      </c>
      <c r="F483" s="7" t="str">
        <f>IFERROR(__xludf.DUMMYFUNCTION("""COMPUTED_VALUE"""),"IP-Poster")</f>
        <v>IP-Poster</v>
      </c>
      <c r="G483" s="7" t="str">
        <f>IFERROR(__xludf.DUMMYFUNCTION("""COMPUTED_VALUE"""),"In-Person")</f>
        <v>In-Person</v>
      </c>
      <c r="H483" s="7" t="str">
        <f>IFERROR(__xludf.DUMMYFUNCTION("""COMPUTED_VALUE"""),"Hall 4/5")</f>
        <v>Hall 4/5</v>
      </c>
      <c r="I483" s="7" t="str">
        <f>IFERROR(__xludf.DUMMYFUNCTION("""COMPUTED_VALUE"""),"Session 5 :IP-Posters Find ")</f>
        <v>Session 5 :IP-Posters Find </v>
      </c>
      <c r="J483" s="7" t="str">
        <f>IFERROR(__xludf.DUMMYFUNCTION("""COMPUTED_VALUE"""),"Findings Posters - In-Person 1")</f>
        <v>Findings Posters - In-Person 1</v>
      </c>
      <c r="K483" s="7"/>
      <c r="L483" s="8">
        <f>IFERROR(__xludf.DUMMYFUNCTION("""COMPUTED_VALUE"""),45866.0)</f>
        <v>45866</v>
      </c>
      <c r="M483" s="7" t="str">
        <f>IFERROR(__xludf.DUMMYFUNCTION("""COMPUTED_VALUE"""),"18:00-19:30")</f>
        <v>18:00-19:30</v>
      </c>
      <c r="N483" s="7"/>
    </row>
    <row r="484">
      <c r="A484" s="7" t="str">
        <f>IFERROR(__xludf.DUMMYFUNCTION("""COMPUTED_VALUE"""),"1624-FIND")</f>
        <v>1624-FIND</v>
      </c>
      <c r="B484" s="7" t="str">
        <f>IFERROR(__xludf.DUMMYFUNCTION("""COMPUTED_VALUE"""),"FRAME: Feedback-Refined Agent Methodology for Enhancing Medical Research Insights")</f>
        <v>FRAME: Feedback-Refined Agent Methodology for Enhancing Medical Research Insights</v>
      </c>
      <c r="C484" s="7" t="str">
        <f>IFERROR(__xludf.DUMMYFUNCTION("""COMPUTED_VALUE"""),"The automation of scientific research through large language models (LLMs) presents significant opportunities but faces critical challenges in knowledge synthesis and quality assurance. We introduce Feedback-Refined Agent Methodology (FRAME), a novel fram"&amp;"ework that enhances medical paper generation through iterative refinement and structured feedback. Our approach comprises three key innovations: (1) A structured dataset construction method that decomposes 4,287 medical papers into essential research comp"&amp;"onents through iterative refinement; (2) A tripartite architecture integrating Generator, Evaluator, and Reflector agents that progressively improve content quality through metric-driven feedback; and (3) A comprehensive evaluation framework that combines"&amp;" statistical metrics with human-grounded benchmarks. Experimental results demonstrate FRAME's effectiveness, achieving significant improvements over conventional approaches across multiple models (9.91% average gain with DeepSeek V3, comparable improvemen"&amp;"ts with GPT-4o Mini) and evaluation dimensions. Human evaluation confirms that FRAME-generated papers achieve quality comparable to human-authored works, with particular strength in synthesizing future research directions. The results demonstrated our wor"&amp;"k could efficiently assist medical research by building a robust foundation for automated medical research paper generation while maintaining rigorous academic standards.")</f>
        <v>The automation of scientific research through large language models (LLMs) presents significant opportunities but faces critical challenges in knowledge synthesis and quality assurance. We introduce Feedback-Refined Agent Methodology (FRAME), a novel framework that enhances medical paper generation through iterative refinement and structured feedback. Our approach comprises three key innovations: (1) A structured dataset construction method that decomposes 4,287 medical papers into essential research components through iterative refinement; (2) A tripartite architecture integrating Generator, Evaluator, and Reflector agents that progressively improve content quality through metric-driven feedback; and (3) A comprehensive evaluation framework that combines statistical metrics with human-grounded benchmarks. Experimental results demonstrate FRAME's effectiveness, achieving significant improvements over conventional approaches across multiple models (9.91% average gain with DeepSeek V3, comparable improvements with GPT-4o Mini) and evaluation dimensions. Human evaluation confirms that FRAME-generated papers achieve quality comparable to human-authored works, with particular strength in synthesizing future research directions. The results demonstrated our work could efficiently assist medical research by building a robust foundation for automated medical research paper generation while maintaining rigorous academic standards.</v>
      </c>
      <c r="D484" s="7" t="str">
        <f>IFERROR(__xludf.DUMMYFUNCTION("""COMPUTED_VALUE"""),"Chengzhang Yu")</f>
        <v>Chengzhang Yu</v>
      </c>
      <c r="E484" s="7" t="str">
        <f>IFERROR(__xludf.DUMMYFUNCTION("""COMPUTED_VALUE"""),"N/A")</f>
        <v>N/A</v>
      </c>
      <c r="F484" s="7" t="str">
        <f>IFERROR(__xludf.DUMMYFUNCTION("""COMPUTED_VALUE"""),"Not Pres. ")</f>
        <v>Not Pres. </v>
      </c>
      <c r="G484" s="7" t="str">
        <f>IFERROR(__xludf.DUMMYFUNCTION("""COMPUTED_VALUE"""),"NP Findings Not Presenting ")</f>
        <v>NP Findings Not Presenting </v>
      </c>
      <c r="H484" s="7"/>
      <c r="I484" s="7"/>
      <c r="J484" s="7"/>
      <c r="K484" s="7"/>
      <c r="L484" s="8"/>
      <c r="M484" s="7"/>
      <c r="N484" s="7"/>
    </row>
    <row r="485">
      <c r="A485" s="7" t="str">
        <f>IFERROR(__xludf.DUMMYFUNCTION("""COMPUTED_VALUE"""),"1625-FIND")</f>
        <v>1625-FIND</v>
      </c>
      <c r="B485" s="7" t="str">
        <f>IFERROR(__xludf.DUMMYFUNCTION("""COMPUTED_VALUE"""),"Chain-of-Scrutiny: Detecting Backdoor Attacks for Large Language Models")</f>
        <v>Chain-of-Scrutiny: Detecting Backdoor Attacks for Large Language Models</v>
      </c>
      <c r="C485" s="7" t="str">
        <f>IFERROR(__xludf.DUMMYFUNCTION("""COMPUTED_VALUE"""),"Large Language Models (LLMs), especially those accessed via APIs, have demonstrated impressive capabilities across various domains. However, users without technical expertise often turn to (untrustworthy) third-party services, such as prompt engineering, "&amp;"to enhance their LLM experience, creating vulnerabilities to adversarial threats like backdoor attacks. Backdoor-compromised LLMs generate malicious outputs to users when inputs contain specific ""triggers"" set by attackers. Traditional defense strategie"&amp;"s, originally designed for small-scale models, are impractical for API-accessible LLMs due to limited model access, high computational costs, and data requirements. To address these limitations, we propose Chain-of-Scrutiny (CoS) which leverages LLMs' uni"&amp;"que reasoning abilities to mitigate backdoor attacks. It guides the LLM to generate reasoning steps for a given input and scrutinizes for consistency with the final output -- any inconsistencies indicating a potential attack. It is well-suited for the pop"&amp;"ular API-only LLM deployments, enabling detection at minimal cost and with little data. User-friendly and driven by natural language, it allows non-experts to perform the defense independently while maintaining transparency. We validate the effectiveness "&amp;"of CoS through extensive experiments on various tasks and LLMs, with results showing greater benefits for more powerful LLMs.")</f>
        <v>Large Language Models (LLMs), especially those accessed via APIs, have demonstrated impressive capabilities across various domains. However, users without technical expertise often turn to (untrustworthy) third-party services, such as prompt engineering, to enhance their LLM experience, creating vulnerabilities to adversarial threats like backdoor attacks. Backdoor-compromised LLMs generate malicious outputs to users when inputs contain specific "triggers" set by attackers. Traditional defense strategies, originally designed for small-scale models, are impractical for API-accessible LLMs due to limited model access, high computational costs, and data requirements. To address these limitations, we propose Chain-of-Scrutiny (CoS) which leverages LLMs' unique reasoning abilities to mitigate backdoor attacks. It guides the LLM to generate reasoning steps for a given input and scrutinizes for consistency with the final output -- any inconsistencies indicating a potential attack. It is well-suited for the popular API-only LLM deployments, enabling detection at minimal cost and with little data. User-friendly and driven by natural language, it allows non-experts to perform the defense independently while maintaining transparency. We validate the effectiveness of CoS through extensive experiments on various tasks and LLMs, with results showing greater benefits for more powerful LLMs.</v>
      </c>
      <c r="D485" s="7" t="str">
        <f>IFERROR(__xludf.DUMMYFUNCTION("""COMPUTED_VALUE"""),"NA")</f>
        <v>NA</v>
      </c>
      <c r="E485" s="7" t="str">
        <f>IFERROR(__xludf.DUMMYFUNCTION("""COMPUTED_VALUE"""),"#N/A")</f>
        <v>#N/A</v>
      </c>
      <c r="F485" s="7" t="str">
        <f>IFERROR(__xludf.DUMMYFUNCTION("""COMPUTED_VALUE"""),"Not Pres. ")</f>
        <v>Not Pres. </v>
      </c>
      <c r="G485" s="7" t="str">
        <f>IFERROR(__xludf.DUMMYFUNCTION("""COMPUTED_VALUE"""),"NP Findings Not Presenting ")</f>
        <v>NP Findings Not Presenting </v>
      </c>
      <c r="H485" s="7"/>
      <c r="I485" s="7" t="str">
        <f>IFERROR(__xludf.DUMMYFUNCTION("""COMPUTED_VALUE"""),"NP-Find")</f>
        <v>NP-Find</v>
      </c>
      <c r="J485" s="7"/>
      <c r="K485" s="7"/>
      <c r="L485" s="8"/>
      <c r="M485" s="7"/>
      <c r="N485" s="7"/>
    </row>
    <row r="486">
      <c r="A486" s="7" t="str">
        <f>IFERROR(__xludf.DUMMYFUNCTION("""COMPUTED_VALUE"""),"1631-FIND")</f>
        <v>1631-FIND</v>
      </c>
      <c r="B486" s="7" t="str">
        <f>IFERROR(__xludf.DUMMYFUNCTION("""COMPUTED_VALUE"""),"Relevance Scores Calibration for Ranked List Truncation via TMP Adapter")</f>
        <v>Relevance Scores Calibration for Ranked List Truncation via TMP Adapter</v>
      </c>
      <c r="C486" s="7" t="str">
        <f>IFERROR(__xludf.DUMMYFUNCTION("""COMPUTED_VALUE"""),"The ranked list truncation task involves determining a truncation point to retrieve the relevant items from a ranked list. Despite current advancements, truncation methods struggle with limited capacity, unstable training and inconsistency of selected thr"&amp;"eshold. To address these problems we introduce TMP Adapter, a novel approach that builds upon the improved adapter model and incorporates the Threshold Margin Penalty (TMP) as an additive loss function to calibrate ranking model relevance scores for ranke"&amp;"d list truncation. We evaluate TMP Adapter’s performance on various retrieval datasets and observe that TMP Adapter is a promising advancement in the calibration methods, which offers both theoretical and practical benefits for ranked list truncation.")</f>
        <v>The ranked list truncation task involves determining a truncation point to retrieve the relevant items from a ranked list. Despite current advancements, truncation methods struggle with limited capacity, unstable training and inconsistency of selected threshold. To address these problems we introduce TMP Adapter, a novel approach that builds upon the improved adapter model and incorporates the Threshold Margin Penalty (TMP) as an additive loss function to calibrate ranking model relevance scores for ranked list truncation. We evaluate TMP Adapter’s performance on various retrieval datasets and observe that TMP Adapter is a promising advancement in the calibration methods, which offers both theoretical and practical benefits for ranked list truncation.</v>
      </c>
      <c r="D486" s="7" t="str">
        <f>IFERROR(__xludf.DUMMYFUNCTION("""COMPUTED_VALUE"""),"Pavel Posokhov")</f>
        <v>Pavel Posokhov</v>
      </c>
      <c r="E486" s="7" t="str">
        <f>IFERROR(__xludf.DUMMYFUNCTION("""COMPUTED_VALUE"""),"Yes")</f>
        <v>Yes</v>
      </c>
      <c r="F486" s="7" t="str">
        <f>IFERROR(__xludf.DUMMYFUNCTION("""COMPUTED_VALUE"""),"IP-Poster")</f>
        <v>IP-Poster</v>
      </c>
      <c r="G486" s="7" t="str">
        <f>IFERROR(__xludf.DUMMYFUNCTION("""COMPUTED_VALUE"""),"In-Person")</f>
        <v>In-Person</v>
      </c>
      <c r="H486" s="7" t="str">
        <f>IFERROR(__xludf.DUMMYFUNCTION("""COMPUTED_VALUE"""),"Hall 4/5")</f>
        <v>Hall 4/5</v>
      </c>
      <c r="I486" s="7" t="str">
        <f>IFERROR(__xludf.DUMMYFUNCTION("""COMPUTED_VALUE"""),"Session 5 :IP-Posters Find ")</f>
        <v>Session 5 :IP-Posters Find </v>
      </c>
      <c r="J486" s="7" t="str">
        <f>IFERROR(__xludf.DUMMYFUNCTION("""COMPUTED_VALUE"""),"Findings Posters - In-Person 1")</f>
        <v>Findings Posters - In-Person 1</v>
      </c>
      <c r="K486" s="7"/>
      <c r="L486" s="8">
        <f>IFERROR(__xludf.DUMMYFUNCTION("""COMPUTED_VALUE"""),45866.0)</f>
        <v>45866</v>
      </c>
      <c r="M486" s="7" t="str">
        <f>IFERROR(__xludf.DUMMYFUNCTION("""COMPUTED_VALUE"""),"18:00-19:30")</f>
        <v>18:00-19:30</v>
      </c>
      <c r="N486" s="7"/>
    </row>
    <row r="487">
      <c r="A487" s="7" t="str">
        <f>IFERROR(__xludf.DUMMYFUNCTION("""COMPUTED_VALUE"""),"1642-FIND")</f>
        <v>1642-FIND</v>
      </c>
      <c r="B487" s="7" t="str">
        <f>IFERROR(__xludf.DUMMYFUNCTION("""COMPUTED_VALUE"""),"Neuron Activation Modulation for Text Style Transfer: Guiding Large Language Models")</f>
        <v>Neuron Activation Modulation for Text Style Transfer: Guiding Large Language Models</v>
      </c>
      <c r="C487" s="7" t="str">
        <f>IFERROR(__xludf.DUMMYFUNCTION("""COMPUTED_VALUE"""),"Text style transfer (TST) aims to flexibly adjust the style of text while preserving its core content. Although large language models (LLMs) excel in TST tasks, they often face unidirectional issues due to imbalanced training data and their tendency to ge"&amp;"nerate safer responses. These challenges present a significant obstacle in achieving effective style transfer. To address this issue, we propose a novel method for text style transfer based on neuron activation modulation (NAM-TST). This approach identifi"&amp;"es neurons related to style through gradient-based activation difference analysis and calculates the activation differences between the source and target styles. During text generation, we use the activation difference to align the activation values of st"&amp;"yle-related neurons with those of the target style to guide the model in performing the transfer. This strategy enables the model to generate text that satisfies specific style requirements, effectively mitigating the unidirectional issue inherent in LLMs"&amp;" during style transfer. Experiments on benchmark datasets demonstrate that NAM-TST significantly enhances style transfer quality while preserving content consistency.")</f>
        <v>Text style transfer (TST) aims to flexibly adjust the style of text while preserving its core content. Although large language models (LLMs) excel in TST tasks, they often face unidirectional issues due to imbalanced training data and their tendency to generate safer responses. These challenges present a significant obstacle in achieving effective style transfer. To address this issue, we propose a novel method for text style transfer based on neuron activation modulation (NAM-TST). This approach identifies neurons related to style through gradient-based activation difference analysis and calculates the activation differences between the source and target styles. During text generation, we use the activation difference to align the activation values of style-related neurons with those of the target style to guide the model in performing the transfer. This strategy enables the model to generate text that satisfies specific style requirements, effectively mitigating the unidirectional issue inherent in LLMs during style transfer. Experiments on benchmark datasets demonstrate that NAM-TST significantly enhances style transfer quality while preserving content consistency.</v>
      </c>
      <c r="D487" s="7" t="str">
        <f>IFERROR(__xludf.DUMMYFUNCTION("""COMPUTED_VALUE"""),"Chaona Kong")</f>
        <v>Chaona Kong</v>
      </c>
      <c r="E487" s="7" t="str">
        <f>IFERROR(__xludf.DUMMYFUNCTION("""COMPUTED_VALUE"""),"#N/A")</f>
        <v>#N/A</v>
      </c>
      <c r="F487" s="7" t="str">
        <f>IFERROR(__xludf.DUMMYFUNCTION("""COMPUTED_VALUE"""),"Not Pres. ")</f>
        <v>Not Pres. </v>
      </c>
      <c r="G487" s="7" t="str">
        <f>IFERROR(__xludf.DUMMYFUNCTION("""COMPUTED_VALUE"""),"NP Findings Not Presenting ")</f>
        <v>NP Findings Not Presenting </v>
      </c>
      <c r="H487" s="7"/>
      <c r="I487" s="7" t="str">
        <f>IFERROR(__xludf.DUMMYFUNCTION("""COMPUTED_VALUE"""),"NP-Find")</f>
        <v>NP-Find</v>
      </c>
      <c r="J487" s="7"/>
      <c r="K487" s="7"/>
      <c r="L487" s="8"/>
      <c r="M487" s="7"/>
      <c r="N487" s="7"/>
    </row>
    <row r="488">
      <c r="A488" s="7" t="str">
        <f>IFERROR(__xludf.DUMMYFUNCTION("""COMPUTED_VALUE"""),"1643-FIND")</f>
        <v>1643-FIND</v>
      </c>
      <c r="B488" s="7" t="str">
        <f>IFERROR(__xludf.DUMMYFUNCTION("""COMPUTED_VALUE"""),"MTVQA: Benchmarking Multilingual Text-Centric Visual Question Answering")</f>
        <v>MTVQA: Benchmarking Multilingual Text-Centric Visual Question Answering</v>
      </c>
      <c r="C488" s="7" t="str">
        <f>IFERROR(__xludf.DUMMYFUNCTION("""COMPUTED_VALUE"""),"Text-Centric Visual Question Answering (TEC-VQA) in its proper format not only facilitates human-machine interaction in text-centric visual environments but also serves as a de facto gold proxy to evaluate AI models in the domain of text-centric scene und"&amp;"erstanding. Nonetheless, most existing TEC-VQA benchmarks focus on high-resource languages like English and Chinese. Despite pioneering works expanding multilingual QA pairs in non-text-centric VQA datasets through translation engines, the translation-bas"&amp;"ed protocol encounters a substantial ``visual-textual misalignment'' problem when applied to TEC-VQA. Specifically, it prioritizes the text in question-answer pairs while disregarding the visual text present in images. Moreover, it fails to address comple"&amp;"xities related to nuanced meaning, contextual distortion, language bias, and question-type diversity. In this work, we tackle multilingual TEC-VQA by introducing MTVQA, the first benchmark featuring high-quality human expert annotations across 9 diverse l"&amp;"anguages, consisting of 6,778 question-answer pairs across 2,116 images. Further, by comprehensively evaluating numerous state-of-the-art Multimodal Large Language Models (MLLMs), including Qwen2.5-VL, InternVL-2.5, GPT-4o, GPT-4V, Claude3, and Gemini, on"&amp;" the MTVQA benchmark, it is evident that there is still a large room for performance improvement (InternVL-2.5 scoring 32.2 versus 79.7 for human performance), underscoring the value of MTVQA. By providing a dataset with nuanced multilingual annotations, "&amp;"MTVQA aims to set a new standard for benchmarks, fostering advancements in multilingual visual text comprehension.")</f>
        <v>Text-Centric Visual Question Answering (TEC-VQA) in its proper format not only facilitates human-machine interaction in text-centric visual environments but also serves as a de facto gold proxy to evaluate AI models in the domain of text-centric scene understanding. Nonetheless, most existing TEC-VQA benchmarks focus on high-resource languages like English and Chinese. Despite pioneering works expanding multilingual QA pairs in non-text-centric VQA datasets through translation engines, the translation-based protocol encounters a substantial ``visual-textual misalignment'' problem when applied to TEC-VQA. Specifically, it prioritizes the text in question-answer pairs while disregarding the visual text present in images. Moreover, it fails to address complexities related to nuanced meaning, contextual distortion, language bias, and question-type diversity. In this work, we tackle multilingual TEC-VQA by introducing MTVQA, the first benchmark featuring high-quality human expert annotations across 9 diverse languages, consisting of 6,778 question-answer pairs across 2,116 images. Further, by comprehensively evaluating numerous state-of-the-art Multimodal Large Language Models (MLLMs), including Qwen2.5-VL, InternVL-2.5, GPT-4o, GPT-4V, Claude3, and Gemini, on the MTVQA benchmark, it is evident that there is still a large room for performance improvement (InternVL-2.5 scoring 32.2 versus 79.7 for human performance), underscoring the value of MTVQA. By providing a dataset with nuanced multilingual annotations, MTVQA aims to set a new standard for benchmarks, fostering advancements in multilingual visual text comprehension.</v>
      </c>
      <c r="D488" s="7" t="str">
        <f>IFERROR(__xludf.DUMMYFUNCTION("""COMPUTED_VALUE"""),"Jingqun Tang")</f>
        <v>Jingqun Tang</v>
      </c>
      <c r="E488" s="7" t="str">
        <f>IFERROR(__xludf.DUMMYFUNCTION("""COMPUTED_VALUE"""),"Yes")</f>
        <v>Yes</v>
      </c>
      <c r="F488" s="7" t="str">
        <f>IFERROR(__xludf.DUMMYFUNCTION("""COMPUTED_VALUE"""),"Not Pres. ")</f>
        <v>Not Pres. </v>
      </c>
      <c r="G488" s="7" t="str">
        <f>IFERROR(__xludf.DUMMYFUNCTION("""COMPUTED_VALUE"""),"NP Findings Not Presenting ")</f>
        <v>NP Findings Not Presenting </v>
      </c>
      <c r="H488" s="7"/>
      <c r="I488" s="7"/>
      <c r="J488" s="7"/>
      <c r="K488" s="7"/>
      <c r="L488" s="8"/>
      <c r="M488" s="7"/>
      <c r="N488" s="7"/>
    </row>
    <row r="489">
      <c r="A489" s="7" t="str">
        <f>IFERROR(__xludf.DUMMYFUNCTION("""COMPUTED_VALUE"""),"1644-FIND")</f>
        <v>1644-FIND</v>
      </c>
      <c r="B489" s="7" t="str">
        <f>IFERROR(__xludf.DUMMYFUNCTION("""COMPUTED_VALUE"""),"HICD: Hallucination-Inducing via Attention Dispersion for Contrastive Decoding to Mitigate Hallucinations in Large Language Models")</f>
        <v>HICD: Hallucination-Inducing via Attention Dispersion for Contrastive Decoding to Mitigate Hallucinations in Large Language Models</v>
      </c>
      <c r="C489" s="7" t="str">
        <f>IFERROR(__xludf.DUMMYFUNCTION("""COMPUTED_VALUE"""),"Large Language Models (LLMs) often generate hallucinations, producing outputs that are contextually inaccurate or factually incorrect. We introduce HICD, a novel method designed to induce hallucinations for contrastive decoding to mitigate hallucinations."&amp;" Unlike existing contrastive decoding methods, HICD selects attention heads crucial to the model's prediction as inducing heads, then induces hallucinations by dispersing attention of these inducing heads and compares the hallucinated outputs with the ori"&amp;"ginal outputs to obtain the final result. Our approach significantly improves performance on tasks requiring contextual faithfulness, such as context completion, reading comprehension, and question answering. It also improves factuality in tasks requiring"&amp;" accurate knowledge recall. We demonstrate that our inducing heads selection and attention dispersion method leads to more ""contrast-effective"" hallucinations for contrastive decoding, outperforming other hallucination-inducing methods. Our findings pro"&amp;"vide a promising strategy for reducing hallucinations by inducing hallucinations in a controlled manner, enhancing the performance of LLMs in a wide range of tasks.")</f>
        <v>Large Language Models (LLMs) often generate hallucinations, producing outputs that are contextually inaccurate or factually incorrect. We introduce HICD, a novel method designed to induce hallucinations for contrastive decoding to mitigate hallucinations. Unlike existing contrastive decoding methods, HICD selects attention heads crucial to the model's prediction as inducing heads, then induces hallucinations by dispersing attention of these inducing heads and compares the hallucinated outputs with the original outputs to obtain the final result. Our approach significantly improves performance on tasks requiring contextual faithfulness, such as context completion, reading comprehension, and question answering. It also improves factuality in tasks requiring accurate knowledge recall. We demonstrate that our inducing heads selection and attention dispersion method leads to more "contrast-effective" hallucinations for contrastive decoding, outperforming other hallucination-inducing methods. Our findings provide a promising strategy for reducing hallucinations by inducing hallucinations in a controlled manner, enhancing the performance of LLMs in a wide range of tasks.</v>
      </c>
      <c r="D489" s="7" t="str">
        <f>IFERROR(__xludf.DUMMYFUNCTION("""COMPUTED_VALUE"""),"Sorry,I do not plan to presnet.")</f>
        <v>Sorry,I do not plan to presnet.</v>
      </c>
      <c r="E489" s="7" t="str">
        <f>IFERROR(__xludf.DUMMYFUNCTION("""COMPUTED_VALUE"""),"#N/A")</f>
        <v>#N/A</v>
      </c>
      <c r="F489" s="7" t="str">
        <f>IFERROR(__xludf.DUMMYFUNCTION("""COMPUTED_VALUE"""),"Not Pres. ")</f>
        <v>Not Pres. </v>
      </c>
      <c r="G489" s="7" t="str">
        <f>IFERROR(__xludf.DUMMYFUNCTION("""COMPUTED_VALUE"""),"NP Findings Not Presenting ")</f>
        <v>NP Findings Not Presenting </v>
      </c>
      <c r="H489" s="7"/>
      <c r="I489" s="7" t="str">
        <f>IFERROR(__xludf.DUMMYFUNCTION("""COMPUTED_VALUE"""),"NP-Find")</f>
        <v>NP-Find</v>
      </c>
      <c r="J489" s="7"/>
      <c r="K489" s="7"/>
      <c r="L489" s="8"/>
      <c r="M489" s="7"/>
      <c r="N489" s="7"/>
    </row>
    <row r="490">
      <c r="A490" s="7" t="str">
        <f>IFERROR(__xludf.DUMMYFUNCTION("""COMPUTED_VALUE"""),"1646-FIND")</f>
        <v>1646-FIND</v>
      </c>
      <c r="B490" s="7" t="str">
        <f>IFERROR(__xludf.DUMMYFUNCTION("""COMPUTED_VALUE"""),"Understanding the Repeat Curse in Large Language Models from a Feature Perspective")</f>
        <v>Understanding the Repeat Curse in Large Language Models from a Feature Perspective</v>
      </c>
      <c r="C490" s="7" t="str">
        <f>IFERROR(__xludf.DUMMYFUNCTION("""COMPUTED_VALUE"""),"Large language models (LLMs) have made remarkable progress in various domains, yet they often suffer from repetitive text generation, a phenomenon we refer to as the ''Repeat Curse''. While previous studies have proposed decoding strategies to mitigate re"&amp;"petition, the underlying mechanism behind this issue remains insufficiently explored. In this work, we investigate the root causes of repetition in LLMs through the lens of mechanistic interpretability. Inspired by recent advances in Sparse Autoencoders ("&amp;"SAEs), which enable monosemantic feature extraction, we propose a novel approach—''Duplicatus Charm''—to induce and analyze the Repeat Curse. Our method systematically identifies ``Repetition Features'' -the key model activations responsible for generatin"&amp;"g repetitive outputs. First, we locate the layers most involved in repetition through logit analysis. Next, we extract and stimulate relevant features using SAE-based activation manipulation. To validate our approach, we construct a repetition dataset cov"&amp;"ering token and paragraph level repetitions and introduce an evaluation pipeline to quantify the influence of identified repetition features. Furthermore, by deactivating these features, we have effectively mitigated the Repeat Curse.")</f>
        <v>Large language models (LLMs) have made remarkable progress in various domains, yet they often suffer from repetitive text generation, a phenomenon we refer to as the ''Repeat Curse''. While previous studies have proposed decoding strategies to mitigate repetition, the underlying mechanism behind this issue remains insufficiently explored. In this work, we investigate the root causes of repetition in LLMs through the lens of mechanistic interpretability. Inspired by recent advances in Sparse Autoencoders (SAEs), which enable monosemantic feature extraction, we propose a novel approach—''Duplicatus Charm''—to induce and analyze the Repeat Curse. Our method systematically identifies ``Repetition Features'' -the key model activations responsible for generating repetitive outputs. First, we locate the layers most involved in repetition through logit analysis. Next, we extract and stimulate relevant features using SAE-based activation manipulation. To validate our approach, we construct a repetition dataset covering token and paragraph level repetitions and introduce an evaluation pipeline to quantify the influence of identified repetition features. Furthermore, by deactivating these features, we have effectively mitigated the Repeat Curse.</v>
      </c>
      <c r="D490" s="7" t="str">
        <f>IFERROR(__xludf.DUMMYFUNCTION("""COMPUTED_VALUE"""),"Junchi Yao")</f>
        <v>Junchi Yao</v>
      </c>
      <c r="E490" s="7" t="str">
        <f>IFERROR(__xludf.DUMMYFUNCTION("""COMPUTED_VALUE"""),"Yes")</f>
        <v>Yes</v>
      </c>
      <c r="F490" s="7" t="str">
        <f>IFERROR(__xludf.DUMMYFUNCTION("""COMPUTED_VALUE"""),"IP-Poster")</f>
        <v>IP-Poster</v>
      </c>
      <c r="G490" s="7" t="str">
        <f>IFERROR(__xludf.DUMMYFUNCTION("""COMPUTED_VALUE"""),"In-Person")</f>
        <v>In-Person</v>
      </c>
      <c r="H490" s="7" t="str">
        <f>IFERROR(__xludf.DUMMYFUNCTION("""COMPUTED_VALUE"""),"Hall 4/5")</f>
        <v>Hall 4/5</v>
      </c>
      <c r="I490" s="7" t="str">
        <f>IFERROR(__xludf.DUMMYFUNCTION("""COMPUTED_VALUE"""),"Session 5 :IP-Posters Find ")</f>
        <v>Session 5 :IP-Posters Find </v>
      </c>
      <c r="J490" s="7" t="str">
        <f>IFERROR(__xludf.DUMMYFUNCTION("""COMPUTED_VALUE"""),"Findings Posters - In-Person 1")</f>
        <v>Findings Posters - In-Person 1</v>
      </c>
      <c r="K490" s="7"/>
      <c r="L490" s="8">
        <f>IFERROR(__xludf.DUMMYFUNCTION("""COMPUTED_VALUE"""),45866.0)</f>
        <v>45866</v>
      </c>
      <c r="M490" s="7" t="str">
        <f>IFERROR(__xludf.DUMMYFUNCTION("""COMPUTED_VALUE"""),"18:00-19:30")</f>
        <v>18:00-19:30</v>
      </c>
      <c r="N490" s="7"/>
    </row>
    <row r="491">
      <c r="A491" s="7" t="str">
        <f>IFERROR(__xludf.DUMMYFUNCTION("""COMPUTED_VALUE"""),"1648-FIND")</f>
        <v>1648-FIND</v>
      </c>
      <c r="B491" s="7" t="str">
        <f>IFERROR(__xludf.DUMMYFUNCTION("""COMPUTED_VALUE"""),"Code-Switching Curriculum Learning for Multilingual Transfer in LLMs")</f>
        <v>Code-Switching Curriculum Learning for Multilingual Transfer in LLMs</v>
      </c>
      <c r="C491" s="7" t="str">
        <f>IFERROR(__xludf.DUMMYFUNCTION("""COMPUTED_VALUE"""),"Large language models (LLMs) now exhibit near human-level performance in various tasks, but their performance drops drastically after a handful of high-resource languages due to the imbalance in pre-training data. Inspired by the human process of second l"&amp;"anguage acquisition, particularly code-switching---the practice of language alternation in a conversation---we propose code-switching curriculum learning (CSCL) to enhance cross-lingual transfer for LLMs. CSCL mimics the stages of human language learning "&amp;"by progressively training models with a curriculum consisting of 1) token-level code-switching, 2) sentence-level code-switching, and 3) monolingual corpora. Using Qwen 2 as our underlying model, we demonstrate the efficacy of the CSCL in improving langua"&amp;"ge transfer to Korean, achieving significant performance gains compared to monolingual continual pre-training methods. Ablation studies reveal that both token- and sentence-level code-switching significantly enhance cross-lingual transfer and that curricu"&amp;"lum learning amplifies these effects. We also extend our findings into various languages, including Japanese (high-resource) and Indonesian (low-resource), and using two additional models (Gemma 2 and Phi 3.5). We further show that CSCL mitigates spurious"&amp;" correlations between language resources and safety alignment, presenting a robust, efficient framework for more equitable language transfer in LLMs. We observe that CSCL is effective for low-resource settings where high-quality, monolingual corpora for l"&amp;"anguage transfer are hardly available.")</f>
        <v>Large language models (LLMs) now exhibit near human-level performance in various tasks, but their performance drops drastically after a handful of high-resource languages due to the imbalance in pre-training data. Inspired by the human process of second language acquisition, particularly code-switching---the practice of language alternation in a conversation---we propose code-switching curriculum learning (CSCL) to enhance cross-lingual transfer for LLMs. CSCL mimics the stages of human language learning by progressively training models with a curriculum consisting of 1) token-level code-switching, 2) sentence-level code-switching, and 3) monolingual corpora. Using Qwen 2 as our underlying model, we demonstrate the efficacy of the CSCL in improving language transfer to Korean, achieving significant performance gains compared to monolingual continual pre-training methods. Ablation studies reveal that both token- and sentence-level code-switching significantly enhance cross-lingual transfer and that curriculum learning amplifies these effects. We also extend our findings into various languages, including Japanese (high-resource) and Indonesian (low-resource), and using two additional models (Gemma 2 and Phi 3.5). We further show that CSCL mitigates spurious correlations between language resources and safety alignment, presenting a robust, efficient framework for more equitable language transfer in LLMs. We observe that CSCL is effective for low-resource settings where high-quality, monolingual corpora for language transfer are hardly available.</v>
      </c>
      <c r="D491" s="7" t="str">
        <f>IFERROR(__xludf.DUMMYFUNCTION("""COMPUTED_VALUE"""),"Haneul Yoo")</f>
        <v>Haneul Yoo</v>
      </c>
      <c r="E491" s="7" t="str">
        <f>IFERROR(__xludf.DUMMYFUNCTION("""COMPUTED_VALUE"""),"Yes")</f>
        <v>Yes</v>
      </c>
      <c r="F491" s="7" t="str">
        <f>IFERROR(__xludf.DUMMYFUNCTION("""COMPUTED_VALUE"""),"IP-Poster")</f>
        <v>IP-Poster</v>
      </c>
      <c r="G491" s="7" t="str">
        <f>IFERROR(__xludf.DUMMYFUNCTION("""COMPUTED_VALUE"""),"In-Person")</f>
        <v>In-Person</v>
      </c>
      <c r="H491" s="7" t="str">
        <f>IFERROR(__xludf.DUMMYFUNCTION("""COMPUTED_VALUE"""),"Hall 4/5")</f>
        <v>Hall 4/5</v>
      </c>
      <c r="I491" s="7" t="str">
        <f>IFERROR(__xludf.DUMMYFUNCTION("""COMPUTED_VALUE"""),"Session 7: IP-Posters")</f>
        <v>Session 7: IP-Posters</v>
      </c>
      <c r="J491" s="7" t="str">
        <f>IFERROR(__xludf.DUMMYFUNCTION("""COMPUTED_VALUE"""),"Findings Posters - In-Person 2")</f>
        <v>Findings Posters - In-Person 2</v>
      </c>
      <c r="K491" s="7"/>
      <c r="L491" s="8">
        <f>IFERROR(__xludf.DUMMYFUNCTION("""COMPUTED_VALUE"""),45867.0)</f>
        <v>45867</v>
      </c>
      <c r="M491" s="7" t="str">
        <f>IFERROR(__xludf.DUMMYFUNCTION("""COMPUTED_VALUE"""),"10:30-12:00")</f>
        <v>10:30-12:00</v>
      </c>
      <c r="N491" s="7"/>
    </row>
    <row r="492">
      <c r="A492" s="7" t="str">
        <f>IFERROR(__xludf.DUMMYFUNCTION("""COMPUTED_VALUE"""),"1652-FIND")</f>
        <v>1652-FIND</v>
      </c>
      <c r="B492" s="7" t="str">
        <f>IFERROR(__xludf.DUMMYFUNCTION("""COMPUTED_VALUE"""),"A Mousetrap: Fooling Large Reasoning Models for Jailbreak with Chain of Iterative Chaos")</f>
        <v>A Mousetrap: Fooling Large Reasoning Models for Jailbreak with Chain of Iterative Chaos</v>
      </c>
      <c r="C492" s="7" t="str">
        <f>IFERROR(__xludf.DUMMYFUNCTION("""COMPUTED_VALUE"""),"Large Reasoning Models (LRMs) have significantly advanced beyond traditional Large Language Models (LLMs) with their exceptional logical reasoning capabilities, yet these improvements introduce heightened safety risks. When subjected to jailbreak attacks,"&amp;" their ability to generate more targeted and organized content can lead to greater harm. Although some studies claim that reasoning enables safer LRMs against existing LLM attacks, they overlook the inherent flaws within the reasoning process itself. To a"&amp;"ddress this gap, we propose the first jailbreak attack targeting LRMs, exploiting their unique vulnerabilities stemming from the advanced reasoning capabilities. Specifically, we introduce a Chaos Machine, a novel component to transform attack prompts wit"&amp;"h diverse one-to-one mappings. The chaos mappings iteratively generated by the machine are embedded into the reasoning chain, which strengthens the variability and complexity and also promotes a more robust attack. Based on this, we construct the Mousetra"&amp;"p framework, which makes attacks projected into nonlinear-like low sample spaces with mismatched generalization enhanced. Also, due to the more competing objectives, LRMs gradually maintain the inertia of unpredictable iterative reasoning and fall into ou"&amp;"r trap. Success rates of the Mousetrap attacking o1-mini, Claude-Sonnet and Gemini-Thinking are as high as 96%, 86% and 98% respectively on our toxic dataset Trotter. On benchmarks such as AdvBench, StrongREJECT, and HarmBench, attacking Claude-Sonnet, we"&amp;"ll-known for its safety, Mousetrap can astonishingly achieve success rates of 87.5%, 86.58% and 93.13% respectively. Attention: This paper contains inappropriate, offensive and harmful content.")</f>
        <v>Large Reasoning Models (LRMs) have significantly advanced beyond traditional Large Language Models (LLMs) with their exceptional logical reasoning capabilities, yet these improvements introduce heightened safety risks. When subjected to jailbreak attacks, their ability to generate more targeted and organized content can lead to greater harm. Although some studies claim that reasoning enables safer LRMs against existing LLM attacks, they overlook the inherent flaws within the reasoning process itself. To address this gap, we propose the first jailbreak attack targeting LRMs, exploiting their unique vulnerabilities stemming from the advanced reasoning capabilities. Specifically, we introduce a Chaos Machine, a novel component to transform attack prompts with diverse one-to-one mappings. The chaos mappings iteratively generated by the machine are embedded into the reasoning chain, which strengthens the variability and complexity and also promotes a more robust attack. Based on this, we construct the Mousetrap framework, which makes attacks projected into nonlinear-like low sample spaces with mismatched generalization enhanced. Also, due to the more competing objectives, LRMs gradually maintain the inertia of unpredictable iterative reasoning and fall into our trap. Success rates of the Mousetrap attacking o1-mini, Claude-Sonnet and Gemini-Thinking are as high as 96%, 86% and 98% respectively on our toxic dataset Trotter. On benchmarks such as AdvBench, StrongREJECT, and HarmBench, attacking Claude-Sonnet, well-known for its safety, Mousetrap can astonishingly achieve success rates of 87.5%, 86.58% and 93.13% respectively. Attention: This paper contains inappropriate, offensive and harmful content.</v>
      </c>
      <c r="D492" s="7" t="str">
        <f>IFERROR(__xludf.DUMMYFUNCTION("""COMPUTED_VALUE"""),"Yang Yao")</f>
        <v>Yang Yao</v>
      </c>
      <c r="E492" s="7" t="str">
        <f>IFERROR(__xludf.DUMMYFUNCTION("""COMPUTED_VALUE"""),"Yes")</f>
        <v>Yes</v>
      </c>
      <c r="F492" s="7" t="str">
        <f>IFERROR(__xludf.DUMMYFUNCTION("""COMPUTED_VALUE"""),"IP-Poster")</f>
        <v>IP-Poster</v>
      </c>
      <c r="G492" s="7" t="str">
        <f>IFERROR(__xludf.DUMMYFUNCTION("""COMPUTED_VALUE"""),"In-Person")</f>
        <v>In-Person</v>
      </c>
      <c r="H492" s="7" t="str">
        <f>IFERROR(__xludf.DUMMYFUNCTION("""COMPUTED_VALUE"""),"Hall 4/5")</f>
        <v>Hall 4/5</v>
      </c>
      <c r="I492" s="7" t="str">
        <f>IFERROR(__xludf.DUMMYFUNCTION("""COMPUTED_VALUE"""),"Session 5 :IP-Posters Find ")</f>
        <v>Session 5 :IP-Posters Find </v>
      </c>
      <c r="J492" s="7" t="str">
        <f>IFERROR(__xludf.DUMMYFUNCTION("""COMPUTED_VALUE"""),"Findings Posters - In-Person 1")</f>
        <v>Findings Posters - In-Person 1</v>
      </c>
      <c r="K492" s="7"/>
      <c r="L492" s="8">
        <f>IFERROR(__xludf.DUMMYFUNCTION("""COMPUTED_VALUE"""),45866.0)</f>
        <v>45866</v>
      </c>
      <c r="M492" s="7" t="str">
        <f>IFERROR(__xludf.DUMMYFUNCTION("""COMPUTED_VALUE"""),"18:00-19:30")</f>
        <v>18:00-19:30</v>
      </c>
      <c r="N492" s="7"/>
    </row>
    <row r="493">
      <c r="A493" s="7" t="str">
        <f>IFERROR(__xludf.DUMMYFUNCTION("""COMPUTED_VALUE"""),"1654-FIND")</f>
        <v>1654-FIND</v>
      </c>
      <c r="B493" s="7" t="str">
        <f>IFERROR(__xludf.DUMMYFUNCTION("""COMPUTED_VALUE"""),"Tag-Evol: Achieving Efficient Instruction Evolving via Tag Injection")</f>
        <v>Tag-Evol: Achieving Efficient Instruction Evolving via Tag Injection</v>
      </c>
      <c r="C493" s="7" t="str">
        <f>IFERROR(__xludf.DUMMYFUNCTION("""COMPUTED_VALUE"""),"Evol-Instruct has made significant improvements as a data synthesis method in several areas. Existing methods typically rely on a fixed set of strategies to evolve, which require manual design and are monolithic in form. In addition, iterative evolution a"&amp;"lso makes the acquisition of hard samples expensive. In view of this, we propose the Tag-Evol framework, a more diverse and efficient instruction evolving method. Specifically, Tag-Evol uses diverse and specific knowledge tags as strategies to achieve con"&amp;"trolled evolution by injecting different combinations of tags into the original instructions. Experiments with multiple backbones in mathematical and code domain benchmarks show that the proposed method generates significantly better evolved data than oth"&amp;"er methods. Furthermore, we conduct a thorough analysis of the evolved data, demonstrating that Tag-Evol is not only efficient but also generates more diverse and challenging data.")</f>
        <v>Evol-Instruct has made significant improvements as a data synthesis method in several areas. Existing methods typically rely on a fixed set of strategies to evolve, which require manual design and are monolithic in form. In addition, iterative evolution also makes the acquisition of hard samples expensive. In view of this, we propose the Tag-Evol framework, a more diverse and efficient instruction evolving method. Specifically, Tag-Evol uses diverse and specific knowledge tags as strategies to achieve controlled evolution by injecting different combinations of tags into the original instructions. Experiments with multiple backbones in mathematical and code domain benchmarks show that the proposed method generates significantly better evolved data than other methods. Furthermore, we conduct a thorough analysis of the evolved data, demonstrating that Tag-Evol is not only efficient but also generates more diverse and challenging data.</v>
      </c>
      <c r="D493" s="7" t="str">
        <f>IFERROR(__xludf.DUMMYFUNCTION("""COMPUTED_VALUE"""),"Yixuan Wang")</f>
        <v>Yixuan Wang</v>
      </c>
      <c r="E493" s="7" t="str">
        <f>IFERROR(__xludf.DUMMYFUNCTION("""COMPUTED_VALUE"""),"#N/A")</f>
        <v>#N/A</v>
      </c>
      <c r="F493" s="7" t="str">
        <f>IFERROR(__xludf.DUMMYFUNCTION("""COMPUTED_VALUE"""),"Not Pres. ")</f>
        <v>Not Pres. </v>
      </c>
      <c r="G493" s="7" t="str">
        <f>IFERROR(__xludf.DUMMYFUNCTION("""COMPUTED_VALUE"""),"NP Findings Not Presenting ")</f>
        <v>NP Findings Not Presenting </v>
      </c>
      <c r="H493" s="7"/>
      <c r="I493" s="7" t="str">
        <f>IFERROR(__xludf.DUMMYFUNCTION("""COMPUTED_VALUE"""),"NP-Find")</f>
        <v>NP-Find</v>
      </c>
      <c r="J493" s="7"/>
      <c r="K493" s="7"/>
      <c r="L493" s="8"/>
      <c r="M493" s="7"/>
      <c r="N493" s="7"/>
    </row>
    <row r="494">
      <c r="A494" s="7" t="str">
        <f>IFERROR(__xludf.DUMMYFUNCTION("""COMPUTED_VALUE"""),"1657-FIND")</f>
        <v>1657-FIND</v>
      </c>
      <c r="B494" s="7" t="str">
        <f>IFERROR(__xludf.DUMMYFUNCTION("""COMPUTED_VALUE"""),"Breaking the Ceiling: Exploring the Potential of Jailbreak Attacks through Expanding Strategy Space")</f>
        <v>Breaking the Ceiling: Exploring the Potential of Jailbreak Attacks through Expanding Strategy Space</v>
      </c>
      <c r="C494" s="7" t="str">
        <f>IFERROR(__xludf.DUMMYFUNCTION("""COMPUTED_VALUE"""),"Large Language Models (LLMs), despite advanced general capabilities, still suffer from numerous safety risks, especially jailbreak attacks that bypass safety protocols. Understanding these vulnerabilities through black-box jailbreak attacks, which better "&amp;"reflect real-world scenarios, offers critical insights into model robustness. While existing methods have shown improvements through various prompt engineering techniques, their success remains limited against safety-aligned models, overlooking a more fun"&amp;"damental problem: the effectiveness is inherently bounded by the predefined strategy spaces. However, expanding this space presents significant challenges in both systematically capturing essential attack patterns and efficiently navigating the increased "&amp;"complexity. To better explore the potential of expanding the strategy space, we address these challenges through a novel framework that decomposes jailbreak strategies into essential components based on the Elaboration Likelihood Model (ELM) theory and de"&amp;"velops genetic-based optimization with intention evaluation mechanisms. To be striking, our experiments reveal unprecedented jailbreak capabilities by expanding the strategy space: we achieve over 90\% success rate on Claude-3.5 where prior methods comple"&amp;"tely fail, while demonstrating strong cross-model transferability and surpassing specialized safeguard models in evaluation accuracy. The code is open-sourced at: https://github.com/Aries-iai/CL-GSO.")</f>
        <v>Large Language Models (LLMs), despite advanced general capabilities, still suffer from numerous safety risks, especially jailbreak attacks that bypass safety protocols. Understanding these vulnerabilities through black-box jailbreak attacks, which better reflect real-world scenarios, offers critical insights into model robustness. While existing methods have shown improvements through various prompt engineering techniques, their success remains limited against safety-aligned models, overlooking a more fundamental problem: the effectiveness is inherently bounded by the predefined strategy spaces. However, expanding this space presents significant challenges in both systematically capturing essential attack patterns and efficiently navigating the increased complexity. To better explore the potential of expanding the strategy space, we address these challenges through a novel framework that decomposes jailbreak strategies into essential components based on the Elaboration Likelihood Model (ELM) theory and develops genetic-based optimization with intention evaluation mechanisms. To be striking, our experiments reveal unprecedented jailbreak capabilities by expanding the strategy space: we achieve over 90\% success rate on Claude-3.5 where prior methods completely fail, while demonstrating strong cross-model transferability and surpassing specialized safeguard models in evaluation accuracy. The code is open-sourced at: https://github.com/Aries-iai/CL-GSO.</v>
      </c>
      <c r="D494" s="7" t="str">
        <f>IFERROR(__xludf.DUMMYFUNCTION("""COMPUTED_VALUE"""),"Xingxing Wei")</f>
        <v>Xingxing Wei</v>
      </c>
      <c r="E494" s="7" t="str">
        <f>IFERROR(__xludf.DUMMYFUNCTION("""COMPUTED_VALUE"""),"#N/A")</f>
        <v>#N/A</v>
      </c>
      <c r="F494" s="7" t="str">
        <f>IFERROR(__xludf.DUMMYFUNCTION("""COMPUTED_VALUE"""),"Not Pres. ")</f>
        <v>Not Pres. </v>
      </c>
      <c r="G494" s="7" t="str">
        <f>IFERROR(__xludf.DUMMYFUNCTION("""COMPUTED_VALUE"""),"NP Findings Not Presenting ")</f>
        <v>NP Findings Not Presenting </v>
      </c>
      <c r="H494" s="7"/>
      <c r="I494" s="7" t="str">
        <f>IFERROR(__xludf.DUMMYFUNCTION("""COMPUTED_VALUE"""),"NP-Find")</f>
        <v>NP-Find</v>
      </c>
      <c r="J494" s="7"/>
      <c r="K494" s="7"/>
      <c r="L494" s="8"/>
      <c r="M494" s="7"/>
      <c r="N494" s="7"/>
    </row>
    <row r="495">
      <c r="A495" s="7" t="str">
        <f>IFERROR(__xludf.DUMMYFUNCTION("""COMPUTED_VALUE"""),"1660-FIND")</f>
        <v>1660-FIND</v>
      </c>
      <c r="B495" s="7" t="str">
        <f>IFERROR(__xludf.DUMMYFUNCTION("""COMPUTED_VALUE"""),"GeNRe: a French Gender-Neutral Rewriting System Using Collective Nouns")</f>
        <v>GeNRe: a French Gender-Neutral Rewriting System Using Collective Nouns</v>
      </c>
      <c r="C495" s="7" t="str">
        <f>IFERROR(__xludf.DUMMYFUNCTION("""COMPUTED_VALUE"""),"A significant portion of the textual data used in the field of Natural Language Processing (NLP) exhibits gender biases, particularly due to the use of masculine generics (masculine words that are supposed to refer to mixed groups of men and women), which"&amp;" can perpetuate and amplify stereotypes. Gender rewriting, a NLP task that involves automatically detecting and replacing gendered forms with neutral or opposite forms (e.g., from masculine to feminine), can be employed to mitigate these biases. While suc"&amp;"h systems have been developed in a number of languages (English, Arabic, Portuguese, German, French), automatic use of gender neutralization techniques (as opposed to inclusive or gender-switching techniques) has only been studied for English. This paper "&amp;"presents GeNRe, the very first French gender-neutral rewriting system using collective nouns, which are gender-fixed in French. We introduce a rule-based system (RBS) tailored for the French language alongside two fine-tuned large language models trained "&amp;"on data generated by our RBS. We also explore the use of instruction models to enhance the performance of our other systems and find that Claude 3 Opus combined with our dictionary achieves results close to our RBS. Through this contribution, we hope to p"&amp;"romote the advancement of gender bias mitigation techniques in NLP for French.")</f>
        <v>A significant portion of the textual data used in the field of Natural Language Processing (NLP) exhibits gender biases, particularly due to the use of masculine generics (masculine words that are supposed to refer to mixed groups of men and women), which can perpetuate and amplify stereotypes. Gender rewriting, a NLP task that involves automatically detecting and replacing gendered forms with neutral or opposite forms (e.g., from masculine to feminine), can be employed to mitigate these biases. While such systems have been developed in a number of languages (English, Arabic, Portuguese, German, French), automatic use of gender neutralization techniques (as opposed to inclusive or gender-switching techniques) has only been studied for English. This paper presents GeNRe, the very first French gender-neutral rewriting system using collective nouns, which are gender-fixed in French. We introduce a rule-based system (RBS) tailored for the French language alongside two fine-tuned large language models trained on data generated by our RBS. We also explore the use of instruction models to enhance the performance of our other systems and find that Claude 3 Opus combined with our dictionary achieves results close to our RBS. Through this contribution, we hope to promote the advancement of gender bias mitigation techniques in NLP for French.</v>
      </c>
      <c r="D495" s="7" t="str">
        <f>IFERROR(__xludf.DUMMYFUNCTION("""COMPUTED_VALUE"""),"Enzo Doyen")</f>
        <v>Enzo Doyen</v>
      </c>
      <c r="E495" s="7" t="str">
        <f>IFERROR(__xludf.DUMMYFUNCTION("""COMPUTED_VALUE"""),"Yes")</f>
        <v>Yes</v>
      </c>
      <c r="F495" s="7" t="str">
        <f>IFERROR(__xludf.DUMMYFUNCTION("""COMPUTED_VALUE"""),"IP-Poster")</f>
        <v>IP-Poster</v>
      </c>
      <c r="G495" s="7" t="str">
        <f>IFERROR(__xludf.DUMMYFUNCTION("""COMPUTED_VALUE"""),"In-Person")</f>
        <v>In-Person</v>
      </c>
      <c r="H495" s="7" t="str">
        <f>IFERROR(__xludf.DUMMYFUNCTION("""COMPUTED_VALUE"""),"Hall 4/5")</f>
        <v>Hall 4/5</v>
      </c>
      <c r="I495" s="7" t="str">
        <f>IFERROR(__xludf.DUMMYFUNCTION("""COMPUTED_VALUE"""),"Session 5 :IP-Posters Find ")</f>
        <v>Session 5 :IP-Posters Find </v>
      </c>
      <c r="J495" s="7" t="str">
        <f>IFERROR(__xludf.DUMMYFUNCTION("""COMPUTED_VALUE"""),"Findings Posters - In-Person 1")</f>
        <v>Findings Posters - In-Person 1</v>
      </c>
      <c r="K495" s="7"/>
      <c r="L495" s="8">
        <f>IFERROR(__xludf.DUMMYFUNCTION("""COMPUTED_VALUE"""),45866.0)</f>
        <v>45866</v>
      </c>
      <c r="M495" s="7" t="str">
        <f>IFERROR(__xludf.DUMMYFUNCTION("""COMPUTED_VALUE"""),"18:00-19:30")</f>
        <v>18:00-19:30</v>
      </c>
      <c r="N495" s="7"/>
    </row>
    <row r="496">
      <c r="A496" s="7" t="str">
        <f>IFERROR(__xludf.DUMMYFUNCTION("""COMPUTED_VALUE"""),"1664-FIND")</f>
        <v>1664-FIND</v>
      </c>
      <c r="B496" s="7" t="str">
        <f>IFERROR(__xludf.DUMMYFUNCTION("""COMPUTED_VALUE"""),"LGAR: Zero-Shot LLM-Guided Neural Ranking for Abstract Screening in Systematic Literature Reviews")</f>
        <v>LGAR: Zero-Shot LLM-Guided Neural Ranking for Abstract Screening in Systematic Literature Reviews</v>
      </c>
      <c r="C496" s="7" t="str">
        <f>IFERROR(__xludf.DUMMYFUNCTION("""COMPUTED_VALUE"""),"The scientific literature is growing rapidly, making it hard to keep track of the state-of-the-art. Systematic literature reviews (SLRs) aim to identify and evaluate all relevant papers on a topic. After retrieving a set of candidate papers, the abstract "&amp;"screening phase determines initial relevance. To date, abstract screening methods using large language models (LLMs) focus on binary classification settings; existing question answering (QA) based ranking approaches suffer from error propagation. LLMs off"&amp;"er a unique opportunity to evaluate the SLR’s inclusion and exclusion criteria, yet, existing benchmarks do not provide them exhaustively. We manually extract these criteria as well as research questions for 57 SLRs, enabling principled comparisons betwee"&amp;"n approaches. Moreover, we propose LGAR, a zero-shot LLM Guided Abstract Ranker composed of an LLM based graded relevance scorer and a dense re-ranker. Our extensive experiments show that LGAR outperforms existing QA-based methods by 5-10 pp. in mean aver"&amp;"age precision. Our code and data is publicly available.")</f>
        <v>The scientific literature is growing rapidly, making it hard to keep track of the state-of-the-art. Systematic literature reviews (SLRs) aim to identify and evaluate all relevant papers on a topic. After retrieving a set of candidate papers, the abstract screening phase determines initial relevance. To date, abstract screening methods using large language models (LLMs) focus on binary classification settings; existing question answering (QA) based ranking approaches suffer from error propagation. LLMs offer a unique opportunity to evaluate the SLR’s inclusion and exclusion criteria, yet, existing benchmarks do not provide them exhaustively. We manually extract these criteria as well as research questions for 57 SLRs, enabling principled comparisons between approaches. Moreover, we propose LGAR, a zero-shot LLM Guided Abstract Ranker composed of an LLM based graded relevance scorer and a dense re-ranker. Our extensive experiments show that LGAR outperforms existing QA-based methods by 5-10 pp. in mean average precision. Our code and data is publicly available.</v>
      </c>
      <c r="D496" s="7" t="str">
        <f>IFERROR(__xludf.DUMMYFUNCTION("""COMPUTED_VALUE"""),"Christian Jaumann")</f>
        <v>Christian Jaumann</v>
      </c>
      <c r="E496" s="7" t="str">
        <f>IFERROR(__xludf.DUMMYFUNCTION("""COMPUTED_VALUE"""),"Yes")</f>
        <v>Yes</v>
      </c>
      <c r="F496" s="7" t="str">
        <f>IFERROR(__xludf.DUMMYFUNCTION("""COMPUTED_VALUE"""),"IP-Poster")</f>
        <v>IP-Poster</v>
      </c>
      <c r="G496" s="7" t="str">
        <f>IFERROR(__xludf.DUMMYFUNCTION("""COMPUTED_VALUE"""),"In-Person")</f>
        <v>In-Person</v>
      </c>
      <c r="H496" s="7" t="str">
        <f>IFERROR(__xludf.DUMMYFUNCTION("""COMPUTED_VALUE"""),"Hall 4/5")</f>
        <v>Hall 4/5</v>
      </c>
      <c r="I496" s="7" t="str">
        <f>IFERROR(__xludf.DUMMYFUNCTION("""COMPUTED_VALUE"""),"Session 5 :IP-Posters Find ")</f>
        <v>Session 5 :IP-Posters Find </v>
      </c>
      <c r="J496" s="7" t="str">
        <f>IFERROR(__xludf.DUMMYFUNCTION("""COMPUTED_VALUE"""),"Findings Posters - In-Person 1")</f>
        <v>Findings Posters - In-Person 1</v>
      </c>
      <c r="K496" s="7"/>
      <c r="L496" s="8">
        <f>IFERROR(__xludf.DUMMYFUNCTION("""COMPUTED_VALUE"""),45866.0)</f>
        <v>45866</v>
      </c>
      <c r="M496" s="7" t="str">
        <f>IFERROR(__xludf.DUMMYFUNCTION("""COMPUTED_VALUE"""),"18:00-19:30")</f>
        <v>18:00-19:30</v>
      </c>
      <c r="N496" s="7"/>
    </row>
    <row r="497">
      <c r="A497" s="7" t="str">
        <f>IFERROR(__xludf.DUMMYFUNCTION("""COMPUTED_VALUE"""),"1672-FIND")</f>
        <v>1672-FIND</v>
      </c>
      <c r="B497" s="7" t="str">
        <f>IFERROR(__xludf.DUMMYFUNCTION("""COMPUTED_VALUE"""),"LCHAIM - Investigating Long Context Reasoning in Hebrew")</f>
        <v>LCHAIM - Investigating Long Context Reasoning in Hebrew</v>
      </c>
      <c r="C497" s="7" t="str">
        <f>IFERROR(__xludf.DUMMYFUNCTION("""COMPUTED_VALUE"""),"Natural Language Inference (NLI) has gained significant attention recently due to its importance in understanding how machines comprehend and reason about language. While English has received tremendous interest, Morphologically Rich Languages (MRLs) like"&amp;" Hebrew, require more research. In this paper, we address the evaluation of Hebrew NLI models by introducing LCHAIM, a dataset designed to evaluate these models on tasks involving long premises and complex reasoning. The dataset, created by translating an"&amp;"d validating the English ConTRoL dataset, consists of 8,325 context-hypothesis pairs that require coreferential, temporal, logical and analytical reasoning. Our experiments show the difficulty of contextual reasoning in Hebrew, as evidenced by the perform"&amp;"ance of different models. Fine-tuning the LongHero model on both the shorter premise Hebrew NLI and the LCHAIM datasets yielded a mean accuracy of 52%, that is 35% less than human performance. Similarly, Large language Models (LLMs) like Gemma-9B, Dicta-L"&amp;"M-2.0-7B, and GPT-4o achieved a top mean accuracy of 60.12% in few-shot setting.")</f>
        <v>Natural Language Inference (NLI) has gained significant attention recently due to its importance in understanding how machines comprehend and reason about language. While English has received tremendous interest, Morphologically Rich Languages (MRLs) like Hebrew, require more research. In this paper, we address the evaluation of Hebrew NLI models by introducing LCHAIM, a dataset designed to evaluate these models on tasks involving long premises and complex reasoning. The dataset, created by translating and validating the English ConTRoL dataset, consists of 8,325 context-hypothesis pairs that require coreferential, temporal, logical and analytical reasoning. Our experiments show the difficulty of contextual reasoning in Hebrew, as evidenced by the performance of different models. Fine-tuning the LongHero model on both the shorter premise Hebrew NLI and the LCHAIM datasets yielded a mean accuracy of 52%, that is 35% less than human performance. Similarly, Large language Models (LLMs) like Gemma-9B, Dicta-LM-2.0-7B, and GPT-4o achieved a top mean accuracy of 60.12% in few-shot setting.</v>
      </c>
      <c r="D497" s="7" t="str">
        <f>IFERROR(__xludf.DUMMYFUNCTION("""COMPUTED_VALUE"""),"Elior Sulem")</f>
        <v>Elior Sulem</v>
      </c>
      <c r="E497" s="7" t="str">
        <f>IFERROR(__xludf.DUMMYFUNCTION("""COMPUTED_VALUE"""),"Yes")</f>
        <v>Yes</v>
      </c>
      <c r="F497" s="7" t="str">
        <f>IFERROR(__xludf.DUMMYFUNCTION("""COMPUTED_VALUE"""),"IP-Poster")</f>
        <v>IP-Poster</v>
      </c>
      <c r="G497" s="7" t="str">
        <f>IFERROR(__xludf.DUMMYFUNCTION("""COMPUTED_VALUE"""),"In-Person")</f>
        <v>In-Person</v>
      </c>
      <c r="H497" s="7" t="str">
        <f>IFERROR(__xludf.DUMMYFUNCTION("""COMPUTED_VALUE"""),"Hall 4/5")</f>
        <v>Hall 4/5</v>
      </c>
      <c r="I497" s="7" t="str">
        <f>IFERROR(__xludf.DUMMYFUNCTION("""COMPUTED_VALUE"""),"Session 5 :IP-Posters Find ")</f>
        <v>Session 5 :IP-Posters Find </v>
      </c>
      <c r="J497" s="7" t="str">
        <f>IFERROR(__xludf.DUMMYFUNCTION("""COMPUTED_VALUE"""),"Findings Posters - In-Person 1")</f>
        <v>Findings Posters - In-Person 1</v>
      </c>
      <c r="K497" s="7"/>
      <c r="L497" s="8">
        <f>IFERROR(__xludf.DUMMYFUNCTION("""COMPUTED_VALUE"""),45866.0)</f>
        <v>45866</v>
      </c>
      <c r="M497" s="7" t="str">
        <f>IFERROR(__xludf.DUMMYFUNCTION("""COMPUTED_VALUE"""),"18:00-19:30")</f>
        <v>18:00-19:30</v>
      </c>
      <c r="N497" s="7"/>
    </row>
    <row r="498">
      <c r="A498" s="7" t="str">
        <f>IFERROR(__xludf.DUMMYFUNCTION("""COMPUTED_VALUE"""),"1673-FIND")</f>
        <v>1673-FIND</v>
      </c>
      <c r="B498" s="7" t="str">
        <f>IFERROR(__xludf.DUMMYFUNCTION("""COMPUTED_VALUE"""),"CLeVeR: Multi-modal Contrastive Learning for Vulnerability Code Representation")</f>
        <v>CLeVeR: Multi-modal Contrastive Learning for Vulnerability Code Representation</v>
      </c>
      <c r="C498" s="7" t="str">
        <f>IFERROR(__xludf.DUMMYFUNCTION("""COMPUTED_VALUE"""),"Automated vulnerability detection has become increasingly important. Many existing methods utilize deep learning models to obtain code representations for vulnerability detection. However, these approaches predominantly capture the overall semantics of th"&amp;"e code rather than its intrinsic vulnerability-specific semantics. To address this issue, we propose CLeVeR, the first approach that leverages contrastive learning to generate precise vulnerability code representations under the supervision of vulnerabili"&amp;"ty descriptions. Specifically, we introduce an Adapter, a Representation Refinement module, and a Description Simulator to mitigate the challenges of semantic misalignment and imbalance between code and descriptions, and input data inconsistency between p"&amp;"re-training and fine-tuning stages, respectively. For vulnerability detection and classification tasks, CLeVeR achieves F1 scores of 72.82% (real-world dataset) and 80.34%, outperforming state-of-the-art methods (SOTAs) by 11.85% and 13.61%. Additionally,"&amp;" CLeVeR also outperforms SOTAs in zero-shot inference, demonstrating the transferability of its generated vulnerability code representations.")</f>
        <v>Automated vulnerability detection has become increasingly important. Many existing methods utilize deep learning models to obtain code representations for vulnerability detection. However, these approaches predominantly capture the overall semantics of the code rather than its intrinsic vulnerability-specific semantics. To address this issue, we propose CLeVeR, the first approach that leverages contrastive learning to generate precise vulnerability code representations under the supervision of vulnerability descriptions. Specifically, we introduce an Adapter, a Representation Refinement module, and a Description Simulator to mitigate the challenges of semantic misalignment and imbalance between code and descriptions, and input data inconsistency between pre-training and fine-tuning stages, respectively. For vulnerability detection and classification tasks, CLeVeR achieves F1 scores of 72.82% (real-world dataset) and 80.34%, outperforming state-of-the-art methods (SOTAs) by 11.85% and 13.61%. Additionally, CLeVeR also outperforms SOTAs in zero-shot inference, demonstrating the transferability of its generated vulnerability code representations.</v>
      </c>
      <c r="D498" s="7" t="str">
        <f>IFERROR(__xludf.DUMMYFUNCTION("""COMPUTED_VALUE"""),"findings paper not attending the conference")</f>
        <v>findings paper not attending the conference</v>
      </c>
      <c r="E498" s="7" t="str">
        <f>IFERROR(__xludf.DUMMYFUNCTION("""COMPUTED_VALUE"""),"#N/A")</f>
        <v>#N/A</v>
      </c>
      <c r="F498" s="7" t="str">
        <f>IFERROR(__xludf.DUMMYFUNCTION("""COMPUTED_VALUE"""),"Not Pres. ")</f>
        <v>Not Pres. </v>
      </c>
      <c r="G498" s="7" t="str">
        <f>IFERROR(__xludf.DUMMYFUNCTION("""COMPUTED_VALUE"""),"NP Findings Not Presenting ")</f>
        <v>NP Findings Not Presenting </v>
      </c>
      <c r="H498" s="7"/>
      <c r="I498" s="7" t="str">
        <f>IFERROR(__xludf.DUMMYFUNCTION("""COMPUTED_VALUE"""),"NP-Find")</f>
        <v>NP-Find</v>
      </c>
      <c r="J498" s="7"/>
      <c r="K498" s="7"/>
      <c r="L498" s="8"/>
      <c r="M498" s="7"/>
      <c r="N498" s="7"/>
    </row>
    <row r="499">
      <c r="A499" s="7" t="str">
        <f>IFERROR(__xludf.DUMMYFUNCTION("""COMPUTED_VALUE"""),"1674-FIND")</f>
        <v>1674-FIND</v>
      </c>
      <c r="B499" s="7" t="str">
        <f>IFERROR(__xludf.DUMMYFUNCTION("""COMPUTED_VALUE"""),"MEMIT-Merge: Addressing MEMIT's Key-Value Conflicts in Same-Subject Batch Editing for LLMs")</f>
        <v>MEMIT-Merge: Addressing MEMIT's Key-Value Conflicts in Same-Subject Batch Editing for LLMs</v>
      </c>
      <c r="C499" s="7" t="str">
        <f>IFERROR(__xludf.DUMMYFUNCTION("""COMPUTED_VALUE"""),"As large language models (LLMs) continue to scale up, knowledge editing techniques that modify models' internal knowledge without full retraining have gained significant attention. MEMIT, a prominent batch editing algorithm, stands out for its capability "&amp;"to perform mass knowledge modifications. However, we uncovers a critical limitation that MEMIT's editing efficacy significantly deteriorates when processing batches containing multiple edits sharing the same subject. Our analysis reveals the root cause li"&amp;"es in MEMIT’s key-value modeling framework: when multiple facts with the same subject in a batch are modeled through MEMIT's key-value mechanism, identical keys (derived from the shared subject) are forced to represent different values (corresponding to d"&amp;"istinct knowledge), resulting in update conflicts during editing. Addressing this issue, we propose MEMIT-Merge, an enhanced approach that merges value computation processes for facts sharing the same subject, effectively resolving the performance degrada"&amp;"tion in same-subject batch editing scenarios. Experimental results demonstrate that at a batch size of 5, while the original MEMIT's success rate drops to 46%, MEMIT-Merge maintains a 98% editing success rate, showcasing remarkable robustness to subject e"&amp;"ntity collisions.")</f>
        <v>As large language models (LLMs) continue to scale up, knowledge editing techniques that modify models' internal knowledge without full retraining have gained significant attention. MEMIT, a prominent batch editing algorithm, stands out for its capability to perform mass knowledge modifications. However, we uncovers a critical limitation that MEMIT's editing efficacy significantly deteriorates when processing batches containing multiple edits sharing the same subject. Our analysis reveals the root cause lies in MEMIT’s key-value modeling framework: when multiple facts with the same subject in a batch are modeled through MEMIT's key-value mechanism, identical keys (derived from the shared subject) are forced to represent different values (corresponding to distinct knowledge), resulting in update conflicts during editing. Addressing this issue, we propose MEMIT-Merge, an enhanced approach that merges value computation processes for facts sharing the same subject, effectively resolving the performance degradation in same-subject batch editing scenarios. Experimental results demonstrate that at a batch size of 5, while the original MEMIT's success rate drops to 46%, MEMIT-Merge maintains a 98% editing success rate, showcasing remarkable robustness to subject entity collisions.</v>
      </c>
      <c r="D499" s="7" t="str">
        <f>IFERROR(__xludf.DUMMYFUNCTION("""COMPUTED_VALUE"""),"Zilu Dong")</f>
        <v>Zilu Dong</v>
      </c>
      <c r="E499" s="7" t="str">
        <f>IFERROR(__xludf.DUMMYFUNCTION("""COMPUTED_VALUE"""),"Yes")</f>
        <v>Yes</v>
      </c>
      <c r="F499" s="7" t="str">
        <f>IFERROR(__xludf.DUMMYFUNCTION("""COMPUTED_VALUE"""),"IP-Poster")</f>
        <v>IP-Poster</v>
      </c>
      <c r="G499" s="7" t="str">
        <f>IFERROR(__xludf.DUMMYFUNCTION("""COMPUTED_VALUE"""),"In-Person")</f>
        <v>In-Person</v>
      </c>
      <c r="H499" s="7" t="str">
        <f>IFERROR(__xludf.DUMMYFUNCTION("""COMPUTED_VALUE"""),"Hall 4/5")</f>
        <v>Hall 4/5</v>
      </c>
      <c r="I499" s="7" t="str">
        <f>IFERROR(__xludf.DUMMYFUNCTION("""COMPUTED_VALUE"""),"Session 10: IP-Posters")</f>
        <v>Session 10: IP-Posters</v>
      </c>
      <c r="J499" s="7" t="str">
        <f>IFERROR(__xludf.DUMMYFUNCTION("""COMPUTED_VALUE"""),"Findings Posters - In-Person 3")</f>
        <v>Findings Posters - In-Person 3</v>
      </c>
      <c r="K499" s="7"/>
      <c r="L499" s="8">
        <f>IFERROR(__xludf.DUMMYFUNCTION("""COMPUTED_VALUE"""),45867.0)</f>
        <v>45867</v>
      </c>
      <c r="M499" s="7" t="str">
        <f>IFERROR(__xludf.DUMMYFUNCTION("""COMPUTED_VALUE"""),"16:00-17:30")</f>
        <v>16:00-17:30</v>
      </c>
      <c r="N499" s="7"/>
    </row>
    <row r="500">
      <c r="A500" s="7" t="str">
        <f>IFERROR(__xludf.DUMMYFUNCTION("""COMPUTED_VALUE"""),"1677-FIND")</f>
        <v>1677-FIND</v>
      </c>
      <c r="B500" s="7" t="str">
        <f>IFERROR(__xludf.DUMMYFUNCTION("""COMPUTED_VALUE"""),"Large Language Models for Predictive Analysis: How Far Are They?")</f>
        <v>Large Language Models for Predictive Analysis: How Far Are They?</v>
      </c>
      <c r="C500" s="7" t="str">
        <f>IFERROR(__xludf.DUMMYFUNCTION("""COMPUTED_VALUE"""),"Predictive analysis is a cornerstone of modern decision-making, with applications in various domains. Large Language Models (LLMs) have emerged as powerful tools in enabling nuanced, knowledge-intensive conversations, thus aiding in complex decision-makin"&amp;"g tasks. With the burgeoning expectation to harness LLMs for predictive analysis, there is an urgent need to systematically assess their capability in this domain. However, there are no relevant evaluations in existing studies. To bridge this gap, we intr"&amp;"oduce the PredictiQ benchmark, which integrates 1130 sophisticated predictive analysis queries originating from 44 real-world datasets of 8 diverse fields. We design an evaluation protocol considering text analysis, code generation, and their alignment. T"&amp;"welve renowned LLMs are evaluated, offering insights into their practical use in predictive analysis.")</f>
        <v>Predictive analysis is a cornerstone of modern decision-making, with applications in various domains. Large Language Models (LLMs) have emerged as powerful tools in enabling nuanced, knowledge-intensive conversations, thus aiding in complex decision-making tasks. With the burgeoning expectation to harness LLMs for predictive analysis, there is an urgent need to systematically assess their capability in this domain. However, there are no relevant evaluations in existing studies. To bridge this gap, we introduce the PredictiQ benchmark, which integrates 1130 sophisticated predictive analysis queries originating from 44 real-world datasets of 8 diverse fields. We design an evaluation protocol considering text analysis, code generation, and their alignment. Twelve renowned LLMs are evaluated, offering insights into their practical use in predictive analysis.</v>
      </c>
      <c r="D500" s="7" t="str">
        <f>IFERROR(__xludf.DUMMYFUNCTION("""COMPUTED_VALUE"""),"N/A")</f>
        <v>N/A</v>
      </c>
      <c r="E500" s="7" t="str">
        <f>IFERROR(__xludf.DUMMYFUNCTION("""COMPUTED_VALUE"""),"#N/A")</f>
        <v>#N/A</v>
      </c>
      <c r="F500" s="7" t="str">
        <f>IFERROR(__xludf.DUMMYFUNCTION("""COMPUTED_VALUE"""),"Not Pres. ")</f>
        <v>Not Pres. </v>
      </c>
      <c r="G500" s="7" t="str">
        <f>IFERROR(__xludf.DUMMYFUNCTION("""COMPUTED_VALUE"""),"NP Findings Not Presenting ")</f>
        <v>NP Findings Not Presenting </v>
      </c>
      <c r="H500" s="7"/>
      <c r="I500" s="7" t="str">
        <f>IFERROR(__xludf.DUMMYFUNCTION("""COMPUTED_VALUE"""),"NP-Find")</f>
        <v>NP-Find</v>
      </c>
      <c r="J500" s="7"/>
      <c r="K500" s="7"/>
      <c r="L500" s="8"/>
      <c r="M500" s="7"/>
      <c r="N500" s="7"/>
    </row>
    <row r="501">
      <c r="A501" s="7" t="str">
        <f>IFERROR(__xludf.DUMMYFUNCTION("""COMPUTED_VALUE"""),"1678-FIND")</f>
        <v>1678-FIND</v>
      </c>
      <c r="B501" s="7" t="str">
        <f>IFERROR(__xludf.DUMMYFUNCTION("""COMPUTED_VALUE"""),"Think More, Hallucinate Less: Mitigating Hallucinations via Dual Process of Fast and Slow Thinking")</f>
        <v>Think More, Hallucinate Less: Mitigating Hallucinations via Dual Process of Fast and Slow Thinking</v>
      </c>
      <c r="C501" s="7" t="str">
        <f>IFERROR(__xludf.DUMMYFUNCTION("""COMPUTED_VALUE"""),"Large language models (LLMs) demonstrate exceptional capabilities, yet still face the hallucination issue. Typical text generation approaches adopt an auto-regressive generation without deliberate reasoning, often leading to untrustworthy and factually in"&amp;"accurate responses. In this paper, we propose HaluSearch, a novel framework that incorporates tree search-based algorithms (e.g., MCTS) to enable an explicit slow thinking generation process for mitigating hallucinations during inference. Specifically, Ha"&amp;"luSearch frames text generation as a step-by-step reasoning process, using a self-evaluation reward model to score each generation step and guide the tree search towards the most reliable generation pathway. To balance efficiency and quality, we introduce"&amp;" a hierarchical system switch mechanism, which dynamically switches between fast and slow thinking modes at both instance and step levels. We conduct extensive experiments on both English and Chinese datasets, and the results show that our approach signif"&amp;"icantly outperforms baseline approaches.")</f>
        <v>Large language models (LLMs) demonstrate exceptional capabilities, yet still face the hallucination issue. Typical text generation approaches adopt an auto-regressive generation without deliberate reasoning, often leading to untrustworthy and factually inaccurate responses. In this paper, we propose HaluSearch, a novel framework that incorporates tree search-based algorithms (e.g., MCTS) to enable an explicit slow thinking generation process for mitigating hallucinations during inference. Specifically, HaluSearch frames text generation as a step-by-step reasoning process, using a self-evaluation reward model to score each generation step and guide the tree search towards the most reliable generation pathway. To balance efficiency and quality, we introduce a hierarchical system switch mechanism, which dynamically switches between fast and slow thinking modes at both instance and step levels. We conduct extensive experiments on both English and Chinese datasets, and the results show that our approach significantly outperforms baseline approaches.</v>
      </c>
      <c r="D501" s="7" t="str">
        <f>IFERROR(__xludf.DUMMYFUNCTION("""COMPUTED_VALUE"""),"Xiaoxue Cheng")</f>
        <v>Xiaoxue Cheng</v>
      </c>
      <c r="E501" s="7" t="str">
        <f>IFERROR(__xludf.DUMMYFUNCTION("""COMPUTED_VALUE"""),"#N/A")</f>
        <v>#N/A</v>
      </c>
      <c r="F501" s="7" t="str">
        <f>IFERROR(__xludf.DUMMYFUNCTION("""COMPUTED_VALUE"""),"Not Pres. ")</f>
        <v>Not Pres. </v>
      </c>
      <c r="G501" s="7" t="str">
        <f>IFERROR(__xludf.DUMMYFUNCTION("""COMPUTED_VALUE"""),"NP Findings Not Presenting ")</f>
        <v>NP Findings Not Presenting </v>
      </c>
      <c r="H501" s="7"/>
      <c r="I501" s="7" t="str">
        <f>IFERROR(__xludf.DUMMYFUNCTION("""COMPUTED_VALUE"""),"NP-Find")</f>
        <v>NP-Find</v>
      </c>
      <c r="J501" s="7"/>
      <c r="K501" s="7"/>
      <c r="L501" s="8"/>
      <c r="M501" s="7"/>
      <c r="N501" s="7"/>
    </row>
    <row r="502">
      <c r="A502" s="7" t="str">
        <f>IFERROR(__xludf.DUMMYFUNCTION("""COMPUTED_VALUE"""),"1679-FIND")</f>
        <v>1679-FIND</v>
      </c>
      <c r="B502" s="7" t="str">
        <f>IFERROR(__xludf.DUMMYFUNCTION("""COMPUTED_VALUE"""),"Towards Adaptive Memory-Based Optimization for Enhanced Retrieval-Augmented Generation")</f>
        <v>Towards Adaptive Memory-Based Optimization for Enhanced Retrieval-Augmented Generation</v>
      </c>
      <c r="C502" s="7" t="str">
        <f>IFERROR(__xludf.DUMMYFUNCTION("""COMPUTED_VALUE"""),"Retrieval-Augmented Generation (RAG), by integrating non-parametric knowledge from external knowledge bases into models, has emerged as a promising approach to enhancing response accuracy while mitigating factual errors and hallucinations. This method has"&amp;" been widely applied in tasks such as Question Answering (QA). However, existing RAG methods struggle with open-domain QA tasks because they perform independent retrieval operations and directly incorporate the retrieved information into generation withou"&amp;"t maintaining a summarizing memory or using adaptive retrieval strategies, leading to noise from redundant information and insufficient information integration.To address these challenges, we propose Adaptive memory-based optimization for enhanced RAG (Am"&amp;"ber) for open-domain QA tasks, which comprises an Agent-based Memory Updater, an Adaptive Information Collector, and a Multi-granular Content Filter, working together within an iterative memory updating paradigm. Specifically, Amber integrates and optimiz"&amp;"es the language model's memory through a multi-agent collaborative approach, ensuring comprehensive knowledge integration from previous retrieval steps. It dynamically adjusts retrieval queries and decides when to stop retrieval based on the accumulated k"&amp;"nowledge, enhancing retrieval efficiency and effectiveness. Additionally, it reduces noise by filtering irrelevant content at multiple levels, retaining essential information to improve overall model performance. We conduct extensive experiments on severa"&amp;"l open-domain QA datasets, and the results demonstrate the superiority and effectiveness of our method and its components. The source code is available \footnote{https://anonymous.4open.science/r/Amber-B203/}.")</f>
        <v>Retrieval-Augmented Generation (RAG), by integrating non-parametric knowledge from external knowledge bases into models, has emerged as a promising approach to enhancing response accuracy while mitigating factual errors and hallucinations. This method has been widely applied in tasks such as Question Answering (QA). However, existing RAG methods struggle with open-domain QA tasks because they perform independent retrieval operations and directly incorporate the retrieved information into generation without maintaining a summarizing memory or using adaptive retrieval strategies, leading to noise from redundant information and insufficient information integration.To address these challenges, we propose Adaptive memory-based optimization for enhanced RAG (Amber) for open-domain QA tasks, which comprises an Agent-based Memory Updater, an Adaptive Information Collector, and a Multi-granular Content Filter, working together within an iterative memory updating paradigm. Specifically, Amber integrates and optimizes the language model's memory through a multi-agent collaborative approach, ensuring comprehensive knowledge integration from previous retrieval steps. It dynamically adjusts retrieval queries and decides when to stop retrieval based on the accumulated knowledge, enhancing retrieval efficiency and effectiveness. Additionally, it reduces noise by filtering irrelevant content at multiple levels, retaining essential information to improve overall model performance. We conduct extensive experiments on several open-domain QA datasets, and the results demonstrate the superiority and effectiveness of our method and its components. The source code is available \footnote{https://anonymous.4open.science/r/Amber-B203/}.</v>
      </c>
      <c r="D502" s="7" t="str">
        <f>IFERROR(__xludf.DUMMYFUNCTION("""COMPUTED_VALUE"""),"we do not plan to present")</f>
        <v>we do not plan to present</v>
      </c>
      <c r="E502" s="7" t="str">
        <f>IFERROR(__xludf.DUMMYFUNCTION("""COMPUTED_VALUE"""),"#N/A")</f>
        <v>#N/A</v>
      </c>
      <c r="F502" s="7" t="str">
        <f>IFERROR(__xludf.DUMMYFUNCTION("""COMPUTED_VALUE"""),"Not Pres. ")</f>
        <v>Not Pres. </v>
      </c>
      <c r="G502" s="7" t="str">
        <f>IFERROR(__xludf.DUMMYFUNCTION("""COMPUTED_VALUE"""),"NP Findings Not Presenting ")</f>
        <v>NP Findings Not Presenting </v>
      </c>
      <c r="H502" s="7"/>
      <c r="I502" s="7" t="str">
        <f>IFERROR(__xludf.DUMMYFUNCTION("""COMPUTED_VALUE"""),"NP-Find")</f>
        <v>NP-Find</v>
      </c>
      <c r="J502" s="7"/>
      <c r="K502" s="7"/>
      <c r="L502" s="8"/>
      <c r="M502" s="7"/>
      <c r="N502" s="7"/>
    </row>
    <row r="503">
      <c r="A503" s="7" t="str">
        <f>IFERROR(__xludf.DUMMYFUNCTION("""COMPUTED_VALUE"""),"1682-FIND")</f>
        <v>1682-FIND</v>
      </c>
      <c r="B503" s="7" t="str">
        <f>IFERROR(__xludf.DUMMYFUNCTION("""COMPUTED_VALUE"""),"Enhancing Cross-Tokenizer Knowledge Distillation with Contextual Dynamical Mapping")</f>
        <v>Enhancing Cross-Tokenizer Knowledge Distillation with Contextual Dynamical Mapping</v>
      </c>
      <c r="C503" s="7" t="str">
        <f>IFERROR(__xludf.DUMMYFUNCTION("""COMPUTED_VALUE"""),"Knowledge Distillation (KD) has emerged as a prominent technique for model compression. However, conventional KD approaches primarily focus on homogeneous architectures with identical tokenizers, constraining their applicability in cross-architecture scen"&amp;"arios. As for the cross-tokenizer KD, the differences in the tokenizers give rise to two fundamental challenges: (1) sequence misalignment caused by divergent tokenization strategies, and (2) mismatched vocabulary size and composition. While existing prob"&amp;"ability-matching methods attempt to address these issues, their efficacy remains limited due to suboptimal alignment in both the sequence and vocabulary aspects. To overcome these limitations, we propose Contextual Dynamic Mapping (CDM), a novel cross-tok"&amp;"enizer distillation framework that employs contextual information to enhance sequence alignment precision and dynamically improves vocabulary mapping. We evaluated the effectiveness of our approach across five advanced and widely-used model families ({\em"&amp;" i.e, }LLama3, Phi3, Gemma2, OPT and Qwen2), which were configured into three distinct teacher-student pairs. Our method shows significant advantages over existing cross-tokenizer distillation baselines across diverse benchmarks, including instruction-fol"&amp;"lowing, code generation and math. Notably, our analysis reveals that combining conventional same-tokenizer distillation and cross-tokenizer distillation through CDM yields further performance improvements.")</f>
        <v>Knowledge Distillation (KD) has emerged as a prominent technique for model compression. However, conventional KD approaches primarily focus on homogeneous architectures with identical tokenizers, constraining their applicability in cross-architecture scenarios. As for the cross-tokenizer KD, the differences in the tokenizers give rise to two fundamental challenges: (1) sequence misalignment caused by divergent tokenization strategies, and (2) mismatched vocabulary size and composition. While existing probability-matching methods attempt to address these issues, their efficacy remains limited due to suboptimal alignment in both the sequence and vocabulary aspects. To overcome these limitations, we propose Contextual Dynamic Mapping (CDM), a novel cross-tokenizer distillation framework that employs contextual information to enhance sequence alignment precision and dynamically improves vocabulary mapping. We evaluated the effectiveness of our approach across five advanced and widely-used model families ({\em i.e, }LLama3, Phi3, Gemma2, OPT and Qwen2), which were configured into three distinct teacher-student pairs. Our method shows significant advantages over existing cross-tokenizer distillation baselines across diverse benchmarks, including instruction-following, code generation and math. Notably, our analysis reveals that combining conventional same-tokenizer distillation and cross-tokenizer distillation through CDM yields further performance improvements.</v>
      </c>
      <c r="D503" s="7" t="str">
        <f>IFERROR(__xludf.DUMMYFUNCTION("""COMPUTED_VALUE"""),"Yijie Chen")</f>
        <v>Yijie Chen</v>
      </c>
      <c r="E503" s="7" t="str">
        <f>IFERROR(__xludf.DUMMYFUNCTION("""COMPUTED_VALUE"""),"Yes")</f>
        <v>Yes</v>
      </c>
      <c r="F503" s="7" t="str">
        <f>IFERROR(__xludf.DUMMYFUNCTION("""COMPUTED_VALUE"""),"IP-Poster")</f>
        <v>IP-Poster</v>
      </c>
      <c r="G503" s="7" t="str">
        <f>IFERROR(__xludf.DUMMYFUNCTION("""COMPUTED_VALUE"""),"In-Person")</f>
        <v>In-Person</v>
      </c>
      <c r="H503" s="7" t="str">
        <f>IFERROR(__xludf.DUMMYFUNCTION("""COMPUTED_VALUE"""),"Hall 4/5")</f>
        <v>Hall 4/5</v>
      </c>
      <c r="I503" s="7" t="str">
        <f>IFERROR(__xludf.DUMMYFUNCTION("""COMPUTED_VALUE"""),"Session 5 :IP-Posters Find ")</f>
        <v>Session 5 :IP-Posters Find </v>
      </c>
      <c r="J503" s="7" t="str">
        <f>IFERROR(__xludf.DUMMYFUNCTION("""COMPUTED_VALUE"""),"Findings Posters - In-Person 1")</f>
        <v>Findings Posters - In-Person 1</v>
      </c>
      <c r="K503" s="7"/>
      <c r="L503" s="8">
        <f>IFERROR(__xludf.DUMMYFUNCTION("""COMPUTED_VALUE"""),45866.0)</f>
        <v>45866</v>
      </c>
      <c r="M503" s="7" t="str">
        <f>IFERROR(__xludf.DUMMYFUNCTION("""COMPUTED_VALUE"""),"18:00-19:30")</f>
        <v>18:00-19:30</v>
      </c>
      <c r="N503" s="7"/>
    </row>
    <row r="504">
      <c r="A504" s="7" t="str">
        <f>IFERROR(__xludf.DUMMYFUNCTION("""COMPUTED_VALUE"""),"1684-FIND")</f>
        <v>1684-FIND</v>
      </c>
      <c r="B504" s="7" t="str">
        <f>IFERROR(__xludf.DUMMYFUNCTION("""COMPUTED_VALUE"""),"A Semantic-Aware Layer-Freezing Approach to Computation-Efficient Fine-Tuning of Language Models")</f>
        <v>A Semantic-Aware Layer-Freezing Approach to Computation-Efficient Fine-Tuning of Language Models</v>
      </c>
      <c r="C504" s="7" t="str">
        <f>IFERROR(__xludf.DUMMYFUNCTION("""COMPUTED_VALUE"""),"Finetuning language models (LMs) is crucial for adapting the models to downstream data and tasks. However, full finetuning is usually costly. Existing work, such as parameter-efficient finetuning (PEFT), often focuses on how to finetune but neglects the i"&amp;"ssue of where to finetune. As a pioneering work on reducing the cost of backpropagation (at the layer level) by answering where to finetune, we conduct a semantic analysis of the LM inference process. We first propose using transition traces of the latent"&amp;" representation to compute deviations (or loss). Then, using a derived formula of scaling law, we estimate the gain of each layer in reducing deviation (or loss). Further, we narrow down the scope for finetuning, and also, study the cost-benefit balance o"&amp;"f LM finetuning. We perform extensive experiments across well-known LMs and datasets. The results show that our approach is effective and efficient, and outperforms the existing baselines. Our approach is orthogonal to other techniques on improving finetu"&amp;"ning efficiency, such as PEFT methods, offering practical values on LM finetuning.")</f>
        <v>Finetuning language models (LMs) is crucial for adapting the models to downstream data and tasks. However, full finetuning is usually costly. Existing work, such as parameter-efficient finetuning (PEFT), often focuses on how to finetune but neglects the issue of where to finetune. As a pioneering work on reducing the cost of backpropagation (at the layer level) by answering where to finetune, we conduct a semantic analysis of the LM inference process. We first propose using transition traces of the latent representation to compute deviations (or loss). Then, using a derived formula of scaling law, we estimate the gain of each layer in reducing deviation (or loss). Further, we narrow down the scope for finetuning, and also, study the cost-benefit balance of LM finetuning. We perform extensive experiments across well-known LMs and datasets. The results show that our approach is effective and efficient, and outperforms the existing baselines. Our approach is orthogonal to other techniques on improving finetuning efficiency, such as PEFT methods, offering practical values on LM finetuning.</v>
      </c>
      <c r="D504" s="7" t="str">
        <f>IFERROR(__xludf.DUMMYFUNCTION("""COMPUTED_VALUE"""),"Jian Gu")</f>
        <v>Jian Gu</v>
      </c>
      <c r="E504" s="7" t="str">
        <f>IFERROR(__xludf.DUMMYFUNCTION("""COMPUTED_VALUE"""),"Yes")</f>
        <v>Yes</v>
      </c>
      <c r="F504" s="7" t="str">
        <f>IFERROR(__xludf.DUMMYFUNCTION("""COMPUTED_VALUE"""),"IP-Poster")</f>
        <v>IP-Poster</v>
      </c>
      <c r="G504" s="7" t="str">
        <f>IFERROR(__xludf.DUMMYFUNCTION("""COMPUTED_VALUE"""),"In-Person")</f>
        <v>In-Person</v>
      </c>
      <c r="H504" s="7" t="str">
        <f>IFERROR(__xludf.DUMMYFUNCTION("""COMPUTED_VALUE"""),"Hall 4/5")</f>
        <v>Hall 4/5</v>
      </c>
      <c r="I504" s="7" t="str">
        <f>IFERROR(__xludf.DUMMYFUNCTION("""COMPUTED_VALUE"""),"Session 5 :IP-Posters Find ")</f>
        <v>Session 5 :IP-Posters Find </v>
      </c>
      <c r="J504" s="7" t="str">
        <f>IFERROR(__xludf.DUMMYFUNCTION("""COMPUTED_VALUE"""),"Findings Posters - In-Person 1")</f>
        <v>Findings Posters - In-Person 1</v>
      </c>
      <c r="K504" s="7"/>
      <c r="L504" s="8">
        <f>IFERROR(__xludf.DUMMYFUNCTION("""COMPUTED_VALUE"""),45866.0)</f>
        <v>45866</v>
      </c>
      <c r="M504" s="7" t="str">
        <f>IFERROR(__xludf.DUMMYFUNCTION("""COMPUTED_VALUE"""),"18:00-19:30")</f>
        <v>18:00-19:30</v>
      </c>
      <c r="N504" s="7"/>
    </row>
    <row r="505">
      <c r="A505" s="7" t="str">
        <f>IFERROR(__xludf.DUMMYFUNCTION("""COMPUTED_VALUE"""),"1688-FIND")</f>
        <v>1688-FIND</v>
      </c>
      <c r="B505" s="7" t="str">
        <f>IFERROR(__xludf.DUMMYFUNCTION("""COMPUTED_VALUE"""),"CNNSum: Exploring Long-Context Summarization with Large Language Models in Chinese Novels")</f>
        <v>CNNSum: Exploring Long-Context Summarization with Large Language Models in Chinese Novels</v>
      </c>
      <c r="C505" s="7" t="str">
        <f>IFERROR(__xludf.DUMMYFUNCTION("""COMPUTED_VALUE"""),"Large language models (LLMs) have been well-researched in various long-context tasks. However, the scarcity of long-context summarization datasets hinders progress in this area. To address this, we introduce CNNSum, a multi-scale long-context summarizatio"&amp;"n benchmark based on Chinese novels, featuring human-driven annotations across four subsets totaling 695 samples, with lengths ranging from 16k to 128k. We benchmark numerous LLMs and conduct detailed human assessments to summarize abnormal output types. "&amp;"Furthermore, we extensively explore how to improve long-context summarization. In our study: (1) Advanced LLMs may generate much subjective commentary, leading to vague summaries. (2) Currently, long-context summarization mainly relies on memory ability. "&amp;"The advantages of Large LLMs are hard to utilize, thus small LLMs are more cost-effective. (3) Different prompt types paired with various version models may cause large performance gaps. In further fine-tuning, these can be mitigated, and the Base version"&amp;" models perform better. (4) LLMs with RoPE-base scaled exhibit strong extrapolation potential; using short-context data can significantly improve long-context summarization performance. However, further applying other interpolation methods requires carefu"&amp;"l selection. (5) CNNSum provides more reliable evaluation results than other benchmarks. We release CNNSum to advance future research.")</f>
        <v>Large language models (LLMs) have been well-researched in various long-context tasks. However, the scarcity of long-context summarization datasets hinders progress in this area. To address this, we introduce CNNSum, a multi-scale long-context summarization benchmark based on Chinese novels, featuring human-driven annotations across four subsets totaling 695 samples, with lengths ranging from 16k to 128k. We benchmark numerous LLMs and conduct detailed human assessments to summarize abnormal output types. Furthermore, we extensively explore how to improve long-context summarization. In our study: (1) Advanced LLMs may generate much subjective commentary, leading to vague summaries. (2) Currently, long-context summarization mainly relies on memory ability. The advantages of Large LLMs are hard to utilize, thus small LLMs are more cost-effective. (3) Different prompt types paired with various version models may cause large performance gaps. In further fine-tuning, these can be mitigated, and the Base version models perform better. (4) LLMs with RoPE-base scaled exhibit strong extrapolation potential; using short-context data can significantly improve long-context summarization performance. However, further applying other interpolation methods requires careful selection. (5) CNNSum provides more reliable evaluation results than other benchmarks. We release CNNSum to advance future research.</v>
      </c>
      <c r="D505" s="7" t="str">
        <f>IFERROR(__xludf.DUMMYFUNCTION("""COMPUTED_VALUE"""),"N/A")</f>
        <v>N/A</v>
      </c>
      <c r="E505" s="7" t="str">
        <f>IFERROR(__xludf.DUMMYFUNCTION("""COMPUTED_VALUE"""),"#N/A")</f>
        <v>#N/A</v>
      </c>
      <c r="F505" s="7" t="str">
        <f>IFERROR(__xludf.DUMMYFUNCTION("""COMPUTED_VALUE"""),"Not Pres. ")</f>
        <v>Not Pres. </v>
      </c>
      <c r="G505" s="7" t="str">
        <f>IFERROR(__xludf.DUMMYFUNCTION("""COMPUTED_VALUE"""),"NP Findings Not Presenting ")</f>
        <v>NP Findings Not Presenting </v>
      </c>
      <c r="H505" s="7"/>
      <c r="I505" s="7" t="str">
        <f>IFERROR(__xludf.DUMMYFUNCTION("""COMPUTED_VALUE"""),"NP-Find")</f>
        <v>NP-Find</v>
      </c>
      <c r="J505" s="7"/>
      <c r="K505" s="7"/>
      <c r="L505" s="8"/>
      <c r="M505" s="7"/>
      <c r="N505" s="7"/>
    </row>
    <row r="506">
      <c r="A506" s="7" t="str">
        <f>IFERROR(__xludf.DUMMYFUNCTION("""COMPUTED_VALUE"""),"1689-FIND")</f>
        <v>1689-FIND</v>
      </c>
      <c r="B506" s="7" t="str">
        <f>IFERROR(__xludf.DUMMYFUNCTION("""COMPUTED_VALUE"""),"Document Segmentation Matters for Retrieval-Augmented Generation")</f>
        <v>Document Segmentation Matters for Retrieval-Augmented Generation</v>
      </c>
      <c r="C506" s="7" t="str">
        <f>IFERROR(__xludf.DUMMYFUNCTION("""COMPUTED_VALUE"""),"Retrieval-augmented generation (RAG) enhances large language models (LLMs) by integrating external knowledge. A critical yet underexplored challenge in RAG is document segmentation, also known as document chunking. Existing widely-used rule-based chunking"&amp;" methods usually lead to suboptimal splits, where overly large chunks introduce irrelevant information and small chunks lack semantic coherence. Existing semantic-based approaches either require costly LLM calls or fail to adaptively group contextually re"&amp;"lated sentences. To address these limitations, we propose PIC, Pseudo-Instruction for document Chunking), a simple yet effective method that leverages document summaries as pseudo-instructions to guide chunking. By computing semantic similarity between se"&amp;"ntences and the summary, PIC dynamically groups sentences into chunks that align with the document’s key themes, ensuring semantic completeness and relevance to potential user instructions. Experiments on multiple open-domain question-answering benchmarks"&amp;" demonstrate that PIC can significantly improve retrieval accuracy (Hits@k) and end-to-end QA performance (Exact Match) without any additional training.")</f>
        <v>Retrieval-augmented generation (RAG) enhances large language models (LLMs) by integrating external knowledge. A critical yet underexplored challenge in RAG is document segmentation, also known as document chunking. Existing widely-used rule-based chunking methods usually lead to suboptimal splits, where overly large chunks introduce irrelevant information and small chunks lack semantic coherence. Existing semantic-based approaches either require costly LLM calls or fail to adaptively group contextually related sentences. To address these limitations, we propose PIC, Pseudo-Instruction for document Chunking), a simple yet effective method that leverages document summaries as pseudo-instructions to guide chunking. By computing semantic similarity between sentences and the summary, PIC dynamically groups sentences into chunks that align with the document’s key themes, ensuring semantic completeness and relevance to potential user instructions. Experiments on multiple open-domain question-answering benchmarks demonstrate that PIC can significantly improve retrieval accuracy (Hits@k) and end-to-end QA performance (Exact Match) without any additional training.</v>
      </c>
      <c r="D506" s="7" t="str">
        <f>IFERROR(__xludf.DUMMYFUNCTION("""COMPUTED_VALUE"""),"Zhitong Wang")</f>
        <v>Zhitong Wang</v>
      </c>
      <c r="E506" s="7" t="str">
        <f>IFERROR(__xludf.DUMMYFUNCTION("""COMPUTED_VALUE"""),"N/A")</f>
        <v>N/A</v>
      </c>
      <c r="F506" s="7" t="str">
        <f>IFERROR(__xludf.DUMMYFUNCTION("""COMPUTED_VALUE"""),"Not Pres. ")</f>
        <v>Not Pres. </v>
      </c>
      <c r="G506" s="7" t="str">
        <f>IFERROR(__xludf.DUMMYFUNCTION("""COMPUTED_VALUE"""),"NP Findings Not Presenting ")</f>
        <v>NP Findings Not Presenting </v>
      </c>
      <c r="H506" s="7"/>
      <c r="I506" s="7"/>
      <c r="J506" s="7"/>
      <c r="K506" s="7"/>
      <c r="L506" s="8"/>
      <c r="M506" s="7"/>
      <c r="N506" s="7"/>
    </row>
    <row r="507">
      <c r="A507" s="7" t="str">
        <f>IFERROR(__xludf.DUMMYFUNCTION("""COMPUTED_VALUE"""),"1691-FIND")</f>
        <v>1691-FIND</v>
      </c>
      <c r="B507" s="7" t="str">
        <f>IFERROR(__xludf.DUMMYFUNCTION("""COMPUTED_VALUE"""),"UBench: Benchmarking Uncertainty in Large Language Models with Multiple Choice Questions")</f>
        <v>UBench: Benchmarking Uncertainty in Large Language Models with Multiple Choice Questions</v>
      </c>
      <c r="C507" s="7" t="str">
        <f>IFERROR(__xludf.DUMMYFUNCTION("""COMPUTED_VALUE"""),"Despite recent progress in systematic evaluation frameworks, benchmarking the uncertainty of large language models (LLMs) remains a highly challenging task. Existing methods for benchmarking the uncertainty of LLMs face three key challenges: the need for "&amp;"internal model access, additional training, or high computational costs. This is particularly unfavorable for closed-source models. To this end, we introduce UBench, a new benchmark for evaluating the uncertainty of LLMs. Unlike other benchmarks, UBench i"&amp;"s based on confidence intervals. It encompasses 11,978 multiple-choice questions spanning knowledge, language, understanding, and reasoning capabilities. Based on this, we conduct extensive experiments. This includes comparisons with other advanced uncert"&amp;"ainty estimation methods, the assessment of the uncertainty of 20 LLMs, and an exploration of the effects of Chain-of-Thought (COT) prompts, role-playing (RP) prompts, and temperature on model uncertainty. Our analysis reveals several crucial insights: 1)"&amp;" Our confidence interval-based methods are highly effective for uncertainty quantification; 2) Regarding uncertainty, outstanding open-source models show competitive performance versus closed-source models; 3) CoT and RP prompts present potential ways to "&amp;"improve model reliability, while the influence of temperature changes follows no universal rule. Our implementation is available at https://anonymous.4open.science/r/UBench.")</f>
        <v>Despite recent progress in systematic evaluation frameworks, benchmarking the uncertainty of large language models (LLMs) remains a highly challenging task. Existing methods for benchmarking the uncertainty of LLMs face three key challenges: the need for internal model access, additional training, or high computational costs. This is particularly unfavorable for closed-source models. To this end, we introduce UBench, a new benchmark for evaluating the uncertainty of LLMs. Unlike other benchmarks, UBench is based on confidence intervals. It encompasses 11,978 multiple-choice questions spanning knowledge, language, understanding, and reasoning capabilities. Based on this, we conduct extensive experiments. This includes comparisons with other advanced uncertainty estimation methods, the assessment of the uncertainty of 20 LLMs, and an exploration of the effects of Chain-of-Thought (COT) prompts, role-playing (RP) prompts, and temperature on model uncertainty. Our analysis reveals several crucial insights: 1) Our confidence interval-based methods are highly effective for uncertainty quantification; 2) Regarding uncertainty, outstanding open-source models show competitive performance versus closed-source models; 3) CoT and RP prompts present potential ways to improve model reliability, while the influence of temperature changes follows no universal rule. Our implementation is available at https://anonymous.4open.science/r/UBench.</v>
      </c>
      <c r="D507" s="7" t="str">
        <f>IFERROR(__xludf.DUMMYFUNCTION("""COMPUTED_VALUE"""),"N/A")</f>
        <v>N/A</v>
      </c>
      <c r="E507" s="7" t="str">
        <f>IFERROR(__xludf.DUMMYFUNCTION("""COMPUTED_VALUE"""),"#N/A")</f>
        <v>#N/A</v>
      </c>
      <c r="F507" s="7" t="str">
        <f>IFERROR(__xludf.DUMMYFUNCTION("""COMPUTED_VALUE"""),"Not Pres. ")</f>
        <v>Not Pres. </v>
      </c>
      <c r="G507" s="7" t="str">
        <f>IFERROR(__xludf.DUMMYFUNCTION("""COMPUTED_VALUE"""),"NP Findings Not Presenting ")</f>
        <v>NP Findings Not Presenting </v>
      </c>
      <c r="H507" s="7"/>
      <c r="I507" s="7" t="str">
        <f>IFERROR(__xludf.DUMMYFUNCTION("""COMPUTED_VALUE"""),"NP-Find")</f>
        <v>NP-Find</v>
      </c>
      <c r="J507" s="7"/>
      <c r="K507" s="7"/>
      <c r="L507" s="8"/>
      <c r="M507" s="7"/>
      <c r="N507" s="7"/>
    </row>
    <row r="508">
      <c r="A508" s="7" t="str">
        <f>IFERROR(__xludf.DUMMYFUNCTION("""COMPUTED_VALUE"""),"1695-FIND")</f>
        <v>1695-FIND</v>
      </c>
      <c r="B508" s="7" t="str">
        <f>IFERROR(__xludf.DUMMYFUNCTION("""COMPUTED_VALUE"""),"Embracing Large Language Models in Traffic Flow Forecasting")</f>
        <v>Embracing Large Language Models in Traffic Flow Forecasting</v>
      </c>
      <c r="C508" s="7" t="str">
        <f>IFERROR(__xludf.DUMMYFUNCTION("""COMPUTED_VALUE"""),"Traffic flow forecasting aims to predict future traffic flows based on historical traffic conditions and the road network. It is an important problem in intelligent transportation systems, with a plethora of methods being proposed. Existing efforts mainly"&amp;" focus on capturing and utilizing spatio-temporal dependencies to predict future traffic flows. Though promising, they fall short in adapting to test-time environmental changes in traffic conditions. To tackle this challenge, we propose to introduce large"&amp;" language models (LLMs) to help traffic flow forecasting and design a novel method named Large Language Model Enhanced Traffic Flow Predictor (LEAF). LEAF adopts two branches, capturing different spatio-temporal relations using graph and hypergraph struct"&amp;"ures, respectively. The two branches are first pre-trained individually, and during test time, they yield different predictions. Based on these predictions, a large language model is used to select the most likely result. Then, a ranking loss is applied a"&amp;"s the learning objective to enhance the prediction ability of the two branches. Extensive experiments on several datasets demonstrate the effectiveness of LEAF. Our code is available at https://github.com/YushengZhao/LEAF.")</f>
        <v>Traffic flow forecasting aims to predict future traffic flows based on historical traffic conditions and the road network. It is an important problem in intelligent transportation systems, with a plethora of methods being proposed. Existing efforts mainly focus on capturing and utilizing spatio-temporal dependencies to predict future traffic flows. Though promising, they fall short in adapting to test-time environmental changes in traffic conditions. To tackle this challenge, we propose to introduce large language models (LLMs) to help traffic flow forecasting and design a novel method named Large Language Model Enhanced Traffic Flow Predictor (LEAF). LEAF adopts two branches, capturing different spatio-temporal relations using graph and hypergraph structures, respectively. The two branches are first pre-trained individually, and during test time, they yield different predictions. Based on these predictions, a large language model is used to select the most likely result. Then, a ranking loss is applied as the learning objective to enhance the prediction ability of the two branches. Extensive experiments on several datasets demonstrate the effectiveness of LEAF. Our code is available at https://github.com/YushengZhao/LEAF.</v>
      </c>
      <c r="D508" s="7" t="str">
        <f>IFERROR(__xludf.DUMMYFUNCTION("""COMPUTED_VALUE"""),"Ming Zhang")</f>
        <v>Ming Zhang</v>
      </c>
      <c r="E508" s="7" t="str">
        <f>IFERROR(__xludf.DUMMYFUNCTION("""COMPUTED_VALUE"""),"Yes")</f>
        <v>Yes</v>
      </c>
      <c r="F508" s="7" t="str">
        <f>IFERROR(__xludf.DUMMYFUNCTION("""COMPUTED_VALUE"""),"IP-Poster")</f>
        <v>IP-Poster</v>
      </c>
      <c r="G508" s="7" t="str">
        <f>IFERROR(__xludf.DUMMYFUNCTION("""COMPUTED_VALUE"""),"In-Person")</f>
        <v>In-Person</v>
      </c>
      <c r="H508" s="7" t="str">
        <f>IFERROR(__xludf.DUMMYFUNCTION("""COMPUTED_VALUE"""),"Hall 4/5")</f>
        <v>Hall 4/5</v>
      </c>
      <c r="I508" s="7" t="str">
        <f>IFERROR(__xludf.DUMMYFUNCTION("""COMPUTED_VALUE"""),"Session 5 :IP-Posters Find ")</f>
        <v>Session 5 :IP-Posters Find </v>
      </c>
      <c r="J508" s="7" t="str">
        <f>IFERROR(__xludf.DUMMYFUNCTION("""COMPUTED_VALUE"""),"Findings Posters - In-Person 1")</f>
        <v>Findings Posters - In-Person 1</v>
      </c>
      <c r="K508" s="7"/>
      <c r="L508" s="8">
        <f>IFERROR(__xludf.DUMMYFUNCTION("""COMPUTED_VALUE"""),45866.0)</f>
        <v>45866</v>
      </c>
      <c r="M508" s="7" t="str">
        <f>IFERROR(__xludf.DUMMYFUNCTION("""COMPUTED_VALUE"""),"18:00-19:30")</f>
        <v>18:00-19:30</v>
      </c>
      <c r="N508" s="7"/>
    </row>
    <row r="509">
      <c r="A509" s="7" t="str">
        <f>IFERROR(__xludf.DUMMYFUNCTION("""COMPUTED_VALUE"""),"1700-FIND")</f>
        <v>1700-FIND</v>
      </c>
      <c r="B509" s="7" t="str">
        <f>IFERROR(__xludf.DUMMYFUNCTION("""COMPUTED_VALUE"""),"Flow2Code: Evaluating Large Language Models for Flowchart-based Code Generation Capability")</f>
        <v>Flow2Code: Evaluating Large Language Models for Flowchart-based Code Generation Capability</v>
      </c>
      <c r="C509" s="7" t="str">
        <f>IFERROR(__xludf.DUMMYFUNCTION("""COMPUTED_VALUE"""),"While large language models (LLMs) show promise in code generation, existing benchmarks neglect the flowchart-based code generation. To promote further research on flowchart-based code generation, this work presents Flow2Code, a novel benchmark for flowch"&amp;"art-based code generation evaluation. The evaluation dataset spans 15 programming languages and includes 5,622 code segments paired with 16,866 flowcharts of three types: code, UML, and pseudocode. Extensive experiments with 13 multimodal LLMs reveal that"&amp;" current LLMs can not generate code based on flowcharts perfectly. Besides, experiment results show that the supervised fine-tuning technique contributes greatly to the models' performance. The dataset will be publicly available.")</f>
        <v>While large language models (LLMs) show promise in code generation, existing benchmarks neglect the flowchart-based code generation. To promote further research on flowchart-based code generation, this work presents Flow2Code, a novel benchmark for flowchart-based code generation evaluation. The evaluation dataset spans 15 programming languages and includes 5,622 code segments paired with 16,866 flowcharts of three types: code, UML, and pseudocode. Extensive experiments with 13 multimodal LLMs reveal that current LLMs can not generate code based on flowcharts perfectly. Besides, experiment results show that the supervised fine-tuning technique contributes greatly to the models' performance. The dataset will be publicly available.</v>
      </c>
      <c r="D509" s="7" t="str">
        <f>IFERROR(__xludf.DUMMYFUNCTION("""COMPUTED_VALUE"""),"Mengliang He")</f>
        <v>Mengliang He</v>
      </c>
      <c r="E509" s="7" t="str">
        <f>IFERROR(__xludf.DUMMYFUNCTION("""COMPUTED_VALUE"""),"#N/A")</f>
        <v>#N/A</v>
      </c>
      <c r="F509" s="7" t="str">
        <f>IFERROR(__xludf.DUMMYFUNCTION("""COMPUTED_VALUE"""),"Not Pres. ")</f>
        <v>Not Pres. </v>
      </c>
      <c r="G509" s="7" t="str">
        <f>IFERROR(__xludf.DUMMYFUNCTION("""COMPUTED_VALUE"""),"NP Findings Not Presenting ")</f>
        <v>NP Findings Not Presenting </v>
      </c>
      <c r="H509" s="7"/>
      <c r="I509" s="7" t="str">
        <f>IFERROR(__xludf.DUMMYFUNCTION("""COMPUTED_VALUE"""),"NP-Find")</f>
        <v>NP-Find</v>
      </c>
      <c r="J509" s="7"/>
      <c r="K509" s="7"/>
      <c r="L509" s="8"/>
      <c r="M509" s="7"/>
      <c r="N509" s="7"/>
    </row>
    <row r="510">
      <c r="A510" s="7" t="str">
        <f>IFERROR(__xludf.DUMMYFUNCTION("""COMPUTED_VALUE"""),"1705-FIND")</f>
        <v>1705-FIND</v>
      </c>
      <c r="B510" s="7" t="str">
        <f>IFERROR(__xludf.DUMMYFUNCTION("""COMPUTED_VALUE"""),"Smarter, Not Harder: Training-Free Adaptive Computation for Transformers")</f>
        <v>Smarter, Not Harder: Training-Free Adaptive Computation for Transformers</v>
      </c>
      <c r="C510" s="7" t="str">
        <f>IFERROR(__xludf.DUMMYFUNCTION("""COMPUTED_VALUE"""),"Adaptive Computation in Transformers (ACT) has been pursued in two directions: efficiency- and performance-focused. We study performance-focused ACT, or PACT, which invests more computation on hard steps to improve performance, such as by adding forward p"&amp;"asses. We first discuss beam search and hesitation-based methods as PACT and their limitations. While the hesitation-based approach outperforms beam search by perturbing input embeddings, it suffers from inefficiency due to invalidating KVCache and exhibi"&amp;"ts instability due to its reliance on randomness. To address this, we propose IMPACT, a novel PACT method that perturbs network weights rather than input embeddings. This approach enables the reuse of KVCache, offers deterministic predictions, and signifi"&amp;"cantly improves memory and computational efficiency. By achieving a better balance between performance and efficiency, IMPACT makes PACT accessible to communities with consumer-grade hardware.")</f>
        <v>Adaptive Computation in Transformers (ACT) has been pursued in two directions: efficiency- and performance-focused. We study performance-focused ACT, or PACT, which invests more computation on hard steps to improve performance, such as by adding forward passes. We first discuss beam search and hesitation-based methods as PACT and their limitations. While the hesitation-based approach outperforms beam search by perturbing input embeddings, it suffers from inefficiency due to invalidating KVCache and exhibits instability due to its reliance on randomness. To address this, we propose IMPACT, a novel PACT method that perturbs network weights rather than input embeddings. This approach enables the reuse of KVCache, offers deterministic predictions, and significantly improves memory and computational efficiency. By achieving a better balance between performance and efficiency, IMPACT makes PACT accessible to communities with consumer-grade hardware.</v>
      </c>
      <c r="D510" s="7" t="str">
        <f>IFERROR(__xludf.DUMMYFUNCTION("""COMPUTED_VALUE"""),"N/A")</f>
        <v>N/A</v>
      </c>
      <c r="E510" s="7" t="str">
        <f>IFERROR(__xludf.DUMMYFUNCTION("""COMPUTED_VALUE"""),"#N/A")</f>
        <v>#N/A</v>
      </c>
      <c r="F510" s="7" t="str">
        <f>IFERROR(__xludf.DUMMYFUNCTION("""COMPUTED_VALUE"""),"Not Pres. ")</f>
        <v>Not Pres. </v>
      </c>
      <c r="G510" s="7" t="str">
        <f>IFERROR(__xludf.DUMMYFUNCTION("""COMPUTED_VALUE"""),"NP Findings Not Presenting ")</f>
        <v>NP Findings Not Presenting </v>
      </c>
      <c r="H510" s="7"/>
      <c r="I510" s="7" t="str">
        <f>IFERROR(__xludf.DUMMYFUNCTION("""COMPUTED_VALUE"""),"NP-Find")</f>
        <v>NP-Find</v>
      </c>
      <c r="J510" s="7"/>
      <c r="K510" s="7"/>
      <c r="L510" s="8"/>
      <c r="M510" s="7"/>
      <c r="N510" s="7"/>
    </row>
    <row r="511">
      <c r="A511" s="7" t="str">
        <f>IFERROR(__xludf.DUMMYFUNCTION("""COMPUTED_VALUE"""),"1709-FIND")</f>
        <v>1709-FIND</v>
      </c>
      <c r="B511" s="7" t="str">
        <f>IFERROR(__xludf.DUMMYFUNCTION("""COMPUTED_VALUE"""),"UCS-SQL: Uniting Content and Structure for Enhanced Semantic Bridging In Text-to-SQL")</f>
        <v>UCS-SQL: Uniting Content and Structure for Enhanced Semantic Bridging In Text-to-SQL</v>
      </c>
      <c r="C511" s="7" t="str">
        <f>IFERROR(__xludf.DUMMYFUNCTION("""COMPUTED_VALUE"""),"With the rapid advancement of large language models (LLMs), recent researchers have increasingly focused on the superior capabilities of LLMs in text/code understanding and generation to tackle text-to-SQL tasks. Traditional approaches adopt schema linkin"&amp;"g to first eliminate redundant tables and columns and prompt LLMs for SQL generation. However, they often struggle with accurately identifying corresponding tables and columns, due to discrepancies in naming conventions between natural language questions "&amp;"(NL) and database schemas. Besides, existing methods overlook the challenge of effectively transforming structure information from NL into SQL. To address these limitations, we introduce UCS-SQL, a novel text-to-SQL framework, uniting both content and str"&amp;"ucture pipes to bridge the gap between NL and SQL. Specifically, the content pipe focuses on identifying key content within the original content, while the structure pipe is dedicated to transforming the linguistic structure from NL to SQL. Additionally, "&amp;"we strategically selects few-shot examples by considering both the SQL Skeleton and Question Expression (SS-QE selection method), thus providing targeted examples for SQL generation. Experimental results on BIRD and Spider demonstrate the effectiveness of"&amp;" our UCS-SQL framework.")</f>
        <v>With the rapid advancement of large language models (LLMs), recent researchers have increasingly focused on the superior capabilities of LLMs in text/code understanding and generation to tackle text-to-SQL tasks. Traditional approaches adopt schema linking to first eliminate redundant tables and columns and prompt LLMs for SQL generation. However, they often struggle with accurately identifying corresponding tables and columns, due to discrepancies in naming conventions between natural language questions (NL) and database schemas. Besides, existing methods overlook the challenge of effectively transforming structure information from NL into SQL. To address these limitations, we introduce UCS-SQL, a novel text-to-SQL framework, uniting both content and structure pipes to bridge the gap between NL and SQL. Specifically, the content pipe focuses on identifying key content within the original content, while the structure pipe is dedicated to transforming the linguistic structure from NL to SQL. Additionally, we strategically selects few-shot examples by considering both the SQL Skeleton and Question Expression (SS-QE selection method), thus providing targeted examples for SQL generation. Experimental results on BIRD and Spider demonstrate the effectiveness of our UCS-SQL framework.</v>
      </c>
      <c r="D511" s="7" t="str">
        <f>IFERROR(__xludf.DUMMYFUNCTION("""COMPUTED_VALUE"""),"Zhenhe Wu")</f>
        <v>Zhenhe Wu</v>
      </c>
      <c r="E511" s="7" t="str">
        <f>IFERROR(__xludf.DUMMYFUNCTION("""COMPUTED_VALUE"""),"#N/A")</f>
        <v>#N/A</v>
      </c>
      <c r="F511" s="7" t="str">
        <f>IFERROR(__xludf.DUMMYFUNCTION("""COMPUTED_VALUE"""),"Not Pres. ")</f>
        <v>Not Pres. </v>
      </c>
      <c r="G511" s="7" t="str">
        <f>IFERROR(__xludf.DUMMYFUNCTION("""COMPUTED_VALUE"""),"NP Findings Not Presenting ")</f>
        <v>NP Findings Not Presenting </v>
      </c>
      <c r="H511" s="7"/>
      <c r="I511" s="7" t="str">
        <f>IFERROR(__xludf.DUMMYFUNCTION("""COMPUTED_VALUE"""),"NP-Find")</f>
        <v>NP-Find</v>
      </c>
      <c r="J511" s="7"/>
      <c r="K511" s="7"/>
      <c r="L511" s="8"/>
      <c r="M511" s="7"/>
      <c r="N511" s="7"/>
    </row>
    <row r="512">
      <c r="A512" s="7" t="str">
        <f>IFERROR(__xludf.DUMMYFUNCTION("""COMPUTED_VALUE"""),"1710-FIND")</f>
        <v>1710-FIND</v>
      </c>
      <c r="B512" s="7" t="str">
        <f>IFERROR(__xludf.DUMMYFUNCTION("""COMPUTED_VALUE"""),"CodePRM: Execution Feedback-enhanced Process Reward Model for Code Generation")</f>
        <v>CodePRM: Execution Feedback-enhanced Process Reward Model for Code Generation</v>
      </c>
      <c r="C512" s="7" t="str">
        <f>IFERROR(__xludf.DUMMYFUNCTION("""COMPUTED_VALUE"""),"Code generation is a critical reasoning task for large language models (LLMs). Recent advancements have focused on optimizing the thought process of code generation, achieving significant improvements. However, such thought process lacks effective process"&amp;" supervision, making it hard to optimize the thoughts. Although Process Reward Models (PRMs) have been widely established in mathematical reasoning, building a code PRM is still not trivial for the gap between thoughts to code. In this paper, we propose C"&amp;"odePRM, a novel approach that leverages the code execution feedback to build a code PRM. Specifically, we first collect a large dataset of thought traces, where each thought step is labeled with their derived code' pass rates, accompanied by the correspon"&amp;"ding code snippets, and execution feedback. During training, we train a PRM to take both the reasoning process and code execution feedback as input to score individual thought steps, enabling it to leverage code execution results to distinguish between hi"&amp;"gh-quality and low-quality thought steps. Finally, to use the PRM during inference, we develop a Generate-Verify-Refine (GVR) pipeline where the CodePRM serves as a process verifier to dynamically identify and correct errors in the thought process during "&amp;"code search. Experimental results demonstrate that CodePRM with the inference algorithm outperforms strong baselines, significantly enhancing code generation performance. Further analysis reveals the key factors for building a code PRM.")</f>
        <v>Code generation is a critical reasoning task for large language models (LLMs). Recent advancements have focused on optimizing the thought process of code generation, achieving significant improvements. However, such thought process lacks effective process supervision, making it hard to optimize the thoughts. Although Process Reward Models (PRMs) have been widely established in mathematical reasoning, building a code PRM is still not trivial for the gap between thoughts to code. In this paper, we propose CodePRM, a novel approach that leverages the code execution feedback to build a code PRM. Specifically, we first collect a large dataset of thought traces, where each thought step is labeled with their derived code' pass rates, accompanied by the corresponding code snippets, and execution feedback. During training, we train a PRM to take both the reasoning process and code execution feedback as input to score individual thought steps, enabling it to leverage code execution results to distinguish between high-quality and low-quality thought steps. Finally, to use the PRM during inference, we develop a Generate-Verify-Refine (GVR) pipeline where the CodePRM serves as a process verifier to dynamically identify and correct errors in the thought process during code search. Experimental results demonstrate that CodePRM with the inference algorithm outperforms strong baselines, significantly enhancing code generation performance. Further analysis reveals the key factors for building a code PRM.</v>
      </c>
      <c r="D512" s="7" t="str">
        <f>IFERROR(__xludf.DUMMYFUNCTION("""COMPUTED_VALUE"""),"Qingyao Li")</f>
        <v>Qingyao Li</v>
      </c>
      <c r="E512" s="7" t="str">
        <f>IFERROR(__xludf.DUMMYFUNCTION("""COMPUTED_VALUE"""),"Yes")</f>
        <v>Yes</v>
      </c>
      <c r="F512" s="7" t="str">
        <f>IFERROR(__xludf.DUMMYFUNCTION("""COMPUTED_VALUE"""),"V-Presentation")</f>
        <v>V-Presentation</v>
      </c>
      <c r="G512" s="7" t="str">
        <f>IFERROR(__xludf.DUMMYFUNCTION("""COMPUTED_VALUE"""),"Virtual/Gather")</f>
        <v>Virtual/Gather</v>
      </c>
      <c r="H512" s="7" t="str">
        <f>IFERROR(__xludf.DUMMYFUNCTION("""COMPUTED_VALUE"""),"Gather")</f>
        <v>Gather</v>
      </c>
      <c r="I512" s="7" t="str">
        <f>IFERROR(__xludf.DUMMYFUNCTION("""COMPUTED_VALUE"""),"Session5: V-Gather Find")</f>
        <v>Session5: V-Gather Find</v>
      </c>
      <c r="J512" s="7" t="str">
        <f>IFERROR(__xludf.DUMMYFUNCTION("""COMPUTED_VALUE"""),"Findings Posters - Virtual")</f>
        <v>Findings Posters - Virtual</v>
      </c>
      <c r="K512" s="7"/>
      <c r="L512" s="8">
        <f>IFERROR(__xludf.DUMMYFUNCTION("""COMPUTED_VALUE"""),45866.0)</f>
        <v>45866</v>
      </c>
      <c r="M512" s="7" t="str">
        <f>IFERROR(__xludf.DUMMYFUNCTION("""COMPUTED_VALUE"""),"18:00-19:30")</f>
        <v>18:00-19:30</v>
      </c>
      <c r="N512" s="7"/>
    </row>
    <row r="513">
      <c r="A513" s="7" t="str">
        <f>IFERROR(__xludf.DUMMYFUNCTION("""COMPUTED_VALUE"""),"1711-FIND")</f>
        <v>1711-FIND</v>
      </c>
      <c r="B513" s="7" t="str">
        <f>IFERROR(__xludf.DUMMYFUNCTION("""COMPUTED_VALUE"""),"STEM-POM: Evaluating Language Models Math-Symbol Reasoning in Document Parsing")</f>
        <v>STEM-POM: Evaluating Language Models Math-Symbol Reasoning in Document Parsing</v>
      </c>
      <c r="C513" s="7" t="str">
        <f>IFERROR(__xludf.DUMMYFUNCTION("""COMPUTED_VALUE"""),"Advances in large language models (LLMs) have spurred research into enhancing their reasoning capabilities, particularly in math-rich STEM (Science, Technology, Engineering, and Mathematics) documents. While LLMs can generate equations or solve math-relat"&amp;"ed queries, their ability to fully understand and interpret abstract mathematical symbols in long, math-rich documents remains limited. In this paper, we introduce STEM-PoM, a comprehensive benchmark dataset designed to evaluate LLMs' reasoning abilities "&amp;"on math symbols within contextual scientific text. The dataset, sourced from real-world ArXiv documents, contains over 2K math symbols classified as main attributes of variables, constants, operators, and unit descriptors, with additional sub-attributes i"&amp;"ncluding scalar/vector/matrix for variables and local/global/discipline-specific labels for both constants and operators. Our extensive experiments demonstrate that state-of-the-art LLMs achieve an average accuracy of 20-60% under in-context learning and "&amp;"50-60% with fine-tuning, highlighting a substantial gap in their ability to classify mathematical symbols. By improving LLMs' mathematical symbol classification, STEM-PoM further enhances models' downstream mathematical reasoning capabilities. The code an"&amp;"d data are available at https://anonymous.4open.science/r/STEM-PoM-F49E.")</f>
        <v>Advances in large language models (LLMs) have spurred research into enhancing their reasoning capabilities, particularly in math-rich STEM (Science, Technology, Engineering, and Mathematics) documents. While LLMs can generate equations or solve math-related queries, their ability to fully understand and interpret abstract mathematical symbols in long, math-rich documents remains limited. In this paper, we introduce STEM-PoM, a comprehensive benchmark dataset designed to evaluate LLMs' reasoning abilities on math symbols within contextual scientific text. The dataset, sourced from real-world ArXiv documents, contains over 2K math symbols classified as main attributes of variables, constants, operators, and unit descriptors, with additional sub-attributes including scalar/vector/matrix for variables and local/global/discipline-specific labels for both constants and operators. Our extensive experiments demonstrate that state-of-the-art LLMs achieve an average accuracy of 20-60% under in-context learning and 50-60% with fine-tuning, highlighting a substantial gap in their ability to classify mathematical symbols. By improving LLMs' mathematical symbol classification, STEM-PoM further enhances models' downstream mathematical reasoning capabilities. The code and data are available at https://anonymous.4open.science/r/STEM-PoM-F49E.</v>
      </c>
      <c r="D513" s="7" t="str">
        <f>IFERROR(__xludf.DUMMYFUNCTION("""COMPUTED_VALUE"""),"NA")</f>
        <v>NA</v>
      </c>
      <c r="E513" s="7" t="str">
        <f>IFERROR(__xludf.DUMMYFUNCTION("""COMPUTED_VALUE"""),"#N/A")</f>
        <v>#N/A</v>
      </c>
      <c r="F513" s="7" t="str">
        <f>IFERROR(__xludf.DUMMYFUNCTION("""COMPUTED_VALUE"""),"Not Pres. ")</f>
        <v>Not Pres. </v>
      </c>
      <c r="G513" s="7" t="str">
        <f>IFERROR(__xludf.DUMMYFUNCTION("""COMPUTED_VALUE"""),"NP Findings Not Presenting ")</f>
        <v>NP Findings Not Presenting </v>
      </c>
      <c r="H513" s="7"/>
      <c r="I513" s="7" t="str">
        <f>IFERROR(__xludf.DUMMYFUNCTION("""COMPUTED_VALUE"""),"NP-Find")</f>
        <v>NP-Find</v>
      </c>
      <c r="J513" s="7"/>
      <c r="K513" s="7"/>
      <c r="L513" s="8"/>
      <c r="M513" s="7"/>
      <c r="N513" s="7"/>
    </row>
    <row r="514">
      <c r="A514" s="7" t="str">
        <f>IFERROR(__xludf.DUMMYFUNCTION("""COMPUTED_VALUE"""),"1716-FIND")</f>
        <v>1716-FIND</v>
      </c>
      <c r="B514" s="7" t="str">
        <f>IFERROR(__xludf.DUMMYFUNCTION("""COMPUTED_VALUE"""),"Retrieval Visual Contrastive Decoding to Mitigate Object Hallucinations in Large Vision-Language Models")</f>
        <v>Retrieval Visual Contrastive Decoding to Mitigate Object Hallucinations in Large Vision-Language Models</v>
      </c>
      <c r="C514" s="7" t="str">
        <f>IFERROR(__xludf.DUMMYFUNCTION("""COMPUTED_VALUE"""),"Despite significant advancements in Large Vision-Language Models, Object Hallucination (OH) remains a persistent challenge. Building upon prior studies on contrastive decoding that address this issue without requiring additional model training, we introdu"&amp;"ce RVCD (Retrieval Visual Contrastive Decoding), an advanced method to suppress OH. RVCD leverages both negative and positive images at the logit level, explicitly referencing AI-generated images designed to represent a single concept. Our approach demons"&amp;"trates substantial improvements over existing decoding-based methods.")</f>
        <v>Despite significant advancements in Large Vision-Language Models, Object Hallucination (OH) remains a persistent challenge. Building upon prior studies on contrastive decoding that address this issue without requiring additional model training, we introduce RVCD (Retrieval Visual Contrastive Decoding), an advanced method to suppress OH. RVCD leverages both negative and positive images at the logit level, explicitly referencing AI-generated images designed to represent a single concept. Our approach demonstrates substantial improvements over existing decoding-based methods.</v>
      </c>
      <c r="D514" s="7" t="str">
        <f>IFERROR(__xludf.DUMMYFUNCTION("""COMPUTED_VALUE"""),"Seungmin Lee")</f>
        <v>Seungmin Lee</v>
      </c>
      <c r="E514" s="7" t="str">
        <f>IFERROR(__xludf.DUMMYFUNCTION("""COMPUTED_VALUE"""),"Yes")</f>
        <v>Yes</v>
      </c>
      <c r="F514" s="7" t="str">
        <f>IFERROR(__xludf.DUMMYFUNCTION("""COMPUTED_VALUE"""),"IP-Poster")</f>
        <v>IP-Poster</v>
      </c>
      <c r="G514" s="7" t="str">
        <f>IFERROR(__xludf.DUMMYFUNCTION("""COMPUTED_VALUE"""),"In-Person")</f>
        <v>In-Person</v>
      </c>
      <c r="H514" s="7" t="str">
        <f>IFERROR(__xludf.DUMMYFUNCTION("""COMPUTED_VALUE"""),"Hall 4/5")</f>
        <v>Hall 4/5</v>
      </c>
      <c r="I514" s="7" t="str">
        <f>IFERROR(__xludf.DUMMYFUNCTION("""COMPUTED_VALUE"""),"Session 5 :IP-Posters Find ")</f>
        <v>Session 5 :IP-Posters Find </v>
      </c>
      <c r="J514" s="7" t="str">
        <f>IFERROR(__xludf.DUMMYFUNCTION("""COMPUTED_VALUE"""),"Findings Posters - In-Person 1")</f>
        <v>Findings Posters - In-Person 1</v>
      </c>
      <c r="K514" s="7"/>
      <c r="L514" s="8">
        <f>IFERROR(__xludf.DUMMYFUNCTION("""COMPUTED_VALUE"""),45866.0)</f>
        <v>45866</v>
      </c>
      <c r="M514" s="7" t="str">
        <f>IFERROR(__xludf.DUMMYFUNCTION("""COMPUTED_VALUE"""),"18:00-19:30")</f>
        <v>18:00-19:30</v>
      </c>
      <c r="N514" s="7"/>
    </row>
    <row r="515">
      <c r="A515" s="7" t="str">
        <f>IFERROR(__xludf.DUMMYFUNCTION("""COMPUTED_VALUE"""),"1718-FIND")</f>
        <v>1718-FIND</v>
      </c>
      <c r="B515" s="7" t="str">
        <f>IFERROR(__xludf.DUMMYFUNCTION("""COMPUTED_VALUE"""),"Leveraging LLMs for Bangla Grammar Error Correction: Error Categorization, Synthetic Data, and Model Evaluation")</f>
        <v>Leveraging LLMs for Bangla Grammar Error Correction: Error Categorization, Synthetic Data, and Model Evaluation</v>
      </c>
      <c r="C515" s="7" t="str">
        <f>IFERROR(__xludf.DUMMYFUNCTION("""COMPUTED_VALUE"""),"Large Language Models (LLMs) perform exceedingly well in Natural Language Understanding (NLU) tasks for many languages including English. However, despite being the ﬁfth most-spoken language globally, Grammatical Error Correction (GEC) in Bangla remains u"&amp;"nderdeveloped. In this work, we investigate how LLMs can be leveraged for improving Bangla GEC. For that, we ﬁrst do an extensive categorization of 12 error classes in Bangla, and take a survey of native Bangla speakers to collect real-world errors. We ne"&amp;"xt devise a rule-based noise injection method to create grammatically incorrect sentences corresponding to correct ones. The Vaiyākaraṇa dataset, thus created, consists of 567,422 sentences of which 227,119 are erroneous. This dataset is then used to inst"&amp;"ruction-tune LLMs for the task of GEC in Bangla. Evaluations show that instruction-tuning with Vaiyākaraṇa improves GEC performance of LLMs by 3-7 percentage points as compared to zero-shot setting, and makes them achieve human-like performance in error i"&amp;"dentiﬁcation. Humans, though, remain superior in grammatical error correction.")</f>
        <v>Large Language Models (LLMs) perform exceedingly well in Natural Language Understanding (NLU) tasks for many languages including English. However, despite being the ﬁfth most-spoken language globally, Grammatical Error Correction (GEC) in Bangla remains underdeveloped. In this work, we investigate how LLMs can be leveraged for improving Bangla GEC. For that, we ﬁrst do an extensive categorization of 12 error classes in Bangla, and take a survey of native Bangla speakers to collect real-world errors. We next devise a rule-based noise injection method to create grammatically incorrect sentences corresponding to correct ones. The Vaiyākaraṇa dataset, thus created, consists of 567,422 sentences of which 227,119 are erroneous. This dataset is then used to instruction-tune LLMs for the task of GEC in Bangla. Evaluations show that instruction-tuning with Vaiyākaraṇa improves GEC performance of LLMs by 3-7 percentage points as compared to zero-shot setting, and makes them achieve human-like performance in error identiﬁcation. Humans, though, remain superior in grammatical error correction.</v>
      </c>
      <c r="D515" s="7" t="str">
        <f>IFERROR(__xludf.DUMMYFUNCTION("""COMPUTED_VALUE"""),"Pramit Bhattacharyya")</f>
        <v>Pramit Bhattacharyya</v>
      </c>
      <c r="E515" s="7" t="str">
        <f>IFERROR(__xludf.DUMMYFUNCTION("""COMPUTED_VALUE"""),"Yes")</f>
        <v>Yes</v>
      </c>
      <c r="F515" s="7" t="str">
        <f>IFERROR(__xludf.DUMMYFUNCTION("""COMPUTED_VALUE"""),"V-Presentation")</f>
        <v>V-Presentation</v>
      </c>
      <c r="G515" s="7" t="str">
        <f>IFERROR(__xludf.DUMMYFUNCTION("""COMPUTED_VALUE"""),"Virtual/Gather")</f>
        <v>Virtual/Gather</v>
      </c>
      <c r="H515" s="7" t="str">
        <f>IFERROR(__xludf.DUMMYFUNCTION("""COMPUTED_VALUE"""),"Gather")</f>
        <v>Gather</v>
      </c>
      <c r="I515" s="7" t="str">
        <f>IFERROR(__xludf.DUMMYFUNCTION("""COMPUTED_VALUE"""),"Session5: V-Gather Find")</f>
        <v>Session5: V-Gather Find</v>
      </c>
      <c r="J515" s="7" t="str">
        <f>IFERROR(__xludf.DUMMYFUNCTION("""COMPUTED_VALUE"""),"Findings Posters - Virtual")</f>
        <v>Findings Posters - Virtual</v>
      </c>
      <c r="K515" s="7"/>
      <c r="L515" s="8">
        <f>IFERROR(__xludf.DUMMYFUNCTION("""COMPUTED_VALUE"""),45866.0)</f>
        <v>45866</v>
      </c>
      <c r="M515" s="7" t="str">
        <f>IFERROR(__xludf.DUMMYFUNCTION("""COMPUTED_VALUE"""),"18:00-19:30")</f>
        <v>18:00-19:30</v>
      </c>
      <c r="N515" s="7"/>
    </row>
    <row r="516">
      <c r="A516" s="7" t="str">
        <f>IFERROR(__xludf.DUMMYFUNCTION("""COMPUTED_VALUE"""),"1724-FIND")</f>
        <v>1724-FIND</v>
      </c>
      <c r="B516" s="7" t="str">
        <f>IFERROR(__xludf.DUMMYFUNCTION("""COMPUTED_VALUE"""),"Think Both Ways: Teacher-Student Bidirectional Reasoning Enhances MCQ Generation and Distractor Quality")</f>
        <v>Think Both Ways: Teacher-Student Bidirectional Reasoning Enhances MCQ Generation and Distractor Quality</v>
      </c>
      <c r="C516" s="7" t="str">
        <f>IFERROR(__xludf.DUMMYFUNCTION("""COMPUTED_VALUE"""),"Generating high-quality Multiple Choice Questions (MCQs) remains challenging for educational tools due to the need for contextual relevance and plausible distractors. Existing methods still struggle with these dual requirements, leading to questions that "&amp;"lack depth and distractors that are either too obvious or irrelevant. In this paper, we propose BiFlow, a novel framework that integrates bidirectional reasoning perspectives: teacher reasoning generates contextually relevant questions and plausible distr"&amp;"actors, while student reasoning evaluates question clarity and the misleading nature of the distractors. To further enhance reasoning, we introduce PathFinder, a mechanism that employs breadth-first search and Chain-of-Thought (CoT) strategies to explore "&amp;"diverse reasoning paths, improving both the quality and diversity of generated questions and distractors. Additionally, we enrich the FairytaleQA dataset to FairytaleMCQ with high-quality distractors, providing a robust benchmark for MCQ generation. Exper"&amp;"imental results demonstrate that BiFlow outperforms existing methods, particularly in generating text-grounded questions and high-quality distractors for narrative contexts, highlighting its value in educational applications.")</f>
        <v>Generating high-quality Multiple Choice Questions (MCQs) remains challenging for educational tools due to the need for contextual relevance and plausible distractors. Existing methods still struggle with these dual requirements, leading to questions that lack depth and distractors that are either too obvious or irrelevant. In this paper, we propose BiFlow, a novel framework that integrates bidirectional reasoning perspectives: teacher reasoning generates contextually relevant questions and plausible distractors, while student reasoning evaluates question clarity and the misleading nature of the distractors. To further enhance reasoning, we introduce PathFinder, a mechanism that employs breadth-first search and Chain-of-Thought (CoT) strategies to explore diverse reasoning paths, improving both the quality and diversity of generated questions and distractors. Additionally, we enrich the FairytaleQA dataset to FairytaleMCQ with high-quality distractors, providing a robust benchmark for MCQ generation. Experimental results demonstrate that BiFlow outperforms existing methods, particularly in generating text-grounded questions and high-quality distractors for narrative contexts, highlighting its value in educational applications.</v>
      </c>
      <c r="D516" s="7" t="str">
        <f>IFERROR(__xludf.DUMMYFUNCTION("""COMPUTED_VALUE"""),"Yimiao Qiu")</f>
        <v>Yimiao Qiu</v>
      </c>
      <c r="E516" s="7" t="str">
        <f>IFERROR(__xludf.DUMMYFUNCTION("""COMPUTED_VALUE"""),"N/A")</f>
        <v>N/A</v>
      </c>
      <c r="F516" s="7" t="str">
        <f>IFERROR(__xludf.DUMMYFUNCTION("""COMPUTED_VALUE"""),"Not Pres. ")</f>
        <v>Not Pres. </v>
      </c>
      <c r="G516" s="7" t="str">
        <f>IFERROR(__xludf.DUMMYFUNCTION("""COMPUTED_VALUE"""),"NP Findings Not Presenting ")</f>
        <v>NP Findings Not Presenting </v>
      </c>
      <c r="H516" s="7"/>
      <c r="I516" s="7"/>
      <c r="J516" s="7"/>
      <c r="K516" s="7"/>
      <c r="L516" s="8"/>
      <c r="M516" s="7"/>
      <c r="N516" s="7"/>
    </row>
    <row r="517">
      <c r="A517" s="7" t="str">
        <f>IFERROR(__xludf.DUMMYFUNCTION("""COMPUTED_VALUE"""),"1727-FIND")</f>
        <v>1727-FIND</v>
      </c>
      <c r="B517" s="7" t="str">
        <f>IFERROR(__xludf.DUMMYFUNCTION("""COMPUTED_VALUE"""),"mmE5: Improving Multimodal Multilingual Embeddings via High-quality Synthetic Data")</f>
        <v>mmE5: Improving Multimodal Multilingual Embeddings via High-quality Synthetic Data</v>
      </c>
      <c r="C517" s="7" t="str">
        <f>IFERROR(__xludf.DUMMYFUNCTION("""COMPUTED_VALUE"""),"Multimodal embedding models have gained significant attention for their ability to map data from different modalities, such as text and images, into a unified representation space. However, the limited labeled multimodal data often hinders embedding perfo"&amp;"rmance. Recent approaches have leveraged data synthesis to address this problem, yet the quality of synthetic data remains a critical bottleneck. In this work, we identify three criteria for high-quality synthetic multimodal data. First, broad scope ensur"&amp;"es that the generated data covers diverse tasks and modalities, making it applicable to various downstream scenarios. Second, robust cross-modal alignment makes different modalities semantically consistent. Third, high fidelity ensures that the synthetic "&amp;"data maintains realistic details to enhance its reliability. Guided by these principles, we synthesize datasets that: (1) cover a wide range of tasks, modality combinations, and languages, (2) are generated via a deep thinking process within a single pass"&amp;" of a multimodal large language model, and (3) incorporate real-world images with accurate and relevant texts, ensuring fidelity through self-evaluation and refinement. Leveraging these high-quality synthetic and labeled datasets, we train a multimodal mu"&amp;"ltilingual E5 model mmE5. Extensive experiments demonstrate that mmE5 achieves state-of-the-art performance on the MMEB Benchmark and superior multilingual performance on the XTD benchmark. We will release our codes, datasets and models.")</f>
        <v>Multimodal embedding models have gained significant attention for their ability to map data from different modalities, such as text and images, into a unified representation space. However, the limited labeled multimodal data often hinders embedding performance. Recent approaches have leveraged data synthesis to address this problem, yet the quality of synthetic data remains a critical bottleneck. In this work, we identify three criteria for high-quality synthetic multimodal data. First, broad scope ensures that the generated data covers diverse tasks and modalities, making it applicable to various downstream scenarios. Second, robust cross-modal alignment makes different modalities semantically consistent. Third, high fidelity ensures that the synthetic data maintains realistic details to enhance its reliability. Guided by these principles, we synthesize datasets that: (1) cover a wide range of tasks, modality combinations, and languages, (2) are generated via a deep thinking process within a single pass of a multimodal large language model, and (3) incorporate real-world images with accurate and relevant texts, ensuring fidelity through self-evaluation and refinement. Leveraging these high-quality synthetic and labeled datasets, we train a multimodal multilingual E5 model mmE5. Extensive experiments demonstrate that mmE5 achieves state-of-the-art performance on the MMEB Benchmark and superior multilingual performance on the XTD benchmark. We will release our codes, datasets and models.</v>
      </c>
      <c r="D517" s="7" t="str">
        <f>IFERROR(__xludf.DUMMYFUNCTION("""COMPUTED_VALUE"""),"Haonan Chen")</f>
        <v>Haonan Chen</v>
      </c>
      <c r="E517" s="7" t="str">
        <f>IFERROR(__xludf.DUMMYFUNCTION("""COMPUTED_VALUE"""),"#N/A")</f>
        <v>#N/A</v>
      </c>
      <c r="F517" s="7" t="str">
        <f>IFERROR(__xludf.DUMMYFUNCTION("""COMPUTED_VALUE"""),"Not Pres. ")</f>
        <v>Not Pres. </v>
      </c>
      <c r="G517" s="7" t="str">
        <f>IFERROR(__xludf.DUMMYFUNCTION("""COMPUTED_VALUE"""),"NP Findings Not Presenting ")</f>
        <v>NP Findings Not Presenting </v>
      </c>
      <c r="H517" s="7"/>
      <c r="I517" s="7" t="str">
        <f>IFERROR(__xludf.DUMMYFUNCTION("""COMPUTED_VALUE"""),"NP-Find")</f>
        <v>NP-Find</v>
      </c>
      <c r="J517" s="7"/>
      <c r="K517" s="7"/>
      <c r="L517" s="8"/>
      <c r="M517" s="7"/>
      <c r="N517" s="7"/>
    </row>
    <row r="518">
      <c r="A518" s="7" t="str">
        <f>IFERROR(__xludf.DUMMYFUNCTION("""COMPUTED_VALUE"""),"1728-FIND")</f>
        <v>1728-FIND</v>
      </c>
      <c r="B518" s="7" t="str">
        <f>IFERROR(__xludf.DUMMYFUNCTION("""COMPUTED_VALUE"""),"Word2Passage : Word-level Importance Re-weighting for Query Expansion")</f>
        <v>Word2Passage : Word-level Importance Re-weighting for Query Expansion</v>
      </c>
      <c r="C518" s="7" t="str">
        <f>IFERROR(__xludf.DUMMYFUNCTION("""COMPUTED_VALUE"""),"Retrieval-augmented generation (RAG) enhances the quality of LLM generation by providing relevant chunks, but retrieving accurately from external knowledge remains challenging due to missing contextually important words in query. We present Word2Passage, "&amp;"a novel approach that improves retrieval accuracy by optimizing word importance in query expansion. Our method generates references at word, sentence, and passage levels for query expansion, then determines word importance by considering both their refere"&amp;"nce level origin and characteristics derived from query types and corpus analysis. Specifically, our method assigns distinct importance scores to words based on whether they originate from word, sentence, or passage-level references. Extensive experiments"&amp;" demonstrate that Word2Passage outperforms existing methods across various datasets and LLM configurations, effectively enhancing both retrieval accuracy and generation quality. The code will be released publicly.")</f>
        <v>Retrieval-augmented generation (RAG) enhances the quality of LLM generation by providing relevant chunks, but retrieving accurately from external knowledge remains challenging due to missing contextually important words in query. We present Word2Passage, a novel approach that improves retrieval accuracy by optimizing word importance in query expansion. Our method generates references at word, sentence, and passage levels for query expansion, then determines word importance by considering both their reference level origin and characteristics derived from query types and corpus analysis. Specifically, our method assigns distinct importance scores to words based on whether they originate from word, sentence, or passage-level references. Extensive experiments demonstrate that Word2Passage outperforms existing methods across various datasets and LLM configurations, effectively enhancing both retrieval accuracy and generation quality. The code will be released publicly.</v>
      </c>
      <c r="D518" s="7" t="str">
        <f>IFERROR(__xludf.DUMMYFUNCTION("""COMPUTED_VALUE"""),"Jeonghwan Choi")</f>
        <v>Jeonghwan Choi</v>
      </c>
      <c r="E518" s="7" t="str">
        <f>IFERROR(__xludf.DUMMYFUNCTION("""COMPUTED_VALUE"""),"Yes")</f>
        <v>Yes</v>
      </c>
      <c r="F518" s="7" t="str">
        <f>IFERROR(__xludf.DUMMYFUNCTION("""COMPUTED_VALUE"""),"IP-Poster")</f>
        <v>IP-Poster</v>
      </c>
      <c r="G518" s="7" t="str">
        <f>IFERROR(__xludf.DUMMYFUNCTION("""COMPUTED_VALUE"""),"In-Person")</f>
        <v>In-Person</v>
      </c>
      <c r="H518" s="7" t="str">
        <f>IFERROR(__xludf.DUMMYFUNCTION("""COMPUTED_VALUE"""),"Hall 4/5")</f>
        <v>Hall 4/5</v>
      </c>
      <c r="I518" s="7" t="str">
        <f>IFERROR(__xludf.DUMMYFUNCTION("""COMPUTED_VALUE"""),"Session 5 :IP-Posters Find ")</f>
        <v>Session 5 :IP-Posters Find </v>
      </c>
      <c r="J518" s="7" t="str">
        <f>IFERROR(__xludf.DUMMYFUNCTION("""COMPUTED_VALUE"""),"Findings Posters - In-Person 1")</f>
        <v>Findings Posters - In-Person 1</v>
      </c>
      <c r="K518" s="7"/>
      <c r="L518" s="8">
        <f>IFERROR(__xludf.DUMMYFUNCTION("""COMPUTED_VALUE"""),45866.0)</f>
        <v>45866</v>
      </c>
      <c r="M518" s="7" t="str">
        <f>IFERROR(__xludf.DUMMYFUNCTION("""COMPUTED_VALUE"""),"18:00-19:30")</f>
        <v>18:00-19:30</v>
      </c>
      <c r="N518" s="7"/>
    </row>
    <row r="519">
      <c r="A519" s="7" t="str">
        <f>IFERROR(__xludf.DUMMYFUNCTION("""COMPUTED_VALUE"""),"1731-FIND")</f>
        <v>1731-FIND</v>
      </c>
      <c r="B519" s="7" t="str">
        <f>IFERROR(__xludf.DUMMYFUNCTION("""COMPUTED_VALUE"""),"MECoT: Markov Emotional Chain-of-Thought for Personality-Consistent Role-Playing")</f>
        <v>MECoT: Markov Emotional Chain-of-Thought for Personality-Consistent Role-Playing</v>
      </c>
      <c r="C519" s="7" t="str">
        <f>IFERROR(__xludf.DUMMYFUNCTION("""COMPUTED_VALUE"""),"Large Language Models (LLMs) have shown remarkable capabilities in role-playing dialogues, yet they often struggle to maintain emotionally consistent and psychologically plausible character personalities. We present MECoT (Markov Emotional Chain-of-Though"&amp;"t), a framework that enhances LLMs' ability to generate authentic personality-driven dialogues through stochastic emotional transitions. Inspired by dual-process theory, MECoT combines a Markov-chain-driven emotional processor for intuitive responses with"&amp;" an LLM-based reasoning mechanism for rational regulation, mapped onto a 12-dimensional Emotion Circumplex Model. The framework dynamically adjusts emotional transitions using personality-weighted matrices and historical context, ensuring both emotional c"&amp;"oherence and character consistency. We introduce the Role-playing And Personality Dialogue (RAPD) dataset, featuring diverse character interactions with fine-grained emotional annotations, along with novel metrics for evaluating emotional authenticity and"&amp;" personality alignment. Experimental results demonstrate MECoT's effectiveness, achieving 93.3\% emotional accuracy on RAPD and substantially outperforming existing approaches. Our analysis reveals optimal emotional granularity (12-16 categories) and vali"&amp;"dates our data-driven personality optimization approach. Code and data are available at} \url{https://anonymous.4open.science/r/MECoT}")</f>
        <v>Large Language Models (LLMs) have shown remarkable capabilities in role-playing dialogues, yet they often struggle to maintain emotionally consistent and psychologically plausible character personalities. We present MECoT (Markov Emotional Chain-of-Thought), a framework that enhances LLMs' ability to generate authentic personality-driven dialogues through stochastic emotional transitions. Inspired by dual-process theory, MECoT combines a Markov-chain-driven emotional processor for intuitive responses with an LLM-based reasoning mechanism for rational regulation, mapped onto a 12-dimensional Emotion Circumplex Model. The framework dynamically adjusts emotional transitions using personality-weighted matrices and historical context, ensuring both emotional coherence and character consistency. We introduce the Role-playing And Personality Dialogue (RAPD) dataset, featuring diverse character interactions with fine-grained emotional annotations, along with novel metrics for evaluating emotional authenticity and personality alignment. Experimental results demonstrate MECoT's effectiveness, achieving 93.3\% emotional accuracy on RAPD and substantially outperforming existing approaches. Our analysis reveals optimal emotional granularity (12-16 categories) and validates our data-driven personality optimization approach. Code and data are available at} \url{https://anonymous.4open.science/r/MECoT}</v>
      </c>
      <c r="D519" s="7" t="str">
        <f>IFERROR(__xludf.DUMMYFUNCTION("""COMPUTED_VALUE"""),"none")</f>
        <v>none</v>
      </c>
      <c r="E519" s="7" t="str">
        <f>IFERROR(__xludf.DUMMYFUNCTION("""COMPUTED_VALUE"""),"#N/A")</f>
        <v>#N/A</v>
      </c>
      <c r="F519" s="7" t="str">
        <f>IFERROR(__xludf.DUMMYFUNCTION("""COMPUTED_VALUE"""),"Not Pres. ")</f>
        <v>Not Pres. </v>
      </c>
      <c r="G519" s="7" t="str">
        <f>IFERROR(__xludf.DUMMYFUNCTION("""COMPUTED_VALUE"""),"NP Findings Not Presenting ")</f>
        <v>NP Findings Not Presenting </v>
      </c>
      <c r="H519" s="7"/>
      <c r="I519" s="7" t="str">
        <f>IFERROR(__xludf.DUMMYFUNCTION("""COMPUTED_VALUE"""),"NP-Find")</f>
        <v>NP-Find</v>
      </c>
      <c r="J519" s="7"/>
      <c r="K519" s="7"/>
      <c r="L519" s="8"/>
      <c r="M519" s="7"/>
      <c r="N519" s="7"/>
    </row>
    <row r="520">
      <c r="A520" s="7" t="str">
        <f>IFERROR(__xludf.DUMMYFUNCTION("""COMPUTED_VALUE"""),"1736-FIND")</f>
        <v>1736-FIND</v>
      </c>
      <c r="B520" s="7" t="str">
        <f>IFERROR(__xludf.DUMMYFUNCTION("""COMPUTED_VALUE"""),"FiDeLiS: Faithful Reasoning in Large Language Models for Knowledge Graph Question Answering")</f>
        <v>FiDeLiS: Faithful Reasoning in Large Language Models for Knowledge Graph Question Answering</v>
      </c>
      <c r="C520" s="7" t="str">
        <f>IFERROR(__xludf.DUMMYFUNCTION("""COMPUTED_VALUE"""),"Large Language Models (LLMs) are often challenged by generating erroneous or hallucinated responses, especially in complex reasoning tasks. Leveraging Knowledge Graphs (KGs) as external knowledge sources has emerged as a viable solution. However, existing"&amp;" KG-enhanced methods, either retrieval-based or agent-based, encounter difficulties in accurately retrieving knowledge and efficiently traversing KGs at scale. In this paper, we propose a unified framework, FiDeLiS, designed to improve the factuality of L"&amp;"LM responses by anchoring answers to verifiable reasoning steps retrieved from KGs. To achieve this, we leverage step-wise beam search with a deductive scoring function, allowing the LLM to validate reasoning process step by step, and halt the search once"&amp;" the question is deducible. In addition, we propose a Path-RAG module to pre-select a smaller candidate set for each beam search step, reducing computational costs by narrowing the search space. Extensive experiments show that our method, as a training-fr"&amp;"ee framework, not only improve the performance but also enhance the factuality and interpretability across different benchmarks.")</f>
        <v>Large Language Models (LLMs) are often challenged by generating erroneous or hallucinated responses, especially in complex reasoning tasks. Leveraging Knowledge Graphs (KGs) as external knowledge sources has emerged as a viable solution. However, existing KG-enhanced methods, either retrieval-based or agent-based, encounter difficulties in accurately retrieving knowledge and efficiently traversing KGs at scale. In this paper, we propose a unified framework, FiDeLiS, designed to improve the factuality of LLM responses by anchoring answers to verifiable reasoning steps retrieved from KGs. To achieve this, we leverage step-wise beam search with a deductive scoring function, allowing the LLM to validate reasoning process step by step, and halt the search once the question is deducible. In addition, we propose a Path-RAG module to pre-select a smaller candidate set for each beam search step, reducing computational costs by narrowing the search space. Extensive experiments show that our method, as a training-free framework, not only improve the performance but also enhance the factuality and interpretability across different benchmarks.</v>
      </c>
      <c r="D520" s="7" t="str">
        <f>IFERROR(__xludf.DUMMYFUNCTION("""COMPUTED_VALUE"""),"Yuan Sui")</f>
        <v>Yuan Sui</v>
      </c>
      <c r="E520" s="7" t="str">
        <f>IFERROR(__xludf.DUMMYFUNCTION("""COMPUTED_VALUE"""),"Yes")</f>
        <v>Yes</v>
      </c>
      <c r="F520" s="7" t="str">
        <f>IFERROR(__xludf.DUMMYFUNCTION("""COMPUTED_VALUE"""),"IP-Poster")</f>
        <v>IP-Poster</v>
      </c>
      <c r="G520" s="7" t="str">
        <f>IFERROR(__xludf.DUMMYFUNCTION("""COMPUTED_VALUE"""),"In-Person")</f>
        <v>In-Person</v>
      </c>
      <c r="H520" s="7" t="str">
        <f>IFERROR(__xludf.DUMMYFUNCTION("""COMPUTED_VALUE"""),"Hall 4/5")</f>
        <v>Hall 4/5</v>
      </c>
      <c r="I520" s="7" t="str">
        <f>IFERROR(__xludf.DUMMYFUNCTION("""COMPUTED_VALUE"""),"Session 10: IP-Posters")</f>
        <v>Session 10: IP-Posters</v>
      </c>
      <c r="J520" s="7" t="str">
        <f>IFERROR(__xludf.DUMMYFUNCTION("""COMPUTED_VALUE"""),"Findings Posters - In-Person 3")</f>
        <v>Findings Posters - In-Person 3</v>
      </c>
      <c r="K520" s="7"/>
      <c r="L520" s="8">
        <f>IFERROR(__xludf.DUMMYFUNCTION("""COMPUTED_VALUE"""),45867.0)</f>
        <v>45867</v>
      </c>
      <c r="M520" s="7" t="str">
        <f>IFERROR(__xludf.DUMMYFUNCTION("""COMPUTED_VALUE"""),"16:00-17:30")</f>
        <v>16:00-17:30</v>
      </c>
      <c r="N520" s="7"/>
    </row>
    <row r="521">
      <c r="A521" s="7" t="str">
        <f>IFERROR(__xludf.DUMMYFUNCTION("""COMPUTED_VALUE"""),"1740-FIND")</f>
        <v>1740-FIND</v>
      </c>
      <c r="B521" s="7" t="str">
        <f>IFERROR(__xludf.DUMMYFUNCTION("""COMPUTED_VALUE"""),"REALM: A Dataset of Real-World LLM Use Cases")</f>
        <v>REALM: A Dataset of Real-World LLM Use Cases</v>
      </c>
      <c r="C521" s="7" t="str">
        <f>IFERROR(__xludf.DUMMYFUNCTION("""COMPUTED_VALUE"""),"Large Language Models (LLMs), such as the GPT series, have driven significant industrial applications, leading to economic and societal transformations. However, a comprehensive understanding of their real-world applications remains limited. To address th"&amp;"is, we introduce REALM, a dataset of over 94,000 LLM use cases collected from Reddit and news articles. REALM captures two key dimensions: the diverse applications of LLMs and the demographics of their users. It categorizes LLM applications and explores h"&amp;"ow users’ occupations relate to the types of applications they use. By integrating real-world data, REALM offers insights into LLM adoption across different domains, providing a foundation for future research on their evolving societal roles.")</f>
        <v>Large Language Models (LLMs), such as the GPT series, have driven significant industrial applications, leading to economic and societal transformations. However, a comprehensive understanding of their real-world applications remains limited. To address this, we introduce REALM, a dataset of over 94,000 LLM use cases collected from Reddit and news articles. REALM captures two key dimensions: the diverse applications of LLMs and the demographics of their users. It categorizes LLM applications and explores how users’ occupations relate to the types of applications they use. By integrating real-world data, REALM offers insights into LLM adoption across different domains, providing a foundation for future research on their evolving societal roles.</v>
      </c>
      <c r="D521" s="7" t="str">
        <f>IFERROR(__xludf.DUMMYFUNCTION("""COMPUTED_VALUE"""),"Jingwen Cheng")</f>
        <v>Jingwen Cheng</v>
      </c>
      <c r="E521" s="7" t="str">
        <f>IFERROR(__xludf.DUMMYFUNCTION("""COMPUTED_VALUE"""),"N/A")</f>
        <v>N/A</v>
      </c>
      <c r="F521" s="7" t="str">
        <f>IFERROR(__xludf.DUMMYFUNCTION("""COMPUTED_VALUE"""),"Not Pres. ")</f>
        <v>Not Pres. </v>
      </c>
      <c r="G521" s="7" t="str">
        <f>IFERROR(__xludf.DUMMYFUNCTION("""COMPUTED_VALUE"""),"NP Findings Not Presenting ")</f>
        <v>NP Findings Not Presenting </v>
      </c>
      <c r="H521" s="7"/>
      <c r="I521" s="7"/>
      <c r="J521" s="7"/>
      <c r="K521" s="7"/>
      <c r="L521" s="8"/>
      <c r="M521" s="7"/>
      <c r="N521" s="7"/>
    </row>
    <row r="522">
      <c r="A522" s="7" t="str">
        <f>IFERROR(__xludf.DUMMYFUNCTION("""COMPUTED_VALUE"""),"1742-FIND")</f>
        <v>1742-FIND</v>
      </c>
      <c r="B522" s="7" t="str">
        <f>IFERROR(__xludf.DUMMYFUNCTION("""COMPUTED_VALUE"""),"BABELEDITS: A Benchmark and a Modular Approach for Robust Cross-lingual Knowledge Editing of Large Language Models")</f>
        <v>BABELEDITS: A Benchmark and a Modular Approach for Robust Cross-lingual Knowledge Editing of Large Language Models</v>
      </c>
      <c r="C522" s="7" t="str">
        <f>IFERROR(__xludf.DUMMYFUNCTION("""COMPUTED_VALUE"""),"With Large Language Models (LLMs) becoming increasingly multilingual, effective knowledge editing (KE) needs to propagate edits across languages. Evaluation of the existing methods for cross-lingual knowledge editing (CKE) is limited both w.r.t. edit effe"&amp;"ctiveness: benchmarks do not account for entity aliases and use faulty entity translations; as well as robustness: existing work fails to report on LLMs' downstream generation and task-solving abilities after editing. 
In this work, we aim to (i) maximize"&amp;" the effectiveness of CKE while at the same time (ii) minimizing the extent of downstream model collapse due to the edits. To accurately measure the effectiveness of CKE methods, we introduce BabelEdits, a new CKE dataset covering 60 languages that combin"&amp;"es high-quality multilingual synsets from BabelNet with marker-based translation to ensure entity translation quality. Unlike existing CKE benchmarks, BabelEdits accounts for the rich variety of entity aliases within and across languages. 
We then propose"&amp;" BabelReFT, a modular CKE approach based on representation fine-tuning (ReFT) which learns entity-scope ReFT modules, applying them to all multilingual aliases at inference. Our experimental results show that not only is BabelReFT more effective in CKE th"&amp;"an state-of-the-art methods, but, owing to its modular design, much more robust against downstream model collapse when subjected to many sequential edits.")</f>
        <v>With Large Language Models (LLMs) becoming increasingly multilingual, effective knowledge editing (KE) needs to propagate edits across languages. Evaluation of the existing methods for cross-lingual knowledge editing (CKE) is limited both w.r.t. edit effectiveness: benchmarks do not account for entity aliases and use faulty entity translations; as well as robustness: existing work fails to report on LLMs' downstream generation and task-solving abilities after editing. 
In this work, we aim to (i) maximize the effectiveness of CKE while at the same time (ii) minimizing the extent of downstream model collapse due to the edits. To accurately measure the effectiveness of CKE methods, we introduce BabelEdits, a new CKE dataset covering 60 languages that combines high-quality multilingual synsets from BabelNet with marker-based translation to ensure entity translation quality. Unlike existing CKE benchmarks, BabelEdits accounts for the rich variety of entity aliases within and across languages. 
We then propose BabelReFT, a modular CKE approach based on representation fine-tuning (ReFT) which learns entity-scope ReFT modules, applying them to all multilingual aliases at inference. Our experimental results show that not only is BabelReFT more effective in CKE than state-of-the-art methods, but, owing to its modular design, much more robust against downstream model collapse when subjected to many sequential edits.</v>
      </c>
      <c r="D522" s="7" t="str">
        <f>IFERROR(__xludf.DUMMYFUNCTION("""COMPUTED_VALUE"""),"Tommaso Green")</f>
        <v>Tommaso Green</v>
      </c>
      <c r="E522" s="7" t="str">
        <f>IFERROR(__xludf.DUMMYFUNCTION("""COMPUTED_VALUE"""),"Yes")</f>
        <v>Yes</v>
      </c>
      <c r="F522" s="7" t="str">
        <f>IFERROR(__xludf.DUMMYFUNCTION("""COMPUTED_VALUE"""),"IP-Poster")</f>
        <v>IP-Poster</v>
      </c>
      <c r="G522" s="7" t="str">
        <f>IFERROR(__xludf.DUMMYFUNCTION("""COMPUTED_VALUE"""),"In-Person")</f>
        <v>In-Person</v>
      </c>
      <c r="H522" s="7" t="str">
        <f>IFERROR(__xludf.DUMMYFUNCTION("""COMPUTED_VALUE"""),"Hall 4/5")</f>
        <v>Hall 4/5</v>
      </c>
      <c r="I522" s="7" t="str">
        <f>IFERROR(__xludf.DUMMYFUNCTION("""COMPUTED_VALUE"""),"Session 10: IP-Posters")</f>
        <v>Session 10: IP-Posters</v>
      </c>
      <c r="J522" s="7" t="str">
        <f>IFERROR(__xludf.DUMMYFUNCTION("""COMPUTED_VALUE"""),"Findings Posters - In-Person 3")</f>
        <v>Findings Posters - In-Person 3</v>
      </c>
      <c r="K522" s="7"/>
      <c r="L522" s="8">
        <f>IFERROR(__xludf.DUMMYFUNCTION("""COMPUTED_VALUE"""),45867.0)</f>
        <v>45867</v>
      </c>
      <c r="M522" s="7" t="str">
        <f>IFERROR(__xludf.DUMMYFUNCTION("""COMPUTED_VALUE"""),"16:00-17:30")</f>
        <v>16:00-17:30</v>
      </c>
      <c r="N522" s="7"/>
    </row>
    <row r="523">
      <c r="A523" s="7" t="str">
        <f>IFERROR(__xludf.DUMMYFUNCTION("""COMPUTED_VALUE"""),"1743-FIND")</f>
        <v>1743-FIND</v>
      </c>
      <c r="B523" s="7" t="str">
        <f>IFERROR(__xludf.DUMMYFUNCTION("""COMPUTED_VALUE"""),"CDS: Data Synthesis Method Guided by Cognitive Diagnosis Theory")</f>
        <v>CDS: Data Synthesis Method Guided by Cognitive Diagnosis Theory</v>
      </c>
      <c r="C523" s="7" t="str">
        <f>IFERROR(__xludf.DUMMYFUNCTION("""COMPUTED_VALUE"""),"Large Language Models (LLMs) have achieved significant advancements, but the increasing complexity of tasks and higher performance demands highlight the need for continuous improvement. Some approaches utilize synthetic data generated by advanced LLMs bas"&amp;"ed on evaluation results to train models. However, conventional evaluation methods fail to provide detailed, fine-grained profiles of LLMs, limiting their guidance for data synthesis. In this paper, we introduce the 
**Cognitive Diagnostic Synthesis** (CD"&amp;"S) method, which incorporates a diagnostic process inspired by **Cognitive Diagnosis Theory** (CDT) to refine evaluation results and characterize model profiles at the knowledge component level. Based on these diagnostics, we propose two diagnosis-synthes"&amp;"is strategies for weakness-targeted data synthesis. Additionally, we present an enhanced data augmentation and selection pipeline to improve the quality and diversity of synthesized data. Our experiments with several open-source models show significant im"&amp;"provements across multiple benchmarks, achieving up to 6.00% improvement in code generation, 13.10% in mathematical reasoning, and 5.43% in academic exams. Code and data are available on GitHub https://anonymous.4open.science/r/cds-04D1.")</f>
        <v>Large Language Models (LLMs) have achieved significant advancements, but the increasing complexity of tasks and higher performance demands highlight the need for continuous improvement. Some approaches utilize synthetic data generated by advanced LLMs based on evaluation results to train models. However, conventional evaluation methods fail to provide detailed, fine-grained profiles of LLMs, limiting their guidance for data synthesis. In this paper, we introduce the 
**Cognitive Diagnostic Synthesis** (CDS) method, which incorporates a diagnostic process inspired by **Cognitive Diagnosis Theory** (CDT) to refine evaluation results and characterize model profiles at the knowledge component level. Based on these diagnostics, we propose two diagnosis-synthesis strategies for weakness-targeted data synthesis. Additionally, we present an enhanced data augmentation and selection pipeline to improve the quality and diversity of synthesized data. Our experiments with several open-source models show significant improvements across multiple benchmarks, achieving up to 6.00% improvement in code generation, 13.10% in mathematical reasoning, and 5.43% in academic exams. Code and data are available on GitHub https://anonymous.4open.science/r/cds-04D1.</v>
      </c>
      <c r="D523" s="7" t="str">
        <f>IFERROR(__xludf.DUMMYFUNCTION("""COMPUTED_VALUE"""),"Jiaqing Liang")</f>
        <v>Jiaqing Liang</v>
      </c>
      <c r="E523" s="7" t="str">
        <f>IFERROR(__xludf.DUMMYFUNCTION("""COMPUTED_VALUE"""),"Yes")</f>
        <v>Yes</v>
      </c>
      <c r="F523" s="7" t="str">
        <f>IFERROR(__xludf.DUMMYFUNCTION("""COMPUTED_VALUE"""),"Not Pres. ")</f>
        <v>Not Pres. </v>
      </c>
      <c r="G523" s="7" t="str">
        <f>IFERROR(__xludf.DUMMYFUNCTION("""COMPUTED_VALUE"""),"NP Findings Not Presenting ")</f>
        <v>NP Findings Not Presenting </v>
      </c>
      <c r="H523" s="7"/>
      <c r="I523" s="7"/>
      <c r="J523" s="7"/>
      <c r="K523" s="7"/>
      <c r="L523" s="8"/>
      <c r="M523" s="7"/>
      <c r="N523" s="7"/>
    </row>
    <row r="524">
      <c r="A524" s="7" t="str">
        <f>IFERROR(__xludf.DUMMYFUNCTION("""COMPUTED_VALUE"""),"1745-FIND")</f>
        <v>1745-FIND</v>
      </c>
      <c r="B524" s="7" t="str">
        <f>IFERROR(__xludf.DUMMYFUNCTION("""COMPUTED_VALUE"""),"Problem-Solving Logic Guided Curriculum In-Context Learning for LLMs Complex Reasoning")</f>
        <v>Problem-Solving Logic Guided Curriculum In-Context Learning for LLMs Complex Reasoning</v>
      </c>
      <c r="C524" s="7" t="str">
        <f>IFERROR(__xludf.DUMMYFUNCTION("""COMPUTED_VALUE"""),"In-context learning (ICL) can significantly enhance the complex reasoning capabilities of large language models (LLMs), with the key lying in the selection and ordering of demonstration examples. Previous methods typically relied on simple features to mea"&amp;"sure the relevance between examples. We argue that these features are not sufficient to reflect the intrinsic connections between examples. In this study, we propose a curriculum ICL strategy guided by problem-solving logic. We select demonstration exampl"&amp;"es by analyzing the problem-solving logic and order them based on curriculum learning. Specifically, we constructed a problem-solving logic instruction set based on the BREAK dataset and fine-tuned a language model to analyze the problem-solving logic of "&amp;"examples. Subsequently, we selected appropriate demonstration examples based on problem-solving logic and assessed their difficulty according to the number of problem-solving steps. In accordance with the principles of curriculum learning, we ordered the "&amp;"examples from easy to hard to serve as contextual prompts. Experimental results on multiple benchmarks indicate that our method outperforms previous ICL approaches in terms of performance and efficiency, effectively enhancing the complex reasoning capabil"&amp;"ities of LLMs. Our project will be publicly available subsequently.")</f>
        <v>In-context learning (ICL) can significantly enhance the complex reasoning capabilities of large language models (LLMs), with the key lying in the selection and ordering of demonstration examples. Previous methods typically relied on simple features to measure the relevance between examples. We argue that these features are not sufficient to reflect the intrinsic connections between examples. In this study, we propose a curriculum ICL strategy guided by problem-solving logic. We select demonstration examples by analyzing the problem-solving logic and order them based on curriculum learning. Specifically, we constructed a problem-solving logic instruction set based on the BREAK dataset and fine-tuned a language model to analyze the problem-solving logic of examples. Subsequently, we selected appropriate demonstration examples based on problem-solving logic and assessed their difficulty according to the number of problem-solving steps. In accordance with the principles of curriculum learning, we ordered the examples from easy to hard to serve as contextual prompts. Experimental results on multiple benchmarks indicate that our method outperforms previous ICL approaches in terms of performance and efficiency, effectively enhancing the complex reasoning capabilities of LLMs. Our project will be publicly available subsequently.</v>
      </c>
      <c r="D524" s="7" t="str">
        <f>IFERROR(__xludf.DUMMYFUNCTION("""COMPUTED_VALUE"""),"N/A")</f>
        <v>N/A</v>
      </c>
      <c r="E524" s="7" t="str">
        <f>IFERROR(__xludf.DUMMYFUNCTION("""COMPUTED_VALUE"""),"#N/A")</f>
        <v>#N/A</v>
      </c>
      <c r="F524" s="7" t="str">
        <f>IFERROR(__xludf.DUMMYFUNCTION("""COMPUTED_VALUE"""),"Not Pres. ")</f>
        <v>Not Pres. </v>
      </c>
      <c r="G524" s="7" t="str">
        <f>IFERROR(__xludf.DUMMYFUNCTION("""COMPUTED_VALUE"""),"NP Findings Not Presenting ")</f>
        <v>NP Findings Not Presenting </v>
      </c>
      <c r="H524" s="7"/>
      <c r="I524" s="7" t="str">
        <f>IFERROR(__xludf.DUMMYFUNCTION("""COMPUTED_VALUE"""),"NP-Find")</f>
        <v>NP-Find</v>
      </c>
      <c r="J524" s="7"/>
      <c r="K524" s="7"/>
      <c r="L524" s="8"/>
      <c r="M524" s="7"/>
      <c r="N524" s="7"/>
    </row>
    <row r="525">
      <c r="A525" s="7" t="str">
        <f>IFERROR(__xludf.DUMMYFUNCTION("""COMPUTED_VALUE"""),"1750-FIND")</f>
        <v>1750-FIND</v>
      </c>
      <c r="B525" s="7" t="str">
        <f>IFERROR(__xludf.DUMMYFUNCTION("""COMPUTED_VALUE"""),"BESSTIE: A Benchmark for Sentiment and Sarcasm Classification for Varieties of English")</f>
        <v>BESSTIE: A Benchmark for Sentiment and Sarcasm Classification for Varieties of English</v>
      </c>
      <c r="C525" s="7" t="str">
        <f>IFERROR(__xludf.DUMMYFUNCTION("""COMPUTED_VALUE"""),"Despite large language models (LLMs) being known to exhibit bias against non-mainstream varieties, there are no known labeled datasets for sentiment analysis of English. To address this gap, we introduce BESSTIE, a benchmark for sentiment and sarcasm clas"&amp;"sification for three varieties of English: Australian (en-AU), Indian (en-IN), and British (en-UK). Using web-based content from two domains, namely, Google Place reviews and Reddit comments, we collect datasets for these language varieties using two meth"&amp;"ods: location-based and topic-based filtering. Native speakers of the language varieties manually annotate the datasets with sentiment and sarcasm labels. To assess whether the dataset accurately represents these varieties, we conduct two validation steps"&amp;": (a) manual annotation of language varieties and (b) automatic language variety prediction. We perform an additional annotation exercise to validate the reliance of the annotated labels. Subsequently, we fine-tune nine large language models (LLMs) (repre"&amp;"senting a range of encoder/decoder and mono/multilingual models) on these datasets, and evaluate their performance on the two tasks. Our results reveal that the models consistently perform better on inner-circle varieties (i.e., en-AU and en-UK), with sig"&amp;"nificant performance drops for en-IN, particularly in sarcasm detection. We also report challenges in cross-variety generalisation, highlighting the need for language variety-specific datasets such as ours. BESSTIE promises to be a useful evaluative bench"&amp;"mark for future research in equitable LLMs, specifically in terms of language varieties. The BESSTIE datasets, code, and models will be publicly available upon acceptance.")</f>
        <v>Despite large language models (LLMs) being known to exhibit bias against non-mainstream varieties, there are no known labeled datasets for sentiment analysis of English. To address this gap, we introduce BESSTIE, a benchmark for sentiment and sarcasm classification for three varieties of English: Australian (en-AU), Indian (en-IN), and British (en-UK). Using web-based content from two domains, namely, Google Place reviews and Reddit comments, we collect datasets for these language varieties using two methods: location-based and topic-based filtering. Native speakers of the language varieties manually annotate the datasets with sentiment and sarcasm labels. To assess whether the dataset accurately represents these varieties, we conduct two validation steps: (a) manual annotation of language varieties and (b) automatic language variety prediction. We perform an additional annotation exercise to validate the reliance of the annotated labels. Subsequently, we fine-tune nine large language models (LLMs) (representing a range of encoder/decoder and mono/multilingual models) on these datasets, and evaluate their performance on the two tasks. Our results reveal that the models consistently perform better on inner-circle varieties (i.e., en-AU and en-UK), with significant performance drops for en-IN, particularly in sarcasm detection. We also report challenges in cross-variety generalisation, highlighting the need for language variety-specific datasets such as ours. BESSTIE promises to be a useful evaluative benchmark for future research in equitable LLMs, specifically in terms of language varieties. The BESSTIE datasets, code, and models will be publicly available upon acceptance.</v>
      </c>
      <c r="D525" s="7" t="str">
        <f>IFERROR(__xludf.DUMMYFUNCTION("""COMPUTED_VALUE"""),"Dipankar Srirag")</f>
        <v>Dipankar Srirag</v>
      </c>
      <c r="E525" s="7" t="str">
        <f>IFERROR(__xludf.DUMMYFUNCTION("""COMPUTED_VALUE"""),"Yes")</f>
        <v>Yes</v>
      </c>
      <c r="F525" s="7" t="str">
        <f>IFERROR(__xludf.DUMMYFUNCTION("""COMPUTED_VALUE"""),"IP-Poster")</f>
        <v>IP-Poster</v>
      </c>
      <c r="G525" s="7" t="str">
        <f>IFERROR(__xludf.DUMMYFUNCTION("""COMPUTED_VALUE"""),"In-Person")</f>
        <v>In-Person</v>
      </c>
      <c r="H525" s="7" t="str">
        <f>IFERROR(__xludf.DUMMYFUNCTION("""COMPUTED_VALUE"""),"Hall 4/5")</f>
        <v>Hall 4/5</v>
      </c>
      <c r="I525" s="7" t="str">
        <f>IFERROR(__xludf.DUMMYFUNCTION("""COMPUTED_VALUE"""),"Session 5 :IP-Posters Find ")</f>
        <v>Session 5 :IP-Posters Find </v>
      </c>
      <c r="J525" s="7" t="str">
        <f>IFERROR(__xludf.DUMMYFUNCTION("""COMPUTED_VALUE"""),"Findings Posters - In-Person 1")</f>
        <v>Findings Posters - In-Person 1</v>
      </c>
      <c r="K525" s="7"/>
      <c r="L525" s="8">
        <f>IFERROR(__xludf.DUMMYFUNCTION("""COMPUTED_VALUE"""),45866.0)</f>
        <v>45866</v>
      </c>
      <c r="M525" s="7" t="str">
        <f>IFERROR(__xludf.DUMMYFUNCTION("""COMPUTED_VALUE"""),"18:00-19:30")</f>
        <v>18:00-19:30</v>
      </c>
      <c r="N525" s="7"/>
    </row>
    <row r="526">
      <c r="A526" s="7" t="str">
        <f>IFERROR(__xludf.DUMMYFUNCTION("""COMPUTED_VALUE"""),"1765-FIND")</f>
        <v>1765-FIND</v>
      </c>
      <c r="B526" s="7" t="str">
        <f>IFERROR(__xludf.DUMMYFUNCTION("""COMPUTED_VALUE"""),"NavRAG: Generating User Demand Instructions for Embodied Navigation through Retrieval-Augmented LLM")</f>
        <v>NavRAG: Generating User Demand Instructions for Embodied Navigation through Retrieval-Augmented LLM</v>
      </c>
      <c r="C526" s="7" t="str">
        <f>IFERROR(__xludf.DUMMYFUNCTION("""COMPUTED_VALUE"""),"Vision-and-Language Navigation (VLN) is an essential skill for embodied agents, allowing them to navigate in 3D environments following natural language instructions. High-performance navigation models require a large amount of training data, the high cost"&amp;" of manually annotating data has seriously hindered this field. Therefore, some previous methods translate trajectory videos into step-by-step instructions for expanding data, but such instructions do not match well with users' communication styles that b"&amp;"riefly describe destinations or state specific needs. Moreover, local navigation trajectories overlook global context and high-level task planning. To address these issues, we propose NavRAG, a retrieval-augmented generation (RAG) framework that generates"&amp;" user demand instructions for VLN. NavRAG leverages LLM to build a hierarchical scene description tree for 3D scene understanding from global layout to local details, then simulates various user roles with specific demands to retrieve from the scene tree,"&amp;" generating diverse instructions with LLM. We annotate over 2 million navigation instructions across 861 scenes and evaluate the data quality and navigation performance of trained models. The model trained on our NavRAG dataset achieves SOTA performance o"&amp;"n the REVERIE benchmark.")</f>
        <v>Vision-and-Language Navigation (VLN) is an essential skill for embodied agents, allowing them to navigate in 3D environments following natural language instructions. High-performance navigation models require a large amount of training data, the high cost of manually annotating data has seriously hindered this field. Therefore, some previous methods translate trajectory videos into step-by-step instructions for expanding data, but such instructions do not match well with users' communication styles that briefly describe destinations or state specific needs. Moreover, local navigation trajectories overlook global context and high-level task planning. To address these issues, we propose NavRAG, a retrieval-augmented generation (RAG) framework that generates user demand instructions for VLN. NavRAG leverages LLM to build a hierarchical scene description tree for 3D scene understanding from global layout to local details, then simulates various user roles with specific demands to retrieve from the scene tree, generating diverse instructions with LLM. We annotate over 2 million navigation instructions across 861 scenes and evaluate the data quality and navigation performance of trained models. The model trained on our NavRAG dataset achieves SOTA performance on the REVERIE benchmark.</v>
      </c>
      <c r="D526" s="7" t="str">
        <f>IFERROR(__xludf.DUMMYFUNCTION("""COMPUTED_VALUE"""),"Yachun Fan")</f>
        <v>Yachun Fan</v>
      </c>
      <c r="E526" s="7" t="str">
        <f>IFERROR(__xludf.DUMMYFUNCTION("""COMPUTED_VALUE"""),"Yes")</f>
        <v>Yes</v>
      </c>
      <c r="F526" s="7" t="str">
        <f>IFERROR(__xludf.DUMMYFUNCTION("""COMPUTED_VALUE"""),"IP-Poster")</f>
        <v>IP-Poster</v>
      </c>
      <c r="G526" s="7" t="str">
        <f>IFERROR(__xludf.DUMMYFUNCTION("""COMPUTED_VALUE"""),"In-Person")</f>
        <v>In-Person</v>
      </c>
      <c r="H526" s="7" t="str">
        <f>IFERROR(__xludf.DUMMYFUNCTION("""COMPUTED_VALUE"""),"Hall 4/5")</f>
        <v>Hall 4/5</v>
      </c>
      <c r="I526" s="7" t="str">
        <f>IFERROR(__xludf.DUMMYFUNCTION("""COMPUTED_VALUE"""),"Session 5 :IP-Posters Find ")</f>
        <v>Session 5 :IP-Posters Find </v>
      </c>
      <c r="J526" s="7" t="str">
        <f>IFERROR(__xludf.DUMMYFUNCTION("""COMPUTED_VALUE"""),"Findings Posters - In-Person 1")</f>
        <v>Findings Posters - In-Person 1</v>
      </c>
      <c r="K526" s="7"/>
      <c r="L526" s="8">
        <f>IFERROR(__xludf.DUMMYFUNCTION("""COMPUTED_VALUE"""),45866.0)</f>
        <v>45866</v>
      </c>
      <c r="M526" s="7" t="str">
        <f>IFERROR(__xludf.DUMMYFUNCTION("""COMPUTED_VALUE"""),"18:00-19:30")</f>
        <v>18:00-19:30</v>
      </c>
      <c r="N526" s="7"/>
    </row>
    <row r="527">
      <c r="A527" s="7" t="str">
        <f>IFERROR(__xludf.DUMMYFUNCTION("""COMPUTED_VALUE"""),"1766-FIND")</f>
        <v>1766-FIND</v>
      </c>
      <c r="B527" s="7" t="str">
        <f>IFERROR(__xludf.DUMMYFUNCTION("""COMPUTED_VALUE"""),"SQLForge: Synthesizing Reliable and Diverse Data to Enhance Text-to-SQL Reasoning in LLMs")</f>
        <v>SQLForge: Synthesizing Reliable and Diverse Data to Enhance Text-to-SQL Reasoning in LLMs</v>
      </c>
      <c r="C527" s="7" t="str">
        <f>IFERROR(__xludf.DUMMYFUNCTION("""COMPUTED_VALUE"""),"Large Language models (LLMs) have demonstrated significant potential in text-to-SQL reasoning tasks, yet a substantial performance gap persists between existing open-source models and their closed-source counterparts. In this paper, we introduce SQLForge,"&amp;" a novel approach for synthesizing reliable and diverse data to enhance text-to-SQL reasoning in LLMs. We improve data reliability through SQL syntax constraints and SQL-to-question reverse translation, ensuring data logic at both structural and semantic "&amp;"levels. We also propose an SQL template enrichment and iterative data domain exploration mechanism to boost data diversity. Building on the augmented data, we fine-tune a variety of open-source models with different architectures and parameter sizes, resu"&amp;"lting in a family of models termed SQLForge-LM. SQLForge-LM achieves the state-of-the-art performance on the widely recognized Spider and BIRD benchmarks among the open-source models. Specifically, SQLForge-LM achieves EX accuracy of 85.7% on Spider Dev a"&amp;"nd 59.8% on BIRD Dev, significantly narrowing the performance gap with closed-source methods.")</f>
        <v>Large Language models (LLMs) have demonstrated significant potential in text-to-SQL reasoning tasks, yet a substantial performance gap persists between existing open-source models and their closed-source counterparts. In this paper, we introduce SQLForge, a novel approach for synthesizing reliable and diverse data to enhance text-to-SQL reasoning in LLMs. We improve data reliability through SQL syntax constraints and SQL-to-question reverse translation, ensuring data logic at both structural and semantic levels. We also propose an SQL template enrichment and iterative data domain exploration mechanism to boost data diversity. Building on the augmented data, we fine-tune a variety of open-source models with different architectures and parameter sizes, resulting in a family of models termed SQLForge-LM. SQLForge-LM achieves the state-of-the-art performance on the widely recognized Spider and BIRD benchmarks among the open-source models. Specifically, SQLForge-LM achieves EX accuracy of 85.7% on Spider Dev and 59.8% on BIRD Dev, significantly narrowing the performance gap with closed-source methods.</v>
      </c>
      <c r="D527" s="7" t="str">
        <f>IFERROR(__xludf.DUMMYFUNCTION("""COMPUTED_VALUE"""),"Yu Guo")</f>
        <v>Yu Guo</v>
      </c>
      <c r="E527" s="7" t="str">
        <f>IFERROR(__xludf.DUMMYFUNCTION("""COMPUTED_VALUE"""),"#N/A")</f>
        <v>#N/A</v>
      </c>
      <c r="F527" s="7" t="str">
        <f>IFERROR(__xludf.DUMMYFUNCTION("""COMPUTED_VALUE"""),"Not Pres. ")</f>
        <v>Not Pres. </v>
      </c>
      <c r="G527" s="7" t="str">
        <f>IFERROR(__xludf.DUMMYFUNCTION("""COMPUTED_VALUE"""),"NP Findings Not Presenting ")</f>
        <v>NP Findings Not Presenting </v>
      </c>
      <c r="H527" s="7"/>
      <c r="I527" s="7" t="str">
        <f>IFERROR(__xludf.DUMMYFUNCTION("""COMPUTED_VALUE"""),"NP-Find")</f>
        <v>NP-Find</v>
      </c>
      <c r="J527" s="7"/>
      <c r="K527" s="7"/>
      <c r="L527" s="8"/>
      <c r="M527" s="7"/>
      <c r="N527" s="7"/>
    </row>
    <row r="528">
      <c r="A528" s="7" t="str">
        <f>IFERROR(__xludf.DUMMYFUNCTION("""COMPUTED_VALUE"""),"1774-FIND")</f>
        <v>1774-FIND</v>
      </c>
      <c r="B528" s="7" t="str">
        <f>IFERROR(__xludf.DUMMYFUNCTION("""COMPUTED_VALUE"""),"Retrieval-Augmented Process Reward Model for Generalizable Mathematical Reasoning")</f>
        <v>Retrieval-Augmented Process Reward Model for Generalizable Mathematical Reasoning</v>
      </c>
      <c r="C528" s="7" t="str">
        <f>IFERROR(__xludf.DUMMYFUNCTION("""COMPUTED_VALUE"""),"While large language models (LLMs) have significantly advanced mathematical reasoning, Process Reward Models (PRMs) have been developed to evaluate the logical validity of reasoning steps. However, PRMs still struggle with out-of-distribution (OOD) challe"&amp;"nges. This paper identifies the OOD issues including step OOD, arising from differences in reasoning patterns across model types and sizes, and question OOD, due to dataset shifts between training and real-world problems. To address these issues, we intro"&amp;"duce Retrieval-Augmented Process Reward Model (RetrievalPRM), a novel framework designed to tackle these OOD issues. By utilizing a two-stage retrieval-enhanced mechanism, RetrievalPRM retrieves semantically similar questions and steps for PRM as a warmup"&amp;" to stimulate its potential to judge target steps, improving generalization and reasoning consistency across different models and problem types. Our extensive experiments demonstrate that RetrievalPRM outperforms existing baselines across multiple real-wo"&amp;"rld datasets. Our open-source contributions include a retrieval-enhanced dataset, a tuning framework for PRM training, and the RetreivalPRM model, establishing a new standard for PRM performance.")</f>
        <v>While large language models (LLMs) have significantly advanced mathematical reasoning, Process Reward Models (PRMs) have been developed to evaluate the logical validity of reasoning steps. However, PRMs still struggle with out-of-distribution (OOD) challenges. This paper identifies the OOD issues including step OOD, arising from differences in reasoning patterns across model types and sizes, and question OOD, due to dataset shifts between training and real-world problems. To address these issues, we introduce Retrieval-Augmented Process Reward Model (RetrievalPRM), a novel framework designed to tackle these OOD issues. By utilizing a two-stage retrieval-enhanced mechanism, RetrievalPRM retrieves semantically similar questions and steps for PRM as a warmup to stimulate its potential to judge target steps, improving generalization and reasoning consistency across different models and problem types. Our extensive experiments demonstrate that RetrievalPRM outperforms existing baselines across multiple real-world datasets. Our open-source contributions include a retrieval-enhanced dataset, a tuning framework for PRM training, and the RetreivalPRM model, establishing a new standard for PRM performance.</v>
      </c>
      <c r="D528" s="7" t="str">
        <f>IFERROR(__xludf.DUMMYFUNCTION("""COMPUTED_VALUE"""),"Jiachen Zhu")</f>
        <v>Jiachen Zhu</v>
      </c>
      <c r="E528" s="7" t="str">
        <f>IFERROR(__xludf.DUMMYFUNCTION("""COMPUTED_VALUE"""),"Yes")</f>
        <v>Yes</v>
      </c>
      <c r="F528" s="7" t="str">
        <f>IFERROR(__xludf.DUMMYFUNCTION("""COMPUTED_VALUE"""),"V-Presentation")</f>
        <v>V-Presentation</v>
      </c>
      <c r="G528" s="7" t="str">
        <f>IFERROR(__xludf.DUMMYFUNCTION("""COMPUTED_VALUE"""),"Virtual/Gather")</f>
        <v>Virtual/Gather</v>
      </c>
      <c r="H528" s="7" t="str">
        <f>IFERROR(__xludf.DUMMYFUNCTION("""COMPUTED_VALUE"""),"Gather")</f>
        <v>Gather</v>
      </c>
      <c r="I528" s="7" t="str">
        <f>IFERROR(__xludf.DUMMYFUNCTION("""COMPUTED_VALUE"""),"Session5: V-Gather Find")</f>
        <v>Session5: V-Gather Find</v>
      </c>
      <c r="J528" s="7" t="str">
        <f>IFERROR(__xludf.DUMMYFUNCTION("""COMPUTED_VALUE"""),"Findings Posters - Virtual")</f>
        <v>Findings Posters - Virtual</v>
      </c>
      <c r="K528" s="7"/>
      <c r="L528" s="8">
        <f>IFERROR(__xludf.DUMMYFUNCTION("""COMPUTED_VALUE"""),45866.0)</f>
        <v>45866</v>
      </c>
      <c r="M528" s="7" t="str">
        <f>IFERROR(__xludf.DUMMYFUNCTION("""COMPUTED_VALUE"""),"18:00-19:30")</f>
        <v>18:00-19:30</v>
      </c>
      <c r="N528" s="7"/>
    </row>
    <row r="529">
      <c r="A529" s="7" t="str">
        <f>IFERROR(__xludf.DUMMYFUNCTION("""COMPUTED_VALUE"""),"1776-FIND")</f>
        <v>1776-FIND</v>
      </c>
      <c r="B529" s="7" t="str">
        <f>IFERROR(__xludf.DUMMYFUNCTION("""COMPUTED_VALUE"""),"Contrastive Learning for Task-Independent SpeechLLM-Pretraining")</f>
        <v>Contrastive Learning for Task-Independent SpeechLLM-Pretraining</v>
      </c>
      <c r="C529" s="7" t="str">
        <f>IFERROR(__xludf.DUMMYFUNCTION("""COMPUTED_VALUE"""),"Large language models (LLMs) excel in natural language processing but adapting these LLMs to speech processing tasks efficiently is not straightforward. Direct task-specific fine-tuning is limited by overfitting risks, data requirements, and computational"&amp;" costs. To address these challenges, we propose a scalable, two-stage training approach: (1) A task-independent speech pretraining stage using contrastive learning to align text and speech representations over all layers, followed by (2) a task-specific f"&amp;"ine-tuning stage requiring minimal data. This approach outperforms traditional ASR pretraining and enables the model to surpass models specialized on speech translation and question answering while being trained on only 10% of the task-specific data.")</f>
        <v>Large language models (LLMs) excel in natural language processing but adapting these LLMs to speech processing tasks efficiently is not straightforward. Direct task-specific fine-tuning is limited by overfitting risks, data requirements, and computational costs. To address these challenges, we propose a scalable, two-stage training approach: (1) A task-independent speech pretraining stage using contrastive learning to align text and speech representations over all layers, followed by (2) a task-specific fine-tuning stage requiring minimal data. This approach outperforms traditional ASR pretraining and enables the model to surpass models specialized on speech translation and question answering while being trained on only 10% of the task-specific data.</v>
      </c>
      <c r="D529" s="7" t="str">
        <f>IFERROR(__xludf.DUMMYFUNCTION("""COMPUTED_VALUE"""),"Maike Züfle")</f>
        <v>Maike Züfle</v>
      </c>
      <c r="E529" s="7" t="str">
        <f>IFERROR(__xludf.DUMMYFUNCTION("""COMPUTED_VALUE"""),"Yes")</f>
        <v>Yes</v>
      </c>
      <c r="F529" s="7" t="str">
        <f>IFERROR(__xludf.DUMMYFUNCTION("""COMPUTED_VALUE"""),"IP-Poster")</f>
        <v>IP-Poster</v>
      </c>
      <c r="G529" s="7" t="str">
        <f>IFERROR(__xludf.DUMMYFUNCTION("""COMPUTED_VALUE"""),"In-Person")</f>
        <v>In-Person</v>
      </c>
      <c r="H529" s="7" t="str">
        <f>IFERROR(__xludf.DUMMYFUNCTION("""COMPUTED_VALUE"""),"Hall 4/5")</f>
        <v>Hall 4/5</v>
      </c>
      <c r="I529" s="7" t="str">
        <f>IFERROR(__xludf.DUMMYFUNCTION("""COMPUTED_VALUE"""),"Session 10: IP-Posters")</f>
        <v>Session 10: IP-Posters</v>
      </c>
      <c r="J529" s="7" t="str">
        <f>IFERROR(__xludf.DUMMYFUNCTION("""COMPUTED_VALUE"""),"Findings Posters - In-Person 3")</f>
        <v>Findings Posters - In-Person 3</v>
      </c>
      <c r="K529" s="7"/>
      <c r="L529" s="8">
        <f>IFERROR(__xludf.DUMMYFUNCTION("""COMPUTED_VALUE"""),45867.0)</f>
        <v>45867</v>
      </c>
      <c r="M529" s="7" t="str">
        <f>IFERROR(__xludf.DUMMYFUNCTION("""COMPUTED_VALUE"""),"16:00-17:30")</f>
        <v>16:00-17:30</v>
      </c>
      <c r="N529" s="7"/>
    </row>
    <row r="530">
      <c r="A530" s="7" t="str">
        <f>IFERROR(__xludf.DUMMYFUNCTION("""COMPUTED_VALUE"""),"1777-FIND")</f>
        <v>1777-FIND</v>
      </c>
      <c r="B530" s="7" t="str">
        <f>IFERROR(__xludf.DUMMYFUNCTION("""COMPUTED_VALUE"""),"QiMeng-Attention: SOTA Attention Operator is generated by SOTA Attention Algorithm")</f>
        <v>QiMeng-Attention: SOTA Attention Operator is generated by SOTA Attention Algorithm</v>
      </c>
      <c r="C530" s="7" t="str">
        <f>IFERROR(__xludf.DUMMYFUNCTION("""COMPUTED_VALUE"""),"The attention operator remains a critical performance bottleneck in large language models (LLMs), particularly for long-context scenarios. While FlashAttention is the most widely used and effective GPU-aware acceleration algorithm, it must require time-co"&amp;"nsuming and hardware-specific manual implementation, limiting adaptability across GPU architectures. Existing LLMs have shown a lot of promise in code generation tasks, but struggle to generate high-performance attention code. The key challenge is it cann"&amp;"ot comprehend the complex data flow and computation process of the attention operator and utilize low-level primitive to exploit GPU performance.To address the above challenge, we propose an LLM-friendly Thinking Language (LLM-TL) to help LLMs decouple th"&amp;"e generation of high-level optimization logic and low-level implementation on GPU, and enhance LLMs’ understanding of attention operator.Along with a 2-stage reasoning workflow, TL-Code generation and translation, the LLMs can automatically generate Flash"&amp;"Attention implementation on diverse GPUs, establishing a self-optimizing paradigm for generating high-performance attention operators in attention-centric algorithms.Verified on A100, RTX8000, and T4 GPUs, the performance of our methods significantly outs"&amp;"hines that of vanilla LLMs, achieving a speed-up of up to 35.16×.Besides, our method not only surpasses human-optimized libraries (cuDNN and official library) in most scenarios but also extends support to unsupported hardware and data types, reducing deve"&amp;"lopment time from months to minutes compared with human experts.")</f>
        <v>The attention operator remains a critical performance bottleneck in large language models (LLMs), particularly for long-context scenarios. While FlashAttention is the most widely used and effective GPU-aware acceleration algorithm, it must require time-consuming and hardware-specific manual implementation, limiting adaptability across GPU architectures. Existing LLMs have shown a lot of promise in code generation tasks, but struggle to generate high-performance attention code. The key challenge is it cannot comprehend the complex data flow and computation process of the attention operator and utilize low-level primitive to exploit GPU performance.To address the above challenge, we propose an LLM-friendly Thinking Language (LLM-TL) to help LLMs decouple the generation of high-level optimization logic and low-level implementation on GPU, and enhance LLMs’ understanding of attention operator.Along with a 2-stage reasoning workflow, TL-Code generation and translation, the LLMs can automatically generate FlashAttention implementation on diverse GPUs, establishing a self-optimizing paradigm for generating high-performance attention operators in attention-centric algorithms.Verified on A100, RTX8000, and T4 GPUs, the performance of our methods significantly outshines that of vanilla LLMs, achieving a speed-up of up to 35.16×.Besides, our method not only surpasses human-optimized libraries (cuDNN and official library) in most scenarios but also extends support to unsupported hardware and data types, reducing development time from months to minutes compared with human experts.</v>
      </c>
      <c r="D530" s="7" t="str">
        <f>IFERROR(__xludf.DUMMYFUNCTION("""COMPUTED_VALUE"""),"N/A")</f>
        <v>N/A</v>
      </c>
      <c r="E530" s="7" t="str">
        <f>IFERROR(__xludf.DUMMYFUNCTION("""COMPUTED_VALUE"""),"#N/A")</f>
        <v>#N/A</v>
      </c>
      <c r="F530" s="7" t="str">
        <f>IFERROR(__xludf.DUMMYFUNCTION("""COMPUTED_VALUE"""),"Not Pres. ")</f>
        <v>Not Pres. </v>
      </c>
      <c r="G530" s="7" t="str">
        <f>IFERROR(__xludf.DUMMYFUNCTION("""COMPUTED_VALUE"""),"NP Findings Not Presenting ")</f>
        <v>NP Findings Not Presenting </v>
      </c>
      <c r="H530" s="7"/>
      <c r="I530" s="7" t="str">
        <f>IFERROR(__xludf.DUMMYFUNCTION("""COMPUTED_VALUE"""),"NP-Find")</f>
        <v>NP-Find</v>
      </c>
      <c r="J530" s="7"/>
      <c r="K530" s="7"/>
      <c r="L530" s="8"/>
      <c r="M530" s="7"/>
      <c r="N530" s="7"/>
    </row>
    <row r="531">
      <c r="A531" s="7" t="str">
        <f>IFERROR(__xludf.DUMMYFUNCTION("""COMPUTED_VALUE"""),"1778-FIND")</f>
        <v>1778-FIND</v>
      </c>
      <c r="B531" s="7" t="str">
        <f>IFERROR(__xludf.DUMMYFUNCTION("""COMPUTED_VALUE"""),"ALW: Adaptive Layer-Wise contrastive decoding enhancing reasoning ability in Large Language Models")</f>
        <v>ALW: Adaptive Layer-Wise contrastive decoding enhancing reasoning ability in Large Language Models</v>
      </c>
      <c r="C531" s="7" t="str">
        <f>IFERROR(__xludf.DUMMYFUNCTION("""COMPUTED_VALUE"""),"Large language models (LLMs) have achieved remarkable performance across various reasoning tasks. However, many LLMs still encounter challenges in reasoning, especially for LLMs with fewer parameters or insufficient pre-training data. Through our experime"&amp;"nts, we identify that noise accumulation across layers often leads to unstable token predictions during reasoning. We find that contrasting the probability distributions across layers effectively mitigates this interference. Building on this insight, we p"&amp;"ropose Adaptive Layer-Wise contrastive decoding (ALW), a novel framework that enhances reasoning ability by dynamically disentangling noise in shallow layers from critical signals in deep layers. Extensive experiments on several reasoning benchmarks demon"&amp;"strate that ALW consistently improves answer accuracy across multiple LLMs while maintaining inference efficiency. For example, we achieve a 48% improvement on the Gsm8k using the LLaMA-7B model and an absolute accuracy increase of 5.2 points on the BBH e"&amp;"valuation benchmark with the LLaMA-65B model.")</f>
        <v>Large language models (LLMs) have achieved remarkable performance across various reasoning tasks. However, many LLMs still encounter challenges in reasoning, especially for LLMs with fewer parameters or insufficient pre-training data. Through our experiments, we identify that noise accumulation across layers often leads to unstable token predictions during reasoning. We find that contrasting the probability distributions across layers effectively mitigates this interference. Building on this insight, we propose Adaptive Layer-Wise contrastive decoding (ALW), a novel framework that enhances reasoning ability by dynamically disentangling noise in shallow layers from critical signals in deep layers. Extensive experiments on several reasoning benchmarks demonstrate that ALW consistently improves answer accuracy across multiple LLMs while maintaining inference efficiency. For example, we achieve a 48% improvement on the Gsm8k using the LLaMA-7B model and an absolute accuracy increase of 5.2 points on the BBH evaluation benchmark with the LLaMA-65B model.</v>
      </c>
      <c r="D531" s="7" t="str">
        <f>IFERROR(__xludf.DUMMYFUNCTION("""COMPUTED_VALUE"""),"Yuechi Zhou")</f>
        <v>Yuechi Zhou</v>
      </c>
      <c r="E531" s="7" t="str">
        <f>IFERROR(__xludf.DUMMYFUNCTION("""COMPUTED_VALUE"""),"#N/A")</f>
        <v>#N/A</v>
      </c>
      <c r="F531" s="7" t="str">
        <f>IFERROR(__xludf.DUMMYFUNCTION("""COMPUTED_VALUE"""),"Not Pres. ")</f>
        <v>Not Pres. </v>
      </c>
      <c r="G531" s="7" t="str">
        <f>IFERROR(__xludf.DUMMYFUNCTION("""COMPUTED_VALUE"""),"NP Findings Not Presenting ")</f>
        <v>NP Findings Not Presenting </v>
      </c>
      <c r="H531" s="7"/>
      <c r="I531" s="7" t="str">
        <f>IFERROR(__xludf.DUMMYFUNCTION("""COMPUTED_VALUE"""),"NP-Find")</f>
        <v>NP-Find</v>
      </c>
      <c r="J531" s="7"/>
      <c r="K531" s="7"/>
      <c r="L531" s="8"/>
      <c r="M531" s="7"/>
      <c r="N531" s="7"/>
    </row>
    <row r="532">
      <c r="A532" s="7" t="str">
        <f>IFERROR(__xludf.DUMMYFUNCTION("""COMPUTED_VALUE"""),"1779-FIND")</f>
        <v>1779-FIND</v>
      </c>
      <c r="B532" s="7" t="str">
        <f>IFERROR(__xludf.DUMMYFUNCTION("""COMPUTED_VALUE"""),"Mixture of Decoding: An Attention-Inspired Adaptive Decoding Strategy to Mitigate Hallucinations in Large Vision-Language Models")</f>
        <v>Mixture of Decoding: An Attention-Inspired Adaptive Decoding Strategy to Mitigate Hallucinations in Large Vision-Language Models</v>
      </c>
      <c r="C532" s="7" t="str">
        <f>IFERROR(__xludf.DUMMYFUNCTION("""COMPUTED_VALUE"""),"Large Vision-Language Models (LVLMs) have exhibited impressive capabilities across various visual tasks, yet they remain hindered by the persistent challenge of hallucinations. To address this critical issue, we propose Mixture of Decoding (MoD), a novel "&amp;"approach for hallucination mitigation that dynamically adapts decoding strategies by evaluating the correctness of the model's attention on image tokens. Specifically, MoD measures the consistency between outputs generated from the original image tokens a"&amp;"nd those derived from the model's attended image tokens, to distinguish the correctness aforementioned. If the outputs are consistent, indicating correct attention, MoD employs a complementary strategy to amplify critical information. Conversely, if the o"&amp;"utputs are inconsistent, suggesting erroneous attention, MoD utilizes a contrastive strategy to suppress misleading information. Extensive experiments demonstrate that MoD significantly outperforms existing decoding methods across multiple mainstream benc"&amp;"hmarks, effectively mitigating hallucinations in LVLMs. Code is available at https://github.com/xlchen0205/MoD.")</f>
        <v>Large Vision-Language Models (LVLMs) have exhibited impressive capabilities across various visual tasks, yet they remain hindered by the persistent challenge of hallucinations. To address this critical issue, we propose Mixture of Decoding (MoD), a novel approach for hallucination mitigation that dynamically adapts decoding strategies by evaluating the correctness of the model's attention on image tokens. Specifically, MoD measures the consistency between outputs generated from the original image tokens and those derived from the model's attended image tokens, to distinguish the correctness aforementioned. If the outputs are consistent, indicating correct attention, MoD employs a complementary strategy to amplify critical information. Conversely, if the outputs are inconsistent, suggesting erroneous attention, MoD utilizes a contrastive strategy to suppress misleading information. Extensive experiments demonstrate that MoD significantly outperforms existing decoding methods across multiple mainstream benchmarks, effectively mitigating hallucinations in LVLMs. Code is available at https://github.com/xlchen0205/MoD.</v>
      </c>
      <c r="D532" s="7" t="str">
        <f>IFERROR(__xludf.DUMMYFUNCTION("""COMPUTED_VALUE"""),"NA")</f>
        <v>NA</v>
      </c>
      <c r="E532" s="7" t="str">
        <f>IFERROR(__xludf.DUMMYFUNCTION("""COMPUTED_VALUE"""),"#N/A")</f>
        <v>#N/A</v>
      </c>
      <c r="F532" s="7" t="str">
        <f>IFERROR(__xludf.DUMMYFUNCTION("""COMPUTED_VALUE"""),"Not Pres. ")</f>
        <v>Not Pres. </v>
      </c>
      <c r="G532" s="7" t="str">
        <f>IFERROR(__xludf.DUMMYFUNCTION("""COMPUTED_VALUE"""),"NP Findings Not Presenting ")</f>
        <v>NP Findings Not Presenting </v>
      </c>
      <c r="H532" s="7"/>
      <c r="I532" s="7" t="str">
        <f>IFERROR(__xludf.DUMMYFUNCTION("""COMPUTED_VALUE"""),"NP-Find")</f>
        <v>NP-Find</v>
      </c>
      <c r="J532" s="7"/>
      <c r="K532" s="7"/>
      <c r="L532" s="8"/>
      <c r="M532" s="7"/>
      <c r="N532" s="7"/>
    </row>
    <row r="533">
      <c r="A533" s="7" t="str">
        <f>IFERROR(__xludf.DUMMYFUNCTION("""COMPUTED_VALUE"""),"1783-FIND")</f>
        <v>1783-FIND</v>
      </c>
      <c r="B533" s="7" t="str">
        <f>IFERROR(__xludf.DUMMYFUNCTION("""COMPUTED_VALUE"""),"VidCapBench: A Comprehensive Benchmark of Video Captioning for Controllable Text-to-Video Generation")</f>
        <v>VidCapBench: A Comprehensive Benchmark of Video Captioning for Controllable Text-to-Video Generation</v>
      </c>
      <c r="C533" s="7" t="str">
        <f>IFERROR(__xludf.DUMMYFUNCTION("""COMPUTED_VALUE"""),"The training of controllable text-to-video (T2V) models relies heavily on the alignment between videos and captions, yet little existing research connects video caption evaluation with T2V generation assessment. This paper introduces VidCapBench, a video "&amp;"caption evaluation scheme specifically designed for T2V generation, agnostic to any particular caption format. VidCapBench employs a data annotation pipeline, combining expert model labeling and human refinement, to associate each collected video with key"&amp;" information spanning video aesthetics, content, motion, and physical laws. VidCapBench then partitions these key information attributes into automatically assessable and manually assessable subsets, catering to both the rapid evaluation needs of agile de"&amp;"velopment and the accuracy requirements of thorough validation. By evaluating numerous state-of-the-art captioning models, we demonstrate the superior stability and comprehensiveness of VidCapBench compared to existing video captioning evaluation approach"&amp;"es. Verification with off-the-shelf T2V models reveals a significant positive correlation between scores on VidCapBench and the T2V quality evaluation metrics, indicating that VidCapBench can provide valuable guidance for training T2V models. The project "&amp;"is available at https://github.com/VidCapBench/VidCapBench.")</f>
        <v>The training of controllable text-to-video (T2V) models relies heavily on the alignment between videos and captions, yet little existing research connects video caption evaluation with T2V generation assessment. This paper introduces VidCapBench, a video caption evaluation scheme specifically designed for T2V generation, agnostic to any particular caption format. VidCapBench employs a data annotation pipeline, combining expert model labeling and human refinement, to associate each collected video with key information spanning video aesthetics, content, motion, and physical laws. VidCapBench then partitions these key information attributes into automatically assessable and manually assessable subsets, catering to both the rapid evaluation needs of agile development and the accuracy requirements of thorough validation. By evaluating numerous state-of-the-art captioning models, we demonstrate the superior stability and comprehensiveness of VidCapBench compared to existing video captioning evaluation approaches. Verification with off-the-shelf T2V models reveals a significant positive correlation between scores on VidCapBench and the T2V quality evaluation metrics, indicating that VidCapBench can provide valuable guidance for training T2V models. The project is available at https://github.com/VidCapBench/VidCapBench.</v>
      </c>
      <c r="D533" s="7" t="str">
        <f>IFERROR(__xludf.DUMMYFUNCTION("""COMPUTED_VALUE"""),"NA")</f>
        <v>NA</v>
      </c>
      <c r="E533" s="7" t="str">
        <f>IFERROR(__xludf.DUMMYFUNCTION("""COMPUTED_VALUE"""),"#N/A")</f>
        <v>#N/A</v>
      </c>
      <c r="F533" s="7" t="str">
        <f>IFERROR(__xludf.DUMMYFUNCTION("""COMPUTED_VALUE"""),"Not Pres. ")</f>
        <v>Not Pres. </v>
      </c>
      <c r="G533" s="7" t="str">
        <f>IFERROR(__xludf.DUMMYFUNCTION("""COMPUTED_VALUE"""),"NP Findings Not Presenting ")</f>
        <v>NP Findings Not Presenting </v>
      </c>
      <c r="H533" s="7"/>
      <c r="I533" s="7" t="str">
        <f>IFERROR(__xludf.DUMMYFUNCTION("""COMPUTED_VALUE"""),"NP-Find")</f>
        <v>NP-Find</v>
      </c>
      <c r="J533" s="7"/>
      <c r="K533" s="7"/>
      <c r="L533" s="8"/>
      <c r="M533" s="7"/>
      <c r="N533" s="7"/>
    </row>
    <row r="534">
      <c r="A534" s="7" t="str">
        <f>IFERROR(__xludf.DUMMYFUNCTION("""COMPUTED_VALUE"""),"1787-FIND")</f>
        <v>1787-FIND</v>
      </c>
      <c r="B534" s="7" t="str">
        <f>IFERROR(__xludf.DUMMYFUNCTION("""COMPUTED_VALUE"""),"Mitigating Demonstration Bias through Global Coevolutionary Reasoning")</f>
        <v>Mitigating Demonstration Bias through Global Coevolutionary Reasoning</v>
      </c>
      <c r="C534" s="7" t="str">
        <f>IFERROR(__xludf.DUMMYFUNCTION("""COMPUTED_VALUE"""),"Recent advances in large language models (LLMs) have demonstrated the effectiveness of chain-of-thought (CoT) prompting. Few-Shot-CoT relies on task-specific, manually labeled demonstrations, limiting its generalization to unseen tasks. While Zero-Shot-Co"&amp;"T eliminates this reliance, it often underperforms. To address this, existing methods aim to automatically generate demonstrations in zero-shot settings. However, these generated demonstrations face challenges due to demonstration bias: 1) selected demons"&amp;"trations may contain errors, and 2) they may not be suitable or representative enough for all questions. To mitigate these biases, we propose Global Coevolutionary Reasoning (GCR). The method first applies Zero-Shot-CoT to answer all questions, then clust"&amp;"ers the results. For each cluster, a random sample is selected, and these selected samples serve as demonstrations for each other. The model then iteratively re-answers the questions and updates their rationales based on these demonstrations, enabling coe"&amp;"volutionary reasoning to progressively improve the quality of the answers. This process of random sampling and coevolutionary reasoning is repeated until all questions have been re-answered. Experimental results on ten datasets using GPT-3.5-turbo and GPT"&amp;"-4o-mini show that GCR outperforms baseline methods without any performance degradation caused by demonstration bias. Additionally, GCR is orthogonal to existing methods and can be seamlessly integrated with them. The code is available at: https://github."&amp;"com/GouChuan/GCR.")</f>
        <v>Recent advances in large language models (LLMs) have demonstrated the effectiveness of chain-of-thought (CoT) prompting. Few-Shot-CoT relies on task-specific, manually labeled demonstrations, limiting its generalization to unseen tasks. While Zero-Shot-CoT eliminates this reliance, it often underperforms. To address this, existing methods aim to automatically generate demonstrations in zero-shot settings. However, these generated demonstrations face challenges due to demonstration bias: 1) selected demonstrations may contain errors, and 2) they may not be suitable or representative enough for all questions. To mitigate these biases, we propose Global Coevolutionary Reasoning (GCR). The method first applies Zero-Shot-CoT to answer all questions, then clusters the results. For each cluster, a random sample is selected, and these selected samples serve as demonstrations for each other. The model then iteratively re-answers the questions and updates their rationales based on these demonstrations, enabling coevolutionary reasoning to progressively improve the quality of the answers. This process of random sampling and coevolutionary reasoning is repeated until all questions have been re-answered. Experimental results on ten datasets using GPT-3.5-turbo and GPT-4o-mini show that GCR outperforms baseline methods without any performance degradation caused by demonstration bias. Additionally, GCR is orthogonal to existing methods and can be seamlessly integrated with them. The code is available at: https://github.com/GouChuan/GCR.</v>
      </c>
      <c r="D534" s="7" t="str">
        <f>IFERROR(__xludf.DUMMYFUNCTION("""COMPUTED_VALUE"""),"I do not plan to present.")</f>
        <v>I do not plan to present.</v>
      </c>
      <c r="E534" s="7" t="str">
        <f>IFERROR(__xludf.DUMMYFUNCTION("""COMPUTED_VALUE"""),"#N/A")</f>
        <v>#N/A</v>
      </c>
      <c r="F534" s="7" t="str">
        <f>IFERROR(__xludf.DUMMYFUNCTION("""COMPUTED_VALUE"""),"Not Pres. ")</f>
        <v>Not Pres. </v>
      </c>
      <c r="G534" s="7" t="str">
        <f>IFERROR(__xludf.DUMMYFUNCTION("""COMPUTED_VALUE"""),"NP Findings Not Presenting ")</f>
        <v>NP Findings Not Presenting </v>
      </c>
      <c r="H534" s="7"/>
      <c r="I534" s="7" t="str">
        <f>IFERROR(__xludf.DUMMYFUNCTION("""COMPUTED_VALUE"""),"NP-Find")</f>
        <v>NP-Find</v>
      </c>
      <c r="J534" s="7"/>
      <c r="K534" s="7"/>
      <c r="L534" s="8"/>
      <c r="M534" s="7"/>
      <c r="N534" s="7"/>
    </row>
    <row r="535">
      <c r="A535" s="7" t="str">
        <f>IFERROR(__xludf.DUMMYFUNCTION("""COMPUTED_VALUE"""),"1790-FIND")</f>
        <v>1790-FIND</v>
      </c>
      <c r="B535" s="7" t="str">
        <f>IFERROR(__xludf.DUMMYFUNCTION("""COMPUTED_VALUE"""),"A Representation Level Analysis of NMT Model Robustness to Grammatical Errors")</f>
        <v>A Representation Level Analysis of NMT Model Robustness to Grammatical Errors</v>
      </c>
      <c r="C535" s="7" t="str">
        <f>IFERROR(__xludf.DUMMYFUNCTION("""COMPUTED_VALUE"""),"Understanding robustness is essential for building reliable NLP systems. Unfortunately, in the context of machine translation, previous work mainly focused on documenting robustness failures or improving robustness. In contrast, we study robustness from a"&amp;" model representation perspective by looking at internal model representations of ungrammatical inputs and how they evolve through model layers. For this purpose, we perform Grammatical Error Detection (GED) probing and representational similarity analysi"&amp;"s. Our findings indicate that the encoder first detects the grammatical error, then corrects it by moving its representation toward the correct form. To understand what contributes to this process, we turn to the attention mechanism where we identify what"&amp;" we term *Robustness Heads*. We find that *Robustness Heads* attend to interpretable linguistic units when responding to grammatical errors, and that when we fine-tune models for robustness, they tend to rely more on *Robustness Heads* for updating the un"&amp;"grammatical word representation.")</f>
        <v>Understanding robustness is essential for building reliable NLP systems. Unfortunately, in the context of machine translation, previous work mainly focused on documenting robustness failures or improving robustness. In contrast, we study robustness from a model representation perspective by looking at internal model representations of ungrammatical inputs and how they evolve through model layers. For this purpose, we perform Grammatical Error Detection (GED) probing and representational similarity analysis. Our findings indicate that the encoder first detects the grammatical error, then corrects it by moving its representation toward the correct form. To understand what contributes to this process, we turn to the attention mechanism where we identify what we term *Robustness Heads*. We find that *Robustness Heads* attend to interpretable linguistic units when responding to grammatical errors, and that when we fine-tune models for robustness, they tend to rely more on *Robustness Heads* for updating the ungrammatical word representation.</v>
      </c>
      <c r="D535" s="7" t="str">
        <f>IFERROR(__xludf.DUMMYFUNCTION("""COMPUTED_VALUE"""),"Abderrahmane Issam")</f>
        <v>Abderrahmane Issam</v>
      </c>
      <c r="E535" s="7" t="str">
        <f>IFERROR(__xludf.DUMMYFUNCTION("""COMPUTED_VALUE"""),"Yes")</f>
        <v>Yes</v>
      </c>
      <c r="F535" s="7" t="str">
        <f>IFERROR(__xludf.DUMMYFUNCTION("""COMPUTED_VALUE"""),"IP-Poster")</f>
        <v>IP-Poster</v>
      </c>
      <c r="G535" s="7" t="str">
        <f>IFERROR(__xludf.DUMMYFUNCTION("""COMPUTED_VALUE"""),"In-Person")</f>
        <v>In-Person</v>
      </c>
      <c r="H535" s="7" t="str">
        <f>IFERROR(__xludf.DUMMYFUNCTION("""COMPUTED_VALUE"""),"Hall 4/5")</f>
        <v>Hall 4/5</v>
      </c>
      <c r="I535" s="7" t="str">
        <f>IFERROR(__xludf.DUMMYFUNCTION("""COMPUTED_VALUE"""),"Session 10: IP-Posters")</f>
        <v>Session 10: IP-Posters</v>
      </c>
      <c r="J535" s="7" t="str">
        <f>IFERROR(__xludf.DUMMYFUNCTION("""COMPUTED_VALUE"""),"Findings Posters - In-Person 3")</f>
        <v>Findings Posters - In-Person 3</v>
      </c>
      <c r="K535" s="7"/>
      <c r="L535" s="8">
        <f>IFERROR(__xludf.DUMMYFUNCTION("""COMPUTED_VALUE"""),45867.0)</f>
        <v>45867</v>
      </c>
      <c r="M535" s="7" t="str">
        <f>IFERROR(__xludf.DUMMYFUNCTION("""COMPUTED_VALUE"""),"16:00-17:30")</f>
        <v>16:00-17:30</v>
      </c>
      <c r="N535" s="7"/>
    </row>
    <row r="536">
      <c r="A536" s="7" t="str">
        <f>IFERROR(__xludf.DUMMYFUNCTION("""COMPUTED_VALUE"""),"1791-FIND")</f>
        <v>1791-FIND</v>
      </c>
      <c r="B536" s="7" t="str">
        <f>IFERROR(__xludf.DUMMYFUNCTION("""COMPUTED_VALUE"""),"T2DR: A Two-Tier Deficiency-Resistant Framework for Incomplete Multimodal Learning")</f>
        <v>T2DR: A Two-Tier Deficiency-Resistant Framework for Incomplete Multimodal Learning</v>
      </c>
      <c r="C536" s="7" t="str">
        <f>IFERROR(__xludf.DUMMYFUNCTION("""COMPUTED_VALUE"""),"Multimodal learning is garnering significant attention for its capacity to represent diverse human perceptions (e.g., linguistic, acoustic, and visual signals), achieving more natural and intuitive interactions with technology.However, the frequent occurr"&amp;"ence of incomplete data, either within a single modality (intra-modality) or across different modalities (inter-modality), presents substantial challenges in reliable semantic interpretation and model reasoning.Furthermore, there is currently no robust re"&amp;"presentation learning mechanism capable of managing both intra-modality and inter-modality real-data deficiencies.To address this challenge, we present T2DR, a two-tier deficiency-resistant framework for incomplete multimodal learning, which comprises two"&amp;" main modules: (1) Intra-Modal Deficiency-Resistant module (IADR): To address fine-grained deficiencies, we introduce Intra-Attn to focus on the available data while avoiding excessive suppression of the missing regions. (2) Inter-Modal Deficiency-Resista"&amp;"nt module (IEDR): To handle coarse-grained deficiencies, we propose the shared feature prediction (SFP) to leverage cross-modal shared features for preliminary data imputation. Subsequently, we apply Inter-Attn to allocate appropriate attention to each mo"&amp;"dality based on the results from the capability-aware scorer (CAS).Extensive experiments are performed on two well-known multimodal benchmarks, CMU-MOSI and CMU-MOSEI, across various missing scenarios for sentiment analysis. Experimental results show that"&amp;" T2DR significantly outperforms the SOTA models. Code is available at https://github.com/LH019/T2DR.")</f>
        <v>Multimodal learning is garnering significant attention for its capacity to represent diverse human perceptions (e.g., linguistic, acoustic, and visual signals), achieving more natural and intuitive interactions with technology.However, the frequent occurrence of incomplete data, either within a single modality (intra-modality) or across different modalities (inter-modality), presents substantial challenges in reliable semantic interpretation and model reasoning.Furthermore, there is currently no robust representation learning mechanism capable of managing both intra-modality and inter-modality real-data deficiencies.To address this challenge, we present T2DR, a two-tier deficiency-resistant framework for incomplete multimodal learning, which comprises two main modules: (1) Intra-Modal Deficiency-Resistant module (IADR): To address fine-grained deficiencies, we introduce Intra-Attn to focus on the available data while avoiding excessive suppression of the missing regions. (2) Inter-Modal Deficiency-Resistant module (IEDR): To handle coarse-grained deficiencies, we propose the shared feature prediction (SFP) to leverage cross-modal shared features for preliminary data imputation. Subsequently, we apply Inter-Attn to allocate appropriate attention to each modality based on the results from the capability-aware scorer (CAS).Extensive experiments are performed on two well-known multimodal benchmarks, CMU-MOSI and CMU-MOSEI, across various missing scenarios for sentiment analysis. Experimental results show that T2DR significantly outperforms the SOTA models. Code is available at https://github.com/LH019/T2DR.</v>
      </c>
      <c r="D536" s="7" t="str">
        <f>IFERROR(__xludf.DUMMYFUNCTION("""COMPUTED_VALUE"""),"N/A")</f>
        <v>N/A</v>
      </c>
      <c r="E536" s="7" t="str">
        <f>IFERROR(__xludf.DUMMYFUNCTION("""COMPUTED_VALUE"""),"#N/A")</f>
        <v>#N/A</v>
      </c>
      <c r="F536" s="7" t="str">
        <f>IFERROR(__xludf.DUMMYFUNCTION("""COMPUTED_VALUE"""),"Not Pres. ")</f>
        <v>Not Pres. </v>
      </c>
      <c r="G536" s="7" t="str">
        <f>IFERROR(__xludf.DUMMYFUNCTION("""COMPUTED_VALUE"""),"NP Findings Not Presenting ")</f>
        <v>NP Findings Not Presenting </v>
      </c>
      <c r="H536" s="7"/>
      <c r="I536" s="7" t="str">
        <f>IFERROR(__xludf.DUMMYFUNCTION("""COMPUTED_VALUE"""),"NP-Find")</f>
        <v>NP-Find</v>
      </c>
      <c r="J536" s="7"/>
      <c r="K536" s="7"/>
      <c r="L536" s="8"/>
      <c r="M536" s="7"/>
      <c r="N536" s="7"/>
    </row>
    <row r="537">
      <c r="A537" s="7" t="str">
        <f>IFERROR(__xludf.DUMMYFUNCTION("""COMPUTED_VALUE"""),"1795-FIND")</f>
        <v>1795-FIND</v>
      </c>
      <c r="B537" s="7" t="str">
        <f>IFERROR(__xludf.DUMMYFUNCTION("""COMPUTED_VALUE"""),"From Specific-MLLMs to Omni-MLLMs: A Survey on MLLMs Aligned with Multi-modalities")</f>
        <v>From Specific-MLLMs to Omni-MLLMs: A Survey on MLLMs Aligned with Multi-modalities</v>
      </c>
      <c r="C537" s="7" t="str">
        <f>IFERROR(__xludf.DUMMYFUNCTION("""COMPUTED_VALUE"""),"To tackle complex tasks in real-world scenarios, more researchers are focusing on Omni-MLLMs, which aim to achieve omni-modal understanding and generation. Beyond the constraints of any specific non-linguistic modality, Omni-MLLMs map various non-linguist"&amp;"ic modalities into the embedding space of LLMs and enable the interaction and understanding of arbitrary combinations of modalities within a single model. In this paper, we systematically investigate relevant research and provide a comprehensive survey of"&amp;" Omni-MLLMs. Specifically, we first explain the four core components of Omni-MLLMs for unified multi-modal modeling with a meticulous taxonomy that offers novel perspectives. Then, we introduce the effective integration achieved through two-stage training"&amp;" and discuss the corresponding datasets as well as evaluation. Furthermore, we summarize the main challenges of current Omni-MLLMs and outline future directions. We hope this paper serves as an introduction for beginners and promotes the advancement of re"&amp;"lated research. Resources have been made publicly available
at https://github.com/threegold116/Awesome-Omni-MLLMs.")</f>
        <v>To tackle complex tasks in real-world scenarios, more researchers are focusing on Omni-MLLMs, which aim to achieve omni-modal understanding and generation. Beyond the constraints of any specific non-linguistic modality, Omni-MLLMs map various non-linguistic modalities into the embedding space of LLMs and enable the interaction and understanding of arbitrary combinations of modalities within a single model. In this paper, we systematically investigate relevant research and provide a comprehensive survey of Omni-MLLMs. Specifically, we first explain the four core components of Omni-MLLMs for unified multi-modal modeling with a meticulous taxonomy that offers novel perspectives. Then, we introduce the effective integration achieved through two-stage training and discuss the corresponding datasets as well as evaluation. Furthermore, we summarize the main challenges of current Omni-MLLMs and outline future directions. We hope this paper serves as an introduction for beginners and promotes the advancement of related research. Resources have been made publicly available
at https://github.com/threegold116/Awesome-Omni-MLLMs.</v>
      </c>
      <c r="D537" s="7" t="str">
        <f>IFERROR(__xludf.DUMMYFUNCTION("""COMPUTED_VALUE"""),"Shixin Jiang")</f>
        <v>Shixin Jiang</v>
      </c>
      <c r="E537" s="7" t="str">
        <f>IFERROR(__xludf.DUMMYFUNCTION("""COMPUTED_VALUE"""),"#N/A")</f>
        <v>#N/A</v>
      </c>
      <c r="F537" s="7" t="str">
        <f>IFERROR(__xludf.DUMMYFUNCTION("""COMPUTED_VALUE"""),"Not Pres. ")</f>
        <v>Not Pres. </v>
      </c>
      <c r="G537" s="7" t="str">
        <f>IFERROR(__xludf.DUMMYFUNCTION("""COMPUTED_VALUE"""),"NP Findings Not Presenting ")</f>
        <v>NP Findings Not Presenting </v>
      </c>
      <c r="H537" s="7"/>
      <c r="I537" s="7" t="str">
        <f>IFERROR(__xludf.DUMMYFUNCTION("""COMPUTED_VALUE"""),"NP-Find")</f>
        <v>NP-Find</v>
      </c>
      <c r="J537" s="7"/>
      <c r="K537" s="7"/>
      <c r="L537" s="8"/>
      <c r="M537" s="7"/>
      <c r="N537" s="7"/>
    </row>
    <row r="538">
      <c r="A538" s="7" t="str">
        <f>IFERROR(__xludf.DUMMYFUNCTION("""COMPUTED_VALUE"""),"1797-FIND")</f>
        <v>1797-FIND</v>
      </c>
      <c r="B538" s="7" t="str">
        <f>IFERROR(__xludf.DUMMYFUNCTION("""COMPUTED_VALUE"""),"Analyzing the Effect of Linguistic Similarity on Cross-Lingual Transfer: Tasks and Experimental Setups Matter")</f>
        <v>Analyzing the Effect of Linguistic Similarity on Cross-Lingual Transfer: Tasks and Experimental Setups Matter</v>
      </c>
      <c r="C538" s="7" t="str">
        <f>IFERROR(__xludf.DUMMYFUNCTION("""COMPUTED_VALUE"""),"Cross-lingual transfer is a popular approach to increase the amount of training data for NLP tasks in a low-resource context. However, the best strategy to decide which cross-lingual data to include is unclear. Prior research often focuses on a small set "&amp;"of languages from a few language families and/or a single task. It is still an open question how these findings extend to a wider variety of languages and tasks. In this work, we analyze cross-lingual transfer for 263 languages from a wide variety of lang"&amp;"uage families. Moreover, we include three popular NLP tasks: POS tagging, dependency parsing, and topic classification. Our findings indicate that the effect of linguistic similarity on transfer performance depends on a range of factors: the NLP task, the"&amp;" (mono- or multilingual) input representations, and the definition of linguistic similarity.")</f>
        <v>Cross-lingual transfer is a popular approach to increase the amount of training data for NLP tasks in a low-resource context. However, the best strategy to decide which cross-lingual data to include is unclear. Prior research often focuses on a small set of languages from a few language families and/or a single task. It is still an open question how these findings extend to a wider variety of languages and tasks. In this work, we analyze cross-lingual transfer for 263 languages from a wide variety of language families. Moreover, we include three popular NLP tasks: POS tagging, dependency parsing, and topic classification. Our findings indicate that the effect of linguistic similarity on transfer performance depends on a range of factors: the NLP task, the (mono- or multilingual) input representations, and the definition of linguistic similarity.</v>
      </c>
      <c r="D538" s="7" t="str">
        <f>IFERROR(__xludf.DUMMYFUNCTION("""COMPUTED_VALUE"""),"Verena Blaschke")</f>
        <v>Verena Blaschke</v>
      </c>
      <c r="E538" s="7" t="str">
        <f>IFERROR(__xludf.DUMMYFUNCTION("""COMPUTED_VALUE"""),"Yes")</f>
        <v>Yes</v>
      </c>
      <c r="F538" s="7" t="str">
        <f>IFERROR(__xludf.DUMMYFUNCTION("""COMPUTED_VALUE"""),"IP-Poster")</f>
        <v>IP-Poster</v>
      </c>
      <c r="G538" s="7" t="str">
        <f>IFERROR(__xludf.DUMMYFUNCTION("""COMPUTED_VALUE"""),"In-Person")</f>
        <v>In-Person</v>
      </c>
      <c r="H538" s="7" t="str">
        <f>IFERROR(__xludf.DUMMYFUNCTION("""COMPUTED_VALUE"""),"Hall 4/5")</f>
        <v>Hall 4/5</v>
      </c>
      <c r="I538" s="7" t="str">
        <f>IFERROR(__xludf.DUMMYFUNCTION("""COMPUTED_VALUE"""),"Session 10: IP-Posters")</f>
        <v>Session 10: IP-Posters</v>
      </c>
      <c r="J538" s="7" t="str">
        <f>IFERROR(__xludf.DUMMYFUNCTION("""COMPUTED_VALUE"""),"Findings Posters - In-Person 3")</f>
        <v>Findings Posters - In-Person 3</v>
      </c>
      <c r="K538" s="7"/>
      <c r="L538" s="8">
        <f>IFERROR(__xludf.DUMMYFUNCTION("""COMPUTED_VALUE"""),45867.0)</f>
        <v>45867</v>
      </c>
      <c r="M538" s="7" t="str">
        <f>IFERROR(__xludf.DUMMYFUNCTION("""COMPUTED_VALUE"""),"16:00-17:30")</f>
        <v>16:00-17:30</v>
      </c>
      <c r="N538" s="7"/>
    </row>
    <row r="539">
      <c r="A539" s="7" t="str">
        <f>IFERROR(__xludf.DUMMYFUNCTION("""COMPUTED_VALUE"""),"1798-FIND")</f>
        <v>1798-FIND</v>
      </c>
      <c r="B539" s="7" t="str">
        <f>IFERROR(__xludf.DUMMYFUNCTION("""COMPUTED_VALUE"""),"Agents generalize to novel levels of abstraction by using adaptive linguistic strategies")</f>
        <v>Agents generalize to novel levels of abstraction by using adaptive linguistic strategies</v>
      </c>
      <c r="C539" s="7" t="str">
        <f>IFERROR(__xludf.DUMMYFUNCTION("""COMPUTED_VALUE"""),"We study abstraction in an emergent communication paradigm. In emergent communication, two artificial neural network agents develop a language while solving a communicative task. In this study, the agents play a concept-level reference game. This means th"&amp;"at the speaker agent has to describe a concept to a listener agent, who has to pick the correct target objects that satisfy the concept. Concepts consist of multiple objects and can be either more specific, i.e. the target objects share many attributes, o"&amp;"r more generic, i.e. the target objects share fewer attributes. We test two directions of zero-shot generalization to novel levels of abstraction: When generalizing from more generic to very specific concepts, agents utilize a compositional strategy. When"&amp;" generalizing from more specific to very generic concepts, agents utilize a more flexible linguistic strategy that involves reusing many messages from training. Our results provide evidence that neural network agents can learn robust concepts based on whi"&amp;"ch they can generalize using adaptive linguistic strategies. We discuss how this research provides new hypotheses on abstraction and informs linguistic theories on efficient communication.")</f>
        <v>We study abstraction in an emergent communication paradigm. In emergent communication, two artificial neural network agents develop a language while solving a communicative task. In this study, the agents play a concept-level reference game. This means that the speaker agent has to describe a concept to a listener agent, who has to pick the correct target objects that satisfy the concept. Concepts consist of multiple objects and can be either more specific, i.e. the target objects share many attributes, or more generic, i.e. the target objects share fewer attributes. We test two directions of zero-shot generalization to novel levels of abstraction: When generalizing from more generic to very specific concepts, agents utilize a compositional strategy. When generalizing from more specific to very generic concepts, agents utilize a more flexible linguistic strategy that involves reusing many messages from training. Our results provide evidence that neural network agents can learn robust concepts based on which they can generalize using adaptive linguistic strategies. We discuss how this research provides new hypotheses on abstraction and informs linguistic theories on efficient communication.</v>
      </c>
      <c r="D539" s="7" t="str">
        <f>IFERROR(__xludf.DUMMYFUNCTION("""COMPUTED_VALUE"""),"Kristina Kobrock")</f>
        <v>Kristina Kobrock</v>
      </c>
      <c r="E539" s="7" t="str">
        <f>IFERROR(__xludf.DUMMYFUNCTION("""COMPUTED_VALUE"""),"Yes")</f>
        <v>Yes</v>
      </c>
      <c r="F539" s="7" t="str">
        <f>IFERROR(__xludf.DUMMYFUNCTION("""COMPUTED_VALUE"""),"IP-Poster")</f>
        <v>IP-Poster</v>
      </c>
      <c r="G539" s="7" t="str">
        <f>IFERROR(__xludf.DUMMYFUNCTION("""COMPUTED_VALUE"""),"In-Person")</f>
        <v>In-Person</v>
      </c>
      <c r="H539" s="7" t="str">
        <f>IFERROR(__xludf.DUMMYFUNCTION("""COMPUTED_VALUE"""),"Hall 4/5")</f>
        <v>Hall 4/5</v>
      </c>
      <c r="I539" s="7" t="str">
        <f>IFERROR(__xludf.DUMMYFUNCTION("""COMPUTED_VALUE"""),"Session 5 :IP-Posters Find ")</f>
        <v>Session 5 :IP-Posters Find </v>
      </c>
      <c r="J539" s="7" t="str">
        <f>IFERROR(__xludf.DUMMYFUNCTION("""COMPUTED_VALUE"""),"Findings Posters - In-Person 1")</f>
        <v>Findings Posters - In-Person 1</v>
      </c>
      <c r="K539" s="7"/>
      <c r="L539" s="8">
        <f>IFERROR(__xludf.DUMMYFUNCTION("""COMPUTED_VALUE"""),45866.0)</f>
        <v>45866</v>
      </c>
      <c r="M539" s="7" t="str">
        <f>IFERROR(__xludf.DUMMYFUNCTION("""COMPUTED_VALUE"""),"18:00-19:30")</f>
        <v>18:00-19:30</v>
      </c>
      <c r="N539" s="7"/>
    </row>
    <row r="540">
      <c r="A540" s="7" t="str">
        <f>IFERROR(__xludf.DUMMYFUNCTION("""COMPUTED_VALUE"""),"1803-FIND")</f>
        <v>1803-FIND</v>
      </c>
      <c r="B540" s="7" t="str">
        <f>IFERROR(__xludf.DUMMYFUNCTION("""COMPUTED_VALUE"""),"The Linguistic Connectivities Within Large Language Models")</f>
        <v>The Linguistic Connectivities Within Large Language Models</v>
      </c>
      <c r="C540" s="7" t="str">
        <f>IFERROR(__xludf.DUMMYFUNCTION("""COMPUTED_VALUE"""),"Large language models (LLMs) have demonstrated remarkable multilingual abilities in various applications. Unfortunately, recent studies have discovered that there exist notable disparities in their performance across different languages. Understanding the"&amp;" underlying mechanisms behind such disparities is crucial ensuring equitable access to LLMs for a global user base. Therefore, this paper conducts a systematic investigation into the behaviors of LLMs across 27 different languages on 3 different scenarios"&amp;", and reveals a Linguistic Map correlates with the richness of available resources and linguistic family relations. Specifically, high-resource languages within specific language family exhibit greater knowledge consistency and mutual information dissemin"&amp;"ation, while isolated or low-resource languages tend to remain marginalized. Our research sheds light on a deep understanding of LLM's cross-language behavior, highlights the inherent biases in LLMs within multilingual environments and underscores the nee"&amp;"d to address these inequities.")</f>
        <v>Large language models (LLMs) have demonstrated remarkable multilingual abilities in various applications. Unfortunately, recent studies have discovered that there exist notable disparities in their performance across different languages. Understanding the underlying mechanisms behind such disparities is crucial ensuring equitable access to LLMs for a global user base. Therefore, this paper conducts a systematic investigation into the behaviors of LLMs across 27 different languages on 3 different scenarios, and reveals a Linguistic Map correlates with the richness of available resources and linguistic family relations. Specifically, high-resource languages within specific language family exhibit greater knowledge consistency and mutual information dissemination, while isolated or low-resource languages tend to remain marginalized. Our research sheds light on a deep understanding of LLM's cross-language behavior, highlights the inherent biases in LLMs within multilingual environments and underscores the need to address these inequities.</v>
      </c>
      <c r="D540" s="7" t="str">
        <f>IFERROR(__xludf.DUMMYFUNCTION("""COMPUTED_VALUE"""),"Dan Wang")</f>
        <v>Dan Wang</v>
      </c>
      <c r="E540" s="7" t="str">
        <f>IFERROR(__xludf.DUMMYFUNCTION("""COMPUTED_VALUE"""),"#N/A")</f>
        <v>#N/A</v>
      </c>
      <c r="F540" s="7" t="str">
        <f>IFERROR(__xludf.DUMMYFUNCTION("""COMPUTED_VALUE"""),"Not Pres. ")</f>
        <v>Not Pres. </v>
      </c>
      <c r="G540" s="7" t="str">
        <f>IFERROR(__xludf.DUMMYFUNCTION("""COMPUTED_VALUE"""),"NP Findings Not Presenting ")</f>
        <v>NP Findings Not Presenting </v>
      </c>
      <c r="H540" s="7"/>
      <c r="I540" s="7" t="str">
        <f>IFERROR(__xludf.DUMMYFUNCTION("""COMPUTED_VALUE"""),"NP-Find")</f>
        <v>NP-Find</v>
      </c>
      <c r="J540" s="7"/>
      <c r="K540" s="7"/>
      <c r="L540" s="8"/>
      <c r="M540" s="7"/>
      <c r="N540" s="7"/>
    </row>
    <row r="541">
      <c r="A541" s="7" t="str">
        <f>IFERROR(__xludf.DUMMYFUNCTION("""COMPUTED_VALUE"""),"1808-FIND")</f>
        <v>1808-FIND</v>
      </c>
      <c r="B541" s="7" t="str">
        <f>IFERROR(__xludf.DUMMYFUNCTION("""COMPUTED_VALUE"""),"XFinBench: Benchmarking LLMs in Complex Financial Problem Solving and Reasoning")</f>
        <v>XFinBench: Benchmarking LLMs in Complex Financial Problem Solving and Reasoning</v>
      </c>
      <c r="C541" s="7" t="str">
        <f>IFERROR(__xludf.DUMMYFUNCTION("""COMPUTED_VALUE"""),"Solving financial problems demands complex reasoning, multimodal data processing, and a broad technical understanding, presenting unique challenges for current large language models (LLMs). We introduce **XFinBench**, a novel benchmark with 4,235 examples"&amp;" designed to evaluate LLM's ability in solving comple**X**, knowledge-intensive **Fin**ancial problems across diverse graduate-level finance topics with multi-modal context. We identify five core capabilities of LLMs using XFinBench, i.e., _terminology un"&amp;"derstanding_, _temporal reasoning_, _future forecasting_, _scenario planning_, and _numerical modelling_. Upon XFinBench, we conduct extensive experiments on 18 leading models. The result shows that o1 is the best-performing text-only model with an overal"&amp;"l accuracy of 67.3%, but still lags significantly behind human experts with 12.5%, especially in temporal reasoning and scenario planning capabilities. We further construct a knowledge bank with 3,032 finance terms for knowledge augmentation analysis, and"&amp;" find that relevant knowledge to the question only brings consistent accuracy improvements to small open-source model. Additionally, our error analysis reveals that rounding errors during calculation and blindness to position and intersection of curves in"&amp;" the image are two primary issues leading to model's poor performance in calculating and visual-context questions, respectively.")</f>
        <v>Solving financial problems demands complex reasoning, multimodal data processing, and a broad technical understanding, presenting unique challenges for current large language models (LLMs). We introduce **XFinBench**, a novel benchmark with 4,235 examples designed to evaluate LLM's ability in solving comple**X**, knowledge-intensive **Fin**ancial problems across diverse graduate-level finance topics with multi-modal context. We identify five core capabilities of LLMs using XFinBench, i.e., _terminology understanding_, _temporal reasoning_, _future forecasting_, _scenario planning_, and _numerical modelling_. Upon XFinBench, we conduct extensive experiments on 18 leading models. The result shows that o1 is the best-performing text-only model with an overall accuracy of 67.3%, but still lags significantly behind human experts with 12.5%, especially in temporal reasoning and scenario planning capabilities. We further construct a knowledge bank with 3,032 finance terms for knowledge augmentation analysis, and find that relevant knowledge to the question only brings consistent accuracy improvements to small open-source model. Additionally, our error analysis reveals that rounding errors during calculation and blindness to position and intersection of curves in the image are two primary issues leading to model's poor performance in calculating and visual-context questions, respectively.</v>
      </c>
      <c r="D541" s="7" t="str">
        <f>IFERROR(__xludf.DUMMYFUNCTION("""COMPUTED_VALUE"""),"Zhihan Zhang")</f>
        <v>Zhihan Zhang</v>
      </c>
      <c r="E541" s="7" t="str">
        <f>IFERROR(__xludf.DUMMYFUNCTION("""COMPUTED_VALUE"""),"N/A")</f>
        <v>N/A</v>
      </c>
      <c r="F541" s="7" t="str">
        <f>IFERROR(__xludf.DUMMYFUNCTION("""COMPUTED_VALUE"""),"Not Pres. ")</f>
        <v>Not Pres. </v>
      </c>
      <c r="G541" s="7"/>
      <c r="H541" s="7"/>
      <c r="I541" s="7" t="str">
        <f>IFERROR(__xludf.DUMMYFUNCTION("""COMPUTED_VALUE"""),"NP-Find")</f>
        <v>NP-Find</v>
      </c>
      <c r="J541" s="7"/>
      <c r="K541" s="7"/>
      <c r="L541" s="8"/>
      <c r="M541" s="7"/>
      <c r="N541" s="7"/>
    </row>
    <row r="542">
      <c r="A542" s="7" t="str">
        <f>IFERROR(__xludf.DUMMYFUNCTION("""COMPUTED_VALUE"""),"1812-FIND")</f>
        <v>1812-FIND</v>
      </c>
      <c r="B542" s="7" t="str">
        <f>IFERROR(__xludf.DUMMYFUNCTION("""COMPUTED_VALUE"""),"Align2LLaVA: Cascaded Human and Large Language Model Preference Alignment for Multi-modal Instruction Curation")</f>
        <v>Align2LLaVA: Cascaded Human and Large Language Model Preference Alignment for Multi-modal Instruction Curation</v>
      </c>
      <c r="C542" s="7" t="str">
        <f>IFERROR(__xludf.DUMMYFUNCTION("""COMPUTED_VALUE"""),"Recent advances in Multi-modal Large Language Models (MLLMs), such as LLaVA-series models, are driven by massive machine-generated instruction-following data tuning. Such automatic instruction collection pipelines, however, inadvertently introduce signifi"&amp;"cant variability in data quality. This paper introduces a novel instruction curation algorithm, derived from two unique perspectives, human and LLM preference alignment, to compress this vast corpus of machine-generated multimodal instructions to a compac"&amp;"t and high-quality form: (i) For human preference alignment, we have collected a machine-generated multimodal instruction dataset and established a comprehensive set of both subjective and objective criteria to guide the data quality assessment critically"&amp;" from human experts. By doing so, a reward model was trained on the annotated dataset to internalize the nuanced human understanding of instruction alignment. (ii) For LLM preference alignment, given the instruction selected by the reward model, we propos"&amp;"e leveraging the inner LLM used in MLLM to align the writing style of visual instructions with that of the inner LLM itself, resulting in LLM-aligned instruction improvement. Extensive experiments demonstrate that we can maintain or even improve model per"&amp;"formance by compressing synthetic multimodal instructions by up to 90%. Impressively, by aggressively reducing the training instructions from 158k to 14k (9× smaller), our model consistently outperforms its full-size dataset counterpart across various MLL"&amp;"M benchmarks. Our project is available at https://anonymous.4open.science/r/Align2LLaVA-07DE.")</f>
        <v>Recent advances in Multi-modal Large Language Models (MLLMs), such as LLaVA-series models, are driven by massive machine-generated instruction-following data tuning. Such automatic instruction collection pipelines, however, inadvertently introduce significant variability in data quality. This paper introduces a novel instruction curation algorithm, derived from two unique perspectives, human and LLM preference alignment, to compress this vast corpus of machine-generated multimodal instructions to a compact and high-quality form: (i) For human preference alignment, we have collected a machine-generated multimodal instruction dataset and established a comprehensive set of both subjective and objective criteria to guide the data quality assessment critically from human experts. By doing so, a reward model was trained on the annotated dataset to internalize the nuanced human understanding of instruction alignment. (ii) For LLM preference alignment, given the instruction selected by the reward model, we propose leveraging the inner LLM used in MLLM to align the writing style of visual instructions with that of the inner LLM itself, resulting in LLM-aligned instruction improvement. Extensive experiments demonstrate that we can maintain or even improve model performance by compressing synthetic multimodal instructions by up to 90%. Impressively, by aggressively reducing the training instructions from 158k to 14k (9× smaller), our model consistently outperforms its full-size dataset counterpart across various MLLM benchmarks. Our project is available at https://anonymous.4open.science/r/Align2LLaVA-07DE.</v>
      </c>
      <c r="D542" s="7" t="str">
        <f>IFERROR(__xludf.DUMMYFUNCTION("""COMPUTED_VALUE"""),"Hongzhe Huang")</f>
        <v>Hongzhe Huang</v>
      </c>
      <c r="E542" s="7" t="str">
        <f>IFERROR(__xludf.DUMMYFUNCTION("""COMPUTED_VALUE"""),"#N/A")</f>
        <v>#N/A</v>
      </c>
      <c r="F542" s="7" t="str">
        <f>IFERROR(__xludf.DUMMYFUNCTION("""COMPUTED_VALUE"""),"Not Pres. ")</f>
        <v>Not Pres. </v>
      </c>
      <c r="G542" s="7" t="str">
        <f>IFERROR(__xludf.DUMMYFUNCTION("""COMPUTED_VALUE"""),"NP Findings Not Presenting ")</f>
        <v>NP Findings Not Presenting </v>
      </c>
      <c r="H542" s="7"/>
      <c r="I542" s="7" t="str">
        <f>IFERROR(__xludf.DUMMYFUNCTION("""COMPUTED_VALUE"""),"NP-Find")</f>
        <v>NP-Find</v>
      </c>
      <c r="J542" s="7"/>
      <c r="K542" s="7"/>
      <c r="L542" s="8"/>
      <c r="M542" s="7"/>
      <c r="N542" s="7"/>
    </row>
    <row r="543">
      <c r="A543" s="7" t="str">
        <f>IFERROR(__xludf.DUMMYFUNCTION("""COMPUTED_VALUE"""),"1818-FIND")</f>
        <v>1818-FIND</v>
      </c>
      <c r="B543" s="7" t="str">
        <f>IFERROR(__xludf.DUMMYFUNCTION("""COMPUTED_VALUE"""),"Achieving binary weight and activation for LLMs using Post-Training Quantization")</f>
        <v>Achieving binary weight and activation for LLMs using Post-Training Quantization</v>
      </c>
      <c r="C543" s="7" t="str">
        <f>IFERROR(__xludf.DUMMYFUNCTION("""COMPUTED_VALUE"""),"Quantizing large language models (LLMs) to 1-bit precision significantly reduces computational costs, but existing quantization techniques suffer from noticeable performance degradation when using weight and activation precisions below 4 bits (W4A4). In t"&amp;"his paper, we propose a post-training quantization framework with W(1+1)A(1×4) configuration, where weights are quantized to 1 bit with an additional 1 bit for fine-grain grouping and activations are quantized to 1 bit with a 4-fold increase in the number"&amp;" of channels.   For weight quantization, we propose utilizing Hessian-aware fine-grained grouping along with an EM-based quantization scheme. For activation quantization, we decompose INT4-quantized activations into a 4 × INT1 format equivalently and simu"&amp;"ltaneously smooth the scaling factors based on quantization errors, which further reduces the quantization errors in activations. Our method surpasses state-of-the-art (SOTA) LLM quantization baselines on W2A4 across multiple tasks, pushing the boundaries"&amp;" of existing LLM quantization methods toward fully binarized models. Code is available at https://github.com/JimmyCrave/LLM-PTQ-binarization.")</f>
        <v>Quantizing large language models (LLMs) to 1-bit precision significantly reduces computational costs, but existing quantization techniques suffer from noticeable performance degradation when using weight and activation precisions below 4 bits (W4A4). In this paper, we propose a post-training quantization framework with W(1+1)A(1×4) configuration, where weights are quantized to 1 bit with an additional 1 bit for fine-grain grouping and activations are quantized to 1 bit with a 4-fold increase in the number of channels.   For weight quantization, we propose utilizing Hessian-aware fine-grained grouping along with an EM-based quantization scheme. For activation quantization, we decompose INT4-quantized activations into a 4 × INT1 format equivalently and simultaneously smooth the scaling factors based on quantization errors, which further reduces the quantization errors in activations. Our method surpasses state-of-the-art (SOTA) LLM quantization baselines on W2A4 across multiple tasks, pushing the boundaries of existing LLM quantization methods toward fully binarized models. Code is available at https://github.com/JimmyCrave/LLM-PTQ-binarization.</v>
      </c>
      <c r="D543" s="7" t="str">
        <f>IFERROR(__xludf.DUMMYFUNCTION("""COMPUTED_VALUE"""),"Siqing Song")</f>
        <v>Siqing Song</v>
      </c>
      <c r="E543" s="7" t="str">
        <f>IFERROR(__xludf.DUMMYFUNCTION("""COMPUTED_VALUE"""),"#N/A")</f>
        <v>#N/A</v>
      </c>
      <c r="F543" s="7" t="str">
        <f>IFERROR(__xludf.DUMMYFUNCTION("""COMPUTED_VALUE"""),"Not Pres. ")</f>
        <v>Not Pres. </v>
      </c>
      <c r="G543" s="7" t="str">
        <f>IFERROR(__xludf.DUMMYFUNCTION("""COMPUTED_VALUE"""),"NP Findings Not Presenting ")</f>
        <v>NP Findings Not Presenting </v>
      </c>
      <c r="H543" s="7"/>
      <c r="I543" s="7" t="str">
        <f>IFERROR(__xludf.DUMMYFUNCTION("""COMPUTED_VALUE"""),"NP-Find")</f>
        <v>NP-Find</v>
      </c>
      <c r="J543" s="7"/>
      <c r="K543" s="7"/>
      <c r="L543" s="8"/>
      <c r="M543" s="7"/>
      <c r="N543" s="7"/>
    </row>
    <row r="544">
      <c r="A544" s="7" t="str">
        <f>IFERROR(__xludf.DUMMYFUNCTION("""COMPUTED_VALUE"""),"1819-FIND")</f>
        <v>1819-FIND</v>
      </c>
      <c r="B544" s="7" t="str">
        <f>IFERROR(__xludf.DUMMYFUNCTION("""COMPUTED_VALUE"""),"Mitigating Negative Interference in Multilingual Knowledge Editing through Null-Space Constraints")</f>
        <v>Mitigating Negative Interference in Multilingual Knowledge Editing through Null-Space Constraints</v>
      </c>
      <c r="C544" s="7" t="str">
        <f>IFERROR(__xludf.DUMMYFUNCTION("""COMPUTED_VALUE"""),"Efficiently updating multilingual knowledge in large language models (LLMs) without disrupting coherent factual representations across languages remains a significant challenge. While deploying separate editing systems for each language might seem viable,"&amp;" this approach incurs substantial costs due to the need to manage multiple models. A more efficient solution involves integrating knowledge updates across all languages into a unified model. However, sequential edits across languages often lead to destruc"&amp;"tive parameter interference, significantly degrading multilingual generalization and the accuracy of injected knowledge. To address this issue, we propose LangEdit, a novel null-space constrained framework designed to precisely isolate language-specific k"&amp;"nowledge updates. The core innovation of LangEdit lies in its ability to project parameter updates for each language onto the orthogonal complement of other languages' subspaces. This approach mathematically guarantees update independence while preserving"&amp;" multilingual generalization capabilities. We conduct a comprehensive evaluation across three model architectures, six languages, and four downstream tasks, demonstrating that LangEdit effectively mitigates parameter interference and outperforms existing "&amp;"state-of-the-art editing methods. Our results highlight its potential for enabling efficient and accurate multilingual knowledge updates in LLMs.")</f>
        <v>Efficiently updating multilingual knowledge in large language models (LLMs) without disrupting coherent factual representations across languages remains a significant challenge. While deploying separate editing systems for each language might seem viable, this approach incurs substantial costs due to the need to manage multiple models. A more efficient solution involves integrating knowledge updates across all languages into a unified model. However, sequential edits across languages often lead to destructive parameter interference, significantly degrading multilingual generalization and the accuracy of injected knowledge. To address this issue, we propose LangEdit, a novel null-space constrained framework designed to precisely isolate language-specific knowledge updates. The core innovation of LangEdit lies in its ability to project parameter updates for each language onto the orthogonal complement of other languages' subspaces. This approach mathematically guarantees update independence while preserving multilingual generalization capabilities. We conduct a comprehensive evaluation across three model architectures, six languages, and four downstream tasks, demonstrating that LangEdit effectively mitigates parameter interference and outperforms existing state-of-the-art editing methods. Our results highlight its potential for enabling efficient and accurate multilingual knowledge updates in LLMs.</v>
      </c>
      <c r="D544" s="7" t="str">
        <f>IFERROR(__xludf.DUMMYFUNCTION("""COMPUTED_VALUE"""),"Wei Sun")</f>
        <v>Wei Sun</v>
      </c>
      <c r="E544" s="7" t="str">
        <f>IFERROR(__xludf.DUMMYFUNCTION("""COMPUTED_VALUE"""),"yes")</f>
        <v>yes</v>
      </c>
      <c r="F544" s="7" t="str">
        <f>IFERROR(__xludf.DUMMYFUNCTION("""COMPUTED_VALUE"""),"IP-Poster")</f>
        <v>IP-Poster</v>
      </c>
      <c r="G544" s="7" t="str">
        <f>IFERROR(__xludf.DUMMYFUNCTION("""COMPUTED_VALUE"""),"In-Person")</f>
        <v>In-Person</v>
      </c>
      <c r="H544" s="7" t="str">
        <f>IFERROR(__xludf.DUMMYFUNCTION("""COMPUTED_VALUE"""),"Hall 4/5")</f>
        <v>Hall 4/5</v>
      </c>
      <c r="I544" s="7" t="str">
        <f>IFERROR(__xludf.DUMMYFUNCTION("""COMPUTED_VALUE"""),"Session 5 :IP-Posters Find ")</f>
        <v>Session 5 :IP-Posters Find </v>
      </c>
      <c r="J544" s="7" t="str">
        <f>IFERROR(__xludf.DUMMYFUNCTION("""COMPUTED_VALUE"""),"Findings Posters - In-Person 1")</f>
        <v>Findings Posters - In-Person 1</v>
      </c>
      <c r="K544" s="7"/>
      <c r="L544" s="8">
        <f>IFERROR(__xludf.DUMMYFUNCTION("""COMPUTED_VALUE"""),45866.0)</f>
        <v>45866</v>
      </c>
      <c r="M544" s="7" t="str">
        <f>IFERROR(__xludf.DUMMYFUNCTION("""COMPUTED_VALUE"""),"18:00-19:30")</f>
        <v>18:00-19:30</v>
      </c>
      <c r="N544" s="7"/>
    </row>
    <row r="545">
      <c r="A545" s="7" t="str">
        <f>IFERROR(__xludf.DUMMYFUNCTION("""COMPUTED_VALUE"""),"1822-FIND")</f>
        <v>1822-FIND</v>
      </c>
      <c r="B545" s="7" t="str">
        <f>IFERROR(__xludf.DUMMYFUNCTION("""COMPUTED_VALUE"""),"From Awareness to Adaptability: Enhancing Tool Utilization for Scientific Reasoning")</f>
        <v>From Awareness to Adaptability: Enhancing Tool Utilization for Scientific Reasoning</v>
      </c>
      <c r="C545" s="7" t="str">
        <f>IFERROR(__xludf.DUMMYFUNCTION("""COMPUTED_VALUE"""),"As large language models (LLMs) are increasingly applied to complex scientific problem-solving, their effectiveness is often limited by unconscious or failed tool usage. To address this issue, we introduce the Tool-Awareness Training (TAT) method, designe"&amp;"d to enhance scientific reasoning. This approach leverages both forward and backward data generation strategies to strengthen the model’s conscious and selective tool utilization in multi-step reasoning tasks. Our method unfolds in three stages: (1) devel"&amp;"oping tool-knowledge through backward tooluse data generation (2) enhancing tool-awareness in multi-step reasoning by utilizing forward reasoning data, and (3) improving domain adaptability through large-scale domain-specific data for multi-task learning."&amp;" These three stages progressively establish the foundation for tool learning and scientific reasoning, effectively integrating both, enabling the model to tackle multi-domain scientific tasks while optimizing tool usage. Our experimental results demonstra"&amp;"te that TAT significantly enhances LLM performance in mathematical and scientific reasoning tasks, particularly by improving the model's tool utilization capabilities, including proactivity and execution success rates.")</f>
        <v>As large language models (LLMs) are increasingly applied to complex scientific problem-solving, their effectiveness is often limited by unconscious or failed tool usage. To address this issue, we introduce the Tool-Awareness Training (TAT) method, designed to enhance scientific reasoning. This approach leverages both forward and backward data generation strategies to strengthen the model’s conscious and selective tool utilization in multi-step reasoning tasks. Our method unfolds in three stages: (1) developing tool-knowledge through backward tooluse data generation (2) enhancing tool-awareness in multi-step reasoning by utilizing forward reasoning data, and (3) improving domain adaptability through large-scale domain-specific data for multi-task learning. These three stages progressively establish the foundation for tool learning and scientific reasoning, effectively integrating both, enabling the model to tackle multi-domain scientific tasks while optimizing tool usage. Our experimental results demonstrate that TAT significantly enhances LLM performance in mathematical and scientific reasoning tasks, particularly by improving the model's tool utilization capabilities, including proactivity and execution success rates.</v>
      </c>
      <c r="D545" s="7" t="str">
        <f>IFERROR(__xludf.DUMMYFUNCTION("""COMPUTED_VALUE"""),"WenjingXie")</f>
        <v>WenjingXie</v>
      </c>
      <c r="E545" s="7" t="str">
        <f>IFERROR(__xludf.DUMMYFUNCTION("""COMPUTED_VALUE"""),"#N/A")</f>
        <v>#N/A</v>
      </c>
      <c r="F545" s="7" t="str">
        <f>IFERROR(__xludf.DUMMYFUNCTION("""COMPUTED_VALUE"""),"Not Pres. ")</f>
        <v>Not Pres. </v>
      </c>
      <c r="G545" s="7" t="str">
        <f>IFERROR(__xludf.DUMMYFUNCTION("""COMPUTED_VALUE"""),"NP Findings Not Presenting ")</f>
        <v>NP Findings Not Presenting </v>
      </c>
      <c r="H545" s="7"/>
      <c r="I545" s="7" t="str">
        <f>IFERROR(__xludf.DUMMYFUNCTION("""COMPUTED_VALUE"""),"NP-Find")</f>
        <v>NP-Find</v>
      </c>
      <c r="J545" s="7"/>
      <c r="K545" s="7"/>
      <c r="L545" s="8"/>
      <c r="M545" s="7"/>
      <c r="N545" s="7"/>
    </row>
    <row r="546">
      <c r="A546" s="7" t="str">
        <f>IFERROR(__xludf.DUMMYFUNCTION("""COMPUTED_VALUE"""),"1823-FIND")</f>
        <v>1823-FIND</v>
      </c>
      <c r="B546" s="7" t="str">
        <f>IFERROR(__xludf.DUMMYFUNCTION("""COMPUTED_VALUE"""),"AMoPO: Adaptive Multi-objective Preference Optimization without Reward Models and Reference Models")</f>
        <v>AMoPO: Adaptive Multi-objective Preference Optimization without Reward Models and Reference Models</v>
      </c>
      <c r="C546" s="7" t="str">
        <f>IFERROR(__xludf.DUMMYFUNCTION("""COMPUTED_VALUE"""),"Existing multi-objective preference alignment methods for large language models (LLMs) face limitations: (1) the inability to effectively balance various preference dimensions, and (2) reliance on auxiliary reward/reference models introduces computational"&amp;" complexity. To address these challenges, we propose Adaptive Multi-objective Preference Optimization (AMoPO), a novel framework that achieves dynamic balance across preference dimensions. By introducing the multi-objective optimization paradigm to use th"&amp;"e dimension-aware generation metrics as implicit rewards, AMoPO aligns LLMs with diverse preferences without additional reward models or reference models. We introduce an adaptive weight assignment mechanism that models the generation space as a Gaussian "&amp;"distribution, allowing dynamic prioritization of preference dimensions. Empirical results demonstrate that AMoPO outperforms state-of-the-art baselines by 28.5%, and the experiments on 7B, 14B, and 32B models reveal the scaling ability of AMoPO. Moreover,"&amp;" additional analysis of multiple dimensions verifies its adaptability and effectiveness. These findings validate AMoPO’s capability to achieve dimension-aware preference alignment, highlighting its superiority. Our codes and datasets are available at http"&amp;"s://github.com/Javkonline/AMoPO.")</f>
        <v>Existing multi-objective preference alignment methods for large language models (LLMs) face limitations: (1) the inability to effectively balance various preference dimensions, and (2) reliance on auxiliary reward/reference models introduces computational complexity. To address these challenges, we propose Adaptive Multi-objective Preference Optimization (AMoPO), a novel framework that achieves dynamic balance across preference dimensions. By introducing the multi-objective optimization paradigm to use the dimension-aware generation metrics as implicit rewards, AMoPO aligns LLMs with diverse preferences without additional reward models or reference models. We introduce an adaptive weight assignment mechanism that models the generation space as a Gaussian distribution, allowing dynamic prioritization of preference dimensions. Empirical results demonstrate that AMoPO outperforms state-of-the-art baselines by 28.5%, and the experiments on 7B, 14B, and 32B models reveal the scaling ability of AMoPO. Moreover, additional analysis of multiple dimensions verifies its adaptability and effectiveness. These findings validate AMoPO’s capability to achieve dimension-aware preference alignment, highlighting its superiority. Our codes and datasets are available at https://github.com/Javkonline/AMoPO.</v>
      </c>
      <c r="D546" s="7" t="str">
        <f>IFERROR(__xludf.DUMMYFUNCTION("""COMPUTED_VALUE"""),"Qi Liu")</f>
        <v>Qi Liu</v>
      </c>
      <c r="E546" s="7" t="str">
        <f>IFERROR(__xludf.DUMMYFUNCTION("""COMPUTED_VALUE"""),"Yes")</f>
        <v>Yes</v>
      </c>
      <c r="F546" s="7" t="str">
        <f>IFERROR(__xludf.DUMMYFUNCTION("""COMPUTED_VALUE"""),"IP-Poster")</f>
        <v>IP-Poster</v>
      </c>
      <c r="G546" s="7" t="str">
        <f>IFERROR(__xludf.DUMMYFUNCTION("""COMPUTED_VALUE"""),"In-Person")</f>
        <v>In-Person</v>
      </c>
      <c r="H546" s="7" t="str">
        <f>IFERROR(__xludf.DUMMYFUNCTION("""COMPUTED_VALUE"""),"Hall 4/5")</f>
        <v>Hall 4/5</v>
      </c>
      <c r="I546" s="7" t="str">
        <f>IFERROR(__xludf.DUMMYFUNCTION("""COMPUTED_VALUE"""),"Session 5 :IP-Posters Find ")</f>
        <v>Session 5 :IP-Posters Find </v>
      </c>
      <c r="J546" s="7" t="str">
        <f>IFERROR(__xludf.DUMMYFUNCTION("""COMPUTED_VALUE"""),"Findings Posters - In-Person 1")</f>
        <v>Findings Posters - In-Person 1</v>
      </c>
      <c r="K546" s="7"/>
      <c r="L546" s="8">
        <f>IFERROR(__xludf.DUMMYFUNCTION("""COMPUTED_VALUE"""),45866.0)</f>
        <v>45866</v>
      </c>
      <c r="M546" s="7" t="str">
        <f>IFERROR(__xludf.DUMMYFUNCTION("""COMPUTED_VALUE"""),"18:00-19:30")</f>
        <v>18:00-19:30</v>
      </c>
      <c r="N546" s="7"/>
    </row>
    <row r="547">
      <c r="A547" s="7" t="str">
        <f>IFERROR(__xludf.DUMMYFUNCTION("""COMPUTED_VALUE"""),"1824-FIND")</f>
        <v>1824-FIND</v>
      </c>
      <c r="B547" s="7" t="str">
        <f>IFERROR(__xludf.DUMMYFUNCTION("""COMPUTED_VALUE"""),"Supervised Optimism Correction: Be Confident When LLMs Are Sure")</f>
        <v>Supervised Optimism Correction: Be Confident When LLMs Are Sure</v>
      </c>
      <c r="C547" s="7" t="str">
        <f>IFERROR(__xludf.DUMMYFUNCTION("""COMPUTED_VALUE"""),"In this work, we establish a novel theoretical connection between supervised fine-tuning and offline reinforcement learning under the token-level Markov decision process, revealing that large language models indeed learn an implicit Q-function for inferen"&amp;"ce.Through this theoretical lens, we demonstrate that the widely used beam search method suffers from unacceptable over-optimism, where inference errors are inevitably amplified due to inflated Q-value estimations of suboptimal steps. To address this limi"&amp;"tation, we propose **S**upervised **O**ptimism **C**orrection (SOC), which introduces a simple yet effective auxiliary loss for token-level Q-value estimations during supervised fine-tuning. Specifically, the auxiliary loss employs implicit value regulari"&amp;"zationto boost model confidence in expert-demonstrated responses, thereby suppressing over-optimism toward insufficiently supervised responses.Extensive experiments on mathematical reasoning benchmarks, including GSM8K, MATH, and GAOKAO, showcase the supe"&amp;"riority of the proposed SOC with beam search across a series of open-source models.")</f>
        <v>In this work, we establish a novel theoretical connection between supervised fine-tuning and offline reinforcement learning under the token-level Markov decision process, revealing that large language models indeed learn an implicit Q-function for inference.Through this theoretical lens, we demonstrate that the widely used beam search method suffers from unacceptable over-optimism, where inference errors are inevitably amplified due to inflated Q-value estimations of suboptimal steps. To address this limitation, we propose **S**upervised **O**ptimism **C**orrection (SOC), which introduces a simple yet effective auxiliary loss for token-level Q-value estimations during supervised fine-tuning. Specifically, the auxiliary loss employs implicit value regularizationto boost model confidence in expert-demonstrated responses, thereby suppressing over-optimism toward insufficiently supervised responses.Extensive experiments on mathematical reasoning benchmarks, including GSM8K, MATH, and GAOKAO, showcase the superiority of the proposed SOC with beam search across a series of open-source models.</v>
      </c>
      <c r="D547" s="7" t="str">
        <f>IFERROR(__xludf.DUMMYFUNCTION("""COMPUTED_VALUE"""),"N/A")</f>
        <v>N/A</v>
      </c>
      <c r="E547" s="7" t="str">
        <f>IFERROR(__xludf.DUMMYFUNCTION("""COMPUTED_VALUE"""),"#N/A")</f>
        <v>#N/A</v>
      </c>
      <c r="F547" s="7" t="str">
        <f>IFERROR(__xludf.DUMMYFUNCTION("""COMPUTED_VALUE"""),"Not Pres. ")</f>
        <v>Not Pres. </v>
      </c>
      <c r="G547" s="7" t="str">
        <f>IFERROR(__xludf.DUMMYFUNCTION("""COMPUTED_VALUE"""),"NP Findings Not Presenting ")</f>
        <v>NP Findings Not Presenting </v>
      </c>
      <c r="H547" s="7"/>
      <c r="I547" s="7" t="str">
        <f>IFERROR(__xludf.DUMMYFUNCTION("""COMPUTED_VALUE"""),"NP-Find")</f>
        <v>NP-Find</v>
      </c>
      <c r="J547" s="7"/>
      <c r="K547" s="7"/>
      <c r="L547" s="8"/>
      <c r="M547" s="7"/>
      <c r="N547" s="7"/>
    </row>
    <row r="548">
      <c r="A548" s="7" t="str">
        <f>IFERROR(__xludf.DUMMYFUNCTION("""COMPUTED_VALUE"""),"1826-FIND")</f>
        <v>1826-FIND</v>
      </c>
      <c r="B548" s="7" t="str">
        <f>IFERROR(__xludf.DUMMYFUNCTION("""COMPUTED_VALUE"""),"Offline Reinforcement Learning for LLM Multi-step Reasoning")</f>
        <v>Offline Reinforcement Learning for LLM Multi-step Reasoning</v>
      </c>
      <c r="C548" s="7" t="str">
        <f>IFERROR(__xludf.DUMMYFUNCTION("""COMPUTED_VALUE"""),"Improving the multi-step reasoning ability of large language models (LLMs) with offline reinforcement learning (RL) is essential for quickly adapting them to complex tasks. While Direct Preference Optimization (DPO) has shown promise in aligning LLMs with"&amp;" human preferences, it is less suitable for multi-step reasoning tasks because (1) DPO relies on paired preference data, which is not readily available for multi-step reasoning tasks, and (2) it treats all tokens uniformly, making it ineffective for credi"&amp;"t assignment in multi-step reasoning tasks, which often come with sparse reward. In this work, we propose OREO (Offline REasoning Optimization), an offline RL method for enhancing LLM multi-step reasoning. Building on insights from previous works of maxim"&amp;"um entropy reinforcement learning, it jointly learns a policy model and value function by optimizing the soft Bellman Equation. We show in principle that it reduces the need to collect pairwise data and enables better credit assignment. Empirically, OREO "&amp;"surpasses existing offline learning methods on multi-step reasoning benchmarks, including mathematical reasoning tasks (GSM8K, MATH), and embodied agent control (ALFWorld). The approach can be extended to a multi-iteration framework when additional resour"&amp;"ces are available. Furthermore, the learned value function can be leveraged to guide the tree search for free, which can further boost the performance during test time.")</f>
        <v>Improving the multi-step reasoning ability of large language models (LLMs) with offline reinforcement learning (RL) is essential for quickly adapting them to complex tasks. While Direct Preference Optimization (DPO) has shown promise in aligning LLMs with human preferences, it is less suitable for multi-step reasoning tasks because (1) DPO relies on paired preference data, which is not readily available for multi-step reasoning tasks, and (2) it treats all tokens uniformly, making it ineffective for credit assignment in multi-step reasoning tasks, which often come with sparse reward. In this work, we propose OREO (Offline REasoning Optimization), an offline RL method for enhancing LLM multi-step reasoning. Building on insights from previous works of maximum entropy reinforcement learning, it jointly learns a policy model and value function by optimizing the soft Bellman Equation. We show in principle that it reduces the need to collect pairwise data and enables better credit assignment. Empirically, OREO surpasses existing offline learning methods on multi-step reasoning benchmarks, including mathematical reasoning tasks (GSM8K, MATH), and embodied agent control (ALFWorld). The approach can be extended to a multi-iteration framework when additional resources are available. Furthermore, the learned value function can be leveraged to guide the tree search for free, which can further boost the performance during test time.</v>
      </c>
      <c r="D548" s="7" t="str">
        <f>IFERROR(__xludf.DUMMYFUNCTION("""COMPUTED_VALUE"""),"Huaijie Wang")</f>
        <v>Huaijie Wang</v>
      </c>
      <c r="E548" s="7" t="str">
        <f>IFERROR(__xludf.DUMMYFUNCTION("""COMPUTED_VALUE"""),"Yes")</f>
        <v>Yes</v>
      </c>
      <c r="F548" s="7" t="str">
        <f>IFERROR(__xludf.DUMMYFUNCTION("""COMPUTED_VALUE"""),"IP-Poster")</f>
        <v>IP-Poster</v>
      </c>
      <c r="G548" s="7" t="str">
        <f>IFERROR(__xludf.DUMMYFUNCTION("""COMPUTED_VALUE"""),"In-Person")</f>
        <v>In-Person</v>
      </c>
      <c r="H548" s="7" t="str">
        <f>IFERROR(__xludf.DUMMYFUNCTION("""COMPUTED_VALUE"""),"Hall 4/5")</f>
        <v>Hall 4/5</v>
      </c>
      <c r="I548" s="7" t="str">
        <f>IFERROR(__xludf.DUMMYFUNCTION("""COMPUTED_VALUE"""),"Session 5 :IP-Posters Find ")</f>
        <v>Session 5 :IP-Posters Find </v>
      </c>
      <c r="J548" s="7" t="str">
        <f>IFERROR(__xludf.DUMMYFUNCTION("""COMPUTED_VALUE"""),"Findings Posters - In-Person 1")</f>
        <v>Findings Posters - In-Person 1</v>
      </c>
      <c r="K548" s="7"/>
      <c r="L548" s="8">
        <f>IFERROR(__xludf.DUMMYFUNCTION("""COMPUTED_VALUE"""),45866.0)</f>
        <v>45866</v>
      </c>
      <c r="M548" s="7" t="str">
        <f>IFERROR(__xludf.DUMMYFUNCTION("""COMPUTED_VALUE"""),"18:00-19:30")</f>
        <v>18:00-19:30</v>
      </c>
      <c r="N548" s="7"/>
    </row>
    <row r="549">
      <c r="A549" s="7" t="str">
        <f>IFERROR(__xludf.DUMMYFUNCTION("""COMPUTED_VALUE"""),"1829-FIND")</f>
        <v>1829-FIND</v>
      </c>
      <c r="B549" s="7" t="str">
        <f>IFERROR(__xludf.DUMMYFUNCTION("""COMPUTED_VALUE"""),"Sampling-based Pseudo-Likelihood for Membership Inference Attacks")</f>
        <v>Sampling-based Pseudo-Likelihood for Membership Inference Attacks</v>
      </c>
      <c r="C549" s="7" t="str">
        <f>IFERROR(__xludf.DUMMYFUNCTION("""COMPUTED_VALUE"""),"Large Language Models (LLMs) are trained on large-scale web data, which makes it difficult to grasp the contribution of each text. This poses the risk of leaking inappropriate data such as benchmarks, personal information, and copyrighted texts in the tra"&amp;"ining data. Membership Inference Attacks (MIA), which determine whether a given text is included in the model’s training data, have been attracting attention. Previous studies of MIAs revealed that likelihood-based classification is effective for detectin"&amp;"g leaks in LLMs. However, the existing likelihood-based methods cannot be applied to some proprietary models like ChatGPT or Claude 3 because the likelihood for input text is unavailable to the user. In this study, we propose a Sampling-based Pseudo-Likel"&amp;"ihood (SPL) method for MIA (SaMIA) that calculates SPL using only the text generated by an LLM to detect leaks. The SaMIA treats the target text as the reference text and multiple outputs from the LLM as text samples, calculates the degree of n-gram match"&amp;" as SPL, and determines the membership of the text in the training data. Even without likelihoods, SaMIA performed on par with existing likelihood-based methods.")</f>
        <v>Large Language Models (LLMs) are trained on large-scale web data, which makes it difficult to grasp the contribution of each text. This poses the risk of leaking inappropriate data such as benchmarks, personal information, and copyrighted texts in the training data. Membership Inference Attacks (MIA), which determine whether a given text is included in the model’s training data, have been attracting attention. Previous studies of MIAs revealed that likelihood-based classification is effective for detecting leaks in LLMs. However, the existing likelihood-based methods cannot be applied to some proprietary models like ChatGPT or Claude 3 because the likelihood for input text is unavailable to the user. In this study, we propose a Sampling-based Pseudo-Likelihood (SPL) method for MIA (SaMIA) that calculates SPL using only the text generated by an LLM to detect leaks. The SaMIA treats the target text as the reference text and multiple outputs from the LLM as text samples, calculates the degree of n-gram match as SPL, and determines the membership of the text in the training data. Even without likelihoods, SaMIA performed on par with existing likelihood-based methods.</v>
      </c>
      <c r="D549" s="7" t="str">
        <f>IFERROR(__xludf.DUMMYFUNCTION("""COMPUTED_VALUE"""),"Youmi Ma")</f>
        <v>Youmi Ma</v>
      </c>
      <c r="E549" s="7" t="str">
        <f>IFERROR(__xludf.DUMMYFUNCTION("""COMPUTED_VALUE"""),"Yes")</f>
        <v>Yes</v>
      </c>
      <c r="F549" s="7" t="str">
        <f>IFERROR(__xludf.DUMMYFUNCTION("""COMPUTED_VALUE"""),"IP-Poster")</f>
        <v>IP-Poster</v>
      </c>
      <c r="G549" s="7" t="str">
        <f>IFERROR(__xludf.DUMMYFUNCTION("""COMPUTED_VALUE"""),"In-Person")</f>
        <v>In-Person</v>
      </c>
      <c r="H549" s="7" t="str">
        <f>IFERROR(__xludf.DUMMYFUNCTION("""COMPUTED_VALUE"""),"Hall 4/5")</f>
        <v>Hall 4/5</v>
      </c>
      <c r="I549" s="7" t="str">
        <f>IFERROR(__xludf.DUMMYFUNCTION("""COMPUTED_VALUE"""),"Session 10: IP-Posters")</f>
        <v>Session 10: IP-Posters</v>
      </c>
      <c r="J549" s="7" t="str">
        <f>IFERROR(__xludf.DUMMYFUNCTION("""COMPUTED_VALUE"""),"Findings Posters - In-Person 3")</f>
        <v>Findings Posters - In-Person 3</v>
      </c>
      <c r="K549" s="7"/>
      <c r="L549" s="8">
        <f>IFERROR(__xludf.DUMMYFUNCTION("""COMPUTED_VALUE"""),45867.0)</f>
        <v>45867</v>
      </c>
      <c r="M549" s="7" t="str">
        <f>IFERROR(__xludf.DUMMYFUNCTION("""COMPUTED_VALUE"""),"16:00-17:30")</f>
        <v>16:00-17:30</v>
      </c>
      <c r="N549" s="7"/>
    </row>
    <row r="550">
      <c r="A550" s="7" t="str">
        <f>IFERROR(__xludf.DUMMYFUNCTION("""COMPUTED_VALUE"""),"1834-FIND")</f>
        <v>1834-FIND</v>
      </c>
      <c r="B550" s="7" t="str">
        <f>IFERROR(__xludf.DUMMYFUNCTION("""COMPUTED_VALUE"""),"AgentStore: Scalable Integration of Heterogeneous Agents As Specialized Generalist Computer Assistant")</f>
        <v>AgentStore: Scalable Integration of Heterogeneous Agents As Specialized Generalist Computer Assistant</v>
      </c>
      <c r="C550" s="7" t="str">
        <f>IFERROR(__xludf.DUMMYFUNCTION("""COMPUTED_VALUE"""),"Digital agents capable of automating complex computer tasks have attracted considerable attention. However, existing agent methods exhibit deficiencies in their generalization and specialization capabilities, especially in handling open-ended computer tas"&amp;"ks in real-world environments. Inspired by the rich functionality of the App store, we present AgentStore, a scalable platform designed to dynamically integrate heterogeneous agents for automating computer tasks. AgentStore allows the system to continuous"&amp;"ly enrich its capabilities and adapt to rapidly evolving operating systems. Additionally, we propose a novel core MetaAgent with the AgentToken strategy to efficiently manage diverse agents and utilize their specialized and generalist abilities for both d"&amp;"omain-specific and system-wide tasks. Extensive experiments on three interactive real-world benchmarks demonstrate that AgentStore significantly expands the capability boundaries of agent systems in both generalization and specialization, underscoring its"&amp;" potential for developing the specialized generalist computer assistant.")</f>
        <v>Digital agents capable of automating complex computer tasks have attracted considerable attention. However, existing agent methods exhibit deficiencies in their generalization and specialization capabilities, especially in handling open-ended computer tasks in real-world environments. Inspired by the rich functionality of the App store, we present AgentStore, a scalable platform designed to dynamically integrate heterogeneous agents for automating computer tasks. AgentStore allows the system to continuously enrich its capabilities and adapt to rapidly evolving operating systems. Additionally, we propose a novel core MetaAgent with the AgentToken strategy to efficiently manage diverse agents and utilize their specialized and generalist abilities for both domain-specific and system-wide tasks. Extensive experiments on three interactive real-world benchmarks demonstrate that AgentStore significantly expands the capability boundaries of agent systems in both generalization and specialization, underscoring its potential for developing the specialized generalist computer assistant.</v>
      </c>
      <c r="D550" s="7" t="str">
        <f>IFERROR(__xludf.DUMMYFUNCTION("""COMPUTED_VALUE"""),"Chengyou Jia")</f>
        <v>Chengyou Jia</v>
      </c>
      <c r="E550" s="7" t="str">
        <f>IFERROR(__xludf.DUMMYFUNCTION("""COMPUTED_VALUE"""),"Yes")</f>
        <v>Yes</v>
      </c>
      <c r="F550" s="7" t="str">
        <f>IFERROR(__xludf.DUMMYFUNCTION("""COMPUTED_VALUE"""),"Not Pres. ")</f>
        <v>Not Pres. </v>
      </c>
      <c r="G550" s="7" t="str">
        <f>IFERROR(__xludf.DUMMYFUNCTION("""COMPUTED_VALUE"""),"NP Findings Not Presenting ")</f>
        <v>NP Findings Not Presenting </v>
      </c>
      <c r="H550" s="7"/>
      <c r="I550" s="7"/>
      <c r="J550" s="7"/>
      <c r="K550" s="7"/>
      <c r="L550" s="8"/>
      <c r="M550" s="7"/>
      <c r="N550" s="7"/>
    </row>
    <row r="551">
      <c r="A551" s="7" t="str">
        <f>IFERROR(__xludf.DUMMYFUNCTION("""COMPUTED_VALUE"""),"1835-FIND")</f>
        <v>1835-FIND</v>
      </c>
      <c r="B551" s="7" t="str">
        <f>IFERROR(__xludf.DUMMYFUNCTION("""COMPUTED_VALUE"""),"Boosting Vulnerability Detection of LLMs via Curriculum Preference Optimization with Synthetic Reasoning Data")</f>
        <v>Boosting Vulnerability Detection of LLMs via Curriculum Preference Optimization with Synthetic Reasoning Data</v>
      </c>
      <c r="C551" s="7" t="str">
        <f>IFERROR(__xludf.DUMMYFUNCTION("""COMPUTED_VALUE"""),"Large language models (LLMs) demonstrate considerable proficiency in numerous coding-related tasks; however, their capabilities in detecting software vulnerabilities remain limited. This limitation primarily stems from two factors: (1) the absence of reas"&amp;"oning data related to vulnerabilities, which hinders the models' ability to capture underlying vulnerability patterns; and (2) their focus on learning semantic representations rather than the reason behind them, thus failing to recognize semantically simi"&amp;"lar vulnerability samples. Furthermore, the development of LLMs specialized in vulnerability detection is challenging, particularly in environments characterized by the scarcity of high-quality datasets. In this paper, we propose a novel framework ReVD th"&amp;"at excels at mining vulnerability patterns through reasoning data synthesizing and vulnerability-specific preference optimization. Specifically, we construct forward and backward reasoning processes for vulnerability and corresponding fixed code, ensuring"&amp;" the synthesis of high-quality reasoning data. Moreover, we design the triplet supervised fine-tuning followed by curriculum online preference optimization for enabling ReVD to better understand vulnerability patterns. The extensive experiments conducted "&amp;"on PrimeVul and SVEN datasets demonstrate that ReVD sets new state-of-the-art for LLM-based software vulnerability detection, e.g., 12.24%-22.77% improvement in the accuracy. The source code and data are available at https://anonymous.4open.science/r/PO4V"&amp;"ul-CD92/.")</f>
        <v>Large language models (LLMs) demonstrate considerable proficiency in numerous coding-related tasks; however, their capabilities in detecting software vulnerabilities remain limited. This limitation primarily stems from two factors: (1) the absence of reasoning data related to vulnerabilities, which hinders the models' ability to capture underlying vulnerability patterns; and (2) their focus on learning semantic representations rather than the reason behind them, thus failing to recognize semantically similar vulnerability samples. Furthermore, the development of LLMs specialized in vulnerability detection is challenging, particularly in environments characterized by the scarcity of high-quality datasets. In this paper, we propose a novel framework ReVD that excels at mining vulnerability patterns through reasoning data synthesizing and vulnerability-specific preference optimization. Specifically, we construct forward and backward reasoning processes for vulnerability and corresponding fixed code, ensuring the synthesis of high-quality reasoning data. Moreover, we design the triplet supervised fine-tuning followed by curriculum online preference optimization for enabling ReVD to better understand vulnerability patterns. The extensive experiments conducted on PrimeVul and SVEN datasets demonstrate that ReVD sets new state-of-the-art for LLM-based software vulnerability detection, e.g., 12.24%-22.77% improvement in the accuracy. The source code and data are available at https://anonymous.4open.science/r/PO4Vul-CD92/.</v>
      </c>
      <c r="D551" s="7" t="str">
        <f>IFERROR(__xludf.DUMMYFUNCTION("""COMPUTED_VALUE"""),"Xin-Cheng Wen")</f>
        <v>Xin-Cheng Wen</v>
      </c>
      <c r="E551" s="7" t="str">
        <f>IFERROR(__xludf.DUMMYFUNCTION("""COMPUTED_VALUE"""),"#N/A")</f>
        <v>#N/A</v>
      </c>
      <c r="F551" s="7" t="str">
        <f>IFERROR(__xludf.DUMMYFUNCTION("""COMPUTED_VALUE"""),"Not Pres. ")</f>
        <v>Not Pres. </v>
      </c>
      <c r="G551" s="7" t="str">
        <f>IFERROR(__xludf.DUMMYFUNCTION("""COMPUTED_VALUE"""),"NP Findings Not Presenting ")</f>
        <v>NP Findings Not Presenting </v>
      </c>
      <c r="H551" s="7"/>
      <c r="I551" s="7" t="str">
        <f>IFERROR(__xludf.DUMMYFUNCTION("""COMPUTED_VALUE"""),"NP-Find")</f>
        <v>NP-Find</v>
      </c>
      <c r="J551" s="7"/>
      <c r="K551" s="7"/>
      <c r="L551" s="8"/>
      <c r="M551" s="7"/>
      <c r="N551" s="7"/>
    </row>
    <row r="552">
      <c r="A552" s="7" t="str">
        <f>IFERROR(__xludf.DUMMYFUNCTION("""COMPUTED_VALUE"""),"1840-FIND")</f>
        <v>1840-FIND</v>
      </c>
      <c r="B552" s="7" t="str">
        <f>IFERROR(__xludf.DUMMYFUNCTION("""COMPUTED_VALUE"""),"GA-S3: Comprehensive Social Network Simulation with Group Agents")</f>
        <v>GA-S3: Comprehensive Social Network Simulation with Group Agents</v>
      </c>
      <c r="C552" s="7" t="str">
        <f>IFERROR(__xludf.DUMMYFUNCTION("""COMPUTED_VALUE"""),"Social network simulation is developed to provide a comprehensive understanding of social networks in the real world, which can be leveraged for a wide range of applications such as group behavior emergence, policy optimization, and business strategy deve"&amp;"lopment. However, billions of individuals and their evolving interactions involved in social networks pose challenges in accurately reflecting real-world complexities. In this study, we propose a comprehensive Social network Simulation System (GA-S3) that"&amp;" leverages newly designed Group Agents to make intelligent decisions regarding various online events. Unlike other intelligent agents that represent an individual entity, our group agents model a collection of individuals exhibiting similar behaviors, fac"&amp;"ilitating the simulation of large-scale network phenomena with complex interactions at a manageable computational cost. Additionally, we have constructed a social network benchmark from 2024 popular online events that contains fine-grained information on "&amp;"Internet traffic variations. The experiment demonstrates that our approach is capable of achieving accurate and highly realistic prediction results.")</f>
        <v>Social network simulation is developed to provide a comprehensive understanding of social networks in the real world, which can be leveraged for a wide range of applications such as group behavior emergence, policy optimization, and business strategy development. However, billions of individuals and their evolving interactions involved in social networks pose challenges in accurately reflecting real-world complexities. In this study, we propose a comprehensive Social network Simulation System (GA-S3) that leverages newly designed Group Agents to make intelligent decisions regarding various online events. Unlike other intelligent agents that represent an individual entity, our group agents model a collection of individuals exhibiting similar behaviors, facilitating the simulation of large-scale network phenomena with complex interactions at a manageable computational cost. Additionally, we have constructed a social network benchmark from 2024 popular online events that contains fine-grained information on Internet traffic variations. The experiment demonstrates that our approach is capable of achieving accurate and highly realistic prediction results.</v>
      </c>
      <c r="D552" s="7" t="str">
        <f>IFERROR(__xludf.DUMMYFUNCTION("""COMPUTED_VALUE"""),"NA")</f>
        <v>NA</v>
      </c>
      <c r="E552" s="7" t="str">
        <f>IFERROR(__xludf.DUMMYFUNCTION("""COMPUTED_VALUE"""),"#N/A")</f>
        <v>#N/A</v>
      </c>
      <c r="F552" s="7" t="str">
        <f>IFERROR(__xludf.DUMMYFUNCTION("""COMPUTED_VALUE"""),"Not Pres. ")</f>
        <v>Not Pres. </v>
      </c>
      <c r="G552" s="7" t="str">
        <f>IFERROR(__xludf.DUMMYFUNCTION("""COMPUTED_VALUE"""),"NP Findings Not Presenting ")</f>
        <v>NP Findings Not Presenting </v>
      </c>
      <c r="H552" s="7"/>
      <c r="I552" s="7" t="str">
        <f>IFERROR(__xludf.DUMMYFUNCTION("""COMPUTED_VALUE"""),"NP-Find")</f>
        <v>NP-Find</v>
      </c>
      <c r="J552" s="7"/>
      <c r="K552" s="7"/>
      <c r="L552" s="8"/>
      <c r="M552" s="7"/>
      <c r="N552" s="7"/>
    </row>
    <row r="553">
      <c r="A553" s="7" t="str">
        <f>IFERROR(__xludf.DUMMYFUNCTION("""COMPUTED_VALUE"""),"1841-FIND")</f>
        <v>1841-FIND</v>
      </c>
      <c r="B553" s="7" t="str">
        <f>IFERROR(__xludf.DUMMYFUNCTION("""COMPUTED_VALUE"""),"M-RangeDetector: Enhancing Generalization in Machine-Generated Text Detection through Multi-Range Attention Masks")</f>
        <v>M-RangeDetector: Enhancing Generalization in Machine-Generated Text Detection through Multi-Range Attention Masks</v>
      </c>
      <c r="C553" s="7" t="str">
        <f>IFERROR(__xludf.DUMMYFUNCTION("""COMPUTED_VALUE"""),"The increasing capability and widespread usage of large language models (LLMs) highlight the desirability of automatic detection of machine-generated text. Existing supervised detectors often overfit within their training domains, as they have primarily l"&amp;"earned domain-specific textual features, such as word frequency, syntax, and semantics. In this paper, we introduce a domain-independent feature, namely the difference of writing strategy between LLMs and human, to improve the out-of-domain generalization"&amp;" capability of detectors. LLMs focus on the preceding range tokens when generating a token, while human consider multiple ranges, including bidirectional, global, and local contexts. The attention mask influences the range of tokens to which the model can"&amp;" attend. Therefore, we propose a method called M-RangeDetector, which integrates four distinct attention masking strategies into a Multi-Range Attention module, enabling the model to capture diverse writing strategies. Specifically, with the global mask, "&amp;"band mask, dilated mask, and random mask, our method learns various writing strategies for machine-generated text detection. The experimental results on three datasets demonstrate the superior generalization capability of our method.")</f>
        <v>The increasing capability and widespread usage of large language models (LLMs) highlight the desirability of automatic detection of machine-generated text. Existing supervised detectors often overfit within their training domains, as they have primarily learned domain-specific textual features, such as word frequency, syntax, and semantics. In this paper, we introduce a domain-independent feature, namely the difference of writing strategy between LLMs and human, to improve the out-of-domain generalization capability of detectors. LLMs focus on the preceding range tokens when generating a token, while human consider multiple ranges, including bidirectional, global, and local contexts. The attention mask influences the range of tokens to which the model can attend. Therefore, we propose a method called M-RangeDetector, which integrates four distinct attention masking strategies into a Multi-Range Attention module, enabling the model to capture diverse writing strategies. Specifically, with the global mask, band mask, dilated mask, and random mask, our method learns various writing strategies for machine-generated text detection. The experimental results on three datasets demonstrate the superior generalization capability of our method.</v>
      </c>
      <c r="D553" s="7" t="str">
        <f>IFERROR(__xludf.DUMMYFUNCTION("""COMPUTED_VALUE"""),"Kaijie Jiao")</f>
        <v>Kaijie Jiao</v>
      </c>
      <c r="E553" s="7" t="str">
        <f>IFERROR(__xludf.DUMMYFUNCTION("""COMPUTED_VALUE"""),"N/A")</f>
        <v>N/A</v>
      </c>
      <c r="F553" s="7" t="str">
        <f>IFERROR(__xludf.DUMMYFUNCTION("""COMPUTED_VALUE"""),"Not Pres. ")</f>
        <v>Not Pres. </v>
      </c>
      <c r="G553" s="7" t="str">
        <f>IFERROR(__xludf.DUMMYFUNCTION("""COMPUTED_VALUE"""),"NP Findings Not Presenting ")</f>
        <v>NP Findings Not Presenting </v>
      </c>
      <c r="H553" s="7"/>
      <c r="I553" s="7"/>
      <c r="J553" s="7"/>
      <c r="K553" s="7"/>
      <c r="L553" s="8"/>
      <c r="M553" s="7"/>
      <c r="N553" s="7"/>
    </row>
    <row r="554">
      <c r="A554" s="7" t="str">
        <f>IFERROR(__xludf.DUMMYFUNCTION("""COMPUTED_VALUE"""),"1852-FIND")</f>
        <v>1852-FIND</v>
      </c>
      <c r="B554" s="7" t="str">
        <f>IFERROR(__xludf.DUMMYFUNCTION("""COMPUTED_VALUE"""),"Does Your Voice Assistant Remember? Analyzing Conversational Context Recall and Utilization in Voice Interaction Models")</f>
        <v>Does Your Voice Assistant Remember? Analyzing Conversational Context Recall and Utilization in Voice Interaction Models</v>
      </c>
      <c r="C554" s="7" t="str">
        <f>IFERROR(__xludf.DUMMYFUNCTION("""COMPUTED_VALUE"""),"Recent advancements in multi-turn voice interaction models have improved user-model communication. However, while closed-source models effectively retain and recall past utterances, whether open-source models share this ability remains unexplored. To fill"&amp;" this gap, we systematically evaluate how well open-source interaction models utilize past utterances using ContextDialog, a benchmark we proposed for this purpose. Our findings show that speech-based models have more difficulty than text-based ones, espe"&amp;"cially when recalling information conveyed in speech, and even with retrieval-augmented generation, models still struggle with questions about past utterances. These insights highlight key limitations in open-source models and suggest ways to improve memo"&amp;"ry retention and retrieval robustness.")</f>
        <v>Recent advancements in multi-turn voice interaction models have improved user-model communication. However, while closed-source models effectively retain and recall past utterances, whether open-source models share this ability remains unexplored. To fill this gap, we systematically evaluate how well open-source interaction models utilize past utterances using ContextDialog, a benchmark we proposed for this purpose. Our findings show that speech-based models have more difficulty than text-based ones, especially when recalling information conveyed in speech, and even with retrieval-augmented generation, models still struggle with questions about past utterances. These insights highlight key limitations in open-source models and suggest ways to improve memory retention and retrieval robustness.</v>
      </c>
      <c r="D554" s="7" t="str">
        <f>IFERROR(__xludf.DUMMYFUNCTION("""COMPUTED_VALUE"""),"Che Hyun Lee")</f>
        <v>Che Hyun Lee</v>
      </c>
      <c r="E554" s="7" t="str">
        <f>IFERROR(__xludf.DUMMYFUNCTION("""COMPUTED_VALUE"""),"Yes")</f>
        <v>Yes</v>
      </c>
      <c r="F554" s="7" t="str">
        <f>IFERROR(__xludf.DUMMYFUNCTION("""COMPUTED_VALUE"""),"IP-Poster")</f>
        <v>IP-Poster</v>
      </c>
      <c r="G554" s="7" t="str">
        <f>IFERROR(__xludf.DUMMYFUNCTION("""COMPUTED_VALUE"""),"In-Person")</f>
        <v>In-Person</v>
      </c>
      <c r="H554" s="7" t="str">
        <f>IFERROR(__xludf.DUMMYFUNCTION("""COMPUTED_VALUE"""),"Hall 4/5")</f>
        <v>Hall 4/5</v>
      </c>
      <c r="I554" s="7" t="str">
        <f>IFERROR(__xludf.DUMMYFUNCTION("""COMPUTED_VALUE"""),"Session 5 :IP-Posters Find ")</f>
        <v>Session 5 :IP-Posters Find </v>
      </c>
      <c r="J554" s="7" t="str">
        <f>IFERROR(__xludf.DUMMYFUNCTION("""COMPUTED_VALUE"""),"Findings Posters - In-Person 1")</f>
        <v>Findings Posters - In-Person 1</v>
      </c>
      <c r="K554" s="7"/>
      <c r="L554" s="8">
        <f>IFERROR(__xludf.DUMMYFUNCTION("""COMPUTED_VALUE"""),45866.0)</f>
        <v>45866</v>
      </c>
      <c r="M554" s="7" t="str">
        <f>IFERROR(__xludf.DUMMYFUNCTION("""COMPUTED_VALUE"""),"18:00-19:30")</f>
        <v>18:00-19:30</v>
      </c>
      <c r="N554" s="7"/>
    </row>
    <row r="555">
      <c r="A555" s="7" t="str">
        <f>IFERROR(__xludf.DUMMYFUNCTION("""COMPUTED_VALUE"""),"1868-FIND")</f>
        <v>1868-FIND</v>
      </c>
      <c r="B555" s="7" t="str">
        <f>IFERROR(__xludf.DUMMYFUNCTION("""COMPUTED_VALUE"""),"NeuronMerge: Merging Models via Functional Neuron Groups")</f>
        <v>NeuronMerge: Merging Models via Functional Neuron Groups</v>
      </c>
      <c r="C555" s="7" t="str">
        <f>IFERROR(__xludf.DUMMYFUNCTION("""COMPUTED_VALUE"""),"Model merging techniques like task arithmetic, which combines model parameters through weighted averaging, have proven effective. However, the success of task arithmetic relies on the linearity between model weight differences and output feature changes, "&amp;"which is often lacking in conventional fine-tuned models. In this work, we employ neuron description methods to analyze and classify neurons based on their functionalities. We theoretically demonstrate that grouping Multi-Layer Perceptron (MLP) neurons by"&amp;" functionality enhances model linearity. Building on this, we propose a neuron-based task arithmetic merging method that consistently improves performance across various tasks and model scales. Our approach is complementary to existing merging techniques,"&amp;" achieving superior results in merging models fine-tuned on fundamental tasks like Math, Code and Translation.")</f>
        <v>Model merging techniques like task arithmetic, which combines model parameters through weighted averaging, have proven effective. However, the success of task arithmetic relies on the linearity between model weight differences and output feature changes, which is often lacking in conventional fine-tuned models. In this work, we employ neuron description methods to analyze and classify neurons based on their functionalities. We theoretically demonstrate that grouping Multi-Layer Perceptron (MLP) neurons by functionality enhances model linearity. Building on this, we propose a neuron-based task arithmetic merging method that consistently improves performance across various tasks and model scales. Our approach is complementary to existing merging techniques, achieving superior results in merging models fine-tuned on fundamental tasks like Math, Code and Translation.</v>
      </c>
      <c r="D555" s="7" t="str">
        <f>IFERROR(__xludf.DUMMYFUNCTION("""COMPUTED_VALUE"""),"N/A")</f>
        <v>N/A</v>
      </c>
      <c r="E555" s="7" t="str">
        <f>IFERROR(__xludf.DUMMYFUNCTION("""COMPUTED_VALUE"""),"#N/A")</f>
        <v>#N/A</v>
      </c>
      <c r="F555" s="7" t="str">
        <f>IFERROR(__xludf.DUMMYFUNCTION("""COMPUTED_VALUE"""),"Not Pres. ")</f>
        <v>Not Pres. </v>
      </c>
      <c r="G555" s="7" t="str">
        <f>IFERROR(__xludf.DUMMYFUNCTION("""COMPUTED_VALUE"""),"NP Findings Not Presenting ")</f>
        <v>NP Findings Not Presenting </v>
      </c>
      <c r="H555" s="7"/>
      <c r="I555" s="7" t="str">
        <f>IFERROR(__xludf.DUMMYFUNCTION("""COMPUTED_VALUE"""),"NP-Find")</f>
        <v>NP-Find</v>
      </c>
      <c r="J555" s="7"/>
      <c r="K555" s="7"/>
      <c r="L555" s="8"/>
      <c r="M555" s="7"/>
      <c r="N555" s="7"/>
    </row>
    <row r="556">
      <c r="A556" s="7" t="str">
        <f>IFERROR(__xludf.DUMMYFUNCTION("""COMPUTED_VALUE"""),"1870-FIND")</f>
        <v>1870-FIND</v>
      </c>
      <c r="B556" s="7" t="str">
        <f>IFERROR(__xludf.DUMMYFUNCTION("""COMPUTED_VALUE"""),"HellaSwag-Pro: A Large-Scale Bilingual Benchmark for Evaluating the Robustness of LLMs in Commonsense Reasoning")</f>
        <v>HellaSwag-Pro: A Large-Scale Bilingual Benchmark for Evaluating the Robustness of LLMs in Commonsense Reasoning</v>
      </c>
      <c r="C556" s="7" t="str">
        <f>IFERROR(__xludf.DUMMYFUNCTION("""COMPUTED_VALUE"""),"Large language models (LLMs) have shown remarkable capabilities in commonsense reasoning; however, some variations in questions can trigger incorrect responses. Do these models truly understand commonsense knowledge, or just memorize expression patterns? "&amp;"To investigate this question, we present the first extensive robustness evaluation of LLMs in commonsense reasoning. We introduce HellaSwag-Pro, a large-scale bilingual benchmark consisting of 11,200 cases, by designing and compiling seven types of questi"&amp;"on variants. To construct this benchmark, we propose a two-stage method to develop Chinese HellaSwag, a finely annotated dataset comprising 12,000 instances across 56 categories. We conduct extensive experiments on 41 representative LLMs, revealing that t"&amp;"hese LLMs are far from robust in commonsense reasoning. Furthermore, this robustness varies depending on the language in which the LLM is tested. This work establishes a high-quality evaluation benchmark, with extensive experiments offering valuable insig"&amp;"hts to the community in commonsense reasoning for LLMs.")</f>
        <v>Large language models (LLMs) have shown remarkable capabilities in commonsense reasoning; however, some variations in questions can trigger incorrect responses. Do these models truly understand commonsense knowledge, or just memorize expression patterns? To investigate this question, we present the first extensive robustness evaluation of LLMs in commonsense reasoning. We introduce HellaSwag-Pro, a large-scale bilingual benchmark consisting of 11,200 cases, by designing and compiling seven types of question variants. To construct this benchmark, we propose a two-stage method to develop Chinese HellaSwag, a finely annotated dataset comprising 12,000 instances across 56 categories. We conduct extensive experiments on 41 representative LLMs, revealing that these LLMs are far from robust in commonsense reasoning. Furthermore, this robustness varies depending on the language in which the LLM is tested. This work establishes a high-quality evaluation benchmark, with extensive experiments offering valuable insights to the community in commonsense reasoning for LLMs.</v>
      </c>
      <c r="D556" s="7" t="str">
        <f>IFERROR(__xludf.DUMMYFUNCTION("""COMPUTED_VALUE"""),"Xiaoyuan Li")</f>
        <v>Xiaoyuan Li</v>
      </c>
      <c r="E556" s="7" t="str">
        <f>IFERROR(__xludf.DUMMYFUNCTION("""COMPUTED_VALUE"""),"Yes")</f>
        <v>Yes</v>
      </c>
      <c r="F556" s="7" t="str">
        <f>IFERROR(__xludf.DUMMYFUNCTION("""COMPUTED_VALUE"""),"IP-Poster")</f>
        <v>IP-Poster</v>
      </c>
      <c r="G556" s="7" t="str">
        <f>IFERROR(__xludf.DUMMYFUNCTION("""COMPUTED_VALUE"""),"In-Person")</f>
        <v>In-Person</v>
      </c>
      <c r="H556" s="7" t="str">
        <f>IFERROR(__xludf.DUMMYFUNCTION("""COMPUTED_VALUE"""),"Hall 4/5")</f>
        <v>Hall 4/5</v>
      </c>
      <c r="I556" s="7" t="str">
        <f>IFERROR(__xludf.DUMMYFUNCTION("""COMPUTED_VALUE"""),"Session 5 :IP-Posters Find ")</f>
        <v>Session 5 :IP-Posters Find </v>
      </c>
      <c r="J556" s="7" t="str">
        <f>IFERROR(__xludf.DUMMYFUNCTION("""COMPUTED_VALUE"""),"Findings Posters - In-Person 1")</f>
        <v>Findings Posters - In-Person 1</v>
      </c>
      <c r="K556" s="7"/>
      <c r="L556" s="8">
        <f>IFERROR(__xludf.DUMMYFUNCTION("""COMPUTED_VALUE"""),45866.0)</f>
        <v>45866</v>
      </c>
      <c r="M556" s="7" t="str">
        <f>IFERROR(__xludf.DUMMYFUNCTION("""COMPUTED_VALUE"""),"18:00-19:30")</f>
        <v>18:00-19:30</v>
      </c>
      <c r="N556" s="7"/>
    </row>
    <row r="557">
      <c r="A557" s="7" t="str">
        <f>IFERROR(__xludf.DUMMYFUNCTION("""COMPUTED_VALUE"""),"1879-FIND")</f>
        <v>1879-FIND</v>
      </c>
      <c r="B557" s="7" t="str">
        <f>IFERROR(__xludf.DUMMYFUNCTION("""COMPUTED_VALUE"""),"Self-Steering Optimization: Autonomous Preference Optimization for Large Language Models")</f>
        <v>Self-Steering Optimization: Autonomous Preference Optimization for Large Language Models</v>
      </c>
      <c r="C557" s="7" t="str">
        <f>IFERROR(__xludf.DUMMYFUNCTION("""COMPUTED_VALUE"""),"The key to effective alignment lies in high-quality preference data. Recent research has focused on automated alignment, which involves developing alignment systems with minimal human intervention. However, prior research has predominantly focused on deve"&amp;"loping data generation methods, while insufficient attention has been paid to quality control mechanisms and often produces inaccurate and unhelpful data, leading to unpredictable benefits during iterative optimization. In this paper, we present Self-Stee"&amp;"ring Optimization (SSO), an algorithm that autonomously generates high-quality preference data, eliminating manual annotation requirements. SSO employs a specialized optimization objective to build a data generator from the policy model itself, which is u"&amp;"sed to produce accurate and on-policy data. We demonstrate SSO‘s effectiveness through comprehensive experiments on two series of models: Llama 3 and Qwen 2. Our evaluation across diverse benchmarks shows that SSO consistently outperforms baselines in hum"&amp;"an preference alignment and reward optimization. Further analysis validates SSO as a scalable framework for preference optimization, benefiting the advancement in automated alignment techniques.")</f>
        <v>The key to effective alignment lies in high-quality preference data. Recent research has focused on automated alignment, which involves developing alignment systems with minimal human intervention. However, prior research has predominantly focused on developing data generation methods, while insufficient attention has been paid to quality control mechanisms and often produces inaccurate and unhelpful data, leading to unpredictable benefits during iterative optimization. In this paper, we present Self-Steering Optimization (SSO), an algorithm that autonomously generates high-quality preference data, eliminating manual annotation requirements. SSO employs a specialized optimization objective to build a data generator from the policy model itself, which is used to produce accurate and on-policy data. We demonstrate SSO‘s effectiveness through comprehensive experiments on two series of models: Llama 3 and Qwen 2. Our evaluation across diverse benchmarks shows that SSO consistently outperforms baselines in human preference alignment and reward optimization. Further analysis validates SSO as a scalable framework for preference optimization, benefiting the advancement in automated alignment techniques.</v>
      </c>
      <c r="D557" s="7" t="str">
        <f>IFERROR(__xludf.DUMMYFUNCTION("""COMPUTED_VALUE"""),"Hao xiang")</f>
        <v>Hao xiang</v>
      </c>
      <c r="E557" s="7" t="str">
        <f>IFERROR(__xludf.DUMMYFUNCTION("""COMPUTED_VALUE"""),"#N/A")</f>
        <v>#N/A</v>
      </c>
      <c r="F557" s="7" t="str">
        <f>IFERROR(__xludf.DUMMYFUNCTION("""COMPUTED_VALUE"""),"Not Pres. ")</f>
        <v>Not Pres. </v>
      </c>
      <c r="G557" s="7" t="str">
        <f>IFERROR(__xludf.DUMMYFUNCTION("""COMPUTED_VALUE"""),"NP Findings Not Presenting ")</f>
        <v>NP Findings Not Presenting </v>
      </c>
      <c r="H557" s="7"/>
      <c r="I557" s="7" t="str">
        <f>IFERROR(__xludf.DUMMYFUNCTION("""COMPUTED_VALUE"""),"NP-Find")</f>
        <v>NP-Find</v>
      </c>
      <c r="J557" s="7"/>
      <c r="K557" s="7"/>
      <c r="L557" s="8"/>
      <c r="M557" s="7"/>
      <c r="N557" s="7"/>
    </row>
    <row r="558">
      <c r="A558" s="7" t="str">
        <f>IFERROR(__xludf.DUMMYFUNCTION("""COMPUTED_VALUE"""),"1881-FIND")</f>
        <v>1881-FIND</v>
      </c>
      <c r="B558" s="7" t="str">
        <f>IFERROR(__xludf.DUMMYFUNCTION("""COMPUTED_VALUE"""),"LIME: Less Is More for MLLM Evaluation")</f>
        <v>LIME: Less Is More for MLLM Evaluation</v>
      </c>
      <c r="C558" s="7" t="str">
        <f>IFERROR(__xludf.DUMMYFUNCTION("""COMPUTED_VALUE"""),"Multimodal Large Language Models (MLLMs) are measured on numerous benchmarks like image captioning, visual question answer, and reasoning. However, these benchmarks often include overly simple or uninformative samples, making it difficult to effectively d"&amp;"istinguish the performance of different MLLMs. Additionally, evaluating models across many benchmarks creates a significant computational burden. To address these issues, we propose LIME (Less Is More for MLLM Evaluation), a refined and efficient benchmar"&amp;"k curated using a semi-automated pipeline. This pipeline filters out uninformative samples and eliminates answer leakage by focusing on tasks that require image-based understanding. Our experiments show that LIME reduces the number of samples by 76% and e"&amp;"valuation time by 77%, while it can more effectively distinguish different models' abilities. Notably, we find that traditional automatic metrics like CIDEr are insufficient for evaluating MLLMs’ captioning performance, and excluding the caption task scor"&amp;"e yields a more accurate reflection of overall model performance. All code and data are available at https://anonymous.4open.science/r/LIME-49CD")</f>
        <v>Multimodal Large Language Models (MLLMs) are measured on numerous benchmarks like image captioning, visual question answer, and reasoning. However, these benchmarks often include overly simple or uninformative samples, making it difficult to effectively distinguish the performance of different MLLMs. Additionally, evaluating models across many benchmarks creates a significant computational burden. To address these issues, we propose LIME (Less Is More for MLLM Evaluation), a refined and efficient benchmark curated using a semi-automated pipeline. This pipeline filters out uninformative samples and eliminates answer leakage by focusing on tasks that require image-based understanding. Our experiments show that LIME reduces the number of samples by 76% and evaluation time by 77%, while it can more effectively distinguish different models' abilities. Notably, we find that traditional automatic metrics like CIDEr are insufficient for evaluating MLLMs’ captioning performance, and excluding the caption task score yields a more accurate reflection of overall model performance. All code and data are available at https://anonymous.4open.science/r/LIME-49CD</v>
      </c>
      <c r="D558" s="7" t="str">
        <f>IFERROR(__xludf.DUMMYFUNCTION("""COMPUTED_VALUE"""),"king zhu")</f>
        <v>king zhu</v>
      </c>
      <c r="E558" s="7" t="str">
        <f>IFERROR(__xludf.DUMMYFUNCTION("""COMPUTED_VALUE"""),"Yes")</f>
        <v>Yes</v>
      </c>
      <c r="F558" s="7" t="str">
        <f>IFERROR(__xludf.DUMMYFUNCTION("""COMPUTED_VALUE"""),"IP-Poster")</f>
        <v>IP-Poster</v>
      </c>
      <c r="G558" s="7" t="str">
        <f>IFERROR(__xludf.DUMMYFUNCTION("""COMPUTED_VALUE"""),"In-Person")</f>
        <v>In-Person</v>
      </c>
      <c r="H558" s="7" t="str">
        <f>IFERROR(__xludf.DUMMYFUNCTION("""COMPUTED_VALUE"""),"Hall 4/5")</f>
        <v>Hall 4/5</v>
      </c>
      <c r="I558" s="7" t="str">
        <f>IFERROR(__xludf.DUMMYFUNCTION("""COMPUTED_VALUE"""),"Session 5 :IP-Posters Find ")</f>
        <v>Session 5 :IP-Posters Find </v>
      </c>
      <c r="J558" s="7" t="str">
        <f>IFERROR(__xludf.DUMMYFUNCTION("""COMPUTED_VALUE"""),"Findings Posters - In-Person 1")</f>
        <v>Findings Posters - In-Person 1</v>
      </c>
      <c r="K558" s="7"/>
      <c r="L558" s="8">
        <f>IFERROR(__xludf.DUMMYFUNCTION("""COMPUTED_VALUE"""),45866.0)</f>
        <v>45866</v>
      </c>
      <c r="M558" s="7" t="str">
        <f>IFERROR(__xludf.DUMMYFUNCTION("""COMPUTED_VALUE"""),"18:00-19:30")</f>
        <v>18:00-19:30</v>
      </c>
      <c r="N558" s="7"/>
    </row>
    <row r="559">
      <c r="A559" s="7" t="str">
        <f>IFERROR(__xludf.DUMMYFUNCTION("""COMPUTED_VALUE"""),"1887-FIND")</f>
        <v>1887-FIND</v>
      </c>
      <c r="B559" s="7" t="str">
        <f>IFERROR(__xludf.DUMMYFUNCTION("""COMPUTED_VALUE"""),"Debate, Reflect, and Distill: Multi-Agent Feedback with Tree-Structured Preference Optimization for Efficient Language Model Enhancement")</f>
        <v>Debate, Reflect, and Distill: Multi-Agent Feedback with Tree-Structured Preference Optimization for Efficient Language Model Enhancement</v>
      </c>
      <c r="C559" s="7" t="str">
        <f>IFERROR(__xludf.DUMMYFUNCTION("""COMPUTED_VALUE"""),"Large Language Models (LLMs) continue to set new standards in knowledge-intensive and complex reasoning tasks, yet their high computational demands limit widespread adoption. While distilling large models into smaller ones offers a sustainable solution, c"&amp;"urrent techniques—such as static knowledge distillation, resource-intensive reinforcement learning from human feedback, or limited self-reflection—struggle to yield substantial and lasting performance gains. In this paper, we present a novel Debate and Re"&amp;"flect (D&amp;R) framework that orchestrates multi-turn debates between smaller models and stronger teacher models, eliciting actionable feedback (e.g., error analysis, corrective strategies) to guide student models. Further, we introduce Tree-structured Direc"&amp;"t Preference Optimization (T-DPO) to efficiently leverage these debate logs, organizing interactions into a hierarchical format for effective training. Empirical evaluations across diverse NLP benchmarks demonstrate that our approach significantly improve"&amp;"s smaller-model accuracy, robustness, and generalization, outperforming conventional baselines by a large margin.")</f>
        <v>Large Language Models (LLMs) continue to set new standards in knowledge-intensive and complex reasoning tasks, yet their high computational demands limit widespread adoption. While distilling large models into smaller ones offers a sustainable solution, current techniques—such as static knowledge distillation, resource-intensive reinforcement learning from human feedback, or limited self-reflection—struggle to yield substantial and lasting performance gains. In this paper, we present a novel Debate and Reflect (D&amp;R) framework that orchestrates multi-turn debates between smaller models and stronger teacher models, eliciting actionable feedback (e.g., error analysis, corrective strategies) to guide student models. Further, we introduce Tree-structured Direct Preference Optimization (T-DPO) to efficiently leverage these debate logs, organizing interactions into a hierarchical format for effective training. Empirical evaluations across diverse NLP benchmarks demonstrate that our approach significantly improves smaller-model accuracy, robustness, and generalization, outperforming conventional baselines by a large margin.</v>
      </c>
      <c r="D559" s="7" t="str">
        <f>IFERROR(__xludf.DUMMYFUNCTION("""COMPUTED_VALUE"""),"N/A")</f>
        <v>N/A</v>
      </c>
      <c r="E559" s="7" t="str">
        <f>IFERROR(__xludf.DUMMYFUNCTION("""COMPUTED_VALUE"""),"#N/A")</f>
        <v>#N/A</v>
      </c>
      <c r="F559" s="7" t="str">
        <f>IFERROR(__xludf.DUMMYFUNCTION("""COMPUTED_VALUE"""),"Not Pres. ")</f>
        <v>Not Pres. </v>
      </c>
      <c r="G559" s="7" t="str">
        <f>IFERROR(__xludf.DUMMYFUNCTION("""COMPUTED_VALUE"""),"NP Findings Not Presenting ")</f>
        <v>NP Findings Not Presenting </v>
      </c>
      <c r="H559" s="7"/>
      <c r="I559" s="7" t="str">
        <f>IFERROR(__xludf.DUMMYFUNCTION("""COMPUTED_VALUE"""),"NP-Find")</f>
        <v>NP-Find</v>
      </c>
      <c r="J559" s="7"/>
      <c r="K559" s="7"/>
      <c r="L559" s="8"/>
      <c r="M559" s="7"/>
      <c r="N559" s="7"/>
    </row>
    <row r="560">
      <c r="A560" s="7" t="str">
        <f>IFERROR(__xludf.DUMMYFUNCTION("""COMPUTED_VALUE"""),"1897-FIND")</f>
        <v>1897-FIND</v>
      </c>
      <c r="B560" s="7" t="str">
        <f>IFERROR(__xludf.DUMMYFUNCTION("""COMPUTED_VALUE"""),"The Code Review Comprehension Assessment for Language Models")</f>
        <v>The Code Review Comprehension Assessment for Language Models</v>
      </c>
      <c r="C560" s="7" t="str">
        <f>IFERROR(__xludf.DUMMYFUNCTION("""COMPUTED_VALUE"""),"State-of-the-art language models have demonstrated impressive code generation capabilities but struggle with real-world software engineering tasks like code reviewing, hindering practical use. Review comments are often implicit, ambiguous, and colloquial,"&amp;" requiring models to grasp both code and human intent. This challenge calls for evaluating language models' ability to bridge technical and conversational contexts. While existing work has employed the automated code refinement task to resolve these comme"&amp;"nts, current evaluation methods fall short, relying on metrics that provide limited insight into model failures and remain susceptible to training data contamination. To address these limitations, we introduce a novel evaluation benchmark CodeReviewQA tha"&amp;"t enables us to conduct fine-grained assessment of model capabilities and mitigate data contamination risks. In CodeReviewQA, we decompose the generation task in code refinement into three essential reasoning steps: change type recognition, change localis"&amp;"ation, and solution identification. Each step is reformulated as multiple-choice questions with varied difficulty levels, enabling precise assessment of model capabilities while mitigating data contamination risks. Our comprehensive evaluation spans 65 re"&amp;"cently released large language models on 900 manually curated, high-quality examples across nine programming languages. Our results show that CodeReviewQA is able to reveal model capability gaps in different reasoning tasks, and expose model weaknesses.")</f>
        <v>State-of-the-art language models have demonstrated impressive code generation capabilities but struggle with real-world software engineering tasks like code reviewing, hindering practical use. Review comments are often implicit, ambiguous, and colloquial, requiring models to grasp both code and human intent. This challenge calls for evaluating language models' ability to bridge technical and conversational contexts. While existing work has employed the automated code refinement task to resolve these comments, current evaluation methods fall short, relying on metrics that provide limited insight into model failures and remain susceptible to training data contamination. To address these limitations, we introduce a novel evaluation benchmark CodeReviewQA that enables us to conduct fine-grained assessment of model capabilities and mitigate data contamination risks. In CodeReviewQA, we decompose the generation task in code refinement into three essential reasoning steps: change type recognition, change localisation, and solution identification. Each step is reformulated as multiple-choice questions with varied difficulty levels, enabling precise assessment of model capabilities while mitigating data contamination risks. Our comprehensive evaluation spans 65 recently released large language models on 900 manually curated, high-quality examples across nine programming languages. Our results show that CodeReviewQA is able to reveal model capability gaps in different reasoning tasks, and expose model weaknesses.</v>
      </c>
      <c r="D560" s="7" t="str">
        <f>IFERROR(__xludf.DUMMYFUNCTION("""COMPUTED_VALUE"""),"Hong Yi Lin")</f>
        <v>Hong Yi Lin</v>
      </c>
      <c r="E560" s="7" t="str">
        <f>IFERROR(__xludf.DUMMYFUNCTION("""COMPUTED_VALUE"""),"#N/A")</f>
        <v>#N/A</v>
      </c>
      <c r="F560" s="7" t="str">
        <f>IFERROR(__xludf.DUMMYFUNCTION("""COMPUTED_VALUE"""),"Not Pres. ")</f>
        <v>Not Pres. </v>
      </c>
      <c r="G560" s="7" t="str">
        <f>IFERROR(__xludf.DUMMYFUNCTION("""COMPUTED_VALUE"""),"NP Findings Not Presenting ")</f>
        <v>NP Findings Not Presenting </v>
      </c>
      <c r="H560" s="7"/>
      <c r="I560" s="7" t="str">
        <f>IFERROR(__xludf.DUMMYFUNCTION("""COMPUTED_VALUE"""),"NP-Find")</f>
        <v>NP-Find</v>
      </c>
      <c r="J560" s="7"/>
      <c r="K560" s="7"/>
      <c r="L560" s="8"/>
      <c r="M560" s="7"/>
      <c r="N560" s="7"/>
    </row>
    <row r="561">
      <c r="A561" s="7" t="str">
        <f>IFERROR(__xludf.DUMMYFUNCTION("""COMPUTED_VALUE"""),"1903-FIND")</f>
        <v>1903-FIND</v>
      </c>
      <c r="B561" s="7" t="str">
        <f>IFERROR(__xludf.DUMMYFUNCTION("""COMPUTED_VALUE"""),"A Framework of Narrative Media Framing in Political Discourse")</f>
        <v>A Framework of Narrative Media Framing in Political Discourse</v>
      </c>
      <c r="C561" s="7" t="str">
        <f>IFERROR(__xludf.DUMMYFUNCTION("""COMPUTED_VALUE"""),"Narrative frames are a powerful way of conceptualizing and communicating complex, controversial ideas. However, while the impact of narrative framing in media has been widely acknowledged, few NLP studies have considered the aspects which make them an eff"&amp;"ective framing device. In this paper, we show how elements of narrativity in such frames link to fundamental aspects of framing, and present a framework which formalizes and operationalizes such aspects. We annotate and release a data set of news articles"&amp;" in the climate change domain, and perform extensive experiments with LLMs to test their ability to understand narrative frames and their components. Then, we apply the framework in an unsupervised way to discover components of narrative framing in an unr"&amp;"elated domain of COVID-19 crisis, and show how it can generalize across topics to arrive at insights consistent with theoretical narrative framing analysis.")</f>
        <v>Narrative frames are a powerful way of conceptualizing and communicating complex, controversial ideas. However, while the impact of narrative framing in media has been widely acknowledged, few NLP studies have considered the aspects which make them an effective framing device. In this paper, we show how elements of narrativity in such frames link to fundamental aspects of framing, and present a framework which formalizes and operationalizes such aspects. We annotate and release a data set of news articles in the climate change domain, and perform extensive experiments with LLMs to test their ability to understand narrative frames and their components. Then, we apply the framework in an unsupervised way to discover components of narrative framing in an unrelated domain of COVID-19 crisis, and show how it can generalize across topics to arrive at insights consistent with theoretical narrative framing analysis.</v>
      </c>
      <c r="D561" s="7" t="str">
        <f>IFERROR(__xludf.DUMMYFUNCTION("""COMPUTED_VALUE"""),"Yulia Otmakhova")</f>
        <v>Yulia Otmakhova</v>
      </c>
      <c r="E561" s="7" t="str">
        <f>IFERROR(__xludf.DUMMYFUNCTION("""COMPUTED_VALUE"""),"Yes")</f>
        <v>Yes</v>
      </c>
      <c r="F561" s="7" t="str">
        <f>IFERROR(__xludf.DUMMYFUNCTION("""COMPUTED_VALUE"""),"IP-Poster")</f>
        <v>IP-Poster</v>
      </c>
      <c r="G561" s="7" t="str">
        <f>IFERROR(__xludf.DUMMYFUNCTION("""COMPUTED_VALUE"""),"In-Person")</f>
        <v>In-Person</v>
      </c>
      <c r="H561" s="7" t="str">
        <f>IFERROR(__xludf.DUMMYFUNCTION("""COMPUTED_VALUE"""),"Hall 4/5")</f>
        <v>Hall 4/5</v>
      </c>
      <c r="I561" s="7" t="str">
        <f>IFERROR(__xludf.DUMMYFUNCTION("""COMPUTED_VALUE"""),"Session 5 :IP-Posters Find ")</f>
        <v>Session 5 :IP-Posters Find </v>
      </c>
      <c r="J561" s="7" t="str">
        <f>IFERROR(__xludf.DUMMYFUNCTION("""COMPUTED_VALUE"""),"Findings Posters - In-Person 1")</f>
        <v>Findings Posters - In-Person 1</v>
      </c>
      <c r="K561" s="7"/>
      <c r="L561" s="8">
        <f>IFERROR(__xludf.DUMMYFUNCTION("""COMPUTED_VALUE"""),45866.0)</f>
        <v>45866</v>
      </c>
      <c r="M561" s="7" t="str">
        <f>IFERROR(__xludf.DUMMYFUNCTION("""COMPUTED_VALUE"""),"18:00-19:30")</f>
        <v>18:00-19:30</v>
      </c>
      <c r="N561" s="7"/>
    </row>
    <row r="562">
      <c r="A562" s="7" t="str">
        <f>IFERROR(__xludf.DUMMYFUNCTION("""COMPUTED_VALUE"""),"1909-FIND")</f>
        <v>1909-FIND</v>
      </c>
      <c r="B562" s="7" t="str">
        <f>IFERROR(__xludf.DUMMYFUNCTION("""COMPUTED_VALUE"""),"MHALO: Evaluating MLLMs as Fine-grained Hallucination Detectors")</f>
        <v>MHALO: Evaluating MLLMs as Fine-grained Hallucination Detectors</v>
      </c>
      <c r="C562" s="7" t="str">
        <f>IFERROR(__xludf.DUMMYFUNCTION("""COMPUTED_VALUE"""),"Hallucination remains a critical challenge for multimodal large language models (MLLMs), undermining their reliability in real-world applications. While fine-grained hallucination detection (FHD) holds promise for enhancing high-quality vision-language da"&amp;"ta construction and model alignment through enriched feedback signals, automated solutions for this task have yet to be systematically explored. Inspired by the concept of ""MLLM as a Judge"", we introduce MHALO, the first comprehensive benchmark specific"&amp;"ally designed for evaluating MLLMs' capability in performing token-level FHD. Our benchmark encompasses 12 distinct hallucination types spanning both multimodal perception and reasoning domains. Through extensive evaluations of 9 selected MLLMs, we reveal"&amp;" substantial performance limitations, with the leading model achieving an average F1IoU of only 40.59%. To address this limitation, we develop HaloDet-4B, a specialized model trained on our curated training data, which significantly outperforms existing m"&amp;"odels. We hope the benchmark can provide valuable insights for future research on hallucination mitigation in MLLMs. The code and dataset will be publicly available.")</f>
        <v>Hallucination remains a critical challenge for multimodal large language models (MLLMs), undermining their reliability in real-world applications. While fine-grained hallucination detection (FHD) holds promise for enhancing high-quality vision-language data construction and model alignment through enriched feedback signals, automated solutions for this task have yet to be systematically explored. Inspired by the concept of "MLLM as a Judge", we introduce MHALO, the first comprehensive benchmark specifically designed for evaluating MLLMs' capability in performing token-level FHD. Our benchmark encompasses 12 distinct hallucination types spanning both multimodal perception and reasoning domains. Through extensive evaluations of 9 selected MLLMs, we reveal substantial performance limitations, with the leading model achieving an average F1IoU of only 40.59%. To address this limitation, we develop HaloDet-4B, a specialized model trained on our curated training data, which significantly outperforms existing models. We hope the benchmark can provide valuable insights for future research on hallucination mitigation in MLLMs. The code and dataset will be publicly available.</v>
      </c>
      <c r="D562" s="7" t="str">
        <f>IFERROR(__xludf.DUMMYFUNCTION("""COMPUTED_VALUE"""),"Yishuo Cai")</f>
        <v>Yishuo Cai</v>
      </c>
      <c r="E562" s="7" t="str">
        <f>IFERROR(__xludf.DUMMYFUNCTION("""COMPUTED_VALUE"""),"#N/A")</f>
        <v>#N/A</v>
      </c>
      <c r="F562" s="7" t="str">
        <f>IFERROR(__xludf.DUMMYFUNCTION("""COMPUTED_VALUE"""),"Not Pres. ")</f>
        <v>Not Pres. </v>
      </c>
      <c r="G562" s="7" t="str">
        <f>IFERROR(__xludf.DUMMYFUNCTION("""COMPUTED_VALUE"""),"NP Findings Not Presenting ")</f>
        <v>NP Findings Not Presenting </v>
      </c>
      <c r="H562" s="7"/>
      <c r="I562" s="7" t="str">
        <f>IFERROR(__xludf.DUMMYFUNCTION("""COMPUTED_VALUE"""),"NP-Find")</f>
        <v>NP-Find</v>
      </c>
      <c r="J562" s="7"/>
      <c r="K562" s="7"/>
      <c r="L562" s="8"/>
      <c r="M562" s="7"/>
      <c r="N562" s="7"/>
    </row>
    <row r="563">
      <c r="A563" s="7" t="str">
        <f>IFERROR(__xludf.DUMMYFUNCTION("""COMPUTED_VALUE"""),"1910-FIND")</f>
        <v>1910-FIND</v>
      </c>
      <c r="B563" s="7" t="str">
        <f>IFERROR(__xludf.DUMMYFUNCTION("""COMPUTED_VALUE"""),"Semantic Topology: a New Perspective for Communication Style Characterization")</f>
        <v>Semantic Topology: a New Perspective for Communication Style Characterization</v>
      </c>
      <c r="C563" s="7" t="str">
        <f>IFERROR(__xludf.DUMMYFUNCTION("""COMPUTED_VALUE"""),"We introduce semantic topology, a novel framework for discourse analysis that leverages Circuit Topology to quantify the semantic arrangement of sentences in a text. By mapping recurring themes as series, parallel, or cross relationships, we identify stat"&amp;"istical differences in communication patterns in long-form true and fake news. Our analysis of large-scale news datasets reveals that true news are more likely to exhibit more complex topological structures, with greater thematic interleaving and long-ran"&amp;"ge coherence, whereas fake news favor simpler, more linear narratives. These findings suggest that topological features capture stylistic distinctions beyond traditional linguistic cues, offering new insights for discourse modeling.")</f>
        <v>We introduce semantic topology, a novel framework for discourse analysis that leverages Circuit Topology to quantify the semantic arrangement of sentences in a text. By mapping recurring themes as series, parallel, or cross relationships, we identify statistical differences in communication patterns in long-form true and fake news. Our analysis of large-scale news datasets reveals that true news are more likely to exhibit more complex topological structures, with greater thematic interleaving and long-range coherence, whereas fake news favor simpler, more linear narratives. These findings suggest that topological features capture stylistic distinctions beyond traditional linguistic cues, offering new insights for discourse modeling.</v>
      </c>
      <c r="D563" s="7" t="str">
        <f>IFERROR(__xludf.DUMMYFUNCTION("""COMPUTED_VALUE"""),"Barbara Scalvini")</f>
        <v>Barbara Scalvini</v>
      </c>
      <c r="E563" s="7" t="str">
        <f>IFERROR(__xludf.DUMMYFUNCTION("""COMPUTED_VALUE"""),"Yes")</f>
        <v>Yes</v>
      </c>
      <c r="F563" s="7" t="str">
        <f>IFERROR(__xludf.DUMMYFUNCTION("""COMPUTED_VALUE"""),"IP-Poster")</f>
        <v>IP-Poster</v>
      </c>
      <c r="G563" s="7" t="str">
        <f>IFERROR(__xludf.DUMMYFUNCTION("""COMPUTED_VALUE"""),"In-Person")</f>
        <v>In-Person</v>
      </c>
      <c r="H563" s="7" t="str">
        <f>IFERROR(__xludf.DUMMYFUNCTION("""COMPUTED_VALUE"""),"Hall 4/5")</f>
        <v>Hall 4/5</v>
      </c>
      <c r="I563" s="7" t="str">
        <f>IFERROR(__xludf.DUMMYFUNCTION("""COMPUTED_VALUE"""),"Session 5 :IP-Posters Find ")</f>
        <v>Session 5 :IP-Posters Find </v>
      </c>
      <c r="J563" s="7" t="str">
        <f>IFERROR(__xludf.DUMMYFUNCTION("""COMPUTED_VALUE"""),"Findings Posters - In-Person 1")</f>
        <v>Findings Posters - In-Person 1</v>
      </c>
      <c r="K563" s="7"/>
      <c r="L563" s="8">
        <f>IFERROR(__xludf.DUMMYFUNCTION("""COMPUTED_VALUE"""),45866.0)</f>
        <v>45866</v>
      </c>
      <c r="M563" s="7" t="str">
        <f>IFERROR(__xludf.DUMMYFUNCTION("""COMPUTED_VALUE"""),"18:00-19:30")</f>
        <v>18:00-19:30</v>
      </c>
      <c r="N563" s="7"/>
    </row>
    <row r="564">
      <c r="A564" s="7" t="str">
        <f>IFERROR(__xludf.DUMMYFUNCTION("""COMPUTED_VALUE"""),"1914-FIND")</f>
        <v>1914-FIND</v>
      </c>
      <c r="B564" s="7" t="str">
        <f>IFERROR(__xludf.DUMMYFUNCTION("""COMPUTED_VALUE"""),"Decoding LLM Personality Measurement: Forced-Choice vs. Likert")</f>
        <v>Decoding LLM Personality Measurement: Forced-Choice vs. Likert</v>
      </c>
      <c r="C564" s="7" t="str">
        <f>IFERROR(__xludf.DUMMYFUNCTION("""COMPUTED_VALUE"""),"Recent research has focused on investigating the psychological characteristics of Large Language Models (LLMs), emphasizing the importance of comprehending their behavioral traits. Likert scale personality questionnaires have become the primary tool for a"&amp;"ssessing these characteristics in LLMs. However, such scales can be skewed by factors such as social desirability, distorting the assessment of true personality traits. To address this issue, we firstly incorporate the forced-choice test, a method known f"&amp;"or reducing response bias in human personality assessments, into the evaluation of LLM. Specifically, we evaluated six LLMs: Llama-3.1-8B, GLM-4-9B, GPT-3.5-turbo, GPT-4o, Claude-3.5-sonnet, and Deepseek-V3. We compared the Likert scale and forced-choice "&amp;"test results for LLMs' Big Five personality scores, as well as their reliability. In addition, we looked at how temperature parameter and language affected LLM personality scores. The results show that the forced-choice test better captures differences be"&amp;"tween LLMs across various personality dimensions and is less influenced by temperature parameters. Furthermore, we found both broad trends and specific variations in personality scores across models and languages.")</f>
        <v>Recent research has focused on investigating the psychological characteristics of Large Language Models (LLMs), emphasizing the importance of comprehending their behavioral traits. Likert scale personality questionnaires have become the primary tool for assessing these characteristics in LLMs. However, such scales can be skewed by factors such as social desirability, distorting the assessment of true personality traits. To address this issue, we firstly incorporate the forced-choice test, a method known for reducing response bias in human personality assessments, into the evaluation of LLM. Specifically, we evaluated six LLMs: Llama-3.1-8B, GLM-4-9B, GPT-3.5-turbo, GPT-4o, Claude-3.5-sonnet, and Deepseek-V3. We compared the Likert scale and forced-choice test results for LLMs' Big Five personality scores, as well as their reliability. In addition, we looked at how temperature parameter and language affected LLM personality scores. The results show that the forced-choice test better captures differences between LLMs across various personality dimensions and is less influenced by temperature parameters. Furthermore, we found both broad trends and specific variations in personality scores across models and languages.</v>
      </c>
      <c r="D564" s="7" t="str">
        <f>IFERROR(__xludf.DUMMYFUNCTION("""COMPUTED_VALUE"""),"no")</f>
        <v>no</v>
      </c>
      <c r="E564" s="7" t="str">
        <f>IFERROR(__xludf.DUMMYFUNCTION("""COMPUTED_VALUE"""),"#N/A")</f>
        <v>#N/A</v>
      </c>
      <c r="F564" s="7" t="str">
        <f>IFERROR(__xludf.DUMMYFUNCTION("""COMPUTED_VALUE"""),"Not Pres. ")</f>
        <v>Not Pres. </v>
      </c>
      <c r="G564" s="7" t="str">
        <f>IFERROR(__xludf.DUMMYFUNCTION("""COMPUTED_VALUE"""),"NP Findings Not Presenting ")</f>
        <v>NP Findings Not Presenting </v>
      </c>
      <c r="H564" s="7"/>
      <c r="I564" s="7" t="str">
        <f>IFERROR(__xludf.DUMMYFUNCTION("""COMPUTED_VALUE"""),"NP-Find")</f>
        <v>NP-Find</v>
      </c>
      <c r="J564" s="7"/>
      <c r="K564" s="7"/>
      <c r="L564" s="8"/>
      <c r="M564" s="7"/>
      <c r="N564" s="7"/>
    </row>
    <row r="565">
      <c r="A565" s="7" t="str">
        <f>IFERROR(__xludf.DUMMYFUNCTION("""COMPUTED_VALUE"""),"1923-FIND")</f>
        <v>1923-FIND</v>
      </c>
      <c r="B565" s="7" t="str">
        <f>IFERROR(__xludf.DUMMYFUNCTION("""COMPUTED_VALUE"""),"MultiMSD: A Corpus for Multilingual Medical Text Simplification from Online Medical References")</f>
        <v>MultiMSD: A Corpus for Multilingual Medical Text Simplification from Online Medical References</v>
      </c>
      <c r="C565" s="7" t="str">
        <f>IFERROR(__xludf.DUMMYFUNCTION("""COMPUTED_VALUE"""),"We release a parallel corpus for medical text simplification, which paraphrases medical terms into expressions easily understood by patients. Medical texts written by medical practitioners contain a lot of technical terms, and patients who are non-experts"&amp;" are often unable to use the information effectively. Therefore, there is a strong social demand for medical text simplification that paraphrases input sentences without using medical terms. However, this task has not been sufficiently studied in non-Engl"&amp;"ish languages. We therefore developed parallel corpora for medical text simplification in nine languages: German, English, Spanish, French, Italian, Japanese, Portuguese, Russian, and Chinese, each with 10,000 sentence pairs, by automatic sentence alignme"&amp;"nt to online medical references for professionals and consumers. We also propose a method for training text simplification models to actively paraphrase complex expressions, including medical terms. Experimental results show that the proposed method impro"&amp;"ves the performance of medical text simplification. In addition, we confirmed that training with a multilingual dataset is more effective than training with a monolingual dataset.")</f>
        <v>We release a parallel corpus for medical text simplification, which paraphrases medical terms into expressions easily understood by patients. Medical texts written by medical practitioners contain a lot of technical terms, and patients who are non-experts are often unable to use the information effectively. Therefore, there is a strong social demand for medical text simplification that paraphrases input sentences without using medical terms. However, this task has not been sufficiently studied in non-English languages. We therefore developed parallel corpora for medical text simplification in nine languages: German, English, Spanish, French, Italian, Japanese, Portuguese, Russian, and Chinese, each with 10,000 sentence pairs, by automatic sentence alignment to online medical references for professionals and consumers. We also propose a method for training text simplification models to actively paraphrase complex expressions, including medical terms. Experimental results show that the proposed method improves the performance of medical text simplification. In addition, we confirmed that training with a multilingual dataset is more effective than training with a monolingual dataset.</v>
      </c>
      <c r="D565" s="7" t="str">
        <f>IFERROR(__xludf.DUMMYFUNCTION("""COMPUTED_VALUE"""),"Koki Horiguchi")</f>
        <v>Koki Horiguchi</v>
      </c>
      <c r="E565" s="7" t="str">
        <f>IFERROR(__xludf.DUMMYFUNCTION("""COMPUTED_VALUE"""),"Yes")</f>
        <v>Yes</v>
      </c>
      <c r="F565" s="7" t="str">
        <f>IFERROR(__xludf.DUMMYFUNCTION("""COMPUTED_VALUE"""),"IP-Poster")</f>
        <v>IP-Poster</v>
      </c>
      <c r="G565" s="7" t="str">
        <f>IFERROR(__xludf.DUMMYFUNCTION("""COMPUTED_VALUE"""),"In-Person")</f>
        <v>In-Person</v>
      </c>
      <c r="H565" s="7" t="str">
        <f>IFERROR(__xludf.DUMMYFUNCTION("""COMPUTED_VALUE"""),"Hall 4/5")</f>
        <v>Hall 4/5</v>
      </c>
      <c r="I565" s="7" t="str">
        <f>IFERROR(__xludf.DUMMYFUNCTION("""COMPUTED_VALUE"""),"Session 5 :IP-Posters Find ")</f>
        <v>Session 5 :IP-Posters Find </v>
      </c>
      <c r="J565" s="7" t="str">
        <f>IFERROR(__xludf.DUMMYFUNCTION("""COMPUTED_VALUE"""),"Findings Posters - In-Person 1")</f>
        <v>Findings Posters - In-Person 1</v>
      </c>
      <c r="K565" s="7"/>
      <c r="L565" s="8">
        <f>IFERROR(__xludf.DUMMYFUNCTION("""COMPUTED_VALUE"""),45866.0)</f>
        <v>45866</v>
      </c>
      <c r="M565" s="7" t="str">
        <f>IFERROR(__xludf.DUMMYFUNCTION("""COMPUTED_VALUE"""),"18:00-19:30")</f>
        <v>18:00-19:30</v>
      </c>
      <c r="N565" s="7"/>
    </row>
    <row r="566">
      <c r="A566" s="7" t="str">
        <f>IFERROR(__xludf.DUMMYFUNCTION("""COMPUTED_VALUE"""),"1925-FIND")</f>
        <v>1925-FIND</v>
      </c>
      <c r="B566" s="7" t="str">
        <f>IFERROR(__xludf.DUMMYFUNCTION("""COMPUTED_VALUE"""),"BadWindtunnel: Defending Backdoor in High-noise Simulated Training with Confidence Variance")</f>
        <v>BadWindtunnel: Defending Backdoor in High-noise Simulated Training with Confidence Variance</v>
      </c>
      <c r="C566" s="7" t="str">
        <f>IFERROR(__xludf.DUMMYFUNCTION("""COMPUTED_VALUE"""),"Current backdoor attack defenders in Natural Language Processing (NLP) typically involve data reduction or model pruning, risking losing crucial information. To address this challenge, we introduce a novel backdoor defender, i.e., BadWindtunnel, in which "&amp;"we build a high-noise simulated training environment, similar to the wind tunnel, which allows precise control over training conditions to model the backdoor learning behavior without affecting the final model. We also use the confidence variance as a lea"&amp;"rning behavior quantification metric in the simulated training, which is based on the characteristics of backdoor-poisoned data (shorted in poisoned data): higher learnability and robustness. In addition, we propose a two-step strategy to further model po"&amp;"isoned data, including target label identification and poisoned data revealing. Extensive experiments demonstrate BadWindtunnel's superiority, with a 21% higher average reduction in attack success rate than the second-best defender.")</f>
        <v>Current backdoor attack defenders in Natural Language Processing (NLP) typically involve data reduction or model pruning, risking losing crucial information. To address this challenge, we introduce a novel backdoor defender, i.e., BadWindtunnel, in which we build a high-noise simulated training environment, similar to the wind tunnel, which allows precise control over training conditions to model the backdoor learning behavior without affecting the final model. We also use the confidence variance as a learning behavior quantification metric in the simulated training, which is based on the characteristics of backdoor-poisoned data (shorted in poisoned data): higher learnability and robustness. In addition, we propose a two-step strategy to further model poisoned data, including target label identification and poisoned data revealing. Extensive experiments demonstrate BadWindtunnel's superiority, with a 21% higher average reduction in attack success rate than the second-best defender.</v>
      </c>
      <c r="D566" s="7" t="str">
        <f>IFERROR(__xludf.DUMMYFUNCTION("""COMPUTED_VALUE"""),"Songlei Jian")</f>
        <v>Songlei Jian</v>
      </c>
      <c r="E566" s="7" t="str">
        <f>IFERROR(__xludf.DUMMYFUNCTION("""COMPUTED_VALUE"""),"Yes")</f>
        <v>Yes</v>
      </c>
      <c r="F566" s="7" t="str">
        <f>IFERROR(__xludf.DUMMYFUNCTION("""COMPUTED_VALUE"""),"IP-Poster")</f>
        <v>IP-Poster</v>
      </c>
      <c r="G566" s="7" t="str">
        <f>IFERROR(__xludf.DUMMYFUNCTION("""COMPUTED_VALUE"""),"In-Person")</f>
        <v>In-Person</v>
      </c>
      <c r="H566" s="7" t="str">
        <f>IFERROR(__xludf.DUMMYFUNCTION("""COMPUTED_VALUE"""),"Hall 4/5")</f>
        <v>Hall 4/5</v>
      </c>
      <c r="I566" s="7" t="str">
        <f>IFERROR(__xludf.DUMMYFUNCTION("""COMPUTED_VALUE"""),"Session 7: IP-Posters")</f>
        <v>Session 7: IP-Posters</v>
      </c>
      <c r="J566" s="7" t="str">
        <f>IFERROR(__xludf.DUMMYFUNCTION("""COMPUTED_VALUE"""),"Findings Posters - In-Person 2")</f>
        <v>Findings Posters - In-Person 2</v>
      </c>
      <c r="K566" s="7"/>
      <c r="L566" s="8">
        <f>IFERROR(__xludf.DUMMYFUNCTION("""COMPUTED_VALUE"""),45867.0)</f>
        <v>45867</v>
      </c>
      <c r="M566" s="7" t="str">
        <f>IFERROR(__xludf.DUMMYFUNCTION("""COMPUTED_VALUE"""),"10:30-12:00")</f>
        <v>10:30-12:00</v>
      </c>
      <c r="N566" s="7"/>
    </row>
    <row r="567">
      <c r="A567" s="7" t="str">
        <f>IFERROR(__xludf.DUMMYFUNCTION("""COMPUTED_VALUE"""),"1929-FIND")</f>
        <v>1929-FIND</v>
      </c>
      <c r="B567" s="7" t="str">
        <f>IFERROR(__xludf.DUMMYFUNCTION("""COMPUTED_VALUE"""),"Multimodal Machine Translation with Text-Image In-depth Questioning")</f>
        <v>Multimodal Machine Translation with Text-Image In-depth Questioning</v>
      </c>
      <c r="C567" s="7" t="str">
        <f>IFERROR(__xludf.DUMMYFUNCTION("""COMPUTED_VALUE"""),"Multimodal machine translation (MMT) integrates visual information to address ambiguity and contextual limitations in neural machine translation (NMT). Some empirical studies have revealed that many MMT models underutilize visual data during translation. "&amp;"They attempt to enhance cross-modal interactions to enable better exploitation of visual data. However, they only focus on simple interactions between nouns in text and corresponding entities in image, overlooking global semantic alignment, particularly f"&amp;"or prepositional phrases and verbs in text which are more likely to be translated incorrectly. To address this, we design a Text-Image In-depth Questioning method to deepen interactions and optimize translations. Furthermore, to mitigate errors arising fr"&amp;"om contextually irrelevant image noise, we propose a Consistency Constraint strategy to improve our approach’s robustness. Our approach achieves state-of-the-art results on three translation directions and four test sets of Muli30k, with +2.35 BLEU on the"&amp;" challenging MSCOCO benchmark, validating our method's effectiveness in utilizing visual data and capturing comprehensive textual semantics.")</f>
        <v>Multimodal machine translation (MMT) integrates visual information to address ambiguity and contextual limitations in neural machine translation (NMT). Some empirical studies have revealed that many MMT models underutilize visual data during translation. They attempt to enhance cross-modal interactions to enable better exploitation of visual data. However, they only focus on simple interactions between nouns in text and corresponding entities in image, overlooking global semantic alignment, particularly for prepositional phrases and verbs in text which are more likely to be translated incorrectly. To address this, we design a Text-Image In-depth Questioning method to deepen interactions and optimize translations. Furthermore, to mitigate errors arising from contextually irrelevant image noise, we propose a Consistency Constraint strategy to improve our approach’s robustness. Our approach achieves state-of-the-art results on three translation directions and four test sets of Muli30k, with +2.35 BLEU on the challenging MSCOCO benchmark, validating our method's effectiveness in utilizing visual data and capturing comprehensive textual semantics.</v>
      </c>
      <c r="D567" s="7" t="str">
        <f>IFERROR(__xludf.DUMMYFUNCTION("""COMPUTED_VALUE"""),"Yue Gao")</f>
        <v>Yue Gao</v>
      </c>
      <c r="E567" s="7" t="str">
        <f>IFERROR(__xludf.DUMMYFUNCTION("""COMPUTED_VALUE"""),"#N/A")</f>
        <v>#N/A</v>
      </c>
      <c r="F567" s="7" t="str">
        <f>IFERROR(__xludf.DUMMYFUNCTION("""COMPUTED_VALUE"""),"Not Pres. ")</f>
        <v>Not Pres. </v>
      </c>
      <c r="G567" s="7" t="str">
        <f>IFERROR(__xludf.DUMMYFUNCTION("""COMPUTED_VALUE"""),"NP Findings Not Presenting ")</f>
        <v>NP Findings Not Presenting </v>
      </c>
      <c r="H567" s="7"/>
      <c r="I567" s="7" t="str">
        <f>IFERROR(__xludf.DUMMYFUNCTION("""COMPUTED_VALUE"""),"NP-Find")</f>
        <v>NP-Find</v>
      </c>
      <c r="J567" s="7"/>
      <c r="K567" s="7"/>
      <c r="L567" s="8"/>
      <c r="M567" s="7"/>
      <c r="N567" s="7"/>
    </row>
    <row r="568">
      <c r="A568" s="7" t="str">
        <f>IFERROR(__xludf.DUMMYFUNCTION("""COMPUTED_VALUE"""),"1940-FIND")</f>
        <v>1940-FIND</v>
      </c>
      <c r="B568" s="7" t="str">
        <f>IFERROR(__xludf.DUMMYFUNCTION("""COMPUTED_VALUE"""),"ReKG-MCTS: Reinforcing LLM Reasoning on Knowledge Graphs via Training-Free Monte Carlo Tree Search")</f>
        <v>ReKG-MCTS: Reinforcing LLM Reasoning on Knowledge Graphs via Training-Free Monte Carlo Tree Search</v>
      </c>
      <c r="C568" s="7" t="str">
        <f>IFERROR(__xludf.DUMMYFUNCTION("""COMPUTED_VALUE"""),"Recent advancements in combining knowledge graphs (KGs) with large language models (LLMs) have demonstrated promising potential in complex KG reasoning tasks, yet existing approaches face limitations in path exploration strategies or excessive computation"&amp;"al overhead. We propose ReKG-MCTS, a novel training-free framework that synergizes Monte Carlo Tree Search (MCTS) with LLM capabilities to enable dynamic reasoning over KGs. The framework conceptualizes KG reasoning as a decision-making process, where MCT"&amp;"S strategically explores paths over KG while LLMs provide semantic guidance for reasoning paths. The framework consists of four phases: (1) UCB-based node selection that balances exploration-exploitation on KG, (2) path expansion with KG structural constr"&amp;"aints, (3) LLM-guided MC rollouts for simulation, and (4) value backpropagation. Experimental results on WebQSP and CWQ demonstrate that ReKG-MCTS outperforms existing training-free methods and achieves competitive performance compared to fine-tuned basel"&amp;"ines. These findings suggest a new paradigm for leveraging language models in KG reasoning tasks. The code is available at https://github.com/ShawnKS/rekgmcts.")</f>
        <v>Recent advancements in combining knowledge graphs (KGs) with large language models (LLMs) have demonstrated promising potential in complex KG reasoning tasks, yet existing approaches face limitations in path exploration strategies or excessive computational overhead. We propose ReKG-MCTS, a novel training-free framework that synergizes Monte Carlo Tree Search (MCTS) with LLM capabilities to enable dynamic reasoning over KGs. The framework conceptualizes KG reasoning as a decision-making process, where MCTS strategically explores paths over KG while LLMs provide semantic guidance for reasoning paths. The framework consists of four phases: (1) UCB-based node selection that balances exploration-exploitation on KG, (2) path expansion with KG structural constraints, (3) LLM-guided MC rollouts for simulation, and (4) value backpropagation. Experimental results on WebQSP and CWQ demonstrate that ReKG-MCTS outperforms existing training-free methods and achieves competitive performance compared to fine-tuned baselines. These findings suggest a new paradigm for leveraging language models in KG reasoning tasks. The code is available at https://github.com/ShawnKS/rekgmcts.</v>
      </c>
      <c r="D568" s="7" t="str">
        <f>IFERROR(__xludf.DUMMYFUNCTION("""COMPUTED_VALUE"""),"Do not plan to present (Findings).")</f>
        <v>Do not plan to present (Findings).</v>
      </c>
      <c r="E568" s="7" t="str">
        <f>IFERROR(__xludf.DUMMYFUNCTION("""COMPUTED_VALUE"""),"#N/A")</f>
        <v>#N/A</v>
      </c>
      <c r="F568" s="7" t="str">
        <f>IFERROR(__xludf.DUMMYFUNCTION("""COMPUTED_VALUE"""),"Not Pres. ")</f>
        <v>Not Pres. </v>
      </c>
      <c r="G568" s="7" t="str">
        <f>IFERROR(__xludf.DUMMYFUNCTION("""COMPUTED_VALUE"""),"NP Findings Not Presenting ")</f>
        <v>NP Findings Not Presenting </v>
      </c>
      <c r="H568" s="7"/>
      <c r="I568" s="7" t="str">
        <f>IFERROR(__xludf.DUMMYFUNCTION("""COMPUTED_VALUE"""),"NP-Find")</f>
        <v>NP-Find</v>
      </c>
      <c r="J568" s="7"/>
      <c r="K568" s="7"/>
      <c r="L568" s="8"/>
      <c r="M568" s="7"/>
      <c r="N568" s="7"/>
    </row>
    <row r="569">
      <c r="A569" s="7" t="str">
        <f>IFERROR(__xludf.DUMMYFUNCTION("""COMPUTED_VALUE"""),"1942-FIND")</f>
        <v>1942-FIND</v>
      </c>
      <c r="B569" s="7" t="str">
        <f>IFERROR(__xludf.DUMMYFUNCTION("""COMPUTED_VALUE"""),"HTML: Hierarchical Topology Multi-task Learning for Semantic Parsing in Knowledge Base Question Answering")</f>
        <v>HTML: Hierarchical Topology Multi-task Learning for Semantic Parsing in Knowledge Base Question Answering</v>
      </c>
      <c r="C569" s="7" t="str">
        <f>IFERROR(__xludf.DUMMYFUNCTION("""COMPUTED_VALUE"""),"Knowledge base question answering (KBQA) aims to answer natural language questions by reasoning over structured knowledge bases. Existing approaches often struggle with the complexity of mapping questions to precise logical forms, particularly when dealin"&amp;"g with diverse entities and relations. In this paper, we propose Hierarchical Topology Multi-task Learning (HTML), a novel framework that leverages a hierarchical multi-task learning paradigm to enhance the performance of logical form generation. Our fram"&amp;"ework consists of a main task: generating logical forms from questions, and three auxiliary tasks: entity prediction from the input question, relation prediction for the given entities, and logical form generation based on the given entities and relations"&amp;". Through joint instruction-tuning, HTML allows mutual guidance and knowledge transfer among the hierarchical tasks, capturing the subtle dependencies between entities, relations, and logical forms. Extensive experiments on public benchmarks show that HTM"&amp;"L markedly outperforms both supervised fine-tuning methods and training-free ones based on powerful large language models (e.g., GPT-4), demonstrating its superiority in question understanding and structural knowledge reasoning.")</f>
        <v>Knowledge base question answering (KBQA) aims to answer natural language questions by reasoning over structured knowledge bases. Existing approaches often struggle with the complexity of mapping questions to precise logical forms, particularly when dealing with diverse entities and relations. In this paper, we propose Hierarchical Topology Multi-task Learning (HTML), a novel framework that leverages a hierarchical multi-task learning paradigm to enhance the performance of logical form generation. Our framework consists of a main task: generating logical forms from questions, and three auxiliary tasks: entity prediction from the input question, relation prediction for the given entities, and logical form generation based on the given entities and relations. Through joint instruction-tuning, HTML allows mutual guidance and knowledge transfer among the hierarchical tasks, capturing the subtle dependencies between entities, relations, and logical forms. Extensive experiments on public benchmarks show that HTML markedly outperforms both supervised fine-tuning methods and training-free ones based on powerful large language models (e.g., GPT-4), demonstrating its superiority in question understanding and structural knowledge reasoning.</v>
      </c>
      <c r="D569" s="7" t="str">
        <f>IFERROR(__xludf.DUMMYFUNCTION("""COMPUTED_VALUE"""),"Bowen Xing")</f>
        <v>Bowen Xing</v>
      </c>
      <c r="E569" s="7" t="str">
        <f>IFERROR(__xludf.DUMMYFUNCTION("""COMPUTED_VALUE"""),"Yes")</f>
        <v>Yes</v>
      </c>
      <c r="F569" s="7" t="str">
        <f>IFERROR(__xludf.DUMMYFUNCTION("""COMPUTED_VALUE"""),"IP-Poster")</f>
        <v>IP-Poster</v>
      </c>
      <c r="G569" s="7" t="str">
        <f>IFERROR(__xludf.DUMMYFUNCTION("""COMPUTED_VALUE"""),"In-Person")</f>
        <v>In-Person</v>
      </c>
      <c r="H569" s="7" t="str">
        <f>IFERROR(__xludf.DUMMYFUNCTION("""COMPUTED_VALUE"""),"Hall 4/5")</f>
        <v>Hall 4/5</v>
      </c>
      <c r="I569" s="7" t="str">
        <f>IFERROR(__xludf.DUMMYFUNCTION("""COMPUTED_VALUE"""),"Session 5 :IP-Posters Find ")</f>
        <v>Session 5 :IP-Posters Find </v>
      </c>
      <c r="J569" s="7" t="str">
        <f>IFERROR(__xludf.DUMMYFUNCTION("""COMPUTED_VALUE"""),"Findings Posters - In-Person 1")</f>
        <v>Findings Posters - In-Person 1</v>
      </c>
      <c r="K569" s="7"/>
      <c r="L569" s="8">
        <f>IFERROR(__xludf.DUMMYFUNCTION("""COMPUTED_VALUE"""),45866.0)</f>
        <v>45866</v>
      </c>
      <c r="M569" s="7" t="str">
        <f>IFERROR(__xludf.DUMMYFUNCTION("""COMPUTED_VALUE"""),"18:00-19:30")</f>
        <v>18:00-19:30</v>
      </c>
      <c r="N569" s="7"/>
    </row>
    <row r="570">
      <c r="A570" s="7" t="str">
        <f>IFERROR(__xludf.DUMMYFUNCTION("""COMPUTED_VALUE"""),"1943-FIND")</f>
        <v>1943-FIND</v>
      </c>
      <c r="B570" s="7" t="str">
        <f>IFERROR(__xludf.DUMMYFUNCTION("""COMPUTED_VALUE"""),"StructFlowBench: A Structured Flow Benchmark for Multi-turn Instruction Following")</f>
        <v>StructFlowBench: A Structured Flow Benchmark for Multi-turn Instruction Following</v>
      </c>
      <c r="C570" s="7" t="str">
        <f>IFERROR(__xludf.DUMMYFUNCTION("""COMPUTED_VALUE"""),"Multi-turn instruction following capability constitutes a core competency of large language models (LLMs) in real-world applications. Existing evaluation benchmarks predominantly focus on fine-grained constraint satisfaction and domain-specific capability"&amp;" assessment, yet overlook the crucial structural dependency between dialogue turns that distinguishes multi-turn from single-turn interactions. This structural dependency not only reflects user intent but also establishes a second dimension for instructio"&amp;"n following evaluation beyond constraint satisfaction. To address this gap, we propose StructFlowBench, a multi-turn instruction following benchmark with structural flow modeling. The benchmark innovatively defines a structural flow framework comprising s"&amp;"ix fundamental inter-turn relationships, which not only introduces novel structural constraints for model evaluation but also serves as generation parameters for creating customized dialogue flows tailored to specific scenarios. Adopting established LLM-b"&amp;"ased automatic evaluation methodologies, we conduct systematic evaluations of 13 leading open-source and closed-source LLMs. Experimental results reveal significant deficiencies in current models' comprehension of multi-turn dialogue structures.")</f>
        <v>Multi-turn instruction following capability constitutes a core competency of large language models (LLMs) in real-world applications. Existing evaluation benchmarks predominantly focus on fine-grained constraint satisfaction and domain-specific capability assessment, yet overlook the crucial structural dependency between dialogue turns that distinguishes multi-turn from single-turn interactions. This structural dependency not only reflects user intent but also establishes a second dimension for instruction following evaluation beyond constraint satisfaction. To address this gap, we propose StructFlowBench, a multi-turn instruction following benchmark with structural flow modeling. The benchmark innovatively defines a structural flow framework comprising six fundamental inter-turn relationships, which not only introduces novel structural constraints for model evaluation but also serves as generation parameters for creating customized dialogue flows tailored to specific scenarios. Adopting established LLM-based automatic evaluation methodologies, we conduct systematic evaluations of 13 leading open-source and closed-source LLMs. Experimental results reveal significant deficiencies in current models' comprehension of multi-turn dialogue structures.</v>
      </c>
      <c r="D570" s="7" t="str">
        <f>IFERROR(__xludf.DUMMYFUNCTION("""COMPUTED_VALUE"""),"Jinnan Li")</f>
        <v>Jinnan Li</v>
      </c>
      <c r="E570" s="7" t="str">
        <f>IFERROR(__xludf.DUMMYFUNCTION("""COMPUTED_VALUE"""),"Yes")</f>
        <v>Yes</v>
      </c>
      <c r="F570" s="7" t="str">
        <f>IFERROR(__xludf.DUMMYFUNCTION("""COMPUTED_VALUE"""),"IP-Poster")</f>
        <v>IP-Poster</v>
      </c>
      <c r="G570" s="7" t="str">
        <f>IFERROR(__xludf.DUMMYFUNCTION("""COMPUTED_VALUE"""),"In-Person")</f>
        <v>In-Person</v>
      </c>
      <c r="H570" s="7" t="str">
        <f>IFERROR(__xludf.DUMMYFUNCTION("""COMPUTED_VALUE"""),"Hall 4/5")</f>
        <v>Hall 4/5</v>
      </c>
      <c r="I570" s="7" t="str">
        <f>IFERROR(__xludf.DUMMYFUNCTION("""COMPUTED_VALUE"""),"Session 10: IP-Posters")</f>
        <v>Session 10: IP-Posters</v>
      </c>
      <c r="J570" s="7" t="str">
        <f>IFERROR(__xludf.DUMMYFUNCTION("""COMPUTED_VALUE"""),"Findings Posters - In-Person 3")</f>
        <v>Findings Posters - In-Person 3</v>
      </c>
      <c r="K570" s="7"/>
      <c r="L570" s="8">
        <f>IFERROR(__xludf.DUMMYFUNCTION("""COMPUTED_VALUE"""),45867.0)</f>
        <v>45867</v>
      </c>
      <c r="M570" s="7" t="str">
        <f>IFERROR(__xludf.DUMMYFUNCTION("""COMPUTED_VALUE"""),"16:00-17:30")</f>
        <v>16:00-17:30</v>
      </c>
      <c r="N570" s="7"/>
    </row>
    <row r="571">
      <c r="A571" s="7" t="str">
        <f>IFERROR(__xludf.DUMMYFUNCTION("""COMPUTED_VALUE"""),"1946-FIND")</f>
        <v>1946-FIND</v>
      </c>
      <c r="B571" s="7" t="str">
        <f>IFERROR(__xludf.DUMMYFUNCTION("""COMPUTED_VALUE"""),"CMIE: Combining MLLM Insights with External Evidence for Explainable Out-of-Context Misinformation Detection")</f>
        <v>CMIE: Combining MLLM Insights with External Evidence for Explainable Out-of-Context Misinformation Detection</v>
      </c>
      <c r="C571" s="7" t="str">
        <f>IFERROR(__xludf.DUMMYFUNCTION("""COMPUTED_VALUE"""),"Multimodal large language model (MLLM) have demonstrated advanced performance in visual reasoning and text generation. Although previous studies have explored the application of MLLM for detecting out-of-context (OOC) misinformation, our empirical analysi"&amp;"s reveals two persisting challenges of this paradigm. Evaluating the representative GPT-4o model on direct reasoning and evidence enhanced reasoning, results indicate that MLLM struggle to capture the deeper relationships between images and text when dete"&amp;"cting OOC misinformation, and that noise within the evidence further impairs detection accuracy. To address these challenges, we propose a novel framework, CMIE, which incorporates a Coexistence Relationship Generation (CRG) strategy and an Association Sc"&amp;"oring (AS) mechanism. This framework identifies the underlying coexistence relationships between images and text, selectively using relevant evidence to enhance misinformation detection. Experimental results demonstrate that our approach outperforms exist"&amp;"ing methods.")</f>
        <v>Multimodal large language model (MLLM) have demonstrated advanced performance in visual reasoning and text generation. Although previous studies have explored the application of MLLM for detecting out-of-context (OOC) misinformation, our empirical analysis reveals two persisting challenges of this paradigm. Evaluating the representative GPT-4o model on direct reasoning and evidence enhanced reasoning, results indicate that MLLM struggle to capture the deeper relationships between images and text when detecting OOC misinformation, and that noise within the evidence further impairs detection accuracy. To address these challenges, we propose a novel framework, CMIE, which incorporates a Coexistence Relationship Generation (CRG) strategy and an Association Scoring (AS) mechanism. This framework identifies the underlying coexistence relationships between images and text, selectively using relevant evidence to enhance misinformation detection. Experimental results demonstrate that our approach outperforms existing methods.</v>
      </c>
      <c r="D571" s="7" t="str">
        <f>IFERROR(__xludf.DUMMYFUNCTION("""COMPUTED_VALUE"""),"Fanxiao Li")</f>
        <v>Fanxiao Li</v>
      </c>
      <c r="E571" s="7" t="str">
        <f>IFERROR(__xludf.DUMMYFUNCTION("""COMPUTED_VALUE"""),"#N/A")</f>
        <v>#N/A</v>
      </c>
      <c r="F571" s="7" t="str">
        <f>IFERROR(__xludf.DUMMYFUNCTION("""COMPUTED_VALUE"""),"Not Pres. ")</f>
        <v>Not Pres. </v>
      </c>
      <c r="G571" s="7" t="str">
        <f>IFERROR(__xludf.DUMMYFUNCTION("""COMPUTED_VALUE"""),"NP Findings Not Presenting ")</f>
        <v>NP Findings Not Presenting </v>
      </c>
      <c r="H571" s="7"/>
      <c r="I571" s="7" t="str">
        <f>IFERROR(__xludf.DUMMYFUNCTION("""COMPUTED_VALUE"""),"NP-Find")</f>
        <v>NP-Find</v>
      </c>
      <c r="J571" s="7"/>
      <c r="K571" s="7"/>
      <c r="L571" s="8"/>
      <c r="M571" s="7"/>
      <c r="N571" s="7"/>
    </row>
    <row r="572">
      <c r="A572" s="7" t="str">
        <f>IFERROR(__xludf.DUMMYFUNCTION("""COMPUTED_VALUE"""),"1957-FIND")</f>
        <v>1957-FIND</v>
      </c>
      <c r="B572" s="7" t="str">
        <f>IFERROR(__xludf.DUMMYFUNCTION("""COMPUTED_VALUE"""),"Towards Understanding Etiquettical Bias in LLMs")</f>
        <v>Towards Understanding Etiquettical Bias in LLMs</v>
      </c>
      <c r="C572" s="7" t="str">
        <f>IFERROR(__xludf.DUMMYFUNCTION("""COMPUTED_VALUE"""),"In recent years, researchers have started analyzing the cultural sensitivity of LLMs. In this respect, Etiquettes have been an active area of research. Etiquettes are region-specific and are an essential part of the culture of a region; hence, it is imper"&amp;"ative to make LLMs sensitive to etiquettes. However, there needs to be more resources in evaluating LLMs for their understanding and bias with regard to etiquettes. In this resource paper, we introduce EtiCor++, a corpus of etiquettes worldwide. We introd"&amp;"uce different tasks for evaluating LLMs for knowledge about etiquettes across various regions. Further, we introduce various metrics for measuring bias in LLMs. Extensive experimentation with LLMs shows inherent bias towards certain regions.")</f>
        <v>In recent years, researchers have started analyzing the cultural sensitivity of LLMs. In this respect, Etiquettes have been an active area of research. Etiquettes are region-specific and are an essential part of the culture of a region; hence, it is imperative to make LLMs sensitive to etiquettes. However, there needs to be more resources in evaluating LLMs for their understanding and bias with regard to etiquettes. In this resource paper, we introduce EtiCor++, a corpus of etiquettes worldwide. We introduce different tasks for evaluating LLMs for knowledge about etiquettes across various regions. Further, we introduce various metrics for measuring bias in LLMs. Extensive experimentation with LLMs shows inherent bias towards certain regions.</v>
      </c>
      <c r="D572" s="7" t="str">
        <f>IFERROR(__xludf.DUMMYFUNCTION("""COMPUTED_VALUE"""),"Ashutosh Modi")</f>
        <v>Ashutosh Modi</v>
      </c>
      <c r="E572" s="7" t="str">
        <f>IFERROR(__xludf.DUMMYFUNCTION("""COMPUTED_VALUE"""),"Yes")</f>
        <v>Yes</v>
      </c>
      <c r="F572" s="7" t="str">
        <f>IFERROR(__xludf.DUMMYFUNCTION("""COMPUTED_VALUE"""),"IP-Poster")</f>
        <v>IP-Poster</v>
      </c>
      <c r="G572" s="7" t="str">
        <f>IFERROR(__xludf.DUMMYFUNCTION("""COMPUTED_VALUE"""),"In-Person")</f>
        <v>In-Person</v>
      </c>
      <c r="H572" s="7" t="str">
        <f>IFERROR(__xludf.DUMMYFUNCTION("""COMPUTED_VALUE"""),"Hall 4/5")</f>
        <v>Hall 4/5</v>
      </c>
      <c r="I572" s="7" t="str">
        <f>IFERROR(__xludf.DUMMYFUNCTION("""COMPUTED_VALUE"""),"Session 12: IP-Posters")</f>
        <v>Session 12: IP-Posters</v>
      </c>
      <c r="J572" s="7" t="str">
        <f>IFERROR(__xludf.DUMMYFUNCTION("""COMPUTED_VALUE"""),"Findings Posters - In-Person 4")</f>
        <v>Findings Posters - In-Person 4</v>
      </c>
      <c r="K572" s="7"/>
      <c r="L572" s="8">
        <f>IFERROR(__xludf.DUMMYFUNCTION("""COMPUTED_VALUE"""),45868.0)</f>
        <v>45868</v>
      </c>
      <c r="M572" s="7" t="str">
        <f>IFERROR(__xludf.DUMMYFUNCTION("""COMPUTED_VALUE"""),"11:00-12:30")</f>
        <v>11:00-12:30</v>
      </c>
      <c r="N572" s="7"/>
    </row>
    <row r="573">
      <c r="A573" s="7" t="str">
        <f>IFERROR(__xludf.DUMMYFUNCTION("""COMPUTED_VALUE"""),"1958-FIND")</f>
        <v>1958-FIND</v>
      </c>
      <c r="B573" s="7" t="str">
        <f>IFERROR(__xludf.DUMMYFUNCTION("""COMPUTED_VALUE"""),"FinRipple: Aligning Large Language Models with Financial Market for Event Ripple Effect Awareness")</f>
        <v>FinRipple: Aligning Large Language Models with Financial Market for Event Ripple Effect Awareness</v>
      </c>
      <c r="C573" s="7" t="str">
        <f>IFERROR(__xludf.DUMMYFUNCTION("""COMPUTED_VALUE"""),"Financial markets exhibit complex dynamics where localized events trigger ripple effects across entities. Previous event studies, constrained by static single-companies analyses and simplistic assumptions, fail to capture these ripple effects. While large"&amp;" language models (LLMs) offer emergent reasoning capabilities, their direct application falters due to structural market unawareness and limited capacity to analyze ripple effects. We propose FinRipple, an elegant framework that empowers LLMs with the abi"&amp;"lity to analyze ripple effects through financial theory-guided large-scale reinforcement learning. We begin by relaxing the assumptions of previous methods, incorporating a time-varying knowledge graph to accurately represent market structure. By seamless"&amp;"ly integrating classical asset pricing theory, we align the LLM with the market, enabling it to predict ripple effects. To the best of our knowledge, we are the first to provide a standardized definition of ripple effect prediction, a task that is extreme"&amp;"ly important yet unexplored in the financial domain. Extensive experiments demonstrate that FinRipple provides a promising solution to this task.")</f>
        <v>Financial markets exhibit complex dynamics where localized events trigger ripple effects across entities. Previous event studies, constrained by static single-companies analyses and simplistic assumptions, fail to capture these ripple effects. While large language models (LLMs) offer emergent reasoning capabilities, their direct application falters due to structural market unawareness and limited capacity to analyze ripple effects. We propose FinRipple, an elegant framework that empowers LLMs with the ability to analyze ripple effects through financial theory-guided large-scale reinforcement learning. We begin by relaxing the assumptions of previous methods, incorporating a time-varying knowledge graph to accurately represent market structure. By seamlessly integrating classical asset pricing theory, we align the LLM with the market, enabling it to predict ripple effects. To the best of our knowledge, we are the first to provide a standardized definition of ripple effect prediction, a task that is extremely important yet unexplored in the financial domain. Extensive experiments demonstrate that FinRipple provides a promising solution to this task.</v>
      </c>
      <c r="D573" s="7" t="str">
        <f>IFERROR(__xludf.DUMMYFUNCTION("""COMPUTED_VALUE"""),"Yuanjian Xu")</f>
        <v>Yuanjian Xu</v>
      </c>
      <c r="E573" s="7" t="str">
        <f>IFERROR(__xludf.DUMMYFUNCTION("""COMPUTED_VALUE"""),"Yes")</f>
        <v>Yes</v>
      </c>
      <c r="F573" s="7" t="str">
        <f>IFERROR(__xludf.DUMMYFUNCTION("""COMPUTED_VALUE"""),"IP-Poster")</f>
        <v>IP-Poster</v>
      </c>
      <c r="G573" s="7" t="str">
        <f>IFERROR(__xludf.DUMMYFUNCTION("""COMPUTED_VALUE"""),"In-Person")</f>
        <v>In-Person</v>
      </c>
      <c r="H573" s="7" t="str">
        <f>IFERROR(__xludf.DUMMYFUNCTION("""COMPUTED_VALUE"""),"Hall 4/5")</f>
        <v>Hall 4/5</v>
      </c>
      <c r="I573" s="7" t="str">
        <f>IFERROR(__xludf.DUMMYFUNCTION("""COMPUTED_VALUE"""),"Session 5 :IP-Posters Find ")</f>
        <v>Session 5 :IP-Posters Find </v>
      </c>
      <c r="J573" s="7" t="str">
        <f>IFERROR(__xludf.DUMMYFUNCTION("""COMPUTED_VALUE"""),"Findings Posters - In-Person 1")</f>
        <v>Findings Posters - In-Person 1</v>
      </c>
      <c r="K573" s="7"/>
      <c r="L573" s="8">
        <f>IFERROR(__xludf.DUMMYFUNCTION("""COMPUTED_VALUE"""),45866.0)</f>
        <v>45866</v>
      </c>
      <c r="M573" s="7" t="str">
        <f>IFERROR(__xludf.DUMMYFUNCTION("""COMPUTED_VALUE"""),"18:00-19:30")</f>
        <v>18:00-19:30</v>
      </c>
      <c r="N573" s="7"/>
    </row>
    <row r="574">
      <c r="A574" s="7" t="str">
        <f>IFERROR(__xludf.DUMMYFUNCTION("""COMPUTED_VALUE"""),"1959-FIND")</f>
        <v>1959-FIND</v>
      </c>
      <c r="B574" s="7" t="str">
        <f>IFERROR(__xludf.DUMMYFUNCTION("""COMPUTED_VALUE"""),"Beyond Decoder-only: Large Language Models Can be Good Encoders for Machine Translation")</f>
        <v>Beyond Decoder-only: Large Language Models Can be Good Encoders for Machine Translation</v>
      </c>
      <c r="C574" s="7" t="str">
        <f>IFERROR(__xludf.DUMMYFUNCTION("""COMPUTED_VALUE"""),"The field of neural machine translation (NMT) has changed with the advent of large language models (LLMs). Much of the recent emphasis in natural language processing (NLP) has been on modeling machine translation and many other problems using a single pre"&amp;"-trained Transformer decoder, while encoder-decoder architectures, which were the standard in earlier NMT models, have received relatively less attention. In this paper, we explore translation models that are universal, efficient, and easy to optimize, by"&amp;" marrying the world of LLMs with the world of NMT. We apply LLMs to NMT encoding and leave the NMT decoder unchanged. We also develop methods for adapting LLMs to work better with the NMT decoder. Furthermore, we construct a new dataset involving multiple"&amp;" tasks to assess how well the machine translation system generalizes across various tasks. Evaluations on the WMT and our datasets show that results using our method match or surpass a range of baselines in terms of translation quality, but achieve 2.4 ∼ "&amp;"6.5 × inference speedups and a 75% reduction in the memory footprint of the KV cache. It also demonstrates strong generalization across a variety of translation-related tasks.")</f>
        <v>The field of neural machine translation (NMT) has changed with the advent of large language models (LLMs). Much of the recent emphasis in natural language processing (NLP) has been on modeling machine translation and many other problems using a single pre-trained Transformer decoder, while encoder-decoder architectures, which were the standard in earlier NMT models, have received relatively less attention. In this paper, we explore translation models that are universal, efficient, and easy to optimize, by marrying the world of LLMs with the world of NMT. We apply LLMs to NMT encoding and leave the NMT decoder unchanged. We also develop methods for adapting LLMs to work better with the NMT decoder. Furthermore, we construct a new dataset involving multiple tasks to assess how well the machine translation system generalizes across various tasks. Evaluations on the WMT and our datasets show that results using our method match or surpass a range of baselines in terms of translation quality, but achieve 2.4 ∼ 6.5 × inference speedups and a 75% reduction in the memory footprint of the KV cache. It also demonstrates strong generalization across a variety of translation-related tasks.</v>
      </c>
      <c r="D574" s="7" t="str">
        <f>IFERROR(__xludf.DUMMYFUNCTION("""COMPUTED_VALUE"""),"Yingfeng Luo")</f>
        <v>Yingfeng Luo</v>
      </c>
      <c r="E574" s="7" t="str">
        <f>IFERROR(__xludf.DUMMYFUNCTION("""COMPUTED_VALUE"""),"#N/A")</f>
        <v>#N/A</v>
      </c>
      <c r="F574" s="7" t="str">
        <f>IFERROR(__xludf.DUMMYFUNCTION("""COMPUTED_VALUE"""),"Not Pres. ")</f>
        <v>Not Pres. </v>
      </c>
      <c r="G574" s="7" t="str">
        <f>IFERROR(__xludf.DUMMYFUNCTION("""COMPUTED_VALUE"""),"NP Findings Not Presenting ")</f>
        <v>NP Findings Not Presenting </v>
      </c>
      <c r="H574" s="7"/>
      <c r="I574" s="7" t="str">
        <f>IFERROR(__xludf.DUMMYFUNCTION("""COMPUTED_VALUE"""),"NP-Find")</f>
        <v>NP-Find</v>
      </c>
      <c r="J574" s="7"/>
      <c r="K574" s="7"/>
      <c r="L574" s="8"/>
      <c r="M574" s="7"/>
      <c r="N574" s="7"/>
    </row>
    <row r="575">
      <c r="A575" s="7" t="str">
        <f>IFERROR(__xludf.DUMMYFUNCTION("""COMPUTED_VALUE"""),"1961-FIND")</f>
        <v>1961-FIND</v>
      </c>
      <c r="B575" s="7" t="str">
        <f>IFERROR(__xludf.DUMMYFUNCTION("""COMPUTED_VALUE"""),"EC-RAFT: Automated Generation of Clinical Trial Eligibility Criteria through Retrieval-Augmented Fine-Tuning")</f>
        <v>EC-RAFT: Automated Generation of Clinical Trial Eligibility Criteria through Retrieval-Augmented Fine-Tuning</v>
      </c>
      <c r="C575" s="7" t="str">
        <f>IFERROR(__xludf.DUMMYFUNCTION("""COMPUTED_VALUE"""),"Eligibility criteria (EC) are critical components of clinical trial design, defining the parameters for participant inclusion and exclusion. However, designing EC remains a complex, expertise-intensive process. Traditional approaches to EC generation ofte"&amp;"n rely on user-prompted predefined categories, which limit adaptability and may fail to produce comprehensive, contextually appropriate criteria. To address these challenges, we introduce EC-RAFT, a method that utilizes Retrieval-Augmented Fine-Tuning (RA"&amp;"FT) to generate structured and cohesive EC directly from clinical trial titles and descriptions. EC-RAFT integrates contextual retrieval, synthesized intermediate reasoning, and fine-tuned language models to produce comprehensive EC sets. To enhance clini"&amp;"cal alignment evaluation with referenced criteria, we also propose an LLM-guided evaluation pipeline. Our results demonstrate that our solution, which uses Llama-3.1-8B-Instruct as a base model, achieves a BERTScore of 86.23 and an EC-matched LLM-as-a-Jud"&amp;"ge score of 1.66 out of 3, outperforming zero-shot Llama-3.1 and Gemini-1.5 by 0.41 and 0.11 points, respectively. EC-RAFT was trained in a low-cost setup and, therefore, can be used as a practical solution for EC generation while ensuring quality and rel"&amp;"evance in clinical trial design.")</f>
        <v>Eligibility criteria (EC) are critical components of clinical trial design, defining the parameters for participant inclusion and exclusion. However, designing EC remains a complex, expertise-intensive process. Traditional approaches to EC generation often rely on user-prompted predefined categories, which limit adaptability and may fail to produce comprehensive, contextually appropriate criteria. To address these challenges, we introduce EC-RAFT, a method that utilizes Retrieval-Augmented Fine-Tuning (RAFT) to generate structured and cohesive EC directly from clinical trial titles and descriptions. EC-RAFT integrates contextual retrieval, synthesized intermediate reasoning, and fine-tuned language models to produce comprehensive EC sets. To enhance clinical alignment evaluation with referenced criteria, we also propose an LLM-guided evaluation pipeline. Our results demonstrate that our solution, which uses Llama-3.1-8B-Instruct as a base model, achieves a BERTScore of 86.23 and an EC-matched LLM-as-a-Judge score of 1.66 out of 3, outperforming zero-shot Llama-3.1 and Gemini-1.5 by 0.41 and 0.11 points, respectively. EC-RAFT was trained in a low-cost setup and, therefore, can be used as a practical solution for EC generation while ensuring quality and relevance in clinical trial design.</v>
      </c>
      <c r="D575" s="7" t="str">
        <f>IFERROR(__xludf.DUMMYFUNCTION("""COMPUTED_VALUE"""),"Nopporn Lekuthai")</f>
        <v>Nopporn Lekuthai</v>
      </c>
      <c r="E575" s="7" t="str">
        <f>IFERROR(__xludf.DUMMYFUNCTION("""COMPUTED_VALUE"""),"Yes")</f>
        <v>Yes</v>
      </c>
      <c r="F575" s="7" t="str">
        <f>IFERROR(__xludf.DUMMYFUNCTION("""COMPUTED_VALUE"""),"IP-Poster")</f>
        <v>IP-Poster</v>
      </c>
      <c r="G575" s="7" t="str">
        <f>IFERROR(__xludf.DUMMYFUNCTION("""COMPUTED_VALUE"""),"In-Person")</f>
        <v>In-Person</v>
      </c>
      <c r="H575" s="7" t="str">
        <f>IFERROR(__xludf.DUMMYFUNCTION("""COMPUTED_VALUE"""),"Hall 4/5")</f>
        <v>Hall 4/5</v>
      </c>
      <c r="I575" s="7" t="str">
        <f>IFERROR(__xludf.DUMMYFUNCTION("""COMPUTED_VALUE"""),"Session 5 :IP-Posters Find ")</f>
        <v>Session 5 :IP-Posters Find </v>
      </c>
      <c r="J575" s="7" t="str">
        <f>IFERROR(__xludf.DUMMYFUNCTION("""COMPUTED_VALUE"""),"Findings Posters - In-Person 1")</f>
        <v>Findings Posters - In-Person 1</v>
      </c>
      <c r="K575" s="7"/>
      <c r="L575" s="8">
        <f>IFERROR(__xludf.DUMMYFUNCTION("""COMPUTED_VALUE"""),45866.0)</f>
        <v>45866</v>
      </c>
      <c r="M575" s="7" t="str">
        <f>IFERROR(__xludf.DUMMYFUNCTION("""COMPUTED_VALUE"""),"18:00-19:30")</f>
        <v>18:00-19:30</v>
      </c>
      <c r="N575" s="7"/>
    </row>
    <row r="576">
      <c r="A576" s="7" t="str">
        <f>IFERROR(__xludf.DUMMYFUNCTION("""COMPUTED_VALUE"""),"1968-FIND")</f>
        <v>1968-FIND</v>
      </c>
      <c r="B576" s="7" t="str">
        <f>IFERROR(__xludf.DUMMYFUNCTION("""COMPUTED_VALUE"""),"Pitfalls of Scale: Investigating the Inverse Task of Redefinition in Large Language Models")</f>
        <v>Pitfalls of Scale: Investigating the Inverse Task of Redefinition in Large Language Models</v>
      </c>
      <c r="C576" s="7" t="str">
        <f>IFERROR(__xludf.DUMMYFUNCTION("""COMPUTED_VALUE"""),"Inverse tasks can uncover potential reasoning gaps as Large Language Models (LLMs) scale up. In this work, we explore the redefinition task, in which we assign alternative values to well-known physical constants and units of measure, prompting LLMs to res"&amp;"pond accordingly. Our findings show that not only does model performance degrade with scale, but its false confidence also rises. Moreover, while factors such as prompting strategies or response formatting are influential, they do not preclude LLMs from a"&amp;"nchoring to memorized values.")</f>
        <v>Inverse tasks can uncover potential reasoning gaps as Large Language Models (LLMs) scale up. In this work, we explore the redefinition task, in which we assign alternative values to well-known physical constants and units of measure, prompting LLMs to respond accordingly. Our findings show that not only does model performance degrade with scale, but its false confidence also rises. Moreover, while factors such as prompting strategies or response formatting are influential, they do not preclude LLMs from anchoring to memorized values.</v>
      </c>
      <c r="D576" s="7" t="str">
        <f>IFERROR(__xludf.DUMMYFUNCTION("""COMPUTED_VALUE"""),"Elena Stringli")</f>
        <v>Elena Stringli</v>
      </c>
      <c r="E576" s="7" t="str">
        <f>IFERROR(__xludf.DUMMYFUNCTION("""COMPUTED_VALUE"""),"Yes")</f>
        <v>Yes</v>
      </c>
      <c r="F576" s="7" t="str">
        <f>IFERROR(__xludf.DUMMYFUNCTION("""COMPUTED_VALUE"""),"IP-Poster")</f>
        <v>IP-Poster</v>
      </c>
      <c r="G576" s="7" t="str">
        <f>IFERROR(__xludf.DUMMYFUNCTION("""COMPUTED_VALUE"""),"In-Person")</f>
        <v>In-Person</v>
      </c>
      <c r="H576" s="7" t="str">
        <f>IFERROR(__xludf.DUMMYFUNCTION("""COMPUTED_VALUE"""),"Hall 4/5")</f>
        <v>Hall 4/5</v>
      </c>
      <c r="I576" s="7" t="str">
        <f>IFERROR(__xludf.DUMMYFUNCTION("""COMPUTED_VALUE"""),"Session 5 :IP-Posters Find ")</f>
        <v>Session 5 :IP-Posters Find </v>
      </c>
      <c r="J576" s="7" t="str">
        <f>IFERROR(__xludf.DUMMYFUNCTION("""COMPUTED_VALUE"""),"Findings Posters - In-Person 1")</f>
        <v>Findings Posters - In-Person 1</v>
      </c>
      <c r="K576" s="7"/>
      <c r="L576" s="8">
        <f>IFERROR(__xludf.DUMMYFUNCTION("""COMPUTED_VALUE"""),45866.0)</f>
        <v>45866</v>
      </c>
      <c r="M576" s="7" t="str">
        <f>IFERROR(__xludf.DUMMYFUNCTION("""COMPUTED_VALUE"""),"18:00-19:30")</f>
        <v>18:00-19:30</v>
      </c>
      <c r="N576" s="7"/>
    </row>
    <row r="577">
      <c r="A577" s="7" t="str">
        <f>IFERROR(__xludf.DUMMYFUNCTION("""COMPUTED_VALUE"""),"1970-FIND")</f>
        <v>1970-FIND</v>
      </c>
      <c r="B577" s="7" t="str">
        <f>IFERROR(__xludf.DUMMYFUNCTION("""COMPUTED_VALUE"""),"Implicit Reasoning in Transformers is Reasoning through Shortcuts")</f>
        <v>Implicit Reasoning in Transformers is Reasoning through Shortcuts</v>
      </c>
      <c r="C577" s="7" t="str">
        <f>IFERROR(__xludf.DUMMYFUNCTION("""COMPUTED_VALUE"""),"Test-time compute is emerging as a new paradigm for enhancing language models' complex multi-step reasoning capabilities, as demonstrated by the success of OpenAI's o1 and o3, as well as DeepSeek's R1. Compared to explicit reasoning in test-time compute, "&amp;"implicit reasoning is more inference-efficient, requiring fewer generated tokens. However, why does the advanced reasoning capability fail to emerge in the implicit reasoning style? In this work, we train GPT-2 from scratch on a curated multi-step mathema"&amp;"tical dataset and conduct analytical experiments to investigate how language models perform implicit reasoning in multi-step tasks. Our findings reveal: 1) Language models can perform step-by-step reasoning and achieve high accuracy in both in-domain and "&amp;"out-of-domain tests via implicit reasoning. However, this capability only emerges when trained on fixed-pattern data. 2) Conversely, step-by-step implicit reasoning emerging from training on unfixed-pattern data tends to overfit a specific pattern and fai"&amp;"ls to generalize further. Notably, this limitation is also observed in state-of-the-art large language models. These findings suggest that language models acquire implicit reasoning through shortcut learning, enabling strong performance on tasks with simi"&amp;"lar patterns while lacking generalization. All the resources will be released for future research.")</f>
        <v>Test-time compute is emerging as a new paradigm for enhancing language models' complex multi-step reasoning capabilities, as demonstrated by the success of OpenAI's o1 and o3, as well as DeepSeek's R1. Compared to explicit reasoning in test-time compute, implicit reasoning is more inference-efficient, requiring fewer generated tokens. However, why does the advanced reasoning capability fail to emerge in the implicit reasoning style? In this work, we train GPT-2 from scratch on a curated multi-step mathematical dataset and conduct analytical experiments to investigate how language models perform implicit reasoning in multi-step tasks. Our findings reveal: 1) Language models can perform step-by-step reasoning and achieve high accuracy in both in-domain and out-of-domain tests via implicit reasoning. However, this capability only emerges when trained on fixed-pattern data. 2) Conversely, step-by-step implicit reasoning emerging from training on unfixed-pattern data tends to overfit a specific pattern and fails to generalize further. Notably, this limitation is also observed in state-of-the-art large language models. These findings suggest that language models acquire implicit reasoning through shortcut learning, enabling strong performance on tasks with similar patterns while lacking generalization. All the resources will be released for future research.</v>
      </c>
      <c r="D577" s="7" t="str">
        <f>IFERROR(__xludf.DUMMYFUNCTION("""COMPUTED_VALUE"""),"N/A")</f>
        <v>N/A</v>
      </c>
      <c r="E577" s="7" t="str">
        <f>IFERROR(__xludf.DUMMYFUNCTION("""COMPUTED_VALUE"""),"#N/A")</f>
        <v>#N/A</v>
      </c>
      <c r="F577" s="7" t="str">
        <f>IFERROR(__xludf.DUMMYFUNCTION("""COMPUTED_VALUE"""),"Not Pres. ")</f>
        <v>Not Pres. </v>
      </c>
      <c r="G577" s="7" t="str">
        <f>IFERROR(__xludf.DUMMYFUNCTION("""COMPUTED_VALUE"""),"NP Findings Not Presenting ")</f>
        <v>NP Findings Not Presenting </v>
      </c>
      <c r="H577" s="7"/>
      <c r="I577" s="7" t="str">
        <f>IFERROR(__xludf.DUMMYFUNCTION("""COMPUTED_VALUE"""),"NP-Find")</f>
        <v>NP-Find</v>
      </c>
      <c r="J577" s="7"/>
      <c r="K577" s="7"/>
      <c r="L577" s="8"/>
      <c r="M577" s="7"/>
      <c r="N577" s="7"/>
    </row>
    <row r="578">
      <c r="A578" s="7" t="str">
        <f>IFERROR(__xludf.DUMMYFUNCTION("""COMPUTED_VALUE"""),"1971-FIND")</f>
        <v>1971-FIND</v>
      </c>
      <c r="B578" s="7" t="str">
        <f>IFERROR(__xludf.DUMMYFUNCTION("""COMPUTED_VALUE"""),"Learning to Align Multi-Faceted Evaluation: A Unified and Robust Framework")</f>
        <v>Learning to Align Multi-Faceted Evaluation: A Unified and Robust Framework</v>
      </c>
      <c r="C578" s="7" t="str">
        <f>IFERROR(__xludf.DUMMYFUNCTION("""COMPUTED_VALUE"""),"Large Language Models (LLMs) are being used more and more extensively for automated evaluation in various scenarios. Previous studies have attempted to fine-tune open-source LLMs to replicate the evaluation explanations and judgments of powerful proprieta"&amp;"ry models, such as GPT-4. However, these methods are largely limited to text-based analyses under predefined general criteria, resulting in reduced adaptability for unseen instructions and demonstrating instability in evaluating adherence to quantitative "&amp;"and structural constraints. To address these limitations, we propose a novel evaluation framework, ARJudge, that adaptively formulates evaluation criteria and synthesizes both text-based and code-driven analyses to evaluate LLM responses. ARJudge consists"&amp;" of two components: a fine-tuned Analyzer that generates multi-faceted evaluation analyses and a tuning-free Refiner that combines and refines all analyses to make the final judgment. We construct a Composite Analysis Corpus that integrates tasks for eval"&amp;"uation criteria generation alongside text-based and code-driven analysis generation to train the Analyzer. Our results demonstrate that ARJudge outperforms existing fine-tuned evaluators in effectiveness and robustness. Furthermore, it demonstrates the im"&amp;"portance of multi-faceted evaluation and code-driven analyses in enhancing evaluation capabilities.")</f>
        <v>Large Language Models (LLMs) are being used more and more extensively for automated evaluation in various scenarios. Previous studies have attempted to fine-tune open-source LLMs to replicate the evaluation explanations and judgments of powerful proprietary models, such as GPT-4. However, these methods are largely limited to text-based analyses under predefined general criteria, resulting in reduced adaptability for unseen instructions and demonstrating instability in evaluating adherence to quantitative and structural constraints. To address these limitations, we propose a novel evaluation framework, ARJudge, that adaptively formulates evaluation criteria and synthesizes both text-based and code-driven analyses to evaluate LLM responses. ARJudge consists of two components: a fine-tuned Analyzer that generates multi-faceted evaluation analyses and a tuning-free Refiner that combines and refines all analyses to make the final judgment. We construct a Composite Analysis Corpus that integrates tasks for evaluation criteria generation alongside text-based and code-driven analysis generation to train the Analyzer. Our results demonstrate that ARJudge outperforms existing fine-tuned evaluators in effectiveness and robustness. Furthermore, it demonstrates the importance of multi-faceted evaluation and code-driven analyses in enhancing evaluation capabilities.</v>
      </c>
      <c r="D578" s="7" t="str">
        <f>IFERROR(__xludf.DUMMYFUNCTION("""COMPUTED_VALUE"""),"Kaishuai Xu")</f>
        <v>Kaishuai Xu</v>
      </c>
      <c r="E578" s="7" t="str">
        <f>IFERROR(__xludf.DUMMYFUNCTION("""COMPUTED_VALUE"""),"Yes")</f>
        <v>Yes</v>
      </c>
      <c r="F578" s="7" t="str">
        <f>IFERROR(__xludf.DUMMYFUNCTION("""COMPUTED_VALUE"""),"IP-Poster")</f>
        <v>IP-Poster</v>
      </c>
      <c r="G578" s="7" t="str">
        <f>IFERROR(__xludf.DUMMYFUNCTION("""COMPUTED_VALUE"""),"In-Person")</f>
        <v>In-Person</v>
      </c>
      <c r="H578" s="7" t="str">
        <f>IFERROR(__xludf.DUMMYFUNCTION("""COMPUTED_VALUE"""),"Hall 4/5")</f>
        <v>Hall 4/5</v>
      </c>
      <c r="I578" s="7" t="str">
        <f>IFERROR(__xludf.DUMMYFUNCTION("""COMPUTED_VALUE"""),"Session 5 :IP-Posters Find ")</f>
        <v>Session 5 :IP-Posters Find </v>
      </c>
      <c r="J578" s="7" t="str">
        <f>IFERROR(__xludf.DUMMYFUNCTION("""COMPUTED_VALUE"""),"Findings Posters - In-Person 1")</f>
        <v>Findings Posters - In-Person 1</v>
      </c>
      <c r="K578" s="7"/>
      <c r="L578" s="8">
        <f>IFERROR(__xludf.DUMMYFUNCTION("""COMPUTED_VALUE"""),45866.0)</f>
        <v>45866</v>
      </c>
      <c r="M578" s="7" t="str">
        <f>IFERROR(__xludf.DUMMYFUNCTION("""COMPUTED_VALUE"""),"18:00-19:30")</f>
        <v>18:00-19:30</v>
      </c>
      <c r="N578" s="7"/>
    </row>
    <row r="579">
      <c r="A579" s="7" t="str">
        <f>IFERROR(__xludf.DUMMYFUNCTION("""COMPUTED_VALUE"""),"1982-FIND")</f>
        <v>1982-FIND</v>
      </c>
      <c r="B579" s="7" t="str">
        <f>IFERROR(__xludf.DUMMYFUNCTION("""COMPUTED_VALUE"""),"CortexDebate: Debating Sparsely and Equally for Multi-Agent Debate")</f>
        <v>CortexDebate: Debating Sparsely and Equally for Multi-Agent Debate</v>
      </c>
      <c r="C579" s="7" t="str">
        <f>IFERROR(__xludf.DUMMYFUNCTION("""COMPUTED_VALUE"""),"Nowadays, single Large Language Model (LLM) struggles with critical issues such as hallucination and inadequate reasoning abilities. To mitigate these issues, Multi-Agent Debate (MAD) has emerged as an effective strategy, where LLM agents engage in in-dep"&amp;"th debates with others on tasks. However, existing MAD methods face two major issues: (a) too lengthy input contexts, which causes LLM agents to get lost in plenty of input information and experiences performance drop; and (b) the overconfidence dilemma, "&amp;"where self-assured LLM agents dominate the debate, leading to low debating effectiveness. To address these limitations, we propose a novel MAD method called ''CortexDebate''. Inspired by the human brain's tendency to establish a sparse and dynamically opt"&amp;"imized network among cortical areas governed by white matter, CortexDebate constructs a sparse debating graph among LLM agents, where each LLM agent only debates with the ones that are helpful to it. To optimize the graph, we propose a module named McKins"&amp;"ey-based Debate Matter (MDM), which acts as an artificial analog to white matter. By integrating the McKinsey Trust Formula, a well-established measure of trustworthiness from sociology, MDM enables credible evaluations that guide graph optimization. The "&amp;"effectiveness of our CortexDebate has been well demonstrated by extensive experimental results across eight datasets from four task types.")</f>
        <v>Nowadays, single Large Language Model (LLM) struggles with critical issues such as hallucination and inadequate reasoning abilities. To mitigate these issues, Multi-Agent Debate (MAD) has emerged as an effective strategy, where LLM agents engage in in-depth debates with others on tasks. However, existing MAD methods face two major issues: (a) too lengthy input contexts, which causes LLM agents to get lost in plenty of input information and experiences performance drop; and (b) the overconfidence dilemma, where self-assured LLM agents dominate the debate, leading to low debating effectiveness. To address these limitations, we propose a novel MAD method called ''CortexDebate''. Inspired by the human brain's tendency to establish a sparse and dynamically optimized network among cortical areas governed by white matter, CortexDebate constructs a sparse debating graph among LLM agents, where each LLM agent only debates with the ones that are helpful to it. To optimize the graph, we propose a module named McKinsey-based Debate Matter (MDM), which acts as an artificial analog to white matter. By integrating the McKinsey Trust Formula, a well-established measure of trustworthiness from sociology, MDM enables credible evaluations that guide graph optimization. The effectiveness of our CortexDebate has been well demonstrated by extensive experimental results across eight datasets from four task types.</v>
      </c>
      <c r="D579" s="7" t="str">
        <f>IFERROR(__xludf.DUMMYFUNCTION("""COMPUTED_VALUE"""),"Yiliu Sun")</f>
        <v>Yiliu Sun</v>
      </c>
      <c r="E579" s="7" t="str">
        <f>IFERROR(__xludf.DUMMYFUNCTION("""COMPUTED_VALUE"""),"Yes")</f>
        <v>Yes</v>
      </c>
      <c r="F579" s="7" t="str">
        <f>IFERROR(__xludf.DUMMYFUNCTION("""COMPUTED_VALUE"""),"IP-Poster")</f>
        <v>IP-Poster</v>
      </c>
      <c r="G579" s="7" t="str">
        <f>IFERROR(__xludf.DUMMYFUNCTION("""COMPUTED_VALUE"""),"In-Person")</f>
        <v>In-Person</v>
      </c>
      <c r="H579" s="7" t="str">
        <f>IFERROR(__xludf.DUMMYFUNCTION("""COMPUTED_VALUE"""),"Hall 4/5")</f>
        <v>Hall 4/5</v>
      </c>
      <c r="I579" s="7" t="str">
        <f>IFERROR(__xludf.DUMMYFUNCTION("""COMPUTED_VALUE"""),"Session 5 :IP-Posters Find ")</f>
        <v>Session 5 :IP-Posters Find </v>
      </c>
      <c r="J579" s="7" t="str">
        <f>IFERROR(__xludf.DUMMYFUNCTION("""COMPUTED_VALUE"""),"Findings Posters - In-Person 1")</f>
        <v>Findings Posters - In-Person 1</v>
      </c>
      <c r="K579" s="7"/>
      <c r="L579" s="8">
        <f>IFERROR(__xludf.DUMMYFUNCTION("""COMPUTED_VALUE"""),45866.0)</f>
        <v>45866</v>
      </c>
      <c r="M579" s="7" t="str">
        <f>IFERROR(__xludf.DUMMYFUNCTION("""COMPUTED_VALUE"""),"18:00-19:30")</f>
        <v>18:00-19:30</v>
      </c>
      <c r="N579" s="7"/>
    </row>
    <row r="580">
      <c r="A580" s="7" t="str">
        <f>IFERROR(__xludf.DUMMYFUNCTION("""COMPUTED_VALUE"""),"1987-FIND")</f>
        <v>1987-FIND</v>
      </c>
      <c r="B580" s="7" t="str">
        <f>IFERROR(__xludf.DUMMYFUNCTION("""COMPUTED_VALUE"""),"PAP2PAT: Benchmarking Outline-Guided Long-Text Patent Generation with Patent-Paper Pairs")</f>
        <v>PAP2PAT: Benchmarking Outline-Guided Long-Text Patent Generation with Patent-Paper Pairs</v>
      </c>
      <c r="C580" s="7" t="str">
        <f>IFERROR(__xludf.DUMMYFUNCTION("""COMPUTED_VALUE"""),"Dealing with long and highly complex technical text is a challenge for Large Language Models (LLMs), which still have to unfold their potential in supporting expensive and time intensive processes like patent drafting. Within patents, the description cons"&amp;"titutes more than 90% of the document on average. Yet, its automatic generation remains understudied. When drafting patent applications, patent attorneys typically receive invention reports (IRs), which are usually confidential, hindering research on LLM-"&amp;"supported patent drafting.Often, pre-publication research papers serve as IRs. We leverage this duality to build PAP2PAT, an open and realistic benchmark for patent drafting consisting of 1.8k patent-paper pairs describing the same inventions. To address "&amp;"the complex long-document patent generation task, we propose chunk-based outline-guided generation using the research paper as invention specification. Our extensive evaluation using PAP2PAT and a human case study show that LLMs can effectively leverage i"&amp;"nformation from the paper, but still struggle to provide the necessary level of detail. Fine-tuning leads to more patent-style language, but also to more hallucination. We release our data and code.")</f>
        <v>Dealing with long and highly complex technical text is a challenge for Large Language Models (LLMs), which still have to unfold their potential in supporting expensive and time intensive processes like patent drafting. Within patents, the description constitutes more than 90% of the document on average. Yet, its automatic generation remains understudied. When drafting patent applications, patent attorneys typically receive invention reports (IRs), which are usually confidential, hindering research on LLM-supported patent drafting.Often, pre-publication research papers serve as IRs. We leverage this duality to build PAP2PAT, an open and realistic benchmark for patent drafting consisting of 1.8k patent-paper pairs describing the same inventions. To address the complex long-document patent generation task, we propose chunk-based outline-guided generation using the research paper as invention specification. Our extensive evaluation using PAP2PAT and a human case study show that LLMs can effectively leverage information from the paper, but still struggle to provide the necessary level of detail. Fine-tuning leads to more patent-style language, but also to more hallucination. We release our data and code.</v>
      </c>
      <c r="D580" s="7" t="str">
        <f>IFERROR(__xludf.DUMMYFUNCTION("""COMPUTED_VALUE"""),"Valentin Knappich")</f>
        <v>Valentin Knappich</v>
      </c>
      <c r="E580" s="7" t="str">
        <f>IFERROR(__xludf.DUMMYFUNCTION("""COMPUTED_VALUE"""),"Yes")</f>
        <v>Yes</v>
      </c>
      <c r="F580" s="7" t="str">
        <f>IFERROR(__xludf.DUMMYFUNCTION("""COMPUTED_VALUE"""),"IP-Poster")</f>
        <v>IP-Poster</v>
      </c>
      <c r="G580" s="7" t="str">
        <f>IFERROR(__xludf.DUMMYFUNCTION("""COMPUTED_VALUE"""),"In-Person")</f>
        <v>In-Person</v>
      </c>
      <c r="H580" s="7" t="str">
        <f>IFERROR(__xludf.DUMMYFUNCTION("""COMPUTED_VALUE"""),"Hall 4/5")</f>
        <v>Hall 4/5</v>
      </c>
      <c r="I580" s="7" t="str">
        <f>IFERROR(__xludf.DUMMYFUNCTION("""COMPUTED_VALUE"""),"Session 5 :IP-Posters Find ")</f>
        <v>Session 5 :IP-Posters Find </v>
      </c>
      <c r="J580" s="7" t="str">
        <f>IFERROR(__xludf.DUMMYFUNCTION("""COMPUTED_VALUE"""),"Findings Posters - In-Person 1")</f>
        <v>Findings Posters - In-Person 1</v>
      </c>
      <c r="K580" s="7"/>
      <c r="L580" s="8">
        <f>IFERROR(__xludf.DUMMYFUNCTION("""COMPUTED_VALUE"""),45866.0)</f>
        <v>45866</v>
      </c>
      <c r="M580" s="7" t="str">
        <f>IFERROR(__xludf.DUMMYFUNCTION("""COMPUTED_VALUE"""),"18:00-19:30")</f>
        <v>18:00-19:30</v>
      </c>
      <c r="N580" s="7"/>
    </row>
    <row r="581">
      <c r="A581" s="7" t="str">
        <f>IFERROR(__xludf.DUMMYFUNCTION("""COMPUTED_VALUE"""),"1989-FIND")</f>
        <v>1989-FIND</v>
      </c>
      <c r="B581" s="7" t="str">
        <f>IFERROR(__xludf.DUMMYFUNCTION("""COMPUTED_VALUE"""),"Debt Collection Negotiations with Large Language Models: An Evaluation System and Optimizing Decision Making with Multi-Agent")</f>
        <v>Debt Collection Negotiations with Large Language Models: An Evaluation System and Optimizing Decision Making with Multi-Agent</v>
      </c>
      <c r="C581" s="7" t="str">
        <f>IFERROR(__xludf.DUMMYFUNCTION("""COMPUTED_VALUE"""),"Debt collection negotiations (DCN) are vital for managing non-performing loans (NPLs) and reducing creditor losses. Traditional methods are labor-intensive, while large language models (LLMs) offer promising automation potential. However, prior systems la"&amp;"cked dynamic negotiation and real-time decision-making capabilities. This paper explores LLMs in automating DCN and proposes a novel evaluation framework with 13 metrics across 4 aspects. Our experiments reveal that LLMs tend to over-concede compared to h"&amp;"uman negotiators. To address this, we propose the Multi-Agent Debt Negotiation (MADeN) framework, incorporating planning and judging modules to improve decision rationality. We also apply post-training techniques, including DPO with rejection sampling, to"&amp;" optimize performance. Our studies provide valuable insights for practitioners and researchers seeking to enhance efficiency and outcomes in this domain.")</f>
        <v>Debt collection negotiations (DCN) are vital for managing non-performing loans (NPLs) and reducing creditor losses. Traditional methods are labor-intensive, while large language models (LLMs) offer promising automation potential. However, prior systems lacked dynamic negotiation and real-time decision-making capabilities. This paper explores LLMs in automating DCN and proposes a novel evaluation framework with 13 metrics across 4 aspects. Our experiments reveal that LLMs tend to over-concede compared to human negotiators. To address this, we propose the Multi-Agent Debt Negotiation (MADeN) framework, incorporating planning and judging modules to improve decision rationality. We also apply post-training techniques, including DPO with rejection sampling, to optimize performance. Our studies provide valuable insights for practitioners and researchers seeking to enhance efficiency and outcomes in this domain.</v>
      </c>
      <c r="D581" s="7" t="str">
        <f>IFERROR(__xludf.DUMMYFUNCTION("""COMPUTED_VALUE"""),"Xiaofeng Wang")</f>
        <v>Xiaofeng Wang</v>
      </c>
      <c r="E581" s="7" t="str">
        <f>IFERROR(__xludf.DUMMYFUNCTION("""COMPUTED_VALUE"""),"#N/A")</f>
        <v>#N/A</v>
      </c>
      <c r="F581" s="7" t="str">
        <f>IFERROR(__xludf.DUMMYFUNCTION("""COMPUTED_VALUE"""),"Not Pres. ")</f>
        <v>Not Pres. </v>
      </c>
      <c r="G581" s="7" t="str">
        <f>IFERROR(__xludf.DUMMYFUNCTION("""COMPUTED_VALUE"""),"NP Findings Not Presenting ")</f>
        <v>NP Findings Not Presenting </v>
      </c>
      <c r="H581" s="7"/>
      <c r="I581" s="7" t="str">
        <f>IFERROR(__xludf.DUMMYFUNCTION("""COMPUTED_VALUE"""),"NP-Find")</f>
        <v>NP-Find</v>
      </c>
      <c r="J581" s="7"/>
      <c r="K581" s="7"/>
      <c r="L581" s="8"/>
      <c r="M581" s="7"/>
      <c r="N581" s="7"/>
    </row>
    <row r="582">
      <c r="A582" s="7" t="str">
        <f>IFERROR(__xludf.DUMMYFUNCTION("""COMPUTED_VALUE"""),"1992-FIND")</f>
        <v>1992-FIND</v>
      </c>
      <c r="B582" s="7" t="str">
        <f>IFERROR(__xludf.DUMMYFUNCTION("""COMPUTED_VALUE"""),"Focused-DPO: Enhancing Code Generation Through Focused Preference Optimization on Error-Prone Points")</f>
        <v>Focused-DPO: Enhancing Code Generation Through Focused Preference Optimization on Error-Prone Points</v>
      </c>
      <c r="C582" s="7" t="str">
        <f>IFERROR(__xludf.DUMMYFUNCTION("""COMPUTED_VALUE"""),"Code generation models have shown significant potential for automating programming tasks. However, the challenge of generating accurate and reliable code persists due to the highly complex and long-reasoning nature of the task. Even state-of-the-art model"&amp;"s often fail in code generation due to small errors, which can drastically affect the overall functionality of code. Our study identifies that current models tend to produce errors concentrated at specific error-prone points, which significantly impacts t"&amp;"he accuracy of the generated code. To address this issue, we introduce Focused-DPO, a framework that enhances code generation by directing preference optimization towards these critical error-prone areas. This approach builds on Direct Preference Optimiza"&amp;"tion, emphasizing accuracy in parts prone to errors. Additionally, we develop a method called Error-Point Identification, which constructs a dataset that targets these problematic points without requiring costly human annotations. Our experiments on bench"&amp;"marks such as HumanEval(+), MBPP(+), and LiveCodeBench demonstrate that Focused-DPO significantly improves the precision and reliability of code generation, reducing common errors and enhancing overall code quality. By focusing on error-prone points, Focu"&amp;"sed-DPO advances the accuracy and functionality of model-generated code.")</f>
        <v>Code generation models have shown significant potential for automating programming tasks. However, the challenge of generating accurate and reliable code persists due to the highly complex and long-reasoning nature of the task. Even state-of-the-art models often fail in code generation due to small errors, which can drastically affect the overall functionality of code. Our study identifies that current models tend to produce errors concentrated at specific error-prone points, which significantly impacts the accuracy of the generated code. To address this issue, we introduce Focused-DPO, a framework that enhances code generation by directing preference optimization towards these critical error-prone areas. This approach builds on Direct Preference Optimization, emphasizing accuracy in parts prone to errors. Additionally, we develop a method called Error-Point Identification, which constructs a dataset that targets these problematic points without requiring costly human annotations. Our experiments on benchmarks such as HumanEval(+), MBPP(+), and LiveCodeBench demonstrate that Focused-DPO significantly improves the precision and reliability of code generation, reducing common errors and enhancing overall code quality. By focusing on error-prone points, Focused-DPO advances the accuracy and functionality of model-generated code.</v>
      </c>
      <c r="D582" s="7" t="str">
        <f>IFERROR(__xludf.DUMMYFUNCTION("""COMPUTED_VALUE"""),"Kechi Zhang")</f>
        <v>Kechi Zhang</v>
      </c>
      <c r="E582" s="7" t="str">
        <f>IFERROR(__xludf.DUMMYFUNCTION("""COMPUTED_VALUE"""),"Yes")</f>
        <v>Yes</v>
      </c>
      <c r="F582" s="7" t="str">
        <f>IFERROR(__xludf.DUMMYFUNCTION("""COMPUTED_VALUE"""),"IP-Poster")</f>
        <v>IP-Poster</v>
      </c>
      <c r="G582" s="7" t="str">
        <f>IFERROR(__xludf.DUMMYFUNCTION("""COMPUTED_VALUE"""),"In-Person")</f>
        <v>In-Person</v>
      </c>
      <c r="H582" s="7" t="str">
        <f>IFERROR(__xludf.DUMMYFUNCTION("""COMPUTED_VALUE"""),"Hall 4/5")</f>
        <v>Hall 4/5</v>
      </c>
      <c r="I582" s="7" t="str">
        <f>IFERROR(__xludf.DUMMYFUNCTION("""COMPUTED_VALUE"""),"Session 5 :IP-Posters Find ")</f>
        <v>Session 5 :IP-Posters Find </v>
      </c>
      <c r="J582" s="7" t="str">
        <f>IFERROR(__xludf.DUMMYFUNCTION("""COMPUTED_VALUE"""),"Findings Posters - In-Person 1")</f>
        <v>Findings Posters - In-Person 1</v>
      </c>
      <c r="K582" s="7"/>
      <c r="L582" s="8">
        <f>IFERROR(__xludf.DUMMYFUNCTION("""COMPUTED_VALUE"""),45866.0)</f>
        <v>45866</v>
      </c>
      <c r="M582" s="7" t="str">
        <f>IFERROR(__xludf.DUMMYFUNCTION("""COMPUTED_VALUE"""),"18:00-19:30")</f>
        <v>18:00-19:30</v>
      </c>
      <c r="N582" s="7"/>
    </row>
    <row r="583">
      <c r="A583" s="7" t="str">
        <f>IFERROR(__xludf.DUMMYFUNCTION("""COMPUTED_VALUE"""),"1998-FIND")</f>
        <v>1998-FIND</v>
      </c>
      <c r="B583" s="7" t="str">
        <f>IFERROR(__xludf.DUMMYFUNCTION("""COMPUTED_VALUE"""),"Supervised and Unsupervised Probing of Shortcut Learning: Case Study on the Emergence and Evolution of Syntactic Heuristics in BERT")</f>
        <v>Supervised and Unsupervised Probing of Shortcut Learning: Case Study on the Emergence and Evolution of Syntactic Heuristics in BERT</v>
      </c>
      <c r="C583" s="7" t="str">
        <f>IFERROR(__xludf.DUMMYFUNCTION("""COMPUTED_VALUE"""),"Contemporary language models (LMs) such as BERT (Devlin et al., 2019, T5 (Raffel et al., 2023), GPT-4 (OpenAI, 2023), have exhibited remarkable capabilities, effectively addressing long-standing challenges in the field. However, these models rely on short"&amp;"cut learning, using a decision rule that relies on superficial cues that are spuriously correlated with the labels (Geirhos et al., 2020). In this research, we focus on the reliance on a specific type of shortcuts, namely syntactic heuristics, in BERT whe"&amp;"n performing Natural Language Inference (NLI), a representative task in Natural Language Understanding (Jeretic et al., 2020). By making use of two probing methods, one supervised, one unsupervised, we investigate where these shortcuts emerge, how they ev"&amp;"olve and how they impact the latent knowledge of the LM. Our findings reveal that syntactic heuristics are absent in pretrained models but emerge and evolve as the model is finetuned with datasets of increasing size. The adoption of these shortcuts varies"&amp;" across different hidden layers, with specific layers closer to the output contributing more to this phenomenon. Despite the model's reliance on shortcuts during inference, it retains information relevant to the task, and our supervised and unsupervised p"&amp;"robes process this information differently.")</f>
        <v>Contemporary language models (LMs) such as BERT (Devlin et al., 2019, T5 (Raffel et al., 2023), GPT-4 (OpenAI, 2023), have exhibited remarkable capabilities, effectively addressing long-standing challenges in the field. However, these models rely on shortcut learning, using a decision rule that relies on superficial cues that are spuriously correlated with the labels (Geirhos et al., 2020). In this research, we focus on the reliance on a specific type of shortcuts, namely syntactic heuristics, in BERT when performing Natural Language Inference (NLI), a representative task in Natural Language Understanding (Jeretic et al., 2020). By making use of two probing methods, one supervised, one unsupervised, we investigate where these shortcuts emerge, how they evolve and how they impact the latent knowledge of the LM. Our findings reveal that syntactic heuristics are absent in pretrained models but emerge and evolve as the model is finetuned with datasets of increasing size. The adoption of these shortcuts varies across different hidden layers, with specific layers closer to the output contributing more to this phenomenon. Despite the model's reliance on shortcuts during inference, it retains information relevant to the task, and our supervised and unsupervised probes process this information differently.</v>
      </c>
      <c r="D583" s="7" t="str">
        <f>IFERROR(__xludf.DUMMYFUNCTION("""COMPUTED_VALUE"""),"Elke Vandermeerschen")</f>
        <v>Elke Vandermeerschen</v>
      </c>
      <c r="E583" s="7" t="str">
        <f>IFERROR(__xludf.DUMMYFUNCTION("""COMPUTED_VALUE"""),"Yes")</f>
        <v>Yes</v>
      </c>
      <c r="F583" s="7" t="str">
        <f>IFERROR(__xludf.DUMMYFUNCTION("""COMPUTED_VALUE"""),"IP-Poster")</f>
        <v>IP-Poster</v>
      </c>
      <c r="G583" s="7" t="str">
        <f>IFERROR(__xludf.DUMMYFUNCTION("""COMPUTED_VALUE"""),"In-Person")</f>
        <v>In-Person</v>
      </c>
      <c r="H583" s="7" t="str">
        <f>IFERROR(__xludf.DUMMYFUNCTION("""COMPUTED_VALUE"""),"Hall 4/5")</f>
        <v>Hall 4/5</v>
      </c>
      <c r="I583" s="7" t="str">
        <f>IFERROR(__xludf.DUMMYFUNCTION("""COMPUTED_VALUE"""),"Session 5 :IP-Posters Find ")</f>
        <v>Session 5 :IP-Posters Find </v>
      </c>
      <c r="J583" s="7" t="str">
        <f>IFERROR(__xludf.DUMMYFUNCTION("""COMPUTED_VALUE"""),"Findings Posters - In-Person 1")</f>
        <v>Findings Posters - In-Person 1</v>
      </c>
      <c r="K583" s="7"/>
      <c r="L583" s="8">
        <f>IFERROR(__xludf.DUMMYFUNCTION("""COMPUTED_VALUE"""),45866.0)</f>
        <v>45866</v>
      </c>
      <c r="M583" s="7" t="str">
        <f>IFERROR(__xludf.DUMMYFUNCTION("""COMPUTED_VALUE"""),"18:00-19:30")</f>
        <v>18:00-19:30</v>
      </c>
      <c r="N583" s="7"/>
    </row>
    <row r="584">
      <c r="A584" s="7" t="str">
        <f>IFERROR(__xludf.DUMMYFUNCTION("""COMPUTED_VALUE"""),"1999-FIND")</f>
        <v>1999-FIND</v>
      </c>
      <c r="B584" s="7" t="str">
        <f>IFERROR(__xludf.DUMMYFUNCTION("""COMPUTED_VALUE"""),"GIMMICK: Globally Inclusive Multimodal Multitask Cultural Knowledge Benchmarking")</f>
        <v>GIMMICK: Globally Inclusive Multimodal Multitask Cultural Knowledge Benchmarking</v>
      </c>
      <c r="C584" s="7" t="str">
        <f>IFERROR(__xludf.DUMMYFUNCTION("""COMPUTED_VALUE"""),"Large Vision-Language Models (LVLMs) have recently gained attention due to their distinctive performance and broad applicability. While it has been previously shown that their efficacy in usage scenarios involving non-Western contexts falls short, existin"&amp;"g studies are limited in scope, covering just a narrow range of cultures, focusing exclusively on a small number of cultural aspects, or evaluating a limited selection of models on a single task only. Towards globally inclusive LVLM research, we introduce"&amp;" GIMMICK, an extensive multimodal benchmark designed to assess a broad spectrum of cultural knowledge across 144 countries representing six global macro-regions. GIMMICK comprises six tasks built upon three new datasets that span 728 unique cultural event"&amp;"s or facets on which we evaluated 20 LVLMs and 11 LLMs, including five proprietary and 26 open-weight models of all sizes. We systematically examine (1) regional cultural biases, (2) the influence of model size, (3) input modalities, and (4) external cues"&amp;". Our analyses reveal strong biases toward Western cultures across models and tasks and highlight strong correlations between model size and performance, as well as the effectiveness of multimodal input and external geographic cues. We further find that m"&amp;"odels have more knowledge of tangible than intangible aspects (e.g., food vs. rituals) and that they excel in recognizing broad cultural origins but struggle with a more nuanced understanding.")</f>
        <v>Large Vision-Language Models (LVLMs) have recently gained attention due to their distinctive performance and broad applicability. While it has been previously shown that their efficacy in usage scenarios involving non-Western contexts falls short, existing studies are limited in scope, covering just a narrow range of cultures, focusing exclusively on a small number of cultural aspects, or evaluating a limited selection of models on a single task only. Towards globally inclusive LVLM research, we introduce GIMMICK, an extensive multimodal benchmark designed to assess a broad spectrum of cultural knowledge across 144 countries representing six global macro-regions. GIMMICK comprises six tasks built upon three new datasets that span 728 unique cultural events or facets on which we evaluated 20 LVLMs and 11 LLMs, including five proprietary and 26 open-weight models of all sizes. We systematically examine (1) regional cultural biases, (2) the influence of model size, (3) input modalities, and (4) external cues. Our analyses reveal strong biases toward Western cultures across models and tasks and highlight strong correlations between model size and performance, as well as the effectiveness of multimodal input and external geographic cues. We further find that models have more knowledge of tangible than intangible aspects (e.g., food vs. rituals) and that they excel in recognizing broad cultural origins but struggle with a more nuanced understanding.</v>
      </c>
      <c r="D584" s="7" t="str">
        <f>IFERROR(__xludf.DUMMYFUNCTION("""COMPUTED_VALUE"""),"Florian Schneider")</f>
        <v>Florian Schneider</v>
      </c>
      <c r="E584" s="7" t="str">
        <f>IFERROR(__xludf.DUMMYFUNCTION("""COMPUTED_VALUE"""),"Yes")</f>
        <v>Yes</v>
      </c>
      <c r="F584" s="7" t="str">
        <f>IFERROR(__xludf.DUMMYFUNCTION("""COMPUTED_VALUE"""),"IP-Poster")</f>
        <v>IP-Poster</v>
      </c>
      <c r="G584" s="7" t="str">
        <f>IFERROR(__xludf.DUMMYFUNCTION("""COMPUTED_VALUE"""),"In-Person")</f>
        <v>In-Person</v>
      </c>
      <c r="H584" s="7" t="str">
        <f>IFERROR(__xludf.DUMMYFUNCTION("""COMPUTED_VALUE"""),"Hall 4/5")</f>
        <v>Hall 4/5</v>
      </c>
      <c r="I584" s="7" t="str">
        <f>IFERROR(__xludf.DUMMYFUNCTION("""COMPUTED_VALUE"""),"Session 5 :IP-Posters Find ")</f>
        <v>Session 5 :IP-Posters Find </v>
      </c>
      <c r="J584" s="7" t="str">
        <f>IFERROR(__xludf.DUMMYFUNCTION("""COMPUTED_VALUE"""),"Findings Posters - In-Person 1")</f>
        <v>Findings Posters - In-Person 1</v>
      </c>
      <c r="K584" s="7"/>
      <c r="L584" s="8">
        <f>IFERROR(__xludf.DUMMYFUNCTION("""COMPUTED_VALUE"""),45866.0)</f>
        <v>45866</v>
      </c>
      <c r="M584" s="7" t="str">
        <f>IFERROR(__xludf.DUMMYFUNCTION("""COMPUTED_VALUE"""),"18:00-19:30")</f>
        <v>18:00-19:30</v>
      </c>
      <c r="N584" s="7"/>
    </row>
    <row r="585">
      <c r="A585" s="7" t="str">
        <f>IFERROR(__xludf.DUMMYFUNCTION("""COMPUTED_VALUE"""),"2000-FIND")</f>
        <v>2000-FIND</v>
      </c>
      <c r="B585" s="7" t="str">
        <f>IFERROR(__xludf.DUMMYFUNCTION("""COMPUTED_VALUE"""),"R-VLM: Region-Aware Vision Language Model for Precise GUI Grounding")</f>
        <v>R-VLM: Region-Aware Vision Language Model for Precise GUI Grounding</v>
      </c>
      <c r="C585" s="7" t="str">
        <f>IFERROR(__xludf.DUMMYFUNCTION("""COMPUTED_VALUE"""),"Visual agent models for automating human activities on Graphical User Interfaces (GUIs) have emerged as a promising research direction, driven by advances in large Vision Language Models (VLMs). A critical challenge in GUI automation is the precise ground"&amp;"ing of interface elements across diverse platforms. Existing vision-only GUI agents directly ground elements from large and cluttered screenshots, requiring them to process substantial irrelevant information that compromises their accuracy. In addition, t"&amp;"hese approaches typically employ basic cross-entropy loss for learning grounding objectives, which fails to effectively capture grounding quality compared to established object detection metrics like Intersection-over-Union (IoU). To address these issues,"&amp;" we introduce R-VLM, a novel GUI grounding approach that leverages zoomed-in region proposals for precise element localization. We also propose an IoU-aware objective function that facilitates model convergence toward high IoU predictions. Our approach br"&amp;"idges the gap between VLMs and conventional object detection techniques, improving the state-of-the-art grounding accuracy by 13% across diverse GUI platforms on the GUI grounding benchmarks ScreenSpot and AgentStudio. In addition, our R-VLM approach show"&amp;"s 3.2-9.7% absolute accuracy improvements in GUI navigation tasks on the AITW and Mind2Web benchmarks.")</f>
        <v>Visual agent models for automating human activities on Graphical User Interfaces (GUIs) have emerged as a promising research direction, driven by advances in large Vision Language Models (VLMs). A critical challenge in GUI automation is the precise grounding of interface elements across diverse platforms. Existing vision-only GUI agents directly ground elements from large and cluttered screenshots, requiring them to process substantial irrelevant information that compromises their accuracy. In addition, these approaches typically employ basic cross-entropy loss for learning grounding objectives, which fails to effectively capture grounding quality compared to established object detection metrics like Intersection-over-Union (IoU). To address these issues, we introduce R-VLM, a novel GUI grounding approach that leverages zoomed-in region proposals for precise element localization. We also propose an IoU-aware objective function that facilitates model convergence toward high IoU predictions. Our approach bridges the gap between VLMs and conventional object detection techniques, improving the state-of-the-art grounding accuracy by 13% across diverse GUI platforms on the GUI grounding benchmarks ScreenSpot and AgentStudio. In addition, our R-VLM approach shows 3.2-9.7% absolute accuracy improvements in GUI navigation tasks on the AITW and Mind2Web benchmarks.</v>
      </c>
      <c r="D585" s="7" t="str">
        <f>IFERROR(__xludf.DUMMYFUNCTION("""COMPUTED_VALUE"""),"Joonhyung Park")</f>
        <v>Joonhyung Park</v>
      </c>
      <c r="E585" s="7" t="str">
        <f>IFERROR(__xludf.DUMMYFUNCTION("""COMPUTED_VALUE"""),"Yes")</f>
        <v>Yes</v>
      </c>
      <c r="F585" s="7" t="str">
        <f>IFERROR(__xludf.DUMMYFUNCTION("""COMPUTED_VALUE"""),"IP-Poster")</f>
        <v>IP-Poster</v>
      </c>
      <c r="G585" s="7" t="str">
        <f>IFERROR(__xludf.DUMMYFUNCTION("""COMPUTED_VALUE"""),"In-Person")</f>
        <v>In-Person</v>
      </c>
      <c r="H585" s="7" t="str">
        <f>IFERROR(__xludf.DUMMYFUNCTION("""COMPUTED_VALUE"""),"Hall 4/5")</f>
        <v>Hall 4/5</v>
      </c>
      <c r="I585" s="7" t="str">
        <f>IFERROR(__xludf.DUMMYFUNCTION("""COMPUTED_VALUE"""),"Session 5 :IP-Posters Find ")</f>
        <v>Session 5 :IP-Posters Find </v>
      </c>
      <c r="J585" s="7" t="str">
        <f>IFERROR(__xludf.DUMMYFUNCTION("""COMPUTED_VALUE"""),"Findings Posters - In-Person 1")</f>
        <v>Findings Posters - In-Person 1</v>
      </c>
      <c r="K585" s="7"/>
      <c r="L585" s="8">
        <f>IFERROR(__xludf.DUMMYFUNCTION("""COMPUTED_VALUE"""),45866.0)</f>
        <v>45866</v>
      </c>
      <c r="M585" s="7" t="str">
        <f>IFERROR(__xludf.DUMMYFUNCTION("""COMPUTED_VALUE"""),"18:00-19:30")</f>
        <v>18:00-19:30</v>
      </c>
      <c r="N585" s="7"/>
    </row>
    <row r="586">
      <c r="A586" s="7" t="str">
        <f>IFERROR(__xludf.DUMMYFUNCTION("""COMPUTED_VALUE"""),"2004-FIND")</f>
        <v>2004-FIND</v>
      </c>
      <c r="B586" s="7" t="str">
        <f>IFERROR(__xludf.DUMMYFUNCTION("""COMPUTED_VALUE"""),"Perspective Transition of Large Language Models for Solving Subjective Tasks")</f>
        <v>Perspective Transition of Large Language Models for Solving Subjective Tasks</v>
      </c>
      <c r="C586" s="7" t="str">
        <f>IFERROR(__xludf.DUMMYFUNCTION("""COMPUTED_VALUE"""),"Large language models (LLMs) have revolutionized the field of natural language processing, enabling remarkable progress in various tasks. Different from objective tasks such as commonsense reasoning and arithmetic question-answering, the performance of LL"&amp;"Ms on subjective tasks is still limited, where the perspective on the specific problem plays crucial roles for better interpreting the context and giving proper response. For example, in certain scenarios, LLMs may perform better when answering from an ex"&amp;"pert role perspective, potentially eliciting their relevant domain knowledge. In contrast, in some scenarios, LLMs may provide more accurate responses when answering from a third-person standpoint, enabling a more comprehensive understanding of the proble"&amp;"m and potentially mitigating inherent biases. In this paper, we propose Reasoning through Perspective Transition (RPT), a method based on in-context learning that enables LLMs to dynamically select among direct, role, and third-person perspectives for the"&amp;" best way to solve corresponding subjective problem. Through extensive experiments on totally 12 subjective tasks by using both closed-source and open-source LLMs including GPT-4, GPT-3.5, Llama-3, and Qwen-2, our method outperforms widely used single fix"&amp;"ed perspective based methods such as chain-of-thought prompting and expert prompting, highlights the intricate ways that LLMs can adapt their perspectives to provide nuanced and contextually appropriate responses for different problems.")</f>
        <v>Large language models (LLMs) have revolutionized the field of natural language processing, enabling remarkable progress in various tasks. Different from objective tasks such as commonsense reasoning and arithmetic question-answering, the performance of LLMs on subjective tasks is still limited, where the perspective on the specific problem plays crucial roles for better interpreting the context and giving proper response. For example, in certain scenarios, LLMs may perform better when answering from an expert role perspective, potentially eliciting their relevant domain knowledge. In contrast, in some scenarios, LLMs may provide more accurate responses when answering from a third-person standpoint, enabling a more comprehensive understanding of the problem and potentially mitigating inherent biases. In this paper, we propose Reasoning through Perspective Transition (RPT), a method based on in-context learning that enables LLMs to dynamically select among direct, role, and third-person perspectives for the best way to solve corresponding subjective problem. Through extensive experiments on totally 12 subjective tasks by using both closed-source and open-source LLMs including GPT-4, GPT-3.5, Llama-3, and Qwen-2, our method outperforms widely used single fixed perspective based methods such as chain-of-thought prompting and expert prompting, highlights the intricate ways that LLMs can adapt their perspectives to provide nuanced and contextually appropriate responses for different problems.</v>
      </c>
      <c r="D586" s="7" t="str">
        <f>IFERROR(__xludf.DUMMYFUNCTION("""COMPUTED_VALUE"""),"Xiaolong Wang")</f>
        <v>Xiaolong Wang</v>
      </c>
      <c r="E586" s="7" t="str">
        <f>IFERROR(__xludf.DUMMYFUNCTION("""COMPUTED_VALUE"""),"#N/A")</f>
        <v>#N/A</v>
      </c>
      <c r="F586" s="7" t="str">
        <f>IFERROR(__xludf.DUMMYFUNCTION("""COMPUTED_VALUE"""),"Not Pres. ")</f>
        <v>Not Pres. </v>
      </c>
      <c r="G586" s="7" t="str">
        <f>IFERROR(__xludf.DUMMYFUNCTION("""COMPUTED_VALUE"""),"NP Findings Not Presenting ")</f>
        <v>NP Findings Not Presenting </v>
      </c>
      <c r="H586" s="7"/>
      <c r="I586" s="7" t="str">
        <f>IFERROR(__xludf.DUMMYFUNCTION("""COMPUTED_VALUE"""),"NP-Find")</f>
        <v>NP-Find</v>
      </c>
      <c r="J586" s="7"/>
      <c r="K586" s="7"/>
      <c r="L586" s="8"/>
      <c r="M586" s="7"/>
      <c r="N586" s="7"/>
    </row>
    <row r="587">
      <c r="A587" s="7" t="str">
        <f>IFERROR(__xludf.DUMMYFUNCTION("""COMPUTED_VALUE"""),"2010-FIND")</f>
        <v>2010-FIND</v>
      </c>
      <c r="B587" s="7" t="str">
        <f>IFERROR(__xludf.DUMMYFUNCTION("""COMPUTED_VALUE"""),"TripTailor: A Real-World Benchmark for Personalized Travel Planning")</f>
        <v>TripTailor: A Real-World Benchmark for Personalized Travel Planning</v>
      </c>
      <c r="C587" s="7" t="str">
        <f>IFERROR(__xludf.DUMMYFUNCTION("""COMPUTED_VALUE"""),"The continuous evolution and enhanced reasoning capabilities of large language models (LLMs) have elevated their role in complex tasks, notably in travel planning, where demand for personalized, high-quality itineraries is rising. However, current benchma"&amp;"rks often rely on unrealistic simulated data, failing to reflect the differences between LLM-generated and real-world itineraries. Existing evaluation metrics, which primarily emphasize constraints, fall short of providing a comprehensive assessment of th"&amp;"e overall quality of travel plans. To address these limitations, we introduce TripTailor, a benchmark designed specifically for personalized travel planning in real-world scenarios. This dataset features an extensive collection of over 500,000 real-world "&amp;"points of interest (POIs) and nearly 4,000 diverse travel itineraries, complete with detailed information, providing a more authentic evaluation framework. Experiments show that fewer than 10% of the itineraries generated by the latest state-of-the-art LL"&amp;"Ms achieve human-level performance. Moreover, we identify several critical challenges in travel planning, including the feasibility, rationality, and personalized customization of the proposed solutions. We hope that TripTailor will drive the development "&amp;"of travel planning agents capable of understanding and meeting user needs while generating practical itineraries.")</f>
        <v>The continuous evolution and enhanced reasoning capabilities of large language models (LLMs) have elevated their role in complex tasks, notably in travel planning, where demand for personalized, high-quality itineraries is rising. However, current benchmarks often rely on unrealistic simulated data, failing to reflect the differences between LLM-generated and real-world itineraries. Existing evaluation metrics, which primarily emphasize constraints, fall short of providing a comprehensive assessment of the overall quality of travel plans. To address these limitations, we introduce TripTailor, a benchmark designed specifically for personalized travel planning in real-world scenarios. This dataset features an extensive collection of over 500,000 real-world points of interest (POIs) and nearly 4,000 diverse travel itineraries, complete with detailed information, providing a more authentic evaluation framework. Experiments show that fewer than 10% of the itineraries generated by the latest state-of-the-art LLMs achieve human-level performance. Moreover, we identify several critical challenges in travel planning, including the feasibility, rationality, and personalized customization of the proposed solutions. We hope that TripTailor will drive the development of travel planning agents capable of understanding and meeting user needs while generating practical itineraries.</v>
      </c>
      <c r="D587" s="7" t="str">
        <f>IFERROR(__xludf.DUMMYFUNCTION("""COMPUTED_VALUE"""),"Kaimin Wang")</f>
        <v>Kaimin Wang</v>
      </c>
      <c r="E587" s="7" t="str">
        <f>IFERROR(__xludf.DUMMYFUNCTION("""COMPUTED_VALUE"""),"#N/A")</f>
        <v>#N/A</v>
      </c>
      <c r="F587" s="7" t="str">
        <f>IFERROR(__xludf.DUMMYFUNCTION("""COMPUTED_VALUE"""),"Not Pres. ")</f>
        <v>Not Pres. </v>
      </c>
      <c r="G587" s="7" t="str">
        <f>IFERROR(__xludf.DUMMYFUNCTION("""COMPUTED_VALUE"""),"NP Findings Not Presenting ")</f>
        <v>NP Findings Not Presenting </v>
      </c>
      <c r="H587" s="7"/>
      <c r="I587" s="7" t="str">
        <f>IFERROR(__xludf.DUMMYFUNCTION("""COMPUTED_VALUE"""),"NP-Find")</f>
        <v>NP-Find</v>
      </c>
      <c r="J587" s="7"/>
      <c r="K587" s="7"/>
      <c r="L587" s="8"/>
      <c r="M587" s="7"/>
      <c r="N587" s="7"/>
    </row>
    <row r="588">
      <c r="A588" s="7" t="str">
        <f>IFERROR(__xludf.DUMMYFUNCTION("""COMPUTED_VALUE"""),"2011-FIND")</f>
        <v>2011-FIND</v>
      </c>
      <c r="B588" s="7" t="str">
        <f>IFERROR(__xludf.DUMMYFUNCTION("""COMPUTED_VALUE"""),"Random Splitting Negatively Impacts NER Evaluation: Quantifying and Eliminating the Overestimation of NER Performance")</f>
        <v>Random Splitting Negatively Impacts NER Evaluation: Quantifying and Eliminating the Overestimation of NER Performance</v>
      </c>
      <c r="C588" s="7" t="str">
        <f>IFERROR(__xludf.DUMMYFUNCTION("""COMPUTED_VALUE"""),"In named entity recognition (NER), models are evaluated on their ability to identify entity mentions in text. 
However, standard evaluation methods often rely on test sets that contain named entities already present in the training data, raising concerns "&amp;"about overestimation of model performance.
This work investigates the impact of varying degrees of entity contamination on a dataset level on the generalization ability and reported F1 scores of three state-of-the-art NER models.
Experiments on five stand"&amp;"ard benchmarks show that F1 scores for contaminated entities statistically significantly inflate reported F1 scores as contamination rates increase, with F1 performance gaps ranging from 2-10\% compared to entities not seen during training.
To address the"&amp;"se inflated F1 scores, we additionally propose a novel NER dataset splitting method using a minimum cut algorithm to minimize train-test entity leakage.
While our splitting method ensures near-zero entity contamination, we also compare new and existing da"&amp;"taset splits on named entity sample counts.")</f>
        <v>In named entity recognition (NER), models are evaluated on their ability to identify entity mentions in text. 
However, standard evaluation methods often rely on test sets that contain named entities already present in the training data, raising concerns about overestimation of model performance.
This work investigates the impact of varying degrees of entity contamination on a dataset level on the generalization ability and reported F1 scores of three state-of-the-art NER models.
Experiments on five standard benchmarks show that F1 scores for contaminated entities statistically significantly inflate reported F1 scores as contamination rates increase, with F1 performance gaps ranging from 2-10\% compared to entities not seen during training.
To address these inflated F1 scores, we additionally propose a novel NER dataset splitting method using a minimum cut algorithm to minimize train-test entity leakage.
While our splitting method ensures near-zero entity contamination, we also compare new and existing dataset splits on named entity sample counts.</v>
      </c>
      <c r="D588" s="7" t="str">
        <f>IFERROR(__xludf.DUMMYFUNCTION("""COMPUTED_VALUE"""),"Florian Babl")</f>
        <v>Florian Babl</v>
      </c>
      <c r="E588" s="7" t="str">
        <f>IFERROR(__xludf.DUMMYFUNCTION("""COMPUTED_VALUE"""),"Yes")</f>
        <v>Yes</v>
      </c>
      <c r="F588" s="7" t="str">
        <f>IFERROR(__xludf.DUMMYFUNCTION("""COMPUTED_VALUE"""),"IP-Poster")</f>
        <v>IP-Poster</v>
      </c>
      <c r="G588" s="7" t="str">
        <f>IFERROR(__xludf.DUMMYFUNCTION("""COMPUTED_VALUE"""),"In-Person")</f>
        <v>In-Person</v>
      </c>
      <c r="H588" s="7" t="str">
        <f>IFERROR(__xludf.DUMMYFUNCTION("""COMPUTED_VALUE"""),"Hall 4/5")</f>
        <v>Hall 4/5</v>
      </c>
      <c r="I588" s="7" t="str">
        <f>IFERROR(__xludf.DUMMYFUNCTION("""COMPUTED_VALUE"""),"Session 5 :IP-Posters Find ")</f>
        <v>Session 5 :IP-Posters Find </v>
      </c>
      <c r="J588" s="7" t="str">
        <f>IFERROR(__xludf.DUMMYFUNCTION("""COMPUTED_VALUE"""),"Findings Posters - In-Person 1")</f>
        <v>Findings Posters - In-Person 1</v>
      </c>
      <c r="K588" s="7"/>
      <c r="L588" s="8">
        <f>IFERROR(__xludf.DUMMYFUNCTION("""COMPUTED_VALUE"""),45866.0)</f>
        <v>45866</v>
      </c>
      <c r="M588" s="7" t="str">
        <f>IFERROR(__xludf.DUMMYFUNCTION("""COMPUTED_VALUE"""),"18:00-19:30")</f>
        <v>18:00-19:30</v>
      </c>
      <c r="N588" s="7"/>
    </row>
    <row r="589">
      <c r="A589" s="7" t="str">
        <f>IFERROR(__xludf.DUMMYFUNCTION("""COMPUTED_VALUE"""),"2014-FIND")</f>
        <v>2014-FIND</v>
      </c>
      <c r="B589" s="7" t="str">
        <f>IFERROR(__xludf.DUMMYFUNCTION("""COMPUTED_VALUE"""),"Structure-adaptive Adversarial Contrastive Learning for Multi-Domain Fake News Detection")</f>
        <v>Structure-adaptive Adversarial Contrastive Learning for Multi-Domain Fake News Detection</v>
      </c>
      <c r="C589" s="7" t="str">
        <f>IFERROR(__xludf.DUMMYFUNCTION("""COMPUTED_VALUE"""),"The rapid proliferation of fake news across multiple domains poses significant threats to society. Existing multi-domain detection models typically capture domain-shared semantic features to achieve generalized detection. However, they often fail to gener"&amp;"alize well due to poor adaptability, which limits their ability to provide complementary features for detection, especially in data-constrained conditions. To address these challenges, we investigate the propagation-adaptive multi-domain fake news detecti"&amp;"on paradigm. We propose a novel framework, Structure-adaptive Adversarial Contrastive Learning (StruACL), to adaptively enable structure knowledge transfer between multiple domains. Specifically, we first contrast representations between content-only and "&amp;"propagation-rich data to preserve structural patterns in the shared representation space. Additionally, we design a propagation-guided adversarial training strategy to enhance the diversity of representations. Under the StruACL objective, we leverage a un"&amp;"ified Transformer-based and graph-based model to jointly learn transferable semantic and structural features for detection across multiple domains. Experiments on seven fake news datasets demonstrate that StruACL-TGN achieves better multi-domain detection"&amp;" performance on general and data-constrained scenarios, showing the effectiveness and better generalization of StruACL.")</f>
        <v>The rapid proliferation of fake news across multiple domains poses significant threats to society. Existing multi-domain detection models typically capture domain-shared semantic features to achieve generalized detection. However, they often fail to generalize well due to poor adaptability, which limits their ability to provide complementary features for detection, especially in data-constrained conditions. To address these challenges, we investigate the propagation-adaptive multi-domain fake news detection paradigm. We propose a novel framework, Structure-adaptive Adversarial Contrastive Learning (StruACL), to adaptively enable structure knowledge transfer between multiple domains. Specifically, we first contrast representations between content-only and propagation-rich data to preserve structural patterns in the shared representation space. Additionally, we design a propagation-guided adversarial training strategy to enhance the diversity of representations. Under the StruACL objective, we leverage a unified Transformer-based and graph-based model to jointly learn transferable semantic and structural features for detection across multiple domains. Experiments on seven fake news datasets demonstrate that StruACL-TGN achieves better multi-domain detection performance on general and data-constrained scenarios, showing the effectiveness and better generalization of StruACL.</v>
      </c>
      <c r="D589" s="7" t="str">
        <f>IFERROR(__xludf.DUMMYFUNCTION("""COMPUTED_VALUE"""),"Lingwei Wei")</f>
        <v>Lingwei Wei</v>
      </c>
      <c r="E589" s="7" t="str">
        <f>IFERROR(__xludf.DUMMYFUNCTION("""COMPUTED_VALUE"""),"Yes")</f>
        <v>Yes</v>
      </c>
      <c r="F589" s="7" t="str">
        <f>IFERROR(__xludf.DUMMYFUNCTION("""COMPUTED_VALUE"""),"IP-Poster")</f>
        <v>IP-Poster</v>
      </c>
      <c r="G589" s="7" t="str">
        <f>IFERROR(__xludf.DUMMYFUNCTION("""COMPUTED_VALUE"""),"In-Person")</f>
        <v>In-Person</v>
      </c>
      <c r="H589" s="7" t="str">
        <f>IFERROR(__xludf.DUMMYFUNCTION("""COMPUTED_VALUE"""),"Hall 4/5")</f>
        <v>Hall 4/5</v>
      </c>
      <c r="I589" s="7" t="str">
        <f>IFERROR(__xludf.DUMMYFUNCTION("""COMPUTED_VALUE"""),"Session 7: IP-Posters")</f>
        <v>Session 7: IP-Posters</v>
      </c>
      <c r="J589" s="7" t="str">
        <f>IFERROR(__xludf.DUMMYFUNCTION("""COMPUTED_VALUE"""),"Findings Posters - In-Person 2")</f>
        <v>Findings Posters - In-Person 2</v>
      </c>
      <c r="K589" s="7"/>
      <c r="L589" s="8">
        <f>IFERROR(__xludf.DUMMYFUNCTION("""COMPUTED_VALUE"""),45867.0)</f>
        <v>45867</v>
      </c>
      <c r="M589" s="7" t="str">
        <f>IFERROR(__xludf.DUMMYFUNCTION("""COMPUTED_VALUE"""),"10:30-12:00")</f>
        <v>10:30-12:00</v>
      </c>
      <c r="N589" s="7"/>
    </row>
    <row r="590">
      <c r="A590" s="7" t="str">
        <f>IFERROR(__xludf.DUMMYFUNCTION("""COMPUTED_VALUE"""),"2025-FIND")</f>
        <v>2025-FIND</v>
      </c>
      <c r="B590" s="7" t="str">
        <f>IFERROR(__xludf.DUMMYFUNCTION("""COMPUTED_VALUE"""),"BiasGuard: A Reasoning-enhanced Bias Detection Tool For Large Language Models")</f>
        <v>BiasGuard: A Reasoning-enhanced Bias Detection Tool For Large Language Models</v>
      </c>
      <c r="C590" s="7" t="str">
        <f>IFERROR(__xludf.DUMMYFUNCTION("""COMPUTED_VALUE"""),"Identifying bias in LLM-generated content is a crucial prerequisite for ensuring fairness in LLMs. Existing methods, such as fairness classifiers and LLM-based judges, face limitations related to difficulties in understanding underlying intentions and the"&amp;" lack of criteria for fairness judgment. In this paper, we introduce BiasGuard, a novel bias detection tool that explicitly analyzes inputs and reasons through fairness specifications to provide accurate judgments. BiasGuard is implemented through a two-s"&amp;"tage approach: the first stage initializes the model to explicitly reason based on fairness specifications, while the second stage leverages reinforcement learning to enhance its reasoning and judgment capabilities. Our experiments, conducted across five "&amp;"datasets, demonstrate that BiasGuard outperforms existing tools, improving accuracy and reducing over-fairness misjudgments. We also highlight the importance of reasoning-enhanced decision-making and provide evidence for the effectiveness of our two-stage"&amp;" optimization pipeline.")</f>
        <v>Identifying bias in LLM-generated content is a crucial prerequisite for ensuring fairness in LLMs. Existing methods, such as fairness classifiers and LLM-based judges, face limitations related to difficulties in understanding underlying intentions and the lack of criteria for fairness judgment. In this paper, we introduce BiasGuard, a novel bias detection tool that explicitly analyzes inputs and reasons through fairness specifications to provide accurate judgments. BiasGuard is implemented through a two-stage approach: the first stage initializes the model to explicitly reason based on fairness specifications, while the second stage leverages reinforcement learning to enhance its reasoning and judgment capabilities. Our experiments, conducted across five datasets, demonstrate that BiasGuard outperforms existing tools, improving accuracy and reducing over-fairness misjudgments. We also highlight the importance of reasoning-enhanced decision-making and provide evidence for the effectiveness of our two-stage optimization pipeline.</v>
      </c>
      <c r="D590" s="7" t="str">
        <f>IFERROR(__xludf.DUMMYFUNCTION("""COMPUTED_VALUE"""),"Ruizhe Chen")</f>
        <v>Ruizhe Chen</v>
      </c>
      <c r="E590" s="7" t="str">
        <f>IFERROR(__xludf.DUMMYFUNCTION("""COMPUTED_VALUE"""),"Yes")</f>
        <v>Yes</v>
      </c>
      <c r="F590" s="7" t="str">
        <f>IFERROR(__xludf.DUMMYFUNCTION("""COMPUTED_VALUE"""),"IP-Poster")</f>
        <v>IP-Poster</v>
      </c>
      <c r="G590" s="7" t="str">
        <f>IFERROR(__xludf.DUMMYFUNCTION("""COMPUTED_VALUE"""),"In-Person")</f>
        <v>In-Person</v>
      </c>
      <c r="H590" s="7" t="str">
        <f>IFERROR(__xludf.DUMMYFUNCTION("""COMPUTED_VALUE"""),"Hall 4/5")</f>
        <v>Hall 4/5</v>
      </c>
      <c r="I590" s="7" t="str">
        <f>IFERROR(__xludf.DUMMYFUNCTION("""COMPUTED_VALUE"""),"Session 5 :IP-Posters Find ")</f>
        <v>Session 5 :IP-Posters Find </v>
      </c>
      <c r="J590" s="7" t="str">
        <f>IFERROR(__xludf.DUMMYFUNCTION("""COMPUTED_VALUE"""),"Findings Posters - In-Person 1")</f>
        <v>Findings Posters - In-Person 1</v>
      </c>
      <c r="K590" s="7"/>
      <c r="L590" s="8">
        <f>IFERROR(__xludf.DUMMYFUNCTION("""COMPUTED_VALUE"""),45866.0)</f>
        <v>45866</v>
      </c>
      <c r="M590" s="7" t="str">
        <f>IFERROR(__xludf.DUMMYFUNCTION("""COMPUTED_VALUE"""),"18:00-19:30")</f>
        <v>18:00-19:30</v>
      </c>
      <c r="N590" s="7"/>
    </row>
    <row r="591">
      <c r="A591" s="7" t="str">
        <f>IFERROR(__xludf.DUMMYFUNCTION("""COMPUTED_VALUE"""),"2027-FIND")</f>
        <v>2027-FIND</v>
      </c>
      <c r="B591" s="7" t="str">
        <f>IFERROR(__xludf.DUMMYFUNCTION("""COMPUTED_VALUE"""),"Qorǵau: Evaluating Safety in Kazakh-Russian Bilingual Contexts")</f>
        <v>Qorǵau: Evaluating Safety in Kazakh-Russian Bilingual Contexts</v>
      </c>
      <c r="C591" s="7" t="str">
        <f>IFERROR(__xludf.DUMMYFUNCTION("""COMPUTED_VALUE"""),"Large language models (LLMs) are known to have the potential to generate harmful content, posing risks to users. While significant progress has been made in developing taxonomies for LLM risks and safety evaluation prompts, most studies have focused on mo"&amp;"nolingual contexts, primarily in English. However, language- and region-specific risks in bilingual contexts are often overlooked, and core findings can diverge from those in monolingual settings. In this paper, we introduce Qorǵau, a novel dataset specif"&amp;"ically designed for safety evaluation in Kazakh and Russian, reflecting the unique bilingual context in Kazakhstan, where both Kazakh (a low-resource language) and Russian (a high-resource language) are spoken. Experiments with both multilingual and langu"&amp;"age-specific LLMs reveal notable differences in safety performance, emphasizing the need for tailored, region-specific datasets to ensure the responsible and safe deployment of LLMs in countries like Kazakhstan. Warning: this paper contains example data t"&amp;"hat may be offensive, harmful, or biased.")</f>
        <v>Large language models (LLMs) are known to have the potential to generate harmful content, posing risks to users. While significant progress has been made in developing taxonomies for LLM risks and safety evaluation prompts, most studies have focused on monolingual contexts, primarily in English. However, language- and region-specific risks in bilingual contexts are often overlooked, and core findings can diverge from those in monolingual settings. In this paper, we introduce Qorǵau, a novel dataset specifically designed for safety evaluation in Kazakh and Russian, reflecting the unique bilingual context in Kazakhstan, where both Kazakh (a low-resource language) and Russian (a high-resource language) are spoken. Experiments with both multilingual and language-specific LLMs reveal notable differences in safety performance, emphasizing the need for tailored, region-specific datasets to ensure the responsible and safe deployment of LLMs in countries like Kazakhstan. Warning: this paper contains example data that may be offensive, harmful, or biased.</v>
      </c>
      <c r="D591" s="7" t="str">
        <f>IFERROR(__xludf.DUMMYFUNCTION("""COMPUTED_VALUE"""),"Maiya Goloburda")</f>
        <v>Maiya Goloburda</v>
      </c>
      <c r="E591" s="7" t="str">
        <f>IFERROR(__xludf.DUMMYFUNCTION("""COMPUTED_VALUE"""),"Yes")</f>
        <v>Yes</v>
      </c>
      <c r="F591" s="7" t="str">
        <f>IFERROR(__xludf.DUMMYFUNCTION("""COMPUTED_VALUE"""),"IP-Poster")</f>
        <v>IP-Poster</v>
      </c>
      <c r="G591" s="7" t="str">
        <f>IFERROR(__xludf.DUMMYFUNCTION("""COMPUTED_VALUE"""),"In-Person")</f>
        <v>In-Person</v>
      </c>
      <c r="H591" s="7" t="str">
        <f>IFERROR(__xludf.DUMMYFUNCTION("""COMPUTED_VALUE"""),"Hall 4/5")</f>
        <v>Hall 4/5</v>
      </c>
      <c r="I591" s="7" t="str">
        <f>IFERROR(__xludf.DUMMYFUNCTION("""COMPUTED_VALUE"""),"Session 5 :IP-Posters Find ")</f>
        <v>Session 5 :IP-Posters Find </v>
      </c>
      <c r="J591" s="7" t="str">
        <f>IFERROR(__xludf.DUMMYFUNCTION("""COMPUTED_VALUE"""),"Findings Posters - In-Person 1")</f>
        <v>Findings Posters - In-Person 1</v>
      </c>
      <c r="K591" s="7"/>
      <c r="L591" s="8">
        <f>IFERROR(__xludf.DUMMYFUNCTION("""COMPUTED_VALUE"""),45866.0)</f>
        <v>45866</v>
      </c>
      <c r="M591" s="7" t="str">
        <f>IFERROR(__xludf.DUMMYFUNCTION("""COMPUTED_VALUE"""),"18:00-19:30")</f>
        <v>18:00-19:30</v>
      </c>
      <c r="N591" s="7"/>
    </row>
    <row r="592">
      <c r="A592" s="7" t="str">
        <f>IFERROR(__xludf.DUMMYFUNCTION("""COMPUTED_VALUE"""),"2034-FIND")</f>
        <v>2034-FIND</v>
      </c>
      <c r="B592" s="7" t="str">
        <f>IFERROR(__xludf.DUMMYFUNCTION("""COMPUTED_VALUE"""),"MMXU: A Multi-Modal and Multi-X-ray Understanding Dataset for Disease Progression")</f>
        <v>MMXU: A Multi-Modal and Multi-X-ray Understanding Dataset for Disease Progression</v>
      </c>
      <c r="C592" s="7" t="str">
        <f>IFERROR(__xludf.DUMMYFUNCTION("""COMPUTED_VALUE"""),"Large vision-language models (LVLMs) have shown great promise in medical applications, particularly in visual question answering (MedVQA) and diagnosis from medical images. However, existing datasets and models often fail to consider critical aspects of m"&amp;"edical diagnostics, such as the integration of historical records and the analysis of disease progression over time. In this paper, we introduce MMXU (Multimodal and MultiX-ray Understanding), a novel dataset for MedVQA that focuses on identifying changes"&amp;" in specific regions between two patient visits. Unlike previous datasets that primarily address single-image questions, MMXU enables multi-image questions, incorporating both current and historical patient data. We demonstrate the limitations of current "&amp;"LVLMs in identifying disease progression on MMXU-test, even those that perform well on traditional benchmarks. To address this, we propose a MedRecord-Augmented Generation (MAG) approach, incorporating both global and regional historical records.Our exper"&amp;"iments show that integrating historical records significantly enhances diagnostic accuracy by at least 20%, bridging the gap between current LVLMs and human expert performance. Additionally, we fine-tune models with MAG on MMXU-dev, which demonstrates not"&amp;"able improvements. We hope this work could illuminate the avenue of advancing the use of LVLMs in medical diagnostics by emphasizing the importance of historical context in interpreting medical images.Our dataset is released at github.")</f>
        <v>Large vision-language models (LVLMs) have shown great promise in medical applications, particularly in visual question answering (MedVQA) and diagnosis from medical images. However, existing datasets and models often fail to consider critical aspects of medical diagnostics, such as the integration of historical records and the analysis of disease progression over time. In this paper, we introduce MMXU (Multimodal and MultiX-ray Understanding), a novel dataset for MedVQA that focuses on identifying changes in specific regions between two patient visits. Unlike previous datasets that primarily address single-image questions, MMXU enables multi-image questions, incorporating both current and historical patient data. We demonstrate the limitations of current LVLMs in identifying disease progression on MMXU-test, even those that perform well on traditional benchmarks. To address this, we propose a MedRecord-Augmented Generation (MAG) approach, incorporating both global and regional historical records.Our experiments show that integrating historical records significantly enhances diagnostic accuracy by at least 20%, bridging the gap between current LVLMs and human expert performance. Additionally, we fine-tune models with MAG on MMXU-dev, which demonstrates notable improvements. We hope this work could illuminate the avenue of advancing the use of LVLMs in medical diagnostics by emphasizing the importance of historical context in interpreting medical images.Our dataset is released at github.</v>
      </c>
      <c r="D592" s="7" t="str">
        <f>IFERROR(__xludf.DUMMYFUNCTION("""COMPUTED_VALUE"""),"A Multi-Modal Dataset for Disease Progression")</f>
        <v>A Multi-Modal Dataset for Disease Progression</v>
      </c>
      <c r="E592" s="7" t="str">
        <f>IFERROR(__xludf.DUMMYFUNCTION("""COMPUTED_VALUE"""),"Yes")</f>
        <v>Yes</v>
      </c>
      <c r="F592" s="7" t="str">
        <f>IFERROR(__xludf.DUMMYFUNCTION("""COMPUTED_VALUE"""),"Not Pres. ")</f>
        <v>Not Pres. </v>
      </c>
      <c r="G592" s="7" t="str">
        <f>IFERROR(__xludf.DUMMYFUNCTION("""COMPUTED_VALUE"""),"NP Findings Not Presenting ")</f>
        <v>NP Findings Not Presenting </v>
      </c>
      <c r="H592" s="7"/>
      <c r="I592" s="7"/>
      <c r="J592" s="7"/>
      <c r="K592" s="7"/>
      <c r="L592" s="8"/>
      <c r="M592" s="7"/>
      <c r="N592" s="7"/>
    </row>
    <row r="593">
      <c r="A593" s="7" t="str">
        <f>IFERROR(__xludf.DUMMYFUNCTION("""COMPUTED_VALUE"""),"2036-FIND")</f>
        <v>2036-FIND</v>
      </c>
      <c r="B593" s="7" t="str">
        <f>IFERROR(__xludf.DUMMYFUNCTION("""COMPUTED_VALUE"""),"Tree-of-Code: A Self-Growing Tree Framework for End-to-End Code Generation and Execution in Complex Tasks")</f>
        <v>Tree-of-Code: A Self-Growing Tree Framework for End-to-End Code Generation and Execution in Complex Tasks</v>
      </c>
      <c r="C593" s="7" t="str">
        <f>IFERROR(__xludf.DUMMYFUNCTION("""COMPUTED_VALUE"""),"Solving complex reasoning tasks is a key real-world application of agents. Thanks to the pretraining of Large Language Models (LLMs) on code data, recent approaches like CodeAct successfully use code as LLM agents' action, achieving good results. However,"&amp;" CodeAct greedily generates the next action's code block by relying on fragmented thoughts, resulting in inconsistency and accumulative hallucination. Moreover, CodeAct lacks action-related ground-truth (GT), making its supervision signals and termination"&amp;" conditions questionable in multi-turn interactions. To address these issues, we propose Tree-of-Code (ToC), a self-growing framework that generates nodes through self-supervision, incorporating prompt and model exploration in a GT-free setting. Each node"&amp;" employs CodeProgram, an end-to-end code generation paradigm that aligns executable code logic with global reasoning. This approach uses task-level execution success as both node validity and stop-growing flags, bypassing process supervision to enable onl"&amp;"ine applications. Experiments on two datasets with ten popular zero-shot LLMs show that ToC boosts accuracy by nearly 20% over CodeAct with fewer than 1/4 turns. To further investigate the trade-off between efficacy and efficiency, ablation studies on dif"&amp;"ferent ToC tree sizes and exploration mechanisms validate ToC's superiority.")</f>
        <v>Solving complex reasoning tasks is a key real-world application of agents. Thanks to the pretraining of Large Language Models (LLMs) on code data, recent approaches like CodeAct successfully use code as LLM agents' action, achieving good results. However, CodeAct greedily generates the next action's code block by relying on fragmented thoughts, resulting in inconsistency and accumulative hallucination. Moreover, CodeAct lacks action-related ground-truth (GT), making its supervision signals and termination conditions questionable in multi-turn interactions. To address these issues, we propose Tree-of-Code (ToC), a self-growing framework that generates nodes through self-supervision, incorporating prompt and model exploration in a GT-free setting. Each node employs CodeProgram, an end-to-end code generation paradigm that aligns executable code logic with global reasoning. This approach uses task-level execution success as both node validity and stop-growing flags, bypassing process supervision to enable online applications. Experiments on two datasets with ten popular zero-shot LLMs show that ToC boosts accuracy by nearly 20% over CodeAct with fewer than 1/4 turns. To further investigate the trade-off between efficacy and efficiency, ablation studies on different ToC tree sizes and exploration mechanisms validate ToC's superiority.</v>
      </c>
      <c r="D593" s="7" t="str">
        <f>IFERROR(__xludf.DUMMYFUNCTION("""COMPUTED_VALUE"""),"None")</f>
        <v>None</v>
      </c>
      <c r="E593" s="7" t="str">
        <f>IFERROR(__xludf.DUMMYFUNCTION("""COMPUTED_VALUE"""),"#N/A")</f>
        <v>#N/A</v>
      </c>
      <c r="F593" s="7" t="str">
        <f>IFERROR(__xludf.DUMMYFUNCTION("""COMPUTED_VALUE"""),"Not Pres. ")</f>
        <v>Not Pres. </v>
      </c>
      <c r="G593" s="7" t="str">
        <f>IFERROR(__xludf.DUMMYFUNCTION("""COMPUTED_VALUE"""),"NP Findings Not Presenting ")</f>
        <v>NP Findings Not Presenting </v>
      </c>
      <c r="H593" s="7"/>
      <c r="I593" s="7" t="str">
        <f>IFERROR(__xludf.DUMMYFUNCTION("""COMPUTED_VALUE"""),"NP-Find")</f>
        <v>NP-Find</v>
      </c>
      <c r="J593" s="7"/>
      <c r="K593" s="7"/>
      <c r="L593" s="8"/>
      <c r="M593" s="7"/>
      <c r="N593" s="7"/>
    </row>
    <row r="594">
      <c r="A594" s="7" t="str">
        <f>IFERROR(__xludf.DUMMYFUNCTION("""COMPUTED_VALUE"""),"2040-FIND")</f>
        <v>2040-FIND</v>
      </c>
      <c r="B594" s="7" t="str">
        <f>IFERROR(__xludf.DUMMYFUNCTION("""COMPUTED_VALUE"""),"Akan Cinematic Emotions (ACE): A Multimodal Multi-party Dataset for Emotion Recognition in Movie Dialogues")</f>
        <v>Akan Cinematic Emotions (ACE): A Multimodal Multi-party Dataset for Emotion Recognition in Movie Dialogues</v>
      </c>
      <c r="C594" s="7" t="str">
        <f>IFERROR(__xludf.DUMMYFUNCTION("""COMPUTED_VALUE"""),"In this paper, we introduce the Akan Cinematic Emotions (AkaCE) dataset, the first multimodal emotion dialogue dataset for an African language, addressing the significant lack of resources for low-resource languages in emotion recognition research. AkaCE,"&amp;" developed for the Akan language, contains 385 emotion-labeled dialogues and 6162 utterances across audio, visual, and textual modalities, along with word-level prosodic prominence annotations. The presence of prosodic labels in this dataset also makes it"&amp;" the first prosodically annotated African language dataset. We demonstrate the quality and utility of AkaCE through experiments using state-of-the-art emotion recognition methods, establishing solid baselines for future research. We hope AkaCE inspires fu"&amp;"rther work on inclusive, linguistically and culturally diverse NLP resources.")</f>
        <v>In this paper, we introduce the Akan Cinematic Emotions (AkaCE) dataset, the first multimodal emotion dialogue dataset for an African language, addressing the significant lack of resources for low-resource languages in emotion recognition research. AkaCE, developed for the Akan language, contains 385 emotion-labeled dialogues and 6162 utterances across audio, visual, and textual modalities, along with word-level prosodic prominence annotations. The presence of prosodic labels in this dataset also makes it the first prosodically annotated African language dataset. We demonstrate the quality and utility of AkaCE through experiments using state-of-the-art emotion recognition methods, establishing solid baselines for future research. We hope AkaCE inspires further work on inclusive, linguistically and culturally diverse NLP resources.</v>
      </c>
      <c r="D594" s="7" t="str">
        <f>IFERROR(__xludf.DUMMYFUNCTION("""COMPUTED_VALUE"""),"David Sasu")</f>
        <v>David Sasu</v>
      </c>
      <c r="E594" s="7" t="str">
        <f>IFERROR(__xludf.DUMMYFUNCTION("""COMPUTED_VALUE"""),"Yes")</f>
        <v>Yes</v>
      </c>
      <c r="F594" s="7" t="str">
        <f>IFERROR(__xludf.DUMMYFUNCTION("""COMPUTED_VALUE"""),"IP-Poster")</f>
        <v>IP-Poster</v>
      </c>
      <c r="G594" s="7" t="str">
        <f>IFERROR(__xludf.DUMMYFUNCTION("""COMPUTED_VALUE"""),"In-Person")</f>
        <v>In-Person</v>
      </c>
      <c r="H594" s="7" t="str">
        <f>IFERROR(__xludf.DUMMYFUNCTION("""COMPUTED_VALUE"""),"Hall 4/5")</f>
        <v>Hall 4/5</v>
      </c>
      <c r="I594" s="7" t="str">
        <f>IFERROR(__xludf.DUMMYFUNCTION("""COMPUTED_VALUE"""),"Session 5 :IP-Posters Find ")</f>
        <v>Session 5 :IP-Posters Find </v>
      </c>
      <c r="J594" s="7" t="str">
        <f>IFERROR(__xludf.DUMMYFUNCTION("""COMPUTED_VALUE"""),"Findings Posters - In-Person 1")</f>
        <v>Findings Posters - In-Person 1</v>
      </c>
      <c r="K594" s="7"/>
      <c r="L594" s="8">
        <f>IFERROR(__xludf.DUMMYFUNCTION("""COMPUTED_VALUE"""),45866.0)</f>
        <v>45866</v>
      </c>
      <c r="M594" s="7" t="str">
        <f>IFERROR(__xludf.DUMMYFUNCTION("""COMPUTED_VALUE"""),"18:00-19:30")</f>
        <v>18:00-19:30</v>
      </c>
      <c r="N594" s="7"/>
    </row>
    <row r="595">
      <c r="A595" s="7" t="str">
        <f>IFERROR(__xludf.DUMMYFUNCTION("""COMPUTED_VALUE"""),"2041-FIND")</f>
        <v>2041-FIND</v>
      </c>
      <c r="B595" s="7" t="str">
        <f>IFERROR(__xludf.DUMMYFUNCTION("""COMPUTED_VALUE"""),"A Cognitive Writing Perspective for Constrained Long-Form Text Generation")</f>
        <v>A Cognitive Writing Perspective for Constrained Long-Form Text Generation</v>
      </c>
      <c r="C595" s="7" t="str">
        <f>IFERROR(__xludf.DUMMYFUNCTION("""COMPUTED_VALUE"""),"Like humans, Large Language Models (LLMs) struggle to generate high-quality long-form text that adheres to strict requirements in a single pass. This challenge is unsurprising, as successful human writing, according to the Cognitive Writing Theory, is a c"&amp;"omplex cognitive process involving iterative planning, translating, reviewing, and monitoring. Motivated by these cognitive principles, we aim to equip LLMs with human-like cognitive writing capabilities through CogWriter, a novel training-free framework "&amp;"that transforms LLM constrained long-form text generation into a systematic cognitive writing paradigm. Our framework consists of two key modules: (1) a Planning Agent that performs hierarchical planning to decompose the task, and (2) multiple Generation "&amp;"Agents that execute these plans in parallel. The system maintains quality via continuous monitoring and reviewing mechanisms, which evaluate outputs against specified requirements and trigger necessary revisions. CogWriter demonstrates exceptional perform"&amp;"ance on LongGenBench, a benchmark for complex constrained long-form text generation. Even when using Qwen-2.5-14B as its backbone, CogWriter surpasses GPT-4o by 22% in complex instruction completion accuracy while reliably generating texts exceeding 10,00"&amp;"0 words. We hope this cognitive science-inspired approach provides a paradigm for LLM writing advancements: https://anonymous.4open.science/r/CogWriter-8DFE.")</f>
        <v>Like humans, Large Language Models (LLMs) struggle to generate high-quality long-form text that adheres to strict requirements in a single pass. This challenge is unsurprising, as successful human writing, according to the Cognitive Writing Theory, is a complex cognitive process involving iterative planning, translating, reviewing, and monitoring. Motivated by these cognitive principles, we aim to equip LLMs with human-like cognitive writing capabilities through CogWriter, a novel training-free framework that transforms LLM constrained long-form text generation into a systematic cognitive writing paradigm. Our framework consists of two key modules: (1) a Planning Agent that performs hierarchical planning to decompose the task, and (2) multiple Generation Agents that execute these plans in parallel. The system maintains quality via continuous monitoring and reviewing mechanisms, which evaluate outputs against specified requirements and trigger necessary revisions. CogWriter demonstrates exceptional performance on LongGenBench, a benchmark for complex constrained long-form text generation. Even when using Qwen-2.5-14B as its backbone, CogWriter surpasses GPT-4o by 22% in complex instruction completion accuracy while reliably generating texts exceeding 10,000 words. We hope this cognitive science-inspired approach provides a paradigm for LLM writing advancements: https://anonymous.4open.science/r/CogWriter-8DFE.</v>
      </c>
      <c r="D595" s="7" t="str">
        <f>IFERROR(__xludf.DUMMYFUNCTION("""COMPUTED_VALUE"""),"N/A")</f>
        <v>N/A</v>
      </c>
      <c r="E595" s="7" t="str">
        <f>IFERROR(__xludf.DUMMYFUNCTION("""COMPUTED_VALUE"""),"#N/A")</f>
        <v>#N/A</v>
      </c>
      <c r="F595" s="7" t="str">
        <f>IFERROR(__xludf.DUMMYFUNCTION("""COMPUTED_VALUE"""),"Not Pres. ")</f>
        <v>Not Pres. </v>
      </c>
      <c r="G595" s="7" t="str">
        <f>IFERROR(__xludf.DUMMYFUNCTION("""COMPUTED_VALUE"""),"NP Findings Not Presenting ")</f>
        <v>NP Findings Not Presenting </v>
      </c>
      <c r="H595" s="7"/>
      <c r="I595" s="7" t="str">
        <f>IFERROR(__xludf.DUMMYFUNCTION("""COMPUTED_VALUE"""),"NP-Find")</f>
        <v>NP-Find</v>
      </c>
      <c r="J595" s="7"/>
      <c r="K595" s="7"/>
      <c r="L595" s="8"/>
      <c r="M595" s="7"/>
      <c r="N595" s="7"/>
    </row>
    <row r="596">
      <c r="A596" s="7" t="str">
        <f>IFERROR(__xludf.DUMMYFUNCTION("""COMPUTED_VALUE"""),"2045-FIND")</f>
        <v>2045-FIND</v>
      </c>
      <c r="B596" s="7" t="str">
        <f>IFERROR(__xludf.DUMMYFUNCTION("""COMPUTED_VALUE"""),"Migician: Revealing the Magic of Free-Form Multi-Image Grounding in Multimodal Large Language Models")</f>
        <v>Migician: Revealing the Magic of Free-Form Multi-Image Grounding in Multimodal Large Language Models</v>
      </c>
      <c r="C596" s="7" t="str">
        <f>IFERROR(__xludf.DUMMYFUNCTION("""COMPUTED_VALUE"""),"The recent advancement of Multimodal Large Language Models (MLLMs) has significantly improved their fine-grained perception of single images and general comprehension across multiple images. However, existing MLLMs still face challenges in achieving preci"&amp;"se grounding in complex multi-image scenarios. To address this, we first explore a Chain-of-Thought (CoT) framework that integrates single-image grounding with multi-image comprehension. While partially effective, it remains unstable and struggles to capt"&amp;"ure abstract visual information due to its non-end-to-end nature. Therefore, we introduce Migician, the first multi-image grounding model capable of performing free-form and accurate grounding across multiple images. To support this, we present the MGroun"&amp;"ding-630k dataset, which comprises data for several multi-image grounding tasks derived from existing datasets, along with newly generated free-form grounding instruction-following data. Furthermore, we propose MIG-Bench, a comprehensive benchmark specifi"&amp;"cally designed for evaluating multi-image grounding capabilities. Experimental results demonstrate that our model achieves significantly superior multi-image grounding capabilities, outperforming the best existing MLLMs by 24.94% and even surpassing much "&amp;"larger 70B models. Our code, model, dataset, and benchmark are fully open-sourced at https://migician-vg.github.io/.")</f>
        <v>The recent advancement of Multimodal Large Language Models (MLLMs) has significantly improved their fine-grained perception of single images and general comprehension across multiple images. However, existing MLLMs still face challenges in achieving precise grounding in complex multi-image scenarios. To address this, we first explore a Chain-of-Thought (CoT) framework that integrates single-image grounding with multi-image comprehension. While partially effective, it remains unstable and struggles to capture abstract visual information due to its non-end-to-end nature. Therefore, we introduce Migician, the first multi-image grounding model capable of performing free-form and accurate grounding across multiple images. To support this, we present the MGrounding-630k dataset, which comprises data for several multi-image grounding tasks derived from existing datasets, along with newly generated free-form grounding instruction-following data. Furthermore, we propose MIG-Bench, a comprehensive benchmark specifically designed for evaluating multi-image grounding capabilities. Experimental results demonstrate that our model achieves significantly superior multi-image grounding capabilities, outperforming the best existing MLLMs by 24.94% and even surpassing much larger 70B models. Our code, model, dataset, and benchmark are fully open-sourced at https://migician-vg.github.io/.</v>
      </c>
      <c r="D596" s="7" t="str">
        <f>IFERROR(__xludf.DUMMYFUNCTION("""COMPUTED_VALUE"""),"No presentation")</f>
        <v>No presentation</v>
      </c>
      <c r="E596" s="7" t="str">
        <f>IFERROR(__xludf.DUMMYFUNCTION("""COMPUTED_VALUE"""),"#N/A")</f>
        <v>#N/A</v>
      </c>
      <c r="F596" s="7" t="str">
        <f>IFERROR(__xludf.DUMMYFUNCTION("""COMPUTED_VALUE"""),"Not Pres. ")</f>
        <v>Not Pres. </v>
      </c>
      <c r="G596" s="7" t="str">
        <f>IFERROR(__xludf.DUMMYFUNCTION("""COMPUTED_VALUE"""),"NP Findings Not Presenting ")</f>
        <v>NP Findings Not Presenting </v>
      </c>
      <c r="H596" s="7"/>
      <c r="I596" s="7" t="str">
        <f>IFERROR(__xludf.DUMMYFUNCTION("""COMPUTED_VALUE"""),"NP-Find")</f>
        <v>NP-Find</v>
      </c>
      <c r="J596" s="7"/>
      <c r="K596" s="7"/>
      <c r="L596" s="8"/>
      <c r="M596" s="7"/>
      <c r="N596" s="7"/>
    </row>
    <row r="597">
      <c r="A597" s="7" t="str">
        <f>IFERROR(__xludf.DUMMYFUNCTION("""COMPUTED_VALUE"""),"2056-FIND")</f>
        <v>2056-FIND</v>
      </c>
      <c r="B597" s="7" t="str">
        <f>IFERROR(__xludf.DUMMYFUNCTION("""COMPUTED_VALUE"""),"SIKeD: Self-guided Iterative Knowledge Distillation for Mathematical Reasoning")</f>
        <v>SIKeD: Self-guided Iterative Knowledge Distillation for Mathematical Reasoning</v>
      </c>
      <c r="C597" s="7" t="str">
        <f>IFERROR(__xludf.DUMMYFUNCTION("""COMPUTED_VALUE"""),"Large Language Models (LLMs) can transfer their reasoning skills to smaller models by teaching them to generate the intermediate reasoning process required to solve multistep reasoning tasks. While LLMs can accurately solve reasoning tasks through a varie"&amp;"ty of strategies, even without fine-tuning, smaller models are not expressive enough to fit the LLMs distribution on all strategies when distilled and tend to prioritize one strategy over the others. This reliance on one strategy poses a challenge for sma"&amp;"ller models when attempting to solve reasoning tasks that may be difficult with their preferred strategy. To address this, we propose a distillation method SIKeD: **S**elf-guided **I**terative **K**nowledg**e** **D**istillation, where the LLM teaches the "&amp;"smaller model to approach a task using different strategies and the smaller model uses its self-generated on-policy outputs to choose the most suitable strategy for the given task. The training continues in a self-guided iterative manner, where for each t"&amp;"raining iteration, a decision is made on how to combine the LLM data with the self-generated outputs. Unlike traditional distillation methods, SIKeD allows the smaller model to learn which strategy is suitable for a given task while continuously learning "&amp;"to solve a task using different strategies. Our experiments on various mathematical reasoning datasets show that SIKeD significantly outperforms traditional distillation techniques across smaller models of different sizes.")</f>
        <v>Large Language Models (LLMs) can transfer their reasoning skills to smaller models by teaching them to generate the intermediate reasoning process required to solve multistep reasoning tasks. While LLMs can accurately solve reasoning tasks through a variety of strategies, even without fine-tuning, smaller models are not expressive enough to fit the LLMs distribution on all strategies when distilled and tend to prioritize one strategy over the others. This reliance on one strategy poses a challenge for smaller models when attempting to solve reasoning tasks that may be difficult with their preferred strategy. To address this, we propose a distillation method SIKeD: **S**elf-guided **I**terative **K**nowledg**e** **D**istillation, where the LLM teaches the smaller model to approach a task using different strategies and the smaller model uses its self-generated on-policy outputs to choose the most suitable strategy for the given task. The training continues in a self-guided iterative manner, where for each training iteration, a decision is made on how to combine the LLM data with the self-generated outputs. Unlike traditional distillation methods, SIKeD allows the smaller model to learn which strategy is suitable for a given task while continuously learning to solve a task using different strategies. Our experiments on various mathematical reasoning datasets show that SIKeD significantly outperforms traditional distillation techniques across smaller models of different sizes.</v>
      </c>
      <c r="D597" s="7" t="str">
        <f>IFERROR(__xludf.DUMMYFUNCTION("""COMPUTED_VALUE"""),"Shivam Adarsh")</f>
        <v>Shivam Adarsh</v>
      </c>
      <c r="E597" s="7" t="str">
        <f>IFERROR(__xludf.DUMMYFUNCTION("""COMPUTED_VALUE"""),"Yes")</f>
        <v>Yes</v>
      </c>
      <c r="F597" s="7" t="str">
        <f>IFERROR(__xludf.DUMMYFUNCTION("""COMPUTED_VALUE"""),"IP-Poster")</f>
        <v>IP-Poster</v>
      </c>
      <c r="G597" s="7" t="str">
        <f>IFERROR(__xludf.DUMMYFUNCTION("""COMPUTED_VALUE"""),"In-Person")</f>
        <v>In-Person</v>
      </c>
      <c r="H597" s="7" t="str">
        <f>IFERROR(__xludf.DUMMYFUNCTION("""COMPUTED_VALUE"""),"Hall 4/5")</f>
        <v>Hall 4/5</v>
      </c>
      <c r="I597" s="7" t="str">
        <f>IFERROR(__xludf.DUMMYFUNCTION("""COMPUTED_VALUE"""),"Session 5 :IP-Posters Find ")</f>
        <v>Session 5 :IP-Posters Find </v>
      </c>
      <c r="J597" s="7" t="str">
        <f>IFERROR(__xludf.DUMMYFUNCTION("""COMPUTED_VALUE"""),"Findings Posters - In-Person 1")</f>
        <v>Findings Posters - In-Person 1</v>
      </c>
      <c r="K597" s="7"/>
      <c r="L597" s="8">
        <f>IFERROR(__xludf.DUMMYFUNCTION("""COMPUTED_VALUE"""),45866.0)</f>
        <v>45866</v>
      </c>
      <c r="M597" s="7" t="str">
        <f>IFERROR(__xludf.DUMMYFUNCTION("""COMPUTED_VALUE"""),"18:00-19:30")</f>
        <v>18:00-19:30</v>
      </c>
      <c r="N597" s="7"/>
    </row>
    <row r="598">
      <c r="A598" s="7" t="str">
        <f>IFERROR(__xludf.DUMMYFUNCTION("""COMPUTED_VALUE"""),"2057-FIND")</f>
        <v>2057-FIND</v>
      </c>
      <c r="B598" s="7" t="str">
        <f>IFERROR(__xludf.DUMMYFUNCTION("""COMPUTED_VALUE"""),"Chain of Attack: Hide Your Intention through Multi-Turn Interrogation")</f>
        <v>Chain of Attack: Hide Your Intention through Multi-Turn Interrogation</v>
      </c>
      <c r="C598" s="7" t="str">
        <f>IFERROR(__xludf.DUMMYFUNCTION("""COMPUTED_VALUE"""),"The latent knowledge of large language models (LLMs) contains harmful or unethical content, which introduces significant security risks upon their widespread deployment. Conducting jailbreak attacks on LLMs can proactively identify vulnerabilities to enha"&amp;"nce their security measures. However, previous jailbreak attacks primarily focus on single-turn dialogue scenarios, leaving vulnerabilities in multi-turn dialogue contexts inadequately explored. This paper investigates the resilience of black-box LLMs in "&amp;"multi-turn jailbreak attack scenarios from a novel interrogation perspective. We propose an optimal interrogation principle to conceal the jailbreak intent and introduce a multi-turn attack chain generation strategy called CoA. By employing two effective "&amp;"interrogation strategies tailored for LLMs, coupled with an interrogation history record management mechanis, it achieves a significant optimization of the attack process. Our approach enables the iterative generation of attack chains, offering a powerful"&amp;" tool for LLM red team testing. Experimental results demonstrate that LLMs exhibit insufficient resistance under multi-turn interrogation, with our method shows more advantages(ASR, 83% vs 64%). This work offers new insights into improving the safety of L"&amp;"LMs.")</f>
        <v>The latent knowledge of large language models (LLMs) contains harmful or unethical content, which introduces significant security risks upon their widespread deployment. Conducting jailbreak attacks on LLMs can proactively identify vulnerabilities to enhance their security measures. However, previous jailbreak attacks primarily focus on single-turn dialogue scenarios, leaving vulnerabilities in multi-turn dialogue contexts inadequately explored. This paper investigates the resilience of black-box LLMs in multi-turn jailbreak attack scenarios from a novel interrogation perspective. We propose an optimal interrogation principle to conceal the jailbreak intent and introduce a multi-turn attack chain generation strategy called CoA. By employing two effective interrogation strategies tailored for LLMs, coupled with an interrogation history record management mechanis, it achieves a significant optimization of the attack process. Our approach enables the iterative generation of attack chains, offering a powerful tool for LLM red team testing. Experimental results demonstrate that LLMs exhibit insufficient resistance under multi-turn interrogation, with our method shows more advantages(ASR, 83% vs 64%). This work offers new insights into improving the safety of LLMs.</v>
      </c>
      <c r="D598" s="7" t="str">
        <f>IFERROR(__xludf.DUMMYFUNCTION("""COMPUTED_VALUE"""),"Xikang Yang")</f>
        <v>Xikang Yang</v>
      </c>
      <c r="E598" s="7" t="str">
        <f>IFERROR(__xludf.DUMMYFUNCTION("""COMPUTED_VALUE"""),"Yes")</f>
        <v>Yes</v>
      </c>
      <c r="F598" s="7" t="str">
        <f>IFERROR(__xludf.DUMMYFUNCTION("""COMPUTED_VALUE"""),"V-Presentation")</f>
        <v>V-Presentation</v>
      </c>
      <c r="G598" s="7" t="str">
        <f>IFERROR(__xludf.DUMMYFUNCTION("""COMPUTED_VALUE"""),"Virtual/Gather")</f>
        <v>Virtual/Gather</v>
      </c>
      <c r="H598" s="7" t="str">
        <f>IFERROR(__xludf.DUMMYFUNCTION("""COMPUTED_VALUE"""),"Gather")</f>
        <v>Gather</v>
      </c>
      <c r="I598" s="7" t="str">
        <f>IFERROR(__xludf.DUMMYFUNCTION("""COMPUTED_VALUE"""),"Session5: V-Gather Find")</f>
        <v>Session5: V-Gather Find</v>
      </c>
      <c r="J598" s="7" t="str">
        <f>IFERROR(__xludf.DUMMYFUNCTION("""COMPUTED_VALUE"""),"Findings Posters - Virtual")</f>
        <v>Findings Posters - Virtual</v>
      </c>
      <c r="K598" s="7"/>
      <c r="L598" s="8">
        <f>IFERROR(__xludf.DUMMYFUNCTION("""COMPUTED_VALUE"""),45866.0)</f>
        <v>45866</v>
      </c>
      <c r="M598" s="7" t="str">
        <f>IFERROR(__xludf.DUMMYFUNCTION("""COMPUTED_VALUE"""),"18:00-19:30")</f>
        <v>18:00-19:30</v>
      </c>
      <c r="N598" s="7"/>
    </row>
    <row r="599">
      <c r="A599" s="7" t="str">
        <f>IFERROR(__xludf.DUMMYFUNCTION("""COMPUTED_VALUE"""),"2060-FIND")</f>
        <v>2060-FIND</v>
      </c>
      <c r="B599" s="7" t="str">
        <f>IFERROR(__xludf.DUMMYFUNCTION("""COMPUTED_VALUE"""),"MIG: Automatic Data Selection for Instruction Tuning by Maximizing Information Gain in Semantic Space")</f>
        <v>MIG: Automatic Data Selection for Instruction Tuning by Maximizing Information Gain in Semantic Space</v>
      </c>
      <c r="C599" s="7" t="str">
        <f>IFERROR(__xludf.DUMMYFUNCTION("""COMPUTED_VALUE"""),"Data quality and diversity are pivotal in constructing effective instruction-tuning datasets. With the increasing availability of open-source instruction-tuning datasets, it is advantageous to automatically select high-quality and diverse subsets from a v"&amp;"ast amount of data. Existing methods typically prioritize instance quality and use heuristic rules to maintain diversity. However, this absence of a comprehensive view of the entire collection often leads to suboptimal results. Moreover, heuristic rules g"&amp;"enerally focus on distance or clustering within the embedding space, which fails to capture the intent of complex instructions in semantic space accurately. To bridge this gap, we propose a unified dataset information measurement method. This method model"&amp;"s the semantic space by constructing a label graph and quantifies diversity based on the distribution of information within the graph. Based on such measurement, we further introduce an efficient sampling method that selects data samples iteratively to Ma"&amp;"ximize the Information Gain (MIG) in semantic space. Experiments on various datasets and base models demonstrate that MIG consistently outperforms state-of-the-art methods. Notably, the model fine-tuned with 5% Tulu3 data sampled by MIG achieves comparabl"&amp;"e performance to the official SFT model trained on the full dataset, with improvements of +5.73% on AlpacaEval and +6.89% on Wildbench. This finding shows the potential for unified dataset measurement in guiding instruction data selection. Code will be av"&amp;"ailable.")</f>
        <v>Data quality and diversity are pivotal in constructing effective instruction-tuning datasets. With the increasing availability of open-source instruction-tuning datasets, it is advantageous to automatically select high-quality and diverse subsets from a vast amount of data. Existing methods typically prioritize instance quality and use heuristic rules to maintain diversity. However, this absence of a comprehensive view of the entire collection often leads to suboptimal results. Moreover, heuristic rules generally focus on distance or clustering within the embedding space, which fails to capture the intent of complex instructions in semantic space accurately. To bridge this gap, we propose a unified dataset information measurement method. This method models the semantic space by constructing a label graph and quantifies diversity based on the distribution of information within the graph. Based on such measurement, we further introduce an efficient sampling method that selects data samples iteratively to Maximize the Information Gain (MIG) in semantic space. Experiments on various datasets and base models demonstrate that MIG consistently outperforms state-of-the-art methods. Notably, the model fine-tuned with 5% Tulu3 data sampled by MIG achieves comparable performance to the official SFT model trained on the full dataset, with improvements of +5.73% on AlpacaEval and +6.89% on Wildbench. This finding shows the potential for unified dataset measurement in guiding instruction data selection. Code will be available.</v>
      </c>
      <c r="D599" s="7" t="str">
        <f>IFERROR(__xludf.DUMMYFUNCTION("""COMPUTED_VALUE"""),"Yicheng Chen")</f>
        <v>Yicheng Chen</v>
      </c>
      <c r="E599" s="7" t="str">
        <f>IFERROR(__xludf.DUMMYFUNCTION("""COMPUTED_VALUE"""),"Yes")</f>
        <v>Yes</v>
      </c>
      <c r="F599" s="7" t="str">
        <f>IFERROR(__xludf.DUMMYFUNCTION("""COMPUTED_VALUE"""),"IP-Poster")</f>
        <v>IP-Poster</v>
      </c>
      <c r="G599" s="7" t="str">
        <f>IFERROR(__xludf.DUMMYFUNCTION("""COMPUTED_VALUE"""),"In-Person")</f>
        <v>In-Person</v>
      </c>
      <c r="H599" s="7" t="str">
        <f>IFERROR(__xludf.DUMMYFUNCTION("""COMPUTED_VALUE"""),"Hall 4/5")</f>
        <v>Hall 4/5</v>
      </c>
      <c r="I599" s="7" t="str">
        <f>IFERROR(__xludf.DUMMYFUNCTION("""COMPUTED_VALUE"""),"Session 5 :IP-Posters Find ")</f>
        <v>Session 5 :IP-Posters Find </v>
      </c>
      <c r="J599" s="7" t="str">
        <f>IFERROR(__xludf.DUMMYFUNCTION("""COMPUTED_VALUE"""),"Findings Posters - In-Person 1")</f>
        <v>Findings Posters - In-Person 1</v>
      </c>
      <c r="K599" s="7"/>
      <c r="L599" s="8">
        <f>IFERROR(__xludf.DUMMYFUNCTION("""COMPUTED_VALUE"""),45866.0)</f>
        <v>45866</v>
      </c>
      <c r="M599" s="7" t="str">
        <f>IFERROR(__xludf.DUMMYFUNCTION("""COMPUTED_VALUE"""),"18:00-19:30")</f>
        <v>18:00-19:30</v>
      </c>
      <c r="N599" s="7"/>
    </row>
    <row r="600">
      <c r="A600" s="7" t="str">
        <f>IFERROR(__xludf.DUMMYFUNCTION("""COMPUTED_VALUE"""),"2068-FIND")</f>
        <v>2068-FIND</v>
      </c>
      <c r="B600" s="7" t="str">
        <f>IFERROR(__xludf.DUMMYFUNCTION("""COMPUTED_VALUE"""),"Enhancing Automatic Term Extraction in Large Language Models via Syntactic Retrieval")</f>
        <v>Enhancing Automatic Term Extraction in Large Language Models via Syntactic Retrieval</v>
      </c>
      <c r="C600" s="7" t="str">
        <f>IFERROR(__xludf.DUMMYFUNCTION("""COMPUTED_VALUE"""),"Automatic Term Extraction (ATE) plays a crucial role in identifying domain-specific terms for applications such as machine translation and information retrieval. While Large Language Models (LLMs) have significantly advanced various NLP tasks, their effec"&amp;"tiveness in ATE remains largely unexplored. This work introduces a retrieval-based approach that prioritizes syntactic similarity over semantic similarity in few-shot selection, enhancing term boundary identification and annotation consistency. We assess "&amp;"its impact in both in-domain and cross-domain settings, examining the influence of term overlap between queries and retrieved examples. Experiments on ACTER, ACL RD-TEC 2.0, and BCGM demonstrate that our syntactic retrieval strategy improves ATE performan"&amp;"ce, particularly in low-resource and cross-domain scenarios.")</f>
        <v>Automatic Term Extraction (ATE) plays a crucial role in identifying domain-specific terms for applications such as machine translation and information retrieval. While Large Language Models (LLMs) have significantly advanced various NLP tasks, their effectiveness in ATE remains largely unexplored. This work introduces a retrieval-based approach that prioritizes syntactic similarity over semantic similarity in few-shot selection, enhancing term boundary identification and annotation consistency. We assess its impact in both in-domain and cross-domain settings, examining the influence of term overlap between queries and retrieved examples. Experiments on ACTER, ACL RD-TEC 2.0, and BCGM demonstrate that our syntactic retrieval strategy improves ATE performance, particularly in low-resource and cross-domain scenarios.</v>
      </c>
      <c r="D600" s="7" t="str">
        <f>IFERROR(__xludf.DUMMYFUNCTION("""COMPUTED_VALUE"""),"Yongchan Chun")</f>
        <v>Yongchan Chun</v>
      </c>
      <c r="E600" s="7" t="str">
        <f>IFERROR(__xludf.DUMMYFUNCTION("""COMPUTED_VALUE"""),"Yes")</f>
        <v>Yes</v>
      </c>
      <c r="F600" s="7" t="str">
        <f>IFERROR(__xludf.DUMMYFUNCTION("""COMPUTED_VALUE"""),"IP-Poster")</f>
        <v>IP-Poster</v>
      </c>
      <c r="G600" s="7" t="str">
        <f>IFERROR(__xludf.DUMMYFUNCTION("""COMPUTED_VALUE"""),"In-Person")</f>
        <v>In-Person</v>
      </c>
      <c r="H600" s="7" t="str">
        <f>IFERROR(__xludf.DUMMYFUNCTION("""COMPUTED_VALUE"""),"Hall 4/5")</f>
        <v>Hall 4/5</v>
      </c>
      <c r="I600" s="7" t="str">
        <f>IFERROR(__xludf.DUMMYFUNCTION("""COMPUTED_VALUE"""),"Session 5 :IP-Posters Find ")</f>
        <v>Session 5 :IP-Posters Find </v>
      </c>
      <c r="J600" s="7" t="str">
        <f>IFERROR(__xludf.DUMMYFUNCTION("""COMPUTED_VALUE"""),"Findings Posters - In-Person 1")</f>
        <v>Findings Posters - In-Person 1</v>
      </c>
      <c r="K600" s="7"/>
      <c r="L600" s="8">
        <f>IFERROR(__xludf.DUMMYFUNCTION("""COMPUTED_VALUE"""),45866.0)</f>
        <v>45866</v>
      </c>
      <c r="M600" s="7" t="str">
        <f>IFERROR(__xludf.DUMMYFUNCTION("""COMPUTED_VALUE"""),"18:00-19:30")</f>
        <v>18:00-19:30</v>
      </c>
      <c r="N600" s="7"/>
    </row>
    <row r="601">
      <c r="A601" s="7" t="str">
        <f>IFERROR(__xludf.DUMMYFUNCTION("""COMPUTED_VALUE"""),"2071-FIND")</f>
        <v>2071-FIND</v>
      </c>
      <c r="B601" s="7" t="str">
        <f>IFERROR(__xludf.DUMMYFUNCTION("""COMPUTED_VALUE"""),"Explainable Depression Detection in Clinical Interviews with Personalized Retrieval-Augmented Generation")</f>
        <v>Explainable Depression Detection in Clinical Interviews with Personalized Retrieval-Augmented Generation</v>
      </c>
      <c r="C601" s="7" t="str">
        <f>IFERROR(__xludf.DUMMYFUNCTION("""COMPUTED_VALUE"""),"Depression is a widespread mental health disorder, and clinical interviews are the gold standard for assessment. However, their reliance on scarce professionals highlights the need for automated detection. Current systems mainly employ black-box neural ne"&amp;"tworks, which lack interpretability, which is crucial in mental health contexts. Some attempts to improve interpretability use post-hoc LLM generation but suffer from hallucination. To address these limitations, we propose RED, a Retrieval-augmented gener"&amp;"ation framework for Explainable depression Detection. RED retrieves evidence from clinical interview transcripts, providing explanations for predictions. Traditional query-based retrieval systems use a one-size-fits-all approach, which may not be optimal "&amp;"for depression detection, as user backgrounds and situations vary. We introduce a personalized query generation module that combines standard queries with user-specific background inferred by LLMs, tailoring retrieval to individual contexts. Additionally,"&amp;" to enhance LLM performance in social intelligence, we augment LLMs by retrieving relevant knowledge from a social intelligence datastore using an event-centric retriever. Experimental results on the real-world benchmark demonstrate RED's effectiveness co"&amp;"mpared to neural networks and LLM-based baselines.")</f>
        <v>Depression is a widespread mental health disorder, and clinical interviews are the gold standard for assessment. However, their reliance on scarce professionals highlights the need for automated detection. Current systems mainly employ black-box neural networks, which lack interpretability, which is crucial in mental health contexts. Some attempts to improve interpretability use post-hoc LLM generation but suffer from hallucination. To address these limitations, we propose RED, a Retrieval-augmented generation framework for Explainable depression Detection. RED retrieves evidence from clinical interview transcripts, providing explanations for predictions. Traditional query-based retrieval systems use a one-size-fits-all approach, which may not be optimal for depression detection, as user backgrounds and situations vary. We introduce a personalized query generation module that combines standard queries with user-specific background inferred by LLMs, tailoring retrieval to individual contexts. Additionally, to enhance LLM performance in social intelligence, we augment LLMs by retrieving relevant knowledge from a social intelligence datastore using an event-centric retriever. Experimental results on the real-world benchmark demonstrate RED's effectiveness compared to neural networks and LLM-based baselines.</v>
      </c>
      <c r="D601" s="7" t="str">
        <f>IFERROR(__xludf.DUMMYFUNCTION("""COMPUTED_VALUE"""),"Linhai Zhang")</f>
        <v>Linhai Zhang</v>
      </c>
      <c r="E601" s="7" t="str">
        <f>IFERROR(__xludf.DUMMYFUNCTION("""COMPUTED_VALUE"""),"Yes")</f>
        <v>Yes</v>
      </c>
      <c r="F601" s="7" t="str">
        <f>IFERROR(__xludf.DUMMYFUNCTION("""COMPUTED_VALUE"""),"IP-Poster")</f>
        <v>IP-Poster</v>
      </c>
      <c r="G601" s="7" t="str">
        <f>IFERROR(__xludf.DUMMYFUNCTION("""COMPUTED_VALUE"""),"In-Person")</f>
        <v>In-Person</v>
      </c>
      <c r="H601" s="7" t="str">
        <f>IFERROR(__xludf.DUMMYFUNCTION("""COMPUTED_VALUE"""),"Hall 4/5")</f>
        <v>Hall 4/5</v>
      </c>
      <c r="I601" s="7" t="str">
        <f>IFERROR(__xludf.DUMMYFUNCTION("""COMPUTED_VALUE"""),"Session 7: IP-Posters")</f>
        <v>Session 7: IP-Posters</v>
      </c>
      <c r="J601" s="7" t="str">
        <f>IFERROR(__xludf.DUMMYFUNCTION("""COMPUTED_VALUE"""),"Findings Posters - In-Person 2")</f>
        <v>Findings Posters - In-Person 2</v>
      </c>
      <c r="K601" s="7"/>
      <c r="L601" s="8">
        <f>IFERROR(__xludf.DUMMYFUNCTION("""COMPUTED_VALUE"""),45867.0)</f>
        <v>45867</v>
      </c>
      <c r="M601" s="7" t="str">
        <f>IFERROR(__xludf.DUMMYFUNCTION("""COMPUTED_VALUE"""),"10:30-12:00")</f>
        <v>10:30-12:00</v>
      </c>
      <c r="N601" s="7"/>
    </row>
    <row r="602">
      <c r="A602" s="7" t="str">
        <f>IFERROR(__xludf.DUMMYFUNCTION("""COMPUTED_VALUE"""),"2076-FIND")</f>
        <v>2076-FIND</v>
      </c>
      <c r="B602" s="7" t="str">
        <f>IFERROR(__xludf.DUMMYFUNCTION("""COMPUTED_VALUE"""),"EMPEC: A Comprehensive Benchmark for Evaluating Large Language Models Across Diverse Healthcare Professions")</f>
        <v>EMPEC: A Comprehensive Benchmark for Evaluating Large Language Models Across Diverse Healthcare Professions</v>
      </c>
      <c r="C602" s="7" t="str">
        <f>IFERROR(__xludf.DUMMYFUNCTION("""COMPUTED_VALUE"""),"Recent advancements in Large Language Models (LLMs) show their potential in accurately answering biomedical questions, yet current healthcare benchmarks primarily assess knowledge mastered by medical doctors, neglecting other essential professions. To add"&amp;"ress this gap, we introduce the Examinations for Medical PErsonnel in Chinese (EMPEC), a comprehensive healthcare knowledge benchmark featuring 157,803 exam questions across 124 subjects and 20 healthcare professions, including underrepresented roles like"&amp;" Optometrists and Audiologists. Each question is tagged for release time and source authenticity. We evaluated 17 LLMs, including proprietary and open-source models, finding that while models like GPT-4 achieved over 75% accuracy, they struggled with spec"&amp;"ialized fields and alternative medicine. Notably, we find that most medical-specific LLMs underperform their general-purpose counterparts in EMPEC, and incorporating EMPEC's data in fine-tuning improves performance. In addition, we tested LLMs on question"&amp;"s released after the completion of their training to examine their ability in unseen queries. We also translated the test set into English and simplified Chinese and analyse the impact on different models. Our findings emphasize the need for broader bench"&amp;"marks to assess LLM applicability in real-world healthcare, and we will provide the dataset and evaluation toolkit for future research.")</f>
        <v>Recent advancements in Large Language Models (LLMs) show their potential in accurately answering biomedical questions, yet current healthcare benchmarks primarily assess knowledge mastered by medical doctors, neglecting other essential professions. To address this gap, we introduce the Examinations for Medical PErsonnel in Chinese (EMPEC), a comprehensive healthcare knowledge benchmark featuring 157,803 exam questions across 124 subjects and 20 healthcare professions, including underrepresented roles like Optometrists and Audiologists. Each question is tagged for release time and source authenticity. We evaluated 17 LLMs, including proprietary and open-source models, finding that while models like GPT-4 achieved over 75% accuracy, they struggled with specialized fields and alternative medicine. Notably, we find that most medical-specific LLMs underperform their general-purpose counterparts in EMPEC, and incorporating EMPEC's data in fine-tuning improves performance. In addition, we tested LLMs on questions released after the completion of their training to examine their ability in unseen queries. We also translated the test set into English and simplified Chinese and analyse the impact on different models. Our findings emphasize the need for broader benchmarks to assess LLM applicability in real-world healthcare, and we will provide the dataset and evaluation toolkit for future research.</v>
      </c>
      <c r="D602" s="7" t="str">
        <f>IFERROR(__xludf.DUMMYFUNCTION("""COMPUTED_VALUE"""),"Zheheng Luo")</f>
        <v>Zheheng Luo</v>
      </c>
      <c r="E602" s="7" t="str">
        <f>IFERROR(__xludf.DUMMYFUNCTION("""COMPUTED_VALUE"""),"Yes")</f>
        <v>Yes</v>
      </c>
      <c r="F602" s="7" t="str">
        <f>IFERROR(__xludf.DUMMYFUNCTION("""COMPUTED_VALUE"""),"Not Pres. ")</f>
        <v>Not Pres. </v>
      </c>
      <c r="G602" s="7" t="str">
        <f>IFERROR(__xludf.DUMMYFUNCTION("""COMPUTED_VALUE"""),"NP Findings Not Presenting ")</f>
        <v>NP Findings Not Presenting </v>
      </c>
      <c r="H602" s="7"/>
      <c r="I602" s="7"/>
      <c r="J602" s="7"/>
      <c r="K602" s="7"/>
      <c r="L602" s="8"/>
      <c r="M602" s="7"/>
      <c r="N602" s="7"/>
    </row>
    <row r="603">
      <c r="A603" s="7" t="str">
        <f>IFERROR(__xludf.DUMMYFUNCTION("""COMPUTED_VALUE"""),"2081-FIND")</f>
        <v>2081-FIND</v>
      </c>
      <c r="B603" s="7" t="str">
        <f>IFERROR(__xludf.DUMMYFUNCTION("""COMPUTED_VALUE"""),"Beyond Numeric Rewards: In-Context Dueling Bandits with LLM Agents")</f>
        <v>Beyond Numeric Rewards: In-Context Dueling Bandits with LLM Agents</v>
      </c>
      <c r="C603" s="7" t="str">
        <f>IFERROR(__xludf.DUMMYFUNCTION("""COMPUTED_VALUE"""),"In-Context Reinforcement Learning (ICRL) is a frontier paradigm to solve Reinforcement Learning (RL) problems in the foundation model era. While ICRL capabilities have been demonstrated in transformers through task-specific training, the potential of Larg"&amp;"e Language Models (LLMs) out-of-the-box remains largely un-explored. This paper investigates whether LLMs can generalize cross-domain to perform ICRL under the problem of Dueling Bandits (DB), a stateless preference-based RL setting. We reveal that our to"&amp;"p-performing LLM exhibits notable zero-shot ability in relative decision-making, achieving low short-term weak regret across all the DB environment instances by quickly including the best arm in duels. However, an optimality gap exists between LLMs and cl"&amp;"assic DB algorithms in terms of strong regret. LLMs struggle to converge and consistently exploit even when explicitly prompted to do so, and are sensitive to prompt variations. To bridge this gap, we propose an agentic flow framework: LLM with Enhanced A"&amp;"lgorithmic Dueling (LEAD), which integrates off-the-shelf DB algorithm support with LLM agents through fine-grained adaptive interplay. We show that LEAD has theoretical guarantees inherited from classic DB algorithms on both weak and strong regret. We va"&amp;"lidate its efficacy and robustness even with noisy and adversarial prompts. The design of such an agentic framework sheds light on how to enhance the trustworthiness of general-purpose LLMs generalized to in-context decision-making tasks.")</f>
        <v>In-Context Reinforcement Learning (ICRL) is a frontier paradigm to solve Reinforcement Learning (RL) problems in the foundation model era. While ICRL capabilities have been demonstrated in transformers through task-specific training, the potential of Large Language Models (LLMs) out-of-the-box remains largely un-explored. This paper investigates whether LLMs can generalize cross-domain to perform ICRL under the problem of Dueling Bandits (DB), a stateless preference-based RL setting. We reveal that our top-performing LLM exhibits notable zero-shot ability in relative decision-making, achieving low short-term weak regret across all the DB environment instances by quickly including the best arm in duels. However, an optimality gap exists between LLMs and classic DB algorithms in terms of strong regret. LLMs struggle to converge and consistently exploit even when explicitly prompted to do so, and are sensitive to prompt variations. To bridge this gap, we propose an agentic flow framework: LLM with Enhanced Algorithmic Dueling (LEAD), which integrates off-the-shelf DB algorithm support with LLM agents through fine-grained adaptive interplay. We show that LEAD has theoretical guarantees inherited from classic DB algorithms on both weak and strong regret. We validate its efficacy and robustness even with noisy and adversarial prompts. The design of such an agentic framework sheds light on how to enhance the trustworthiness of general-purpose LLMs generalized to in-context decision-making tasks.</v>
      </c>
      <c r="D603" s="7" t="str">
        <f>IFERROR(__xludf.DUMMYFUNCTION("""COMPUTED_VALUE"""),"Fanzeng Xia")</f>
        <v>Fanzeng Xia</v>
      </c>
      <c r="E603" s="7" t="str">
        <f>IFERROR(__xludf.DUMMYFUNCTION("""COMPUTED_VALUE"""),"Yes")</f>
        <v>Yes</v>
      </c>
      <c r="F603" s="7" t="str">
        <f>IFERROR(__xludf.DUMMYFUNCTION("""COMPUTED_VALUE"""),"IP-Poster")</f>
        <v>IP-Poster</v>
      </c>
      <c r="G603" s="7" t="str">
        <f>IFERROR(__xludf.DUMMYFUNCTION("""COMPUTED_VALUE"""),"In-Person")</f>
        <v>In-Person</v>
      </c>
      <c r="H603" s="7" t="str">
        <f>IFERROR(__xludf.DUMMYFUNCTION("""COMPUTED_VALUE"""),"Hall 4/5")</f>
        <v>Hall 4/5</v>
      </c>
      <c r="I603" s="7" t="str">
        <f>IFERROR(__xludf.DUMMYFUNCTION("""COMPUTED_VALUE"""),"Session 5 :IP-Posters Find ")</f>
        <v>Session 5 :IP-Posters Find </v>
      </c>
      <c r="J603" s="7" t="str">
        <f>IFERROR(__xludf.DUMMYFUNCTION("""COMPUTED_VALUE"""),"Findings Posters - In-Person 1")</f>
        <v>Findings Posters - In-Person 1</v>
      </c>
      <c r="K603" s="7"/>
      <c r="L603" s="8">
        <f>IFERROR(__xludf.DUMMYFUNCTION("""COMPUTED_VALUE"""),45866.0)</f>
        <v>45866</v>
      </c>
      <c r="M603" s="7" t="str">
        <f>IFERROR(__xludf.DUMMYFUNCTION("""COMPUTED_VALUE"""),"18:00-19:30")</f>
        <v>18:00-19:30</v>
      </c>
      <c r="N603" s="7"/>
    </row>
    <row r="604">
      <c r="A604" s="7" t="str">
        <f>IFERROR(__xludf.DUMMYFUNCTION("""COMPUTED_VALUE"""),"2083-FIND")</f>
        <v>2083-FIND</v>
      </c>
      <c r="B604" s="7" t="str">
        <f>IFERROR(__xludf.DUMMYFUNCTION("""COMPUTED_VALUE"""),"“Well, Keep Thinking”: Enhancing LLM Reasoning with Adaptive Injection Decoding")</f>
        <v>“Well, Keep Thinking”: Enhancing LLM Reasoning with Adaptive Injection Decoding</v>
      </c>
      <c r="C604" s="7" t="str">
        <f>IFERROR(__xludf.DUMMYFUNCTION("""COMPUTED_VALUE"""),"Large language models (LLMs) exhibit strong reasoning abilities, often attributed to few-shot or zero-shot chain-of-thought (CoT) prompting. While effective, these methods require labor-intensive prompt engineering, raising the question of whether reasoni"&amp;"ng can be induced without reliance on explicit prompts. In this work, we unlock the reasoning capabilities of LLMs without explicit prompting. Inspired by zero-shot CoT and CoT-decoding, we propose a novel decoding strategy that systematically nudges LLMs"&amp;" to continue reasoning, thereby preventing immature reasoning processes. Specifically, we monitor the model’s generation and inject a designated phrase whenever it is likely to conclude its response prematurely, before completing the reasoning process. Ou"&amp;"r experimental evaluations on diverse reasoning benchmarks demonstrate that our proposed strategy substantially improves LLM reasoning capabilities, highlighting the potential of decoding-based interventions as an alternative to traditional prompting tech"&amp;"niques.")</f>
        <v>Large language models (LLMs) exhibit strong reasoning abilities, often attributed to few-shot or zero-shot chain-of-thought (CoT) prompting. While effective, these methods require labor-intensive prompt engineering, raising the question of whether reasoning can be induced without reliance on explicit prompts. In this work, we unlock the reasoning capabilities of LLMs without explicit prompting. Inspired by zero-shot CoT and CoT-decoding, we propose a novel decoding strategy that systematically nudges LLMs to continue reasoning, thereby preventing immature reasoning processes. Specifically, we monitor the model’s generation and inject a designated phrase whenever it is likely to conclude its response prematurely, before completing the reasoning process. Our experimental evaluations on diverse reasoning benchmarks demonstrate that our proposed strategy substantially improves LLM reasoning capabilities, highlighting the potential of decoding-based interventions as an alternative to traditional prompting techniques.</v>
      </c>
      <c r="D604" s="7" t="str">
        <f>IFERROR(__xludf.DUMMYFUNCTION("""COMPUTED_VALUE"""),"Seunghyun Bae")</f>
        <v>Seunghyun Bae</v>
      </c>
      <c r="E604" s="7" t="str">
        <f>IFERROR(__xludf.DUMMYFUNCTION("""COMPUTED_VALUE"""),"Yes")</f>
        <v>Yes</v>
      </c>
      <c r="F604" s="7" t="str">
        <f>IFERROR(__xludf.DUMMYFUNCTION("""COMPUTED_VALUE"""),"IP-Poster")</f>
        <v>IP-Poster</v>
      </c>
      <c r="G604" s="7" t="str">
        <f>IFERROR(__xludf.DUMMYFUNCTION("""COMPUTED_VALUE"""),"In-Person")</f>
        <v>In-Person</v>
      </c>
      <c r="H604" s="7" t="str">
        <f>IFERROR(__xludf.DUMMYFUNCTION("""COMPUTED_VALUE"""),"Hall 4/5")</f>
        <v>Hall 4/5</v>
      </c>
      <c r="I604" s="7" t="str">
        <f>IFERROR(__xludf.DUMMYFUNCTION("""COMPUTED_VALUE"""),"Session 5 :IP-Posters Find ")</f>
        <v>Session 5 :IP-Posters Find </v>
      </c>
      <c r="J604" s="7" t="str">
        <f>IFERROR(__xludf.DUMMYFUNCTION("""COMPUTED_VALUE"""),"Findings Posters - In-Person 1")</f>
        <v>Findings Posters - In-Person 1</v>
      </c>
      <c r="K604" s="7"/>
      <c r="L604" s="8">
        <f>IFERROR(__xludf.DUMMYFUNCTION("""COMPUTED_VALUE"""),45866.0)</f>
        <v>45866</v>
      </c>
      <c r="M604" s="7" t="str">
        <f>IFERROR(__xludf.DUMMYFUNCTION("""COMPUTED_VALUE"""),"18:00-19:30")</f>
        <v>18:00-19:30</v>
      </c>
      <c r="N604" s="7"/>
    </row>
    <row r="605">
      <c r="A605" s="7" t="str">
        <f>IFERROR(__xludf.DUMMYFUNCTION("""COMPUTED_VALUE"""),"2085-FIND")</f>
        <v>2085-FIND</v>
      </c>
      <c r="B605" s="7" t="str">
        <f>IFERROR(__xludf.DUMMYFUNCTION("""COMPUTED_VALUE"""),"SpeechT-RAG: Reliable Depression Detection in LLMs with Retrieval-Augmented Generation Using Speech Timing Information")</f>
        <v>SpeechT-RAG: Reliable Depression Detection in LLMs with Retrieval-Augmented Generation Using Speech Timing Information</v>
      </c>
      <c r="C605" s="7" t="str">
        <f>IFERROR(__xludf.DUMMYFUNCTION("""COMPUTED_VALUE"""),"Large Language Models (LLMs) have been increasingly adopted for health-related tasks, yet their performance in depression detection remains limited when relying solely on text input. While Retrieval-Augmented Generation (RAG) typically enhances LLM capabi"&amp;"lities, our experiments indicate that traditional text-based RAG systems struggle to significantly improve depression detection accuracy. This challenge stems partly from the rich depression-relevant information encoded in acoustic speech patterns — infor"&amp;"mation that current text-only approaches fail to capture effectively. To address this limitation, we conduct a systematic analysis of temporal speech patterns, comparing healthy individuals with those experiencing depression. Based on our findings, we int"&amp;"roduce Speech Timing-based Retrieval-Augmented Generation, SpeechT-RAG, a novel system that leverages speech timing features for both accurate depression detection and reliable confidence estimation. This integrated approach not only outperforms tradition"&amp;"al text-based RAG systems in detection accuracy but also enhances uncertainty quantification through a confidence scoring mechanism that naturally extends from the same temporal features. Our unified framework achieves comparable results to fine-tuned LLM"&amp;"s without additional training while simultaneously addressing the fundamental requirements for both accuracy and trustworthiness in mental health assessment")</f>
        <v>Large Language Models (LLMs) have been increasingly adopted for health-related tasks, yet their performance in depression detection remains limited when relying solely on text input. While Retrieval-Augmented Generation (RAG) typically enhances LLM capabilities, our experiments indicate that traditional text-based RAG systems struggle to significantly improve depression detection accuracy. This challenge stems partly from the rich depression-relevant information encoded in acoustic speech patterns — information that current text-only approaches fail to capture effectively. To address this limitation, we conduct a systematic analysis of temporal speech patterns, comparing healthy individuals with those experiencing depression. Based on our findings, we introduce Speech Timing-based Retrieval-Augmented Generation, SpeechT-RAG, a novel system that leverages speech timing features for both accurate depression detection and reliable confidence estimation. This integrated approach not only outperforms traditional text-based RAG systems in detection accuracy but also enhances uncertainty quantification through a confidence scoring mechanism that naturally extends from the same temporal features. Our unified framework achieves comparable results to fine-tuned LLMs without additional training while simultaneously addressing the fundamental requirements for both accuracy and trustworthiness in mental health assessment</v>
      </c>
      <c r="D605" s="7" t="str">
        <f>IFERROR(__xludf.DUMMYFUNCTION("""COMPUTED_VALUE"""),"no")</f>
        <v>no</v>
      </c>
      <c r="E605" s="7" t="str">
        <f>IFERROR(__xludf.DUMMYFUNCTION("""COMPUTED_VALUE"""),"#N/A")</f>
        <v>#N/A</v>
      </c>
      <c r="F605" s="7" t="str">
        <f>IFERROR(__xludf.DUMMYFUNCTION("""COMPUTED_VALUE"""),"Not Pres. ")</f>
        <v>Not Pres. </v>
      </c>
      <c r="G605" s="7" t="str">
        <f>IFERROR(__xludf.DUMMYFUNCTION("""COMPUTED_VALUE"""),"NP Findings Not Presenting ")</f>
        <v>NP Findings Not Presenting </v>
      </c>
      <c r="H605" s="7"/>
      <c r="I605" s="7" t="str">
        <f>IFERROR(__xludf.DUMMYFUNCTION("""COMPUTED_VALUE"""),"NP-Find")</f>
        <v>NP-Find</v>
      </c>
      <c r="J605" s="7"/>
      <c r="K605" s="7"/>
      <c r="L605" s="8"/>
      <c r="M605" s="7"/>
      <c r="N605" s="7"/>
    </row>
    <row r="606">
      <c r="A606" s="7" t="str">
        <f>IFERROR(__xludf.DUMMYFUNCTION("""COMPUTED_VALUE"""),"2089-FIND")</f>
        <v>2089-FIND</v>
      </c>
      <c r="B606" s="7" t="str">
        <f>IFERROR(__xludf.DUMMYFUNCTION("""COMPUTED_VALUE"""),"Fine-grained Knowledge Enhancement for Retrieval-Augmented Generation")</f>
        <v>Fine-grained Knowledge Enhancement for Retrieval-Augmented Generation</v>
      </c>
      <c r="C606" s="7" t="str">
        <f>IFERROR(__xludf.DUMMYFUNCTION("""COMPUTED_VALUE"""),"Retrieval-augmented generation (RAG) effectively mitigates hallucinations in large language models (LLMs) by filling knowledge gaps with retrieved external information. Most existing studies primarily retrieve knowledge documents based on semantic similar"&amp;"ity to assist in answering questions but ignore the fine-grained necessary information within documents. In this paper, we propose a novel fine-grained knowledge enhancement method (FKE) for RAG, where fine-grained knowledge primarily includes sentence-le"&amp;"vel information easily overlooked in the document-based retrieval process. Concretely, we create a disentangled Chain-of-Thought prompting procedure to retrieve fine-grained knowledge from the external knowledge corpus. Then we develop a decoding enhancem"&amp;"ent strategy to constrain the document-based decoding process using fine-grained knowledge, thereby facilitating more accurate generated answers. Given an existing RAG pipeline, our method could be applied in a plug-and-play manner to enhance its performa"&amp;"nce with no additional modules or training process. Extensive experiments verify the effectiveness and generality of our method.")</f>
        <v>Retrieval-augmented generation (RAG) effectively mitigates hallucinations in large language models (LLMs) by filling knowledge gaps with retrieved external information. Most existing studies primarily retrieve knowledge documents based on semantic similarity to assist in answering questions but ignore the fine-grained necessary information within documents. In this paper, we propose a novel fine-grained knowledge enhancement method (FKE) for RAG, where fine-grained knowledge primarily includes sentence-level information easily overlooked in the document-based retrieval process. Concretely, we create a disentangled Chain-of-Thought prompting procedure to retrieve fine-grained knowledge from the external knowledge corpus. Then we develop a decoding enhancement strategy to constrain the document-based decoding process using fine-grained knowledge, thereby facilitating more accurate generated answers. Given an existing RAG pipeline, our method could be applied in a plug-and-play manner to enhance its performance with no additional modules or training process. Extensive experiments verify the effectiveness and generality of our method.</v>
      </c>
      <c r="D606" s="7" t="str">
        <f>IFERROR(__xludf.DUMMYFUNCTION("""COMPUTED_VALUE"""),"None")</f>
        <v>None</v>
      </c>
      <c r="E606" s="7" t="str">
        <f>IFERROR(__xludf.DUMMYFUNCTION("""COMPUTED_VALUE"""),"#N/A")</f>
        <v>#N/A</v>
      </c>
      <c r="F606" s="7" t="str">
        <f>IFERROR(__xludf.DUMMYFUNCTION("""COMPUTED_VALUE"""),"Not Pres. ")</f>
        <v>Not Pres. </v>
      </c>
      <c r="G606" s="7" t="str">
        <f>IFERROR(__xludf.DUMMYFUNCTION("""COMPUTED_VALUE"""),"NP Findings Not Presenting ")</f>
        <v>NP Findings Not Presenting </v>
      </c>
      <c r="H606" s="7"/>
      <c r="I606" s="7" t="str">
        <f>IFERROR(__xludf.DUMMYFUNCTION("""COMPUTED_VALUE"""),"NP-Find")</f>
        <v>NP-Find</v>
      </c>
      <c r="J606" s="7"/>
      <c r="K606" s="7"/>
      <c r="L606" s="8"/>
      <c r="M606" s="7"/>
      <c r="N606" s="7"/>
    </row>
    <row r="607">
      <c r="A607" s="7" t="str">
        <f>IFERROR(__xludf.DUMMYFUNCTION("""COMPUTED_VALUE"""),"2091-FIND")</f>
        <v>2091-FIND</v>
      </c>
      <c r="B607" s="7" t="str">
        <f>IFERROR(__xludf.DUMMYFUNCTION("""COMPUTED_VALUE"""),"Bayesian Optimization for Controlled Image Editing via LLMs")</f>
        <v>Bayesian Optimization for Controlled Image Editing via LLMs</v>
      </c>
      <c r="C607" s="7" t="str">
        <f>IFERROR(__xludf.DUMMYFUNCTION("""COMPUTED_VALUE"""),"In the rapidly evolving field of image generation, achieving precise control over generated content and maintaining semantic consistency remain significant limitations, particularly concerning grounding techniques and the necessity for model fine-tuning. "&amp;"To address these challenges, we propose BayesGenie, an off-the-shelf approach that integrates Large Language Models (LLMs) with Bayesian Optimization to facilitate precise and user-friendly image editing. Our method enables users to modify images through "&amp;"natural language descriptions without manual area marking, while preserving the original image's semantic integrity. Unlike existing techniques that require extensive pre-training or fine-tuning, our approach demonstrates remarkable adaptability across va"&amp;"rious LLMs through its model-agnostic design. BayesGenie employs an adapted Bayesian optimization strategy to automatically refine the inference process parameters, achieving high-precision image editing with minimal user intervention. Through extensive e"&amp;"xperiments across diverse scenarios, we demonstrate that our framework significantly outperforms existing methods in both editing accuracy and semantic preservation, as validated using different LLMs including Claude3 and GPT-4.")</f>
        <v>In the rapidly evolving field of image generation, achieving precise control over generated content and maintaining semantic consistency remain significant limitations, particularly concerning grounding techniques and the necessity for model fine-tuning. To address these challenges, we propose BayesGenie, an off-the-shelf approach that integrates Large Language Models (LLMs) with Bayesian Optimization to facilitate precise and user-friendly image editing. Our method enables users to modify images through natural language descriptions without manual area marking, while preserving the original image's semantic integrity. Unlike existing techniques that require extensive pre-training or fine-tuning, our approach demonstrates remarkable adaptability across various LLMs through its model-agnostic design. BayesGenie employs an adapted Bayesian optimization strategy to automatically refine the inference process parameters, achieving high-precision image editing with minimal user intervention. Through extensive experiments across diverse scenarios, we demonstrate that our framework significantly outperforms existing methods in both editing accuracy and semantic preservation, as validated using different LLMs including Claude3 and GPT-4.</v>
      </c>
      <c r="D607" s="7" t="str">
        <f>IFERROR(__xludf.DUMMYFUNCTION("""COMPUTED_VALUE"""),"Chengkun Cai")</f>
        <v>Chengkun Cai</v>
      </c>
      <c r="E607" s="7" t="str">
        <f>IFERROR(__xludf.DUMMYFUNCTION("""COMPUTED_VALUE"""),"#N/A")</f>
        <v>#N/A</v>
      </c>
      <c r="F607" s="7" t="str">
        <f>IFERROR(__xludf.DUMMYFUNCTION("""COMPUTED_VALUE"""),"Not Pres. ")</f>
        <v>Not Pres. </v>
      </c>
      <c r="G607" s="7" t="str">
        <f>IFERROR(__xludf.DUMMYFUNCTION("""COMPUTED_VALUE"""),"NP Findings Not Presenting ")</f>
        <v>NP Findings Not Presenting </v>
      </c>
      <c r="H607" s="7"/>
      <c r="I607" s="7" t="str">
        <f>IFERROR(__xludf.DUMMYFUNCTION("""COMPUTED_VALUE"""),"NP-Find")</f>
        <v>NP-Find</v>
      </c>
      <c r="J607" s="7"/>
      <c r="K607" s="7"/>
      <c r="L607" s="8"/>
      <c r="M607" s="7"/>
      <c r="N607" s="7"/>
    </row>
    <row r="608">
      <c r="A608" s="7" t="str">
        <f>IFERROR(__xludf.DUMMYFUNCTION("""COMPUTED_VALUE"""),"2092-FIND")</f>
        <v>2092-FIND</v>
      </c>
      <c r="B608" s="7" t="str">
        <f>IFERROR(__xludf.DUMMYFUNCTION("""COMPUTED_VALUE"""),"SPOT: Zero-Shot Semantic Parsing Over Property Graphs")</f>
        <v>SPOT: Zero-Shot Semantic Parsing Over Property Graphs</v>
      </c>
      <c r="C608" s="7" t="str">
        <f>IFERROR(__xludf.DUMMYFUNCTION("""COMPUTED_VALUE"""),"Knowledge Graphs (KGs) have gained popularity as a means of storing structured data, with property graphs, in particular, gaining traction in recent years. Consequently, the task of semantic parsing remains crucial in enabling access to the information in"&amp;" these graphs via natural language queries. However, annotated data is scarce, requires significant effort to create, and is not easily transferable between different graphs. To address these challenges we introduce SPOT, a method to generate training dat"&amp;"a for semantic parsing over Property Graphs without human intervention. We generate tree patterns, match them to the KG to obtain a query program, and use a finite-state transducer to produce a proto-natural language realization of the query. Finally, we "&amp;"paraphrase the proto-NL with an LLM to generate samples for training a semantic parser. We demonstrate the effectiveness of SPOT on two property graph benchmarks utilizing the Cypher query language. In addition, we show that our approach can also be appli"&amp;"ed effectively to RDF graphs.")</f>
        <v>Knowledge Graphs (KGs) have gained popularity as a means of storing structured data, with property graphs, in particular, gaining traction in recent years. Consequently, the task of semantic parsing remains crucial in enabling access to the information in these graphs via natural language queries. However, annotated data is scarce, requires significant effort to create, and is not easily transferable between different graphs. To address these challenges we introduce SPOT, a method to generate training data for semantic parsing over Property Graphs without human intervention. We generate tree patterns, match them to the KG to obtain a query program, and use a finite-state transducer to produce a proto-natural language realization of the query. Finally, we paraphrase the proto-NL with an LLM to generate samples for training a semantic parser. We demonstrate the effectiveness of SPOT on two property graph benchmarks utilizing the Cypher query language. In addition, we show that our approach can also be applied effectively to RDF graphs.</v>
      </c>
      <c r="D608" s="7" t="str">
        <f>IFERROR(__xludf.DUMMYFUNCTION("""COMPUTED_VALUE"""),"Francesco Cazzaro")</f>
        <v>Francesco Cazzaro</v>
      </c>
      <c r="E608" s="7" t="str">
        <f>IFERROR(__xludf.DUMMYFUNCTION("""COMPUTED_VALUE"""),"Yes")</f>
        <v>Yes</v>
      </c>
      <c r="F608" s="7" t="str">
        <f>IFERROR(__xludf.DUMMYFUNCTION("""COMPUTED_VALUE"""),"IP-Poster")</f>
        <v>IP-Poster</v>
      </c>
      <c r="G608" s="7" t="str">
        <f>IFERROR(__xludf.DUMMYFUNCTION("""COMPUTED_VALUE"""),"In-Person")</f>
        <v>In-Person</v>
      </c>
      <c r="H608" s="7" t="str">
        <f>IFERROR(__xludf.DUMMYFUNCTION("""COMPUTED_VALUE"""),"Hall 4/5")</f>
        <v>Hall 4/5</v>
      </c>
      <c r="I608" s="7" t="str">
        <f>IFERROR(__xludf.DUMMYFUNCTION("""COMPUTED_VALUE"""),"Session 5 :IP-Posters Find ")</f>
        <v>Session 5 :IP-Posters Find </v>
      </c>
      <c r="J608" s="7" t="str">
        <f>IFERROR(__xludf.DUMMYFUNCTION("""COMPUTED_VALUE"""),"Findings Posters - In-Person 1")</f>
        <v>Findings Posters - In-Person 1</v>
      </c>
      <c r="K608" s="7"/>
      <c r="L608" s="8">
        <f>IFERROR(__xludf.DUMMYFUNCTION("""COMPUTED_VALUE"""),45866.0)</f>
        <v>45866</v>
      </c>
      <c r="M608" s="7" t="str">
        <f>IFERROR(__xludf.DUMMYFUNCTION("""COMPUTED_VALUE"""),"18:00-19:30")</f>
        <v>18:00-19:30</v>
      </c>
      <c r="N608" s="7"/>
    </row>
    <row r="609">
      <c r="A609" s="7" t="str">
        <f>IFERROR(__xludf.DUMMYFUNCTION("""COMPUTED_VALUE"""),"2093-FIND")</f>
        <v>2093-FIND</v>
      </c>
      <c r="B609" s="7" t="str">
        <f>IFERROR(__xludf.DUMMYFUNCTION("""COMPUTED_VALUE"""),"Reasoning Circuits in Language Models: A Mechanistic Interpretation of Syllogistic Inference")</f>
        <v>Reasoning Circuits in Language Models: A Mechanistic Interpretation of Syllogistic Inference</v>
      </c>
      <c r="C609" s="7" t="str">
        <f>IFERROR(__xludf.DUMMYFUNCTION("""COMPUTED_VALUE"""),"Recent studies on reasoning in language models (LMs) have sparked a debate on whether they can learn systematic inferential principles or merely exploit superficial patterns in the training data. To understand and uncover the mechanisms adopted for formal"&amp;" reasoning in LMs, this paper presents a mechanistic interpretation of syllogistic inference. Specifically, we present a methodology for circuit discovery aimed at interpreting content-independent and formal reasoning mechanisms. Through two distinct inte"&amp;"rvention methods, we uncover a sufficient and necessary circuit involving middle-term suppression that elucidates how LMs transfer information to derive valid conclusions from premises.
Furthermore, we investigate how belief biases manifest in syllogistic"&amp;" inference, finding evidence of partial contamination from additional attention heads responsible for encoding commonsense and contextualized knowledge. Finally, we explore the generalization of the discovered mechanisms across various syllogistic schemes"&amp;", model sizes and architectures. The identified circuit is sufficient and necessary for syllogistic schemes on which the models achieve high accuracy ($\geq$ 60\%), with compatible activation patterns across models of different families. Overall, our find"&amp;"ings suggest that LMs learn transferable content-independent reasoning mechanisms, but that, at the same time, such mechanisms do not involve generalizable and abstract logical primitives, being susceptible to contamination by the same world knowledge acq"&amp;"uired during pre-training.")</f>
        <v>Recent studies on reasoning in language models (LMs) have sparked a debate on whether they can learn systematic inferential principles or merely exploit superficial patterns in the training data. To understand and uncover the mechanisms adopted for formal reasoning in LMs, this paper presents a mechanistic interpretation of syllogistic inference. Specifically, we present a methodology for circuit discovery aimed at interpreting content-independent and formal reasoning mechanisms. Through two distinct intervention methods, we uncover a sufficient and necessary circuit involving middle-term suppression that elucidates how LMs transfer information to derive valid conclusions from premises.
Furthermore, we investigate how belief biases manifest in syllogistic inference, finding evidence of partial contamination from additional attention heads responsible for encoding commonsense and contextualized knowledge. Finally, we explore the generalization of the discovered mechanisms across various syllogistic schemes, model sizes and architectures. The identified circuit is sufficient and necessary for syllogistic schemes on which the models achieve high accuracy ($\geq$ 60\%), with compatible activation patterns across models of different families. Overall, our findings suggest that LMs learn transferable content-independent reasoning mechanisms, but that, at the same time, such mechanisms do not involve generalizable and abstract logical primitives, being susceptible to contamination by the same world knowledge acquired during pre-training.</v>
      </c>
      <c r="D609" s="7" t="str">
        <f>IFERROR(__xludf.DUMMYFUNCTION("""COMPUTED_VALUE"""),"Marco Valentino")</f>
        <v>Marco Valentino</v>
      </c>
      <c r="E609" s="7" t="str">
        <f>IFERROR(__xludf.DUMMYFUNCTION("""COMPUTED_VALUE"""),"Yes")</f>
        <v>Yes</v>
      </c>
      <c r="F609" s="7" t="str">
        <f>IFERROR(__xludf.DUMMYFUNCTION("""COMPUTED_VALUE"""),"IP-Poster")</f>
        <v>IP-Poster</v>
      </c>
      <c r="G609" s="7" t="str">
        <f>IFERROR(__xludf.DUMMYFUNCTION("""COMPUTED_VALUE"""),"In-Person")</f>
        <v>In-Person</v>
      </c>
      <c r="H609" s="7" t="str">
        <f>IFERROR(__xludf.DUMMYFUNCTION("""COMPUTED_VALUE"""),"Hall 4/5")</f>
        <v>Hall 4/5</v>
      </c>
      <c r="I609" s="7" t="str">
        <f>IFERROR(__xludf.DUMMYFUNCTION("""COMPUTED_VALUE"""),"Session 5 :IP-Posters Find ")</f>
        <v>Session 5 :IP-Posters Find </v>
      </c>
      <c r="J609" s="7" t="str">
        <f>IFERROR(__xludf.DUMMYFUNCTION("""COMPUTED_VALUE"""),"Findings Posters - In-Person 1")</f>
        <v>Findings Posters - In-Person 1</v>
      </c>
      <c r="K609" s="7"/>
      <c r="L609" s="8">
        <f>IFERROR(__xludf.DUMMYFUNCTION("""COMPUTED_VALUE"""),45866.0)</f>
        <v>45866</v>
      </c>
      <c r="M609" s="7" t="str">
        <f>IFERROR(__xludf.DUMMYFUNCTION("""COMPUTED_VALUE"""),"18:00-19:30")</f>
        <v>18:00-19:30</v>
      </c>
      <c r="N609" s="7"/>
    </row>
    <row r="610">
      <c r="A610" s="7" t="str">
        <f>IFERROR(__xludf.DUMMYFUNCTION("""COMPUTED_VALUE"""),"2097-FIND")</f>
        <v>2097-FIND</v>
      </c>
      <c r="B610" s="7" t="str">
        <f>IFERROR(__xludf.DUMMYFUNCTION("""COMPUTED_VALUE"""),"Multi-Hop Question Generation via Dual-Perspective Keyword Guidance")</f>
        <v>Multi-Hop Question Generation via Dual-Perspective Keyword Guidance</v>
      </c>
      <c r="C610" s="7" t="str">
        <f>IFERROR(__xludf.DUMMYFUNCTION("""COMPUTED_VALUE"""),"Multi-hop question generation (MQG) aims to generate questions that require synthesizing multiple information snippets from documents to derive target answers. The primary challenge lies in effectively pinpointing crucial information snippets related to q"&amp;"uestion-answer (QA) pairs, typically relying on keywords. However, existing works fail to fully utilize the guiding potential of keywords and neglect to differentiate the distinct roles of question-specific and document-specific keywords. To address this,"&amp;" we define dual-perspective keywords—question and document keywords—and propose a Dual-Perspective Keyword-Guided (DPKG) framework, which seamlessly integrates keywords into the multi-hop question generation process. We argue that question keywords captur"&amp;"e the questioner's intent, whereas document keywords reflect the content related to the QA pair. Functionally, question and document keywords work together to pinpoint essential information snippets in the document, with question keywords required to appe"&amp;"ar in the generated question. The DPKG framework consists of an expanded transformer encoder and two answer-aware transformer decoders for keyword and question generation, respectively. Extensive experiments on HotpotQA demonstrate the effectiveness of ou"&amp;"r work, showcasing its promising performance and underscoring its significant value in the MQG task.")</f>
        <v>Multi-hop question generation (MQG) aims to generate questions that require synthesizing multiple information snippets from documents to derive target answers. The primary challenge lies in effectively pinpointing crucial information snippets related to question-answer (QA) pairs, typically relying on keywords. However, existing works fail to fully utilize the guiding potential of keywords and neglect to differentiate the distinct roles of question-specific and document-specific keywords. To address this, we define dual-perspective keywords—question and document keywords—and propose a Dual-Perspective Keyword-Guided (DPKG) framework, which seamlessly integrates keywords into the multi-hop question generation process. We argue that question keywords capture the questioner's intent, whereas document keywords reflect the content related to the QA pair. Functionally, question and document keywords work together to pinpoint essential information snippets in the document, with question keywords required to appear in the generated question. The DPKG framework consists of an expanded transformer encoder and two answer-aware transformer decoders for keyword and question generation, respectively. Extensive experiments on HotpotQA demonstrate the effectiveness of our work, showcasing its promising performance and underscoring its significant value in the MQG task.</v>
      </c>
      <c r="D610" s="7" t="str">
        <f>IFERROR(__xludf.DUMMYFUNCTION("""COMPUTED_VALUE"""),"Maodong Li")</f>
        <v>Maodong Li</v>
      </c>
      <c r="E610" s="7" t="str">
        <f>IFERROR(__xludf.DUMMYFUNCTION("""COMPUTED_VALUE"""),"#N/A")</f>
        <v>#N/A</v>
      </c>
      <c r="F610" s="7" t="str">
        <f>IFERROR(__xludf.DUMMYFUNCTION("""COMPUTED_VALUE"""),"Not Pres. ")</f>
        <v>Not Pres. </v>
      </c>
      <c r="G610" s="7" t="str">
        <f>IFERROR(__xludf.DUMMYFUNCTION("""COMPUTED_VALUE"""),"NP Findings Not Presenting ")</f>
        <v>NP Findings Not Presenting </v>
      </c>
      <c r="H610" s="7"/>
      <c r="I610" s="7" t="str">
        <f>IFERROR(__xludf.DUMMYFUNCTION("""COMPUTED_VALUE"""),"NP-Find")</f>
        <v>NP-Find</v>
      </c>
      <c r="J610" s="7"/>
      <c r="K610" s="7"/>
      <c r="L610" s="8"/>
      <c r="M610" s="7"/>
      <c r="N610" s="7"/>
    </row>
    <row r="611">
      <c r="A611" s="7" t="str">
        <f>IFERROR(__xludf.DUMMYFUNCTION("""COMPUTED_VALUE"""),"2104-FIND")</f>
        <v>2104-FIND</v>
      </c>
      <c r="B611" s="7" t="str">
        <f>IFERROR(__xludf.DUMMYFUNCTION("""COMPUTED_VALUE"""),"LoRMA: Low Rank Multiplicative Adaptation for LLMs")</f>
        <v>LoRMA: Low Rank Multiplicative Adaptation for LLMs</v>
      </c>
      <c r="C611" s="7" t="str">
        <f>IFERROR(__xludf.DUMMYFUNCTION("""COMPUTED_VALUE"""),"Large Language Models have emerged to show remarkable capabilities in the NLP domain. The effectiveness can mainly be attributed to the ability to adapt to an array of downstream tasks. However, generally, full fine-tuning is a computationally expensive j"&amp;"ob. To mitigate this, many techniques have been developed that prime efficiency, a prominent one being Low-Rank Adaptation (LoRA). However, LoRA and its variants employ re-parametrized additive updates. In this paper, we propose Low Rank Multiplicative Ad"&amp;"aptation (LoRMA), which shifts the paradigm of additive updates to a much richer space of matrix multiplicative transformations. We tackle challenges such as computational complexity and rank inhibition by strategically ordering matrix operations and intr"&amp;"oducing rank inflation strategies. We conduct extensive experiments to show the effectiveness of our approach in terms of evaluation metrics and computational costs.")</f>
        <v>Large Language Models have emerged to show remarkable capabilities in the NLP domain. The effectiveness can mainly be attributed to the ability to adapt to an array of downstream tasks. However, generally, full fine-tuning is a computationally expensive job. To mitigate this, many techniques have been developed that prime efficiency, a prominent one being Low-Rank Adaptation (LoRA). However, LoRA and its variants employ re-parametrized additive updates. In this paper, we propose Low Rank Multiplicative Adaptation (LoRMA), which shifts the paradigm of additive updates to a much richer space of matrix multiplicative transformations. We tackle challenges such as computational complexity and rank inhibition by strategically ordering matrix operations and introducing rank inflation strategies. We conduct extensive experiments to show the effectiveness of our approach in terms of evaluation metrics and computational costs.</v>
      </c>
      <c r="D611" s="7" t="str">
        <f>IFERROR(__xludf.DUMMYFUNCTION("""COMPUTED_VALUE"""),"Ashutosh Modi")</f>
        <v>Ashutosh Modi</v>
      </c>
      <c r="E611" s="7" t="str">
        <f>IFERROR(__xludf.DUMMYFUNCTION("""COMPUTED_VALUE"""),"Yes")</f>
        <v>Yes</v>
      </c>
      <c r="F611" s="7" t="str">
        <f>IFERROR(__xludf.DUMMYFUNCTION("""COMPUTED_VALUE"""),"IP-Poster")</f>
        <v>IP-Poster</v>
      </c>
      <c r="G611" s="7" t="str">
        <f>IFERROR(__xludf.DUMMYFUNCTION("""COMPUTED_VALUE"""),"In-Person")</f>
        <v>In-Person</v>
      </c>
      <c r="H611" s="7" t="str">
        <f>IFERROR(__xludf.DUMMYFUNCTION("""COMPUTED_VALUE"""),"Hall 4/5")</f>
        <v>Hall 4/5</v>
      </c>
      <c r="I611" s="7" t="str">
        <f>IFERROR(__xludf.DUMMYFUNCTION("""COMPUTED_VALUE"""),"Session 10: IP-Posters")</f>
        <v>Session 10: IP-Posters</v>
      </c>
      <c r="J611" s="7" t="str">
        <f>IFERROR(__xludf.DUMMYFUNCTION("""COMPUTED_VALUE"""),"Findings Posters - In-Person 3")</f>
        <v>Findings Posters - In-Person 3</v>
      </c>
      <c r="K611" s="7"/>
      <c r="L611" s="8">
        <f>IFERROR(__xludf.DUMMYFUNCTION("""COMPUTED_VALUE"""),45867.0)</f>
        <v>45867</v>
      </c>
      <c r="M611" s="7" t="str">
        <f>IFERROR(__xludf.DUMMYFUNCTION("""COMPUTED_VALUE"""),"16:00-17:30")</f>
        <v>16:00-17:30</v>
      </c>
      <c r="N611" s="7"/>
    </row>
    <row r="612">
      <c r="A612" s="7" t="str">
        <f>IFERROR(__xludf.DUMMYFUNCTION("""COMPUTED_VALUE"""),"2105-FIND")</f>
        <v>2105-FIND</v>
      </c>
      <c r="B612" s="7" t="str">
        <f>IFERROR(__xludf.DUMMYFUNCTION("""COMPUTED_VALUE"""),"DI-BENCH: Benchmarking Large Language Models on Dependency Inference with Testable Repositories at Scale")</f>
        <v>DI-BENCH: Benchmarking Large Language Models on Dependency Inference with Testable Repositories at Scale</v>
      </c>
      <c r="C612" s="7" t="str">
        <f>IFERROR(__xludf.DUMMYFUNCTION("""COMPUTED_VALUE"""),"Large Language Models have advanced automated software development, however, it remains a challenge to correctly infer dependencies, namely, identifying the internal components and external packages required for a repository to successfully run. Existing "&amp;"studies highlight that dependency-related issues cause over 40% of observed runtime errors on the generated repository. To address this, we introduce DI-BENCH (code: https://github.com/DIBench/DIBench), a large-scale benchmark and evaluation framework spe"&amp;"cifically designed to assess LLMs' capability on dependency inference. The benchmark features 600 repositories with testing environments across Python, C#, Rust, and JavaScript. Extensive experiments with textual and execution-based metrics reveal that th"&amp;"e current best-performing model achieves only a 42% execution pass rate, indicating significant room for improvement. DI-BENCH establishes a new viewpoint for evaluating LLM performance on repositories, paving the way for more robust end-to-end software s"&amp;"ynthesis.")</f>
        <v>Large Language Models have advanced automated software development, however, it remains a challenge to correctly infer dependencies, namely, identifying the internal components and external packages required for a repository to successfully run. Existing studies highlight that dependency-related issues cause over 40% of observed runtime errors on the generated repository. To address this, we introduce DI-BENCH (code: https://github.com/DIBench/DIBench), a large-scale benchmark and evaluation framework specifically designed to assess LLMs' capability on dependency inference. The benchmark features 600 repositories with testing environments across Python, C#, Rust, and JavaScript. Extensive experiments with textual and execution-based metrics reveal that the current best-performing model achieves only a 42% execution pass rate, indicating significant room for improvement. DI-BENCH establishes a new viewpoint for evaluating LLM performance on repositories, paving the way for more robust end-to-end software synthesis.</v>
      </c>
      <c r="D612" s="7" t="str">
        <f>IFERROR(__xludf.DUMMYFUNCTION("""COMPUTED_VALUE"""),"No presenter")</f>
        <v>No presenter</v>
      </c>
      <c r="E612" s="7" t="str">
        <f>IFERROR(__xludf.DUMMYFUNCTION("""COMPUTED_VALUE"""),"#N/A")</f>
        <v>#N/A</v>
      </c>
      <c r="F612" s="7" t="str">
        <f>IFERROR(__xludf.DUMMYFUNCTION("""COMPUTED_VALUE"""),"Not Pres. ")</f>
        <v>Not Pres. </v>
      </c>
      <c r="G612" s="7" t="str">
        <f>IFERROR(__xludf.DUMMYFUNCTION("""COMPUTED_VALUE"""),"NP Findings Not Presenting ")</f>
        <v>NP Findings Not Presenting </v>
      </c>
      <c r="H612" s="7"/>
      <c r="I612" s="7" t="str">
        <f>IFERROR(__xludf.DUMMYFUNCTION("""COMPUTED_VALUE"""),"NP-Find")</f>
        <v>NP-Find</v>
      </c>
      <c r="J612" s="7"/>
      <c r="K612" s="7"/>
      <c r="L612" s="8"/>
      <c r="M612" s="7"/>
      <c r="N612" s="7"/>
    </row>
    <row r="613">
      <c r="A613" s="7" t="str">
        <f>IFERROR(__xludf.DUMMYFUNCTION("""COMPUTED_VALUE"""),"2112-FIND")</f>
        <v>2112-FIND</v>
      </c>
      <c r="B613" s="7" t="str">
        <f>IFERROR(__xludf.DUMMYFUNCTION("""COMPUTED_VALUE"""),"Weak-to-Strong Honesty Alignment via Learning-to-Rank Supervision")</f>
        <v>Weak-to-Strong Honesty Alignment via Learning-to-Rank Supervision</v>
      </c>
      <c r="C613" s="7" t="str">
        <f>IFERROR(__xludf.DUMMYFUNCTION("""COMPUTED_VALUE"""),"Honest alignment refers to the ability of a language model to truthfully convey its knowledge limitations by appropriately refusing to answer questions when it lacks sufficient information. Existing solutions, such as prompt engineering and fine-tuning, f"&amp;"ace limitations: the former provides only marginal improvements, while the latter struggles to enhance honesty when annotated data is scarce. To overcome the above limitations, we propose WHAT, a novel framework that enhances honesty through weak-to-stron"&amp;"g generalization. Specifically, we train the strong LLMs under weak model supervision to improve their honesty. For the weak model, we employ a learning-to-rank strategy to train a ``honest head'', which learns to select the most honest response among mod"&amp;"el's outputs generated through beam search. For the strong LLM, we leverage the self-labeled dataset to update its parameters. Our proposal requires only minimal training data to train the weak honest model, yet achieve decent performance for labeling dat"&amp;"a. In addition, it enables the strong LLMs have the capabilities to generalize even facing with the flawed label data. Extensive experiments show WHAT significantly boosts honest alignment in large models even with limited labeled data. Our code is availa"&amp;"ble at \url{https://anonymous.4open.science/r/w2s_4_ha_438-D65D/}.")</f>
        <v>Honest alignment refers to the ability of a language model to truthfully convey its knowledge limitations by appropriately refusing to answer questions when it lacks sufficient information. Existing solutions, such as prompt engineering and fine-tuning, face limitations: the former provides only marginal improvements, while the latter struggles to enhance honesty when annotated data is scarce. To overcome the above limitations, we propose WHAT, a novel framework that enhances honesty through weak-to-strong generalization. Specifically, we train the strong LLMs under weak model supervision to improve their honesty. For the weak model, we employ a learning-to-rank strategy to train a ``honest head'', which learns to select the most honest response among model's outputs generated through beam search. For the strong LLM, we leverage the self-labeled dataset to update its parameters. Our proposal requires only minimal training data to train the weak honest model, yet achieve decent performance for labeling data. In addition, it enables the strong LLMs have the capabilities to generalize even facing with the flawed label data. Extensive experiments show WHAT significantly boosts honest alignment in large models even with limited labeled data. Our code is available at \url{https://anonymous.4open.science/r/w2s_4_ha_438-D65D/}.</v>
      </c>
      <c r="D613" s="7" t="str">
        <f>IFERROR(__xludf.DUMMYFUNCTION("""COMPUTED_VALUE"""),"Yunfan Xie")</f>
        <v>Yunfan Xie</v>
      </c>
      <c r="E613" s="7" t="str">
        <f>IFERROR(__xludf.DUMMYFUNCTION("""COMPUTED_VALUE"""),"#N/A")</f>
        <v>#N/A</v>
      </c>
      <c r="F613" s="7" t="str">
        <f>IFERROR(__xludf.DUMMYFUNCTION("""COMPUTED_VALUE"""),"Not Pres. ")</f>
        <v>Not Pres. </v>
      </c>
      <c r="G613" s="7" t="str">
        <f>IFERROR(__xludf.DUMMYFUNCTION("""COMPUTED_VALUE"""),"NP Findings Not Presenting ")</f>
        <v>NP Findings Not Presenting </v>
      </c>
      <c r="H613" s="7"/>
      <c r="I613" s="7" t="str">
        <f>IFERROR(__xludf.DUMMYFUNCTION("""COMPUTED_VALUE"""),"NP-Find")</f>
        <v>NP-Find</v>
      </c>
      <c r="J613" s="7"/>
      <c r="K613" s="7"/>
      <c r="L613" s="8"/>
      <c r="M613" s="7"/>
      <c r="N613" s="7"/>
    </row>
    <row r="614">
      <c r="A614" s="7" t="str">
        <f>IFERROR(__xludf.DUMMYFUNCTION("""COMPUTED_VALUE"""),"2116-FIND")</f>
        <v>2116-FIND</v>
      </c>
      <c r="B614" s="7" t="str">
        <f>IFERROR(__xludf.DUMMYFUNCTION("""COMPUTED_VALUE"""),"MultiHoax: A Dataset of Multi-hop False-premise questions")</f>
        <v>MultiHoax: A Dataset of Multi-hop False-premise questions</v>
      </c>
      <c r="C614" s="7" t="str">
        <f>IFERROR(__xludf.DUMMYFUNCTION("""COMPUTED_VALUE"""),"As Large Language Models are increasingly deployed in high-stakes domains, their ability to detect false assumptions and reason critically is crucial for ensuring reliable outputs. False-premise questions (FPQs) serve as an important evaluation method by "&amp;"exposing cases where flawed assumptions lead to incorrect responses. While existing benchmarks focus on single-hop FPQs, real-world reasoning often requires multi-hop inference, where models must verify consistency across multiple reasoning steps rather t"&amp;"han relying on surface-level cues. To address this gap, we introduce MultiHoax, a benchmark for evaluating LLMs' ability to handle false premises in complex, multi-step reasoning tasks. Our dataset spans seven countries and ten diverse knowledge categorie"&amp;"s, using Wikipedia as the primary knowledge source to enable cross-regional factual reasoning. Experiments reveal that state-of-the-art LLMs struggle to detect false premises across different countries, knowledge categories, and multi-hop reasoning types,"&amp;" highlighting the need for improved false premise detection and more robust multi-hop reasoning capabilities in LLMs.")</f>
        <v>As Large Language Models are increasingly deployed in high-stakes domains, their ability to detect false assumptions and reason critically is crucial for ensuring reliable outputs. False-premise questions (FPQs) serve as an important evaluation method by exposing cases where flawed assumptions lead to incorrect responses. While existing benchmarks focus on single-hop FPQs, real-world reasoning often requires multi-hop inference, where models must verify consistency across multiple reasoning steps rather than relying on surface-level cues. To address this gap, we introduce MultiHoax, a benchmark for evaluating LLMs' ability to handle false premises in complex, multi-step reasoning tasks. Our dataset spans seven countries and ten diverse knowledge categories, using Wikipedia as the primary knowledge source to enable cross-regional factual reasoning. Experiments reveal that state-of-the-art LLMs struggle to detect false premises across different countries, knowledge categories, and multi-hop reasoning types, highlighting the need for improved false premise detection and more robust multi-hop reasoning capabilities in LLMs.</v>
      </c>
      <c r="D614" s="7" t="str">
        <f>IFERROR(__xludf.DUMMYFUNCTION("""COMPUTED_VALUE"""),"Mohammadamin Shafiei")</f>
        <v>Mohammadamin Shafiei</v>
      </c>
      <c r="E614" s="7" t="str">
        <f>IFERROR(__xludf.DUMMYFUNCTION("""COMPUTED_VALUE"""),"Yes")</f>
        <v>Yes</v>
      </c>
      <c r="F614" s="7" t="str">
        <f>IFERROR(__xludf.DUMMYFUNCTION("""COMPUTED_VALUE"""),"IP-Poster")</f>
        <v>IP-Poster</v>
      </c>
      <c r="G614" s="7" t="str">
        <f>IFERROR(__xludf.DUMMYFUNCTION("""COMPUTED_VALUE"""),"In-Person")</f>
        <v>In-Person</v>
      </c>
      <c r="H614" s="7" t="str">
        <f>IFERROR(__xludf.DUMMYFUNCTION("""COMPUTED_VALUE"""),"Hall 4/5")</f>
        <v>Hall 4/5</v>
      </c>
      <c r="I614" s="7" t="str">
        <f>IFERROR(__xludf.DUMMYFUNCTION("""COMPUTED_VALUE"""),"Session 5 :IP-Posters Find ")</f>
        <v>Session 5 :IP-Posters Find </v>
      </c>
      <c r="J614" s="7" t="str">
        <f>IFERROR(__xludf.DUMMYFUNCTION("""COMPUTED_VALUE"""),"Findings Posters - In-Person 1")</f>
        <v>Findings Posters - In-Person 1</v>
      </c>
      <c r="K614" s="7"/>
      <c r="L614" s="8">
        <f>IFERROR(__xludf.DUMMYFUNCTION("""COMPUTED_VALUE"""),45866.0)</f>
        <v>45866</v>
      </c>
      <c r="M614" s="7" t="str">
        <f>IFERROR(__xludf.DUMMYFUNCTION("""COMPUTED_VALUE"""),"18:00-19:30")</f>
        <v>18:00-19:30</v>
      </c>
      <c r="N614" s="7"/>
    </row>
    <row r="615">
      <c r="A615" s="7" t="str">
        <f>IFERROR(__xludf.DUMMYFUNCTION("""COMPUTED_VALUE"""),"2121-FIND")</f>
        <v>2121-FIND</v>
      </c>
      <c r="B615" s="7" t="str">
        <f>IFERROR(__xludf.DUMMYFUNCTION("""COMPUTED_VALUE"""),"Learning to Play Like Humans: A Framework for LLM Adaptation in Interactive Fiction Games")</f>
        <v>Learning to Play Like Humans: A Framework for LLM Adaptation in Interactive Fiction Games</v>
      </c>
      <c r="C615" s="7" t="str">
        <f>IFERROR(__xludf.DUMMYFUNCTION("""COMPUTED_VALUE"""),"Interactive Fiction games (IF games) are where players interact through natural language commands. While recent advances in Artificial Intelligence agents have reignited interest in IF games as a domain for studying decision-making, existing approaches pr"&amp;"ioritize task-specific performance metrics over human-like comprehension of narrative context and gameplay logic. This work presents a cognitively inspired framework that guides Large Language Models (LLMs) to learn and play IF games systematically. Our p"&amp;"roposed **L**earning to **P**lay **L**ike **H**umans (LPLH) framework integrates three key components: (1) structured map building to capture spatial and narrative relationships, (2) action learning to identify context-appropriate commands, and (3) feedba"&amp;"ck-driven experience analysis to refine decision-making over time. By aligning LLMs-based agents' behavior with narrative intent and commonsense constraints, LPLH moves beyond purely exploratory strategies to deliver more interpretable, human-like perform"&amp;"ance. Crucially, this approach draws on cognitive science principles to more closely simulate how human players read, interpret, and respond within narrative worlds. As a result, LPLH reframes the IF games challenge as a learning problem for LLMs-based ag"&amp;"ents, offering a new path toward robust, context-aware gameplay in complex text-based environments.")</f>
        <v>Interactive Fiction games (IF games) are where players interact through natural language commands. While recent advances in Artificial Intelligence agents have reignited interest in IF games as a domain for studying decision-making, existing approaches prioritize task-specific performance metrics over human-like comprehension of narrative context and gameplay logic. This work presents a cognitively inspired framework that guides Large Language Models (LLMs) to learn and play IF games systematically. Our proposed **L**earning to **P**lay **L**ike **H**umans (LPLH) framework integrates three key components: (1) structured map building to capture spatial and narrative relationships, (2) action learning to identify context-appropriate commands, and (3) feedback-driven experience analysis to refine decision-making over time. By aligning LLMs-based agents' behavior with narrative intent and commonsense constraints, LPLH moves beyond purely exploratory strategies to deliver more interpretable, human-like performance. Crucially, this approach draws on cognitive science principles to more closely simulate how human players read, interpret, and respond within narrative worlds. As a result, LPLH reframes the IF games challenge as a learning problem for LLMs-based agents, offering a new path toward robust, context-aware gameplay in complex text-based environments.</v>
      </c>
      <c r="D615" s="7" t="str">
        <f>IFERROR(__xludf.DUMMYFUNCTION("""COMPUTED_VALUE"""),"Jinming Zhang")</f>
        <v>Jinming Zhang</v>
      </c>
      <c r="E615" s="7" t="str">
        <f>IFERROR(__xludf.DUMMYFUNCTION("""COMPUTED_VALUE"""),"N/A")</f>
        <v>N/A</v>
      </c>
      <c r="F615" s="7" t="str">
        <f>IFERROR(__xludf.DUMMYFUNCTION("""COMPUTED_VALUE"""),"Not Pres. ")</f>
        <v>Not Pres. </v>
      </c>
      <c r="G615" s="7"/>
      <c r="H615" s="7"/>
      <c r="I615" s="7" t="str">
        <f>IFERROR(__xludf.DUMMYFUNCTION("""COMPUTED_VALUE"""),"NP-Find")</f>
        <v>NP-Find</v>
      </c>
      <c r="J615" s="7"/>
      <c r="K615" s="7"/>
      <c r="L615" s="8"/>
      <c r="M615" s="7"/>
      <c r="N615" s="7"/>
    </row>
    <row r="616">
      <c r="A616" s="7" t="str">
        <f>IFERROR(__xludf.DUMMYFUNCTION("""COMPUTED_VALUE"""),"2123-FIND")</f>
        <v>2123-FIND</v>
      </c>
      <c r="B616" s="7" t="str">
        <f>IFERROR(__xludf.DUMMYFUNCTION("""COMPUTED_VALUE"""),"STATE ToxiCN: A Benchmark for Span-level Target-Aware Toxicity Extraction in Chinese Hate Speech Detection")</f>
        <v>STATE ToxiCN: A Benchmark for Span-level Target-Aware Toxicity Extraction in Chinese Hate Speech Detection</v>
      </c>
      <c r="C616" s="7" t="str">
        <f>IFERROR(__xludf.DUMMYFUNCTION("""COMPUTED_VALUE"""),"The proliferation of hate speech has caused significant harm to society. The intensity and directionality of hate are closely tied to the target and argument it is associated with. However, research on hate speech detection in Chinese has lagged behind, a"&amp;"nd existing datasets lack span-level fine-grained annotations. Furthermore, the lack of research on Chinese hateful slang poses a significant challenge. In this paper, we provide two valuable fine-grained Chinese hate speech detection research resources. "&amp;"First, we construct a Span-level Target-Aware Toxicity Extraction dataset (STATE ToxiCN), which is the first span-level Chinese hate speech dataset. Secondly, we evaluate the span-level hate speech detection performance of existing models using STATE Toxi"&amp;"CN. Finally, we conduct the first study on Chinese hateful slang and evaluate the ability of LLMs to understand hate semantics. Our work contributes valuable resources and insights to advance span-level hate speech detection in Chinese.")</f>
        <v>The proliferation of hate speech has caused significant harm to society. The intensity and directionality of hate are closely tied to the target and argument it is associated with. However, research on hate speech detection in Chinese has lagged behind, and existing datasets lack span-level fine-grained annotations. Furthermore, the lack of research on Chinese hateful slang poses a significant challenge. In this paper, we provide two valuable fine-grained Chinese hate speech detection research resources. First, we construct a Span-level Target-Aware Toxicity Extraction dataset (STATE ToxiCN), which is the first span-level Chinese hate speech dataset. Secondly, we evaluate the span-level hate speech detection performance of existing models using STATE ToxiCN. Finally, we conduct the first study on Chinese hateful slang and evaluate the ability of LLMs to understand hate semantics. Our work contributes valuable resources and insights to advance span-level hate speech detection in Chinese.</v>
      </c>
      <c r="D616" s="7" t="str">
        <f>IFERROR(__xludf.DUMMYFUNCTION("""COMPUTED_VALUE"""),"Zewen Bai")</f>
        <v>Zewen Bai</v>
      </c>
      <c r="E616" s="7" t="str">
        <f>IFERROR(__xludf.DUMMYFUNCTION("""COMPUTED_VALUE"""),"Yes")</f>
        <v>Yes</v>
      </c>
      <c r="F616" s="7" t="str">
        <f>IFERROR(__xludf.DUMMYFUNCTION("""COMPUTED_VALUE"""),"IP-Poster")</f>
        <v>IP-Poster</v>
      </c>
      <c r="G616" s="7" t="str">
        <f>IFERROR(__xludf.DUMMYFUNCTION("""COMPUTED_VALUE"""),"In-Person")</f>
        <v>In-Person</v>
      </c>
      <c r="H616" s="7" t="str">
        <f>IFERROR(__xludf.DUMMYFUNCTION("""COMPUTED_VALUE"""),"Hall 4/5")</f>
        <v>Hall 4/5</v>
      </c>
      <c r="I616" s="7" t="str">
        <f>IFERROR(__xludf.DUMMYFUNCTION("""COMPUTED_VALUE"""),"Session 5 :IP-Posters Find ")</f>
        <v>Session 5 :IP-Posters Find </v>
      </c>
      <c r="J616" s="7" t="str">
        <f>IFERROR(__xludf.DUMMYFUNCTION("""COMPUTED_VALUE"""),"Findings Posters - In-Person 1")</f>
        <v>Findings Posters - In-Person 1</v>
      </c>
      <c r="K616" s="7"/>
      <c r="L616" s="8">
        <f>IFERROR(__xludf.DUMMYFUNCTION("""COMPUTED_VALUE"""),45866.0)</f>
        <v>45866</v>
      </c>
      <c r="M616" s="7" t="str">
        <f>IFERROR(__xludf.DUMMYFUNCTION("""COMPUTED_VALUE"""),"18:00-19:30")</f>
        <v>18:00-19:30</v>
      </c>
      <c r="N616" s="7"/>
    </row>
    <row r="617">
      <c r="A617" s="7" t="str">
        <f>IFERROR(__xludf.DUMMYFUNCTION("""COMPUTED_VALUE"""),"2125-FIND")</f>
        <v>2125-FIND</v>
      </c>
      <c r="B617" s="7" t="str">
        <f>IFERROR(__xludf.DUMMYFUNCTION("""COMPUTED_VALUE"""),"RelEdit: Evaluating Conceptual Knowledge Editing in Language Models via Relational Reasoning")</f>
        <v>RelEdit: Evaluating Conceptual Knowledge Editing in Language Models via Relational Reasoning</v>
      </c>
      <c r="C617" s="7" t="str">
        <f>IFERROR(__xludf.DUMMYFUNCTION("""COMPUTED_VALUE"""),"The conceptual knowledge in Large Language Models (LLMs) can become outdated over time, and concept editing is often an option. Current evaluations on conceptual knowledge editing primarily focus on whether the definitions of concepts are successfully edi"&amp;"ted, neglecting the impact on the model's related beliefs. To address this gap, we introduce a benchmark called RelEdit, which includes criteria and questions to assess both concept-level and instance-level relational reasoning abilities of edited models."&amp;" Our findings reveal that existing knowledge editing methods struggle to reason about related conceptual knowledge effectively. Additionally, we introduce a simple memory-based in-context editing baseline, MICE, which prompts the language model to generat"&amp;"e answers that align with the stored edited concepts in external memory. In addition, we find that MICE obtains the best scores on our benchmark, suggesting a promising research direction for model editing.")</f>
        <v>The conceptual knowledge in Large Language Models (LLMs) can become outdated over time, and concept editing is often an option. Current evaluations on conceptual knowledge editing primarily focus on whether the definitions of concepts are successfully edited, neglecting the impact on the model's related beliefs. To address this gap, we introduce a benchmark called RelEdit, which includes criteria and questions to assess both concept-level and instance-level relational reasoning abilities of edited models. Our findings reveal that existing knowledge editing methods struggle to reason about related conceptual knowledge effectively. Additionally, we introduce a simple memory-based in-context editing baseline, MICE, which prompts the language model to generate answers that align with the stored edited concepts in external memory. In addition, we find that MICE obtains the best scores on our benchmark, suggesting a promising research direction for model editing.</v>
      </c>
      <c r="D617" s="7" t="str">
        <f>IFERROR(__xludf.DUMMYFUNCTION("""COMPUTED_VALUE"""),"Yifan Niu")</f>
        <v>Yifan Niu</v>
      </c>
      <c r="E617" s="7" t="str">
        <f>IFERROR(__xludf.DUMMYFUNCTION("""COMPUTED_VALUE"""),"Yes")</f>
        <v>Yes</v>
      </c>
      <c r="F617" s="7" t="str">
        <f>IFERROR(__xludf.DUMMYFUNCTION("""COMPUTED_VALUE"""),"IP-Poster")</f>
        <v>IP-Poster</v>
      </c>
      <c r="G617" s="7" t="str">
        <f>IFERROR(__xludf.DUMMYFUNCTION("""COMPUTED_VALUE"""),"In-Person")</f>
        <v>In-Person</v>
      </c>
      <c r="H617" s="7" t="str">
        <f>IFERROR(__xludf.DUMMYFUNCTION("""COMPUTED_VALUE"""),"Hall 4/5")</f>
        <v>Hall 4/5</v>
      </c>
      <c r="I617" s="7" t="str">
        <f>IFERROR(__xludf.DUMMYFUNCTION("""COMPUTED_VALUE"""),"Session 5 :IP-Posters Find ")</f>
        <v>Session 5 :IP-Posters Find </v>
      </c>
      <c r="J617" s="7" t="str">
        <f>IFERROR(__xludf.DUMMYFUNCTION("""COMPUTED_VALUE"""),"Findings Posters - In-Person 1")</f>
        <v>Findings Posters - In-Person 1</v>
      </c>
      <c r="K617" s="7"/>
      <c r="L617" s="8">
        <f>IFERROR(__xludf.DUMMYFUNCTION("""COMPUTED_VALUE"""),45866.0)</f>
        <v>45866</v>
      </c>
      <c r="M617" s="7" t="str">
        <f>IFERROR(__xludf.DUMMYFUNCTION("""COMPUTED_VALUE"""),"18:00-19:30")</f>
        <v>18:00-19:30</v>
      </c>
      <c r="N617" s="7"/>
    </row>
    <row r="618">
      <c r="A618" s="7" t="str">
        <f>IFERROR(__xludf.DUMMYFUNCTION("""COMPUTED_VALUE"""),"2126-FIND")</f>
        <v>2126-FIND</v>
      </c>
      <c r="B618" s="7" t="str">
        <f>IFERROR(__xludf.DUMMYFUNCTION("""COMPUTED_VALUE"""),"Unlocking Speech Instruction Data Potential with Query Rewriting")</f>
        <v>Unlocking Speech Instruction Data Potential with Query Rewriting</v>
      </c>
      <c r="C618" s="7" t="str">
        <f>IFERROR(__xludf.DUMMYFUNCTION("""COMPUTED_VALUE"""),"End-to-end Large Speech Language Models (**LSLMs**) demonstrate strong potential in response latency and speech comprehension capabilities, showcasing general intelligence across speech understanding tasks. However, the ability to follow speech instructio"&amp;"ns has not been fully realized due to the lack of datasets and heavily biased training tasks. Leveraging the rich ASR datasets, previous approaches have used Large Language Models (**LLMs**) to continue the linguistic information of speech to construct sp"&amp;"eech instruction datasets. Yet, due to the gap between LLM-generated results and real human responses, the continuation methods further amplify these shortcomings. Given the high costs of collecting and annotating speech instruction datasets by humans, us"&amp;"ing speech synthesis to construct large-scale speech instruction datasets has become a balanced and robust alternative. Although modern Text-To-Speech (**TTS**) models have achieved near-human-level synthesis quality, it is challenging to appropriately co"&amp;"nvert out-of-distribution text instruction to speech due to the limitations of the training data distribution in TTS models. To address this issue, we propose a query rewriting framework with multi-LLM knowledge fusion, employing multiple agents to annota"&amp;"te and validate the synthesized speech, making it possible to construct high-quality speech instruction datasets without relying on human annotation. Experiments show that this method can transform text instructions into distributions more suitable for TT"&amp;"S models for speech synthesis through zero-shot rewriting, increasing data usability from 72% to 93%. It also demonstrates unique advantages in rewriting tasks that require complex knowledge and context-related abilities.")</f>
        <v>End-to-end Large Speech Language Models (**LSLMs**) demonstrate strong potential in response latency and speech comprehension capabilities, showcasing general intelligence across speech understanding tasks. However, the ability to follow speech instructions has not been fully realized due to the lack of datasets and heavily biased training tasks. Leveraging the rich ASR datasets, previous approaches have used Large Language Models (**LLMs**) to continue the linguistic information of speech to construct speech instruction datasets. Yet, due to the gap between LLM-generated results and real human responses, the continuation methods further amplify these shortcomings. Given the high costs of collecting and annotating speech instruction datasets by humans, using speech synthesis to construct large-scale speech instruction datasets has become a balanced and robust alternative. Although modern Text-To-Speech (**TTS**) models have achieved near-human-level synthesis quality, it is challenging to appropriately convert out-of-distribution text instruction to speech due to the limitations of the training data distribution in TTS models. To address this issue, we propose a query rewriting framework with multi-LLM knowledge fusion, employing multiple agents to annotate and validate the synthesized speech, making it possible to construct high-quality speech instruction datasets without relying on human annotation. Experiments show that this method can transform text instructions into distributions more suitable for TTS models for speech synthesis through zero-shot rewriting, increasing data usability from 72% to 93%. It also demonstrates unique advantages in rewriting tasks that require complex knowledge and context-related abilities.</v>
      </c>
      <c r="D618" s="7" t="str">
        <f>IFERROR(__xludf.DUMMYFUNCTION("""COMPUTED_VALUE"""),"None")</f>
        <v>None</v>
      </c>
      <c r="E618" s="7" t="str">
        <f>IFERROR(__xludf.DUMMYFUNCTION("""COMPUTED_VALUE"""),"#N/A")</f>
        <v>#N/A</v>
      </c>
      <c r="F618" s="7" t="str">
        <f>IFERROR(__xludf.DUMMYFUNCTION("""COMPUTED_VALUE"""),"Not Pres. ")</f>
        <v>Not Pres. </v>
      </c>
      <c r="G618" s="7" t="str">
        <f>IFERROR(__xludf.DUMMYFUNCTION("""COMPUTED_VALUE"""),"NP Findings Not Presenting ")</f>
        <v>NP Findings Not Presenting </v>
      </c>
      <c r="H618" s="7"/>
      <c r="I618" s="7" t="str">
        <f>IFERROR(__xludf.DUMMYFUNCTION("""COMPUTED_VALUE"""),"NP-Find")</f>
        <v>NP-Find</v>
      </c>
      <c r="J618" s="7"/>
      <c r="K618" s="7"/>
      <c r="L618" s="8"/>
      <c r="M618" s="7"/>
      <c r="N618" s="7"/>
    </row>
    <row r="619">
      <c r="A619" s="7" t="str">
        <f>IFERROR(__xludf.DUMMYFUNCTION("""COMPUTED_VALUE"""),"2128-FIND")</f>
        <v>2128-FIND</v>
      </c>
      <c r="B619" s="7" t="str">
        <f>IFERROR(__xludf.DUMMYFUNCTION("""COMPUTED_VALUE"""),"From Evasion to Concealment: Stealthy Knowledge Unlearning for LLMs")</f>
        <v>From Evasion to Concealment: Stealthy Knowledge Unlearning for LLMs</v>
      </c>
      <c r="C619" s="7" t="str">
        <f>IFERROR(__xludf.DUMMYFUNCTION("""COMPUTED_VALUE"""),"LLM Unlearning plays a crucial role in removing sensitive information from language models to mitigate potential misuse. However, previous approaches often treat nonsensical responses or template-based refusals (e.g., ``Sorry, I cannot answer.'') as the u"&amp;"nlearning target, which can give the impression of deliberate information suppression, making the process even more vulnerable to attacks and jailbreaks. Moreover, most methods rely on auxiliary models or retaining datasets, which adds complexity to the u"&amp;"nlearning process. To address these challenges, we propose MEOW, a streamlined and stealthy unlearning method that eliminates the need for auxiliary models or retaining data while avoiding leakage through its innovative use of inverted facts. These invert"&amp;"ed facts are generated by an offline LLM and serve as fine-tuning labels. Meanwhile, we introduce MEMO, a novel metric that measures the model’s memorization, to select optimal fine-tuning targets. The use of inverted facts not only maintains the covert n"&amp;"ature of the model but also ensures that sensitive information is effectively forgotten without revealing the target data. Evaluated on the ToFU Knowledge Unlearning dataset using Llama2-7B-Chat and Phi-1.5, MEOW outperforms baselines in forgetting qualit"&amp;"y while preserving model utility. MEOW also maintains strong performance across NLU and NLG tasks and demonstrates superior resilience to attacks, validated via the Min-K% membership inference method.")</f>
        <v>LLM Unlearning plays a crucial role in removing sensitive information from language models to mitigate potential misuse. However, previous approaches often treat nonsensical responses or template-based refusals (e.g., ``Sorry, I cannot answer.'') as the unlearning target, which can give the impression of deliberate information suppression, making the process even more vulnerable to attacks and jailbreaks. Moreover, most methods rely on auxiliary models or retaining datasets, which adds complexity to the unlearning process. To address these challenges, we propose MEOW, a streamlined and stealthy unlearning method that eliminates the need for auxiliary models or retaining data while avoiding leakage through its innovative use of inverted facts. These inverted facts are generated by an offline LLM and serve as fine-tuning labels. Meanwhile, we introduce MEMO, a novel metric that measures the model’s memorization, to select optimal fine-tuning targets. The use of inverted facts not only maintains the covert nature of the model but also ensures that sensitive information is effectively forgotten without revealing the target data. Evaluated on the ToFU Knowledge Unlearning dataset using Llama2-7B-Chat and Phi-1.5, MEOW outperforms baselines in forgetting quality while preserving model utility. MEOW also maintains strong performance across NLU and NLG tasks and demonstrates superior resilience to attacks, validated via the Min-K% membership inference method.</v>
      </c>
      <c r="D619" s="7" t="str">
        <f>IFERROR(__xludf.DUMMYFUNCTION("""COMPUTED_VALUE"""),"N/A")</f>
        <v>N/A</v>
      </c>
      <c r="E619" s="7" t="str">
        <f>IFERROR(__xludf.DUMMYFUNCTION("""COMPUTED_VALUE"""),"yes")</f>
        <v>yes</v>
      </c>
      <c r="F619" s="7" t="str">
        <f>IFERROR(__xludf.DUMMYFUNCTION("""COMPUTED_VALUE"""),"IP-Poster")</f>
        <v>IP-Poster</v>
      </c>
      <c r="G619" s="7" t="str">
        <f>IFERROR(__xludf.DUMMYFUNCTION("""COMPUTED_VALUE"""),"In-Person")</f>
        <v>In-Person</v>
      </c>
      <c r="H619" s="7" t="str">
        <f>IFERROR(__xludf.DUMMYFUNCTION("""COMPUTED_VALUE"""),"Hall 4/5")</f>
        <v>Hall 4/5</v>
      </c>
      <c r="I619" s="7" t="str">
        <f>IFERROR(__xludf.DUMMYFUNCTION("""COMPUTED_VALUE"""),"Session 12: IP-Posters")</f>
        <v>Session 12: IP-Posters</v>
      </c>
      <c r="J619" s="7" t="str">
        <f>IFERROR(__xludf.DUMMYFUNCTION("""COMPUTED_VALUE"""),"Findings Posters - In-Person 4")</f>
        <v>Findings Posters - In-Person 4</v>
      </c>
      <c r="K619" s="7"/>
      <c r="L619" s="8">
        <f>IFERROR(__xludf.DUMMYFUNCTION("""COMPUTED_VALUE"""),45868.0)</f>
        <v>45868</v>
      </c>
      <c r="M619" s="7" t="str">
        <f>IFERROR(__xludf.DUMMYFUNCTION("""COMPUTED_VALUE"""),"11:00-12:30")</f>
        <v>11:00-12:30</v>
      </c>
      <c r="N619" s="7"/>
    </row>
    <row r="620">
      <c r="A620" s="7" t="str">
        <f>IFERROR(__xludf.DUMMYFUNCTION("""COMPUTED_VALUE"""),"2130-FIND")</f>
        <v>2130-FIND</v>
      </c>
      <c r="B620" s="7" t="str">
        <f>IFERROR(__xludf.DUMMYFUNCTION("""COMPUTED_VALUE"""),"Context-DPO: Aligning Language Models for Context-Faithfulness")</f>
        <v>Context-DPO: Aligning Language Models for Context-Faithfulness</v>
      </c>
      <c r="C620" s="7" t="str">
        <f>IFERROR(__xludf.DUMMYFUNCTION("""COMPUTED_VALUE"""),"Reliable responses from large language models (LLMs) require adherence to user instructions and retrieved information. While alignment techniques help LLMs align with human intentions and values, improving context-faithfulness through alignment remains un"&amp;"derexplored. To address this, we propose Context-DPO, the first alignment method specifically designed to enhance LLMs' context-faithfulness. We introduce ConFiQA, a benchmark that simulates Retrieval-Augmented Generation (RAG) scenarios with knowledge co"&amp;"nflicts to evaluate context-faithfulness. By leveraging faithful and stubborn responses to questions with provided context from ConFiQA, our Context-DPO aligns LLMs through direct preference optimization. Extensive experiments demonstrate that our Context"&amp;"-DPO significantly improves context-faithfulness, achieving 35% to 280% improvements on popular open-source models. Further analysis demonstrates that Context-DPO preserves LLMs' generative capabilities while providing interpretable insights into context "&amp;"utilization.")</f>
        <v>Reliable responses from large language models (LLMs) require adherence to user instructions and retrieved information. While alignment techniques help LLMs align with human intentions and values, improving context-faithfulness through alignment remains underexplored. To address this, we propose Context-DPO, the first alignment method specifically designed to enhance LLMs' context-faithfulness. We introduce ConFiQA, a benchmark that simulates Retrieval-Augmented Generation (RAG) scenarios with knowledge conflicts to evaluate context-faithfulness. By leveraging faithful and stubborn responses to questions with provided context from ConFiQA, our Context-DPO aligns LLMs through direct preference optimization. Extensive experiments demonstrate that our Context-DPO significantly improves context-faithfulness, achieving 35% to 280% improvements on popular open-source models. Further analysis demonstrates that Context-DPO preserves LLMs' generative capabilities while providing interpretable insights into context utilization.</v>
      </c>
      <c r="D620" s="7" t="str">
        <f>IFERROR(__xludf.DUMMYFUNCTION("""COMPUTED_VALUE"""),"Shenghua Liu")</f>
        <v>Shenghua Liu</v>
      </c>
      <c r="E620" s="7" t="str">
        <f>IFERROR(__xludf.DUMMYFUNCTION("""COMPUTED_VALUE"""),"Yes")</f>
        <v>Yes</v>
      </c>
      <c r="F620" s="7" t="str">
        <f>IFERROR(__xludf.DUMMYFUNCTION("""COMPUTED_VALUE"""),"IP-Poster")</f>
        <v>IP-Poster</v>
      </c>
      <c r="G620" s="7" t="str">
        <f>IFERROR(__xludf.DUMMYFUNCTION("""COMPUTED_VALUE"""),"In-Person")</f>
        <v>In-Person</v>
      </c>
      <c r="H620" s="7" t="str">
        <f>IFERROR(__xludf.DUMMYFUNCTION("""COMPUTED_VALUE"""),"Hall 4/5")</f>
        <v>Hall 4/5</v>
      </c>
      <c r="I620" s="7" t="str">
        <f>IFERROR(__xludf.DUMMYFUNCTION("""COMPUTED_VALUE"""),"Session 5 :IP-Posters Find ")</f>
        <v>Session 5 :IP-Posters Find </v>
      </c>
      <c r="J620" s="7" t="str">
        <f>IFERROR(__xludf.DUMMYFUNCTION("""COMPUTED_VALUE"""),"Findings Posters - In-Person 1")</f>
        <v>Findings Posters - In-Person 1</v>
      </c>
      <c r="K620" s="7"/>
      <c r="L620" s="8">
        <f>IFERROR(__xludf.DUMMYFUNCTION("""COMPUTED_VALUE"""),45866.0)</f>
        <v>45866</v>
      </c>
      <c r="M620" s="7" t="str">
        <f>IFERROR(__xludf.DUMMYFUNCTION("""COMPUTED_VALUE"""),"18:00-19:30")</f>
        <v>18:00-19:30</v>
      </c>
      <c r="N620" s="7"/>
    </row>
    <row r="621">
      <c r="A621" s="7" t="str">
        <f>IFERROR(__xludf.DUMMYFUNCTION("""COMPUTED_VALUE"""),"2131-FIND")</f>
        <v>2131-FIND</v>
      </c>
      <c r="B621" s="7" t="str">
        <f>IFERROR(__xludf.DUMMYFUNCTION("""COMPUTED_VALUE"""),"Reasoning Does Not Necessarily Improve Role-Playing Ability")</f>
        <v>Reasoning Does Not Necessarily Improve Role-Playing Ability</v>
      </c>
      <c r="C621" s="7" t="str">
        <f>IFERROR(__xludf.DUMMYFUNCTION("""COMPUTED_VALUE"""),"The application of role-playing large language models (LLMs) is rapidly expanding in both academic and commercial domains, driving an increasing demand for high-precision role-playing models. Simultaneously, the rapid advancement of reasoning techniques h"&amp;"as continuously pushed the performance boundaries of LLMs. This intersection of practical role-playing demands and evolving reasoning capabilities raises an important research question: Can reasoning techniques enhance the role-playing capabilities of LLM"&amp;"s?” To address this, we conduct a comprehensive study using 6 role-playing benchmarks, 24 LLMs, and 3 distinct role-playing strategies, comparing the effectiveness of direct zero-shot role-playing, role-playing with Chain-of-Thought (CoT), and role-playin"&amp;"g using reasoning-optimized LLMs. Our findings reveal that CoT may reduce role-playing performance, reasoning-optimized LLMs are unsuitable for role-playing, reasoning ability disrupts the role-playing scaling law, and large models still lack proficiency "&amp;"in advanced role-playing. Furthermore, based on extensive experimental results, we propose two promising future research directions: Role-aware Chain-of-Thought for improving role-playing LLMs and Reinforcement Learning for role-playing LLMs, aiming to en"&amp;"hance the adaptability, consistency, and effectiveness of role-playing LLMs for both research and real-world applications.")</f>
        <v>The application of role-playing large language models (LLMs) is rapidly expanding in both academic and commercial domains, driving an increasing demand for high-precision role-playing models. Simultaneously, the rapid advancement of reasoning techniques has continuously pushed the performance boundaries of LLMs. This intersection of practical role-playing demands and evolving reasoning capabilities raises an important research question: Can reasoning techniques enhance the role-playing capabilities of LLMs?” To address this, we conduct a comprehensive study using 6 role-playing benchmarks, 24 LLMs, and 3 distinct role-playing strategies, comparing the effectiveness of direct zero-shot role-playing, role-playing with Chain-of-Thought (CoT), and role-playing using reasoning-optimized LLMs. Our findings reveal that CoT may reduce role-playing performance, reasoning-optimized LLMs are unsuitable for role-playing, reasoning ability disrupts the role-playing scaling law, and large models still lack proficiency in advanced role-playing. Furthermore, based on extensive experimental results, we propose two promising future research directions: Role-aware Chain-of-Thought for improving role-playing LLMs and Reinforcement Learning for role-playing LLMs, aiming to enhance the adaptability, consistency, and effectiveness of role-playing LLMs for both research and real-world applications.</v>
      </c>
      <c r="D621" s="7" t="str">
        <f>IFERROR(__xludf.DUMMYFUNCTION("""COMPUTED_VALUE"""),"Xiachong Feng")</f>
        <v>Xiachong Feng</v>
      </c>
      <c r="E621" s="7" t="str">
        <f>IFERROR(__xludf.DUMMYFUNCTION("""COMPUTED_VALUE"""),"Yes")</f>
        <v>Yes</v>
      </c>
      <c r="F621" s="7" t="str">
        <f>IFERROR(__xludf.DUMMYFUNCTION("""COMPUTED_VALUE"""),"IP-Poster")</f>
        <v>IP-Poster</v>
      </c>
      <c r="G621" s="7" t="str">
        <f>IFERROR(__xludf.DUMMYFUNCTION("""COMPUTED_VALUE"""),"In-Person")</f>
        <v>In-Person</v>
      </c>
      <c r="H621" s="7" t="str">
        <f>IFERROR(__xludf.DUMMYFUNCTION("""COMPUTED_VALUE"""),"Hall 4/5")</f>
        <v>Hall 4/5</v>
      </c>
      <c r="I621" s="7" t="str">
        <f>IFERROR(__xludf.DUMMYFUNCTION("""COMPUTED_VALUE"""),"Session 7: IP-Posters")</f>
        <v>Session 7: IP-Posters</v>
      </c>
      <c r="J621" s="7" t="str">
        <f>IFERROR(__xludf.DUMMYFUNCTION("""COMPUTED_VALUE"""),"Findings Posters - In-Person 2")</f>
        <v>Findings Posters - In-Person 2</v>
      </c>
      <c r="K621" s="7"/>
      <c r="L621" s="8">
        <f>IFERROR(__xludf.DUMMYFUNCTION("""COMPUTED_VALUE"""),45867.0)</f>
        <v>45867</v>
      </c>
      <c r="M621" s="7" t="str">
        <f>IFERROR(__xludf.DUMMYFUNCTION("""COMPUTED_VALUE"""),"10:30-12:00")</f>
        <v>10:30-12:00</v>
      </c>
      <c r="N621" s="7"/>
    </row>
    <row r="622">
      <c r="A622" s="7" t="str">
        <f>IFERROR(__xludf.DUMMYFUNCTION("""COMPUTED_VALUE"""),"2132-FIND")</f>
        <v>2132-FIND</v>
      </c>
      <c r="B622" s="7" t="str">
        <f>IFERROR(__xludf.DUMMYFUNCTION("""COMPUTED_VALUE"""),"TableLLM: Enabling Tabular Data Manipulation by LLMs in Real Office Usage Scenarios")</f>
        <v>TableLLM: Enabling Tabular Data Manipulation by LLMs in Real Office Usage Scenarios</v>
      </c>
      <c r="C622" s="7" t="str">
        <f>IFERROR(__xludf.DUMMYFUNCTION("""COMPUTED_VALUE"""),"We introduce TableLLM, a robust large language model (LLM) with 8 billion parameters, purpose-built for proficiently handling tabular data manipulation tasks, whether they are embedded within documents or spreadsheets, catering to real-world office scenar"&amp;"ios. We propose a distant supervision method for training, which comprises a reasoning process extension strategy, aiding in training LLMs to understand reasoning patterns more effectively as well as a cross-way validation strategy, ensuring the quality o"&amp;"f the automatically generated data. To evaluate the performance of TableLLM, we have crafted benchmarks tailored to address both document and spreadsheet formats as well as constructed a well-organized evaluation pipeline capable of handling both scenario"&amp;"s. Thorough evaluations underscore the advantages of TableLLM when compared to various existing general-purpose and tabular data-focused LLMs. We have publicly released the model checkpoint, source code, benchmarks, and a web application for user interact"&amp;"ion on this anonymized repository.")</f>
        <v>We introduce TableLLM, a robust large language model (LLM) with 8 billion parameters, purpose-built for proficiently handling tabular data manipulation tasks, whether they are embedded within documents or spreadsheets, catering to real-world office scenarios. We propose a distant supervision method for training, which comprises a reasoning process extension strategy, aiding in training LLMs to understand reasoning patterns more effectively as well as a cross-way validation strategy, ensuring the quality of the automatically generated data. To evaluate the performance of TableLLM, we have crafted benchmarks tailored to address both document and spreadsheet formats as well as constructed a well-organized evaluation pipeline capable of handling both scenarios. Thorough evaluations underscore the advantages of TableLLM when compared to various existing general-purpose and tabular data-focused LLMs. We have publicly released the model checkpoint, source code, benchmarks, and a web application for user interaction on this anonymized repository.</v>
      </c>
      <c r="D622" s="7" t="str">
        <f>IFERROR(__xludf.DUMMYFUNCTION("""COMPUTED_VALUE"""),"Bohan Zhang")</f>
        <v>Bohan Zhang</v>
      </c>
      <c r="E622" s="7" t="str">
        <f>IFERROR(__xludf.DUMMYFUNCTION("""COMPUTED_VALUE"""),"Yes")</f>
        <v>Yes</v>
      </c>
      <c r="F622" s="7" t="str">
        <f>IFERROR(__xludf.DUMMYFUNCTION("""COMPUTED_VALUE"""),"IP-Poster")</f>
        <v>IP-Poster</v>
      </c>
      <c r="G622" s="7" t="str">
        <f>IFERROR(__xludf.DUMMYFUNCTION("""COMPUTED_VALUE"""),"In-Person")</f>
        <v>In-Person</v>
      </c>
      <c r="H622" s="7" t="str">
        <f>IFERROR(__xludf.DUMMYFUNCTION("""COMPUTED_VALUE"""),"Hall 4/5")</f>
        <v>Hall 4/5</v>
      </c>
      <c r="I622" s="7" t="str">
        <f>IFERROR(__xludf.DUMMYFUNCTION("""COMPUTED_VALUE"""),"Session 7: IP-Posters")</f>
        <v>Session 7: IP-Posters</v>
      </c>
      <c r="J622" s="7" t="str">
        <f>IFERROR(__xludf.DUMMYFUNCTION("""COMPUTED_VALUE"""),"Findings Posters - In-Person 2")</f>
        <v>Findings Posters - In-Person 2</v>
      </c>
      <c r="K622" s="7"/>
      <c r="L622" s="8">
        <f>IFERROR(__xludf.DUMMYFUNCTION("""COMPUTED_VALUE"""),45867.0)</f>
        <v>45867</v>
      </c>
      <c r="M622" s="7" t="str">
        <f>IFERROR(__xludf.DUMMYFUNCTION("""COMPUTED_VALUE"""),"10:30-12:00")</f>
        <v>10:30-12:00</v>
      </c>
      <c r="N622" s="7"/>
    </row>
    <row r="623">
      <c r="A623" s="7" t="str">
        <f>IFERROR(__xludf.DUMMYFUNCTION("""COMPUTED_VALUE"""),"2136-FIND")</f>
        <v>2136-FIND</v>
      </c>
      <c r="B623" s="7" t="str">
        <f>IFERROR(__xludf.DUMMYFUNCTION("""COMPUTED_VALUE"""),"A Survey of LLM-based Agents in Medicine")</f>
        <v>A Survey of LLM-based Agents in Medicine</v>
      </c>
      <c r="C623" s="7" t="str">
        <f>IFERROR(__xludf.DUMMYFUNCTION("""COMPUTED_VALUE"""),"Large Language Models (LLMs) are transforming healthcare through LLM-based agents that can understand and assist with medical tasks. This survey examines the architectures, applications, and challenges of LLM-based agents in medicine. We analyze key compo"&amp;"nents including system profiles, clinical planning, medical reasoning frameworks, and external capacity enhancement. The survey covers major applications in clinical decision support, medical documentation, training simulations, and healthcare service opt"&amp;"imization, along with evaluation frameworks and metrics. While these agents show promise in enhancing healthcare delivery, challenges remain in hallucination management, multimodal integration, implementation, and ethics. We conclude by highlighting futur"&amp;"e directions in medical reasoning, physical system integration, and training simulations, providing researchers and practitioners with a structured overview of the field's current state and prospects.")</f>
        <v>Large Language Models (LLMs) are transforming healthcare through LLM-based agents that can understand and assist with medical tasks. This survey examines the architectures, applications, and challenges of LLM-based agents in medicine. We analyze key components including system profiles, clinical planning, medical reasoning frameworks, and external capacity enhancement. The survey covers major applications in clinical decision support, medical documentation, training simulations, and healthcare service optimization, along with evaluation frameworks and metrics. While these agents show promise in enhancing healthcare delivery, challenges remain in hallucination management, multimodal integration, implementation, and ethics. We conclude by highlighting future directions in medical reasoning, physical system integration, and training simulations, providing researchers and practitioners with a structured overview of the field's current state and prospects.</v>
      </c>
      <c r="D623" s="7" t="str">
        <f>IFERROR(__xludf.DUMMYFUNCTION("""COMPUTED_VALUE"""),"Wenxuan Wang")</f>
        <v>Wenxuan Wang</v>
      </c>
      <c r="E623" s="7" t="str">
        <f>IFERROR(__xludf.DUMMYFUNCTION("""COMPUTED_VALUE"""),"N/A")</f>
        <v>N/A</v>
      </c>
      <c r="F623" s="7" t="str">
        <f>IFERROR(__xludf.DUMMYFUNCTION("""COMPUTED_VALUE"""),"Not Pres. ")</f>
        <v>Not Pres. </v>
      </c>
      <c r="G623" s="7" t="str">
        <f>IFERROR(__xludf.DUMMYFUNCTION("""COMPUTED_VALUE"""),"NP Findings Not Presenting ")</f>
        <v>NP Findings Not Presenting </v>
      </c>
      <c r="H623" s="7"/>
      <c r="I623" s="7"/>
      <c r="J623" s="7"/>
      <c r="K623" s="7"/>
      <c r="L623" s="8"/>
      <c r="M623" s="7"/>
      <c r="N623" s="7"/>
    </row>
    <row r="624">
      <c r="A624" s="7" t="str">
        <f>IFERROR(__xludf.DUMMYFUNCTION("""COMPUTED_VALUE"""),"2138-FIND")</f>
        <v>2138-FIND</v>
      </c>
      <c r="B624" s="7" t="str">
        <f>IFERROR(__xludf.DUMMYFUNCTION("""COMPUTED_VALUE"""),"Context Robust Knowledge Editing for Language Models")</f>
        <v>Context Robust Knowledge Editing for Language Models</v>
      </c>
      <c r="C624" s="7" t="str">
        <f>IFERROR(__xludf.DUMMYFUNCTION("""COMPUTED_VALUE"""),"Knowledge editing (KE) methods offer an efficient way to modify knowledge in large language models. Current KE evaluations typically assess editing success by considering only the edited knowledge without any preceding contexts. In real-world applications"&amp;", however, preceding contexts often trigger the retrieval of the original knowledge and undermine the intended edit. To address this issue, we have developed CHED—a benchmark designed to evaluate the context robustness of KE methods. Evaluations on CHED s"&amp;"how that they often fail when preceding contexts are present. To mitigate this shortcoming, we introduce CoRE, a KE method designed to strengthen context robustness by minimizing context-sensitive variance in hidden states of the model for edited knowledg"&amp;"e. This method not only improves the editing success rate in situations where a preceding context is present but also preserves the overall capabilities of the model. We also provide an in-depth analysis of the differing impacts of preceding contexts when"&amp;" introduced as user utterances versus assistant responses, and we dissect attention-score patterns to assess how specific tokens influence editing success. We release our dataset and code at [https://github.com/holi-lab/CoRE](https://github.com/holi-lab/C"&amp;"oRE).")</f>
        <v>Knowledge editing (KE) methods offer an efficient way to modify knowledge in large language models. Current KE evaluations typically assess editing success by considering only the edited knowledge without any preceding contexts. In real-world applications, however, preceding contexts often trigger the retrieval of the original knowledge and undermine the intended edit. To address this issue, we have developed CHED—a benchmark designed to evaluate the context robustness of KE methods. Evaluations on CHED show that they often fail when preceding contexts are present. To mitigate this shortcoming, we introduce CoRE, a KE method designed to strengthen context robustness by minimizing context-sensitive variance in hidden states of the model for edited knowledge. This method not only improves the editing success rate in situations where a preceding context is present but also preserves the overall capabilities of the model. We also provide an in-depth analysis of the differing impacts of preceding contexts when introduced as user utterances versus assistant responses, and we dissect attention-score patterns to assess how specific tokens influence editing success. We release our dataset and code at [https://github.com/holi-lab/CoRE](https://github.com/holi-lab/CoRE).</v>
      </c>
      <c r="D624" s="7" t="str">
        <f>IFERROR(__xludf.DUMMYFUNCTION("""COMPUTED_VALUE"""),"Haewon Park")</f>
        <v>Haewon Park</v>
      </c>
      <c r="E624" s="7" t="str">
        <f>IFERROR(__xludf.DUMMYFUNCTION("""COMPUTED_VALUE"""),"Yes")</f>
        <v>Yes</v>
      </c>
      <c r="F624" s="7" t="str">
        <f>IFERROR(__xludf.DUMMYFUNCTION("""COMPUTED_VALUE"""),"IP-Poster")</f>
        <v>IP-Poster</v>
      </c>
      <c r="G624" s="7" t="str">
        <f>IFERROR(__xludf.DUMMYFUNCTION("""COMPUTED_VALUE"""),"In-Person")</f>
        <v>In-Person</v>
      </c>
      <c r="H624" s="7" t="str">
        <f>IFERROR(__xludf.DUMMYFUNCTION("""COMPUTED_VALUE"""),"Hall 4/5")</f>
        <v>Hall 4/5</v>
      </c>
      <c r="I624" s="7" t="str">
        <f>IFERROR(__xludf.DUMMYFUNCTION("""COMPUTED_VALUE"""),"Session 5 :IP-Posters Find ")</f>
        <v>Session 5 :IP-Posters Find </v>
      </c>
      <c r="J624" s="7" t="str">
        <f>IFERROR(__xludf.DUMMYFUNCTION("""COMPUTED_VALUE"""),"Findings Posters - In-Person 1")</f>
        <v>Findings Posters - In-Person 1</v>
      </c>
      <c r="K624" s="7"/>
      <c r="L624" s="8">
        <f>IFERROR(__xludf.DUMMYFUNCTION("""COMPUTED_VALUE"""),45866.0)</f>
        <v>45866</v>
      </c>
      <c r="M624" s="7" t="str">
        <f>IFERROR(__xludf.DUMMYFUNCTION("""COMPUTED_VALUE"""),"18:00-19:30")</f>
        <v>18:00-19:30</v>
      </c>
      <c r="N624" s="7"/>
    </row>
    <row r="625">
      <c r="A625" s="7" t="str">
        <f>IFERROR(__xludf.DUMMYFUNCTION("""COMPUTED_VALUE"""),"2139-FIND")</f>
        <v>2139-FIND</v>
      </c>
      <c r="B625" s="7" t="str">
        <f>IFERROR(__xludf.DUMMYFUNCTION("""COMPUTED_VALUE"""),"Multi-Agent Collaboration via Cross-Team Orchestration")</f>
        <v>Multi-Agent Collaboration via Cross-Team Orchestration</v>
      </c>
      <c r="C625" s="7" t="str">
        <f>IFERROR(__xludf.DUMMYFUNCTION("""COMPUTED_VALUE"""),"Large Language Models (LLMs) have significantly impacted various domains, especially through organized LLM-driven autonomous agents. A representative scenario is in software development, where agents can collaborate in a team like humans, following predef"&amp;"ined phases to complete sub-tasks sequentially. However, for an agent team, each phase yields only one possible outcome. This results in the completion of only one development chain, thereby losing the opportunity to explore multiple potential decision pa"&amp;"ths within the solution space. Consequently leading to suboptimal results or extensive trial and error. To address this, we introduce Cross-Team Orchestration (Croto), a scalable multi-team framework that enables orchestrated teams to jointly propose vari"&amp;"ous task-oriented solutions and interact with their insights in a self-independence while cross-team collaboration environment for superior solutions generation. Experiments reveal a notable increase in software quality compared to state-of-the-art baseli"&amp;"nes. We further tested our framework on story generation tasks, which demonstrated a promising generalization ability of our framework in other domains. The code and data is available at https://github.com/OpenBMB/ChatDev/tree/macnet")</f>
        <v>Large Language Models (LLMs) have significantly impacted various domains, especially through organized LLM-driven autonomous agents. A representative scenario is in software development, where agents can collaborate in a team like humans, following predefined phases to complete sub-tasks sequentially. However, for an agent team, each phase yields only one possible outcome. This results in the completion of only one development chain, thereby losing the opportunity to explore multiple potential decision paths within the solution space. Consequently leading to suboptimal results or extensive trial and error. To address this, we introduce Cross-Team Orchestration (Croto), a scalable multi-team framework that enables orchestrated teams to jointly propose various task-oriented solutions and interact with their insights in a self-independence while cross-team collaboration environment for superior solutions generation. Experiments reveal a notable increase in software quality compared to state-of-the-art baselines. We further tested our framework on story generation tasks, which demonstrated a promising generalization ability of our framework in other domains. The code and data is available at https://github.com/OpenBMB/ChatDev/tree/macnet</v>
      </c>
      <c r="D625" s="7" t="str">
        <f>IFERROR(__xludf.DUMMYFUNCTION("""COMPUTED_VALUE"""),"Zhuoyun Du")</f>
        <v>Zhuoyun Du</v>
      </c>
      <c r="E625" s="7" t="str">
        <f>IFERROR(__xludf.DUMMYFUNCTION("""COMPUTED_VALUE"""),"Yes")</f>
        <v>Yes</v>
      </c>
      <c r="F625" s="7" t="str">
        <f>IFERROR(__xludf.DUMMYFUNCTION("""COMPUTED_VALUE"""),"IP-Poster")</f>
        <v>IP-Poster</v>
      </c>
      <c r="G625" s="7" t="str">
        <f>IFERROR(__xludf.DUMMYFUNCTION("""COMPUTED_VALUE"""),"In-Person")</f>
        <v>In-Person</v>
      </c>
      <c r="H625" s="7" t="str">
        <f>IFERROR(__xludf.DUMMYFUNCTION("""COMPUTED_VALUE"""),"Hall 4/5")</f>
        <v>Hall 4/5</v>
      </c>
      <c r="I625" s="7" t="str">
        <f>IFERROR(__xludf.DUMMYFUNCTION("""COMPUTED_VALUE"""),"Session 5 :IP-Posters Find ")</f>
        <v>Session 5 :IP-Posters Find </v>
      </c>
      <c r="J625" s="7" t="str">
        <f>IFERROR(__xludf.DUMMYFUNCTION("""COMPUTED_VALUE"""),"Findings Posters - In-Person 1")</f>
        <v>Findings Posters - In-Person 1</v>
      </c>
      <c r="K625" s="7"/>
      <c r="L625" s="8">
        <f>IFERROR(__xludf.DUMMYFUNCTION("""COMPUTED_VALUE"""),45866.0)</f>
        <v>45866</v>
      </c>
      <c r="M625" s="7" t="str">
        <f>IFERROR(__xludf.DUMMYFUNCTION("""COMPUTED_VALUE"""),"18:00-19:30")</f>
        <v>18:00-19:30</v>
      </c>
      <c r="N625" s="7"/>
    </row>
    <row r="626">
      <c r="A626" s="7" t="str">
        <f>IFERROR(__xludf.DUMMYFUNCTION("""COMPUTED_VALUE"""),"2150-FIND")</f>
        <v>2150-FIND</v>
      </c>
      <c r="B626" s="7" t="str">
        <f>IFERROR(__xludf.DUMMYFUNCTION("""COMPUTED_VALUE"""),"Semantic Evaluation of Multilingual Data-to-Text Generation via NLI Fine-Tuning: Precision, Recall and F1 scores")</f>
        <v>Semantic Evaluation of Multilingual Data-to-Text Generation via NLI Fine-Tuning: Precision, Recall and F1 scores</v>
      </c>
      <c r="C626" s="7" t="str">
        <f>IFERROR(__xludf.DUMMYFUNCTION("""COMPUTED_VALUE"""),"Performance in the KG-to-Text task has improved over the years, particularly in English. However, models are still prone to mistakes like Additions and Omissions. Furthermore, few languages are taken into account since both train and test data are not rea"&amp;"dily available. In this paper, we hope to facilitate the development and improvement of multilingual KG-to-Text models by providing a multilingual evaluation framework that is reference-less (no need for test data) and permits estimating how much a KG-to-"&amp;"Text Model under- (omission) or over- (addition) generates. We focus on two high (English, Russian) and five low (Breton, Irish, Maltese, Welsh, Xhosa) resource languages and show that our metric has fair to moderate correlation with reference-based metri"&amp;"cs, positioning it as a consistent alternative when no references are available. We also show that our metric outperforms prior reference-less metrics in correlation with existing human judgments. Additional human evaluation shows moderate to strong corre"&amp;"lation with human annotators in assessing precision and recall at a higher granularity level than shown in previous studies. Since our metric provides scores for precision and recall, it helps better assess the level of over- or under-generation of multil"&amp;"ingual KG-to-Text models.")</f>
        <v>Performance in the KG-to-Text task has improved over the years, particularly in English. However, models are still prone to mistakes like Additions and Omissions. Furthermore, few languages are taken into account since both train and test data are not readily available. In this paper, we hope to facilitate the development and improvement of multilingual KG-to-Text models by providing a multilingual evaluation framework that is reference-less (no need for test data) and permits estimating how much a KG-to-Text Model under- (omission) or over- (addition) generates. We focus on two high (English, Russian) and five low (Breton, Irish, Maltese, Welsh, Xhosa) resource languages and show that our metric has fair to moderate correlation with reference-based metrics, positioning it as a consistent alternative when no references are available. We also show that our metric outperforms prior reference-less metrics in correlation with existing human judgments. Additional human evaluation shows moderate to strong correlation with human annotators in assessing precision and recall at a higher granularity level than shown in previous studies. Since our metric provides scores for precision and recall, it helps better assess the level of over- or under-generation of multilingual KG-to-Text models.</v>
      </c>
      <c r="D626" s="7" t="str">
        <f>IFERROR(__xludf.DUMMYFUNCTION("""COMPUTED_VALUE"""),"William Soto Martinez")</f>
        <v>William Soto Martinez</v>
      </c>
      <c r="E626" s="7" t="str">
        <f>IFERROR(__xludf.DUMMYFUNCTION("""COMPUTED_VALUE"""),"Yes")</f>
        <v>Yes</v>
      </c>
      <c r="F626" s="7" t="str">
        <f>IFERROR(__xludf.DUMMYFUNCTION("""COMPUTED_VALUE"""),"IP-Poster")</f>
        <v>IP-Poster</v>
      </c>
      <c r="G626" s="7" t="str">
        <f>IFERROR(__xludf.DUMMYFUNCTION("""COMPUTED_VALUE"""),"In-Person")</f>
        <v>In-Person</v>
      </c>
      <c r="H626" s="7" t="str">
        <f>IFERROR(__xludf.DUMMYFUNCTION("""COMPUTED_VALUE"""),"Hall 4/5")</f>
        <v>Hall 4/5</v>
      </c>
      <c r="I626" s="7" t="str">
        <f>IFERROR(__xludf.DUMMYFUNCTION("""COMPUTED_VALUE"""),"Session 10: IP-Posters")</f>
        <v>Session 10: IP-Posters</v>
      </c>
      <c r="J626" s="7" t="str">
        <f>IFERROR(__xludf.DUMMYFUNCTION("""COMPUTED_VALUE"""),"Findings Posters - In-Person 3")</f>
        <v>Findings Posters - In-Person 3</v>
      </c>
      <c r="K626" s="7"/>
      <c r="L626" s="8">
        <f>IFERROR(__xludf.DUMMYFUNCTION("""COMPUTED_VALUE"""),45867.0)</f>
        <v>45867</v>
      </c>
      <c r="M626" s="7" t="str">
        <f>IFERROR(__xludf.DUMMYFUNCTION("""COMPUTED_VALUE"""),"16:00-17:30")</f>
        <v>16:00-17:30</v>
      </c>
      <c r="N626" s="7"/>
    </row>
    <row r="627">
      <c r="A627" s="7" t="str">
        <f>IFERROR(__xludf.DUMMYFUNCTION("""COMPUTED_VALUE"""),"2158-FIND")</f>
        <v>2158-FIND</v>
      </c>
      <c r="B627" s="7" t="str">
        <f>IFERROR(__xludf.DUMMYFUNCTION("""COMPUTED_VALUE"""),"Optimized Text Embedding Models and Benchmarks for Amharic Passage Retrieval")</f>
        <v>Optimized Text Embedding Models and Benchmarks for Amharic Passage Retrieval</v>
      </c>
      <c r="C627" s="7" t="str">
        <f>IFERROR(__xludf.DUMMYFUNCTION("""COMPUTED_VALUE"""),"Neural retrieval methods using transformer-based pre-trained language models have advanced multilingual and cross-lingual retrieval. However, their effectiveness for low-resource, morphologically rich languages such as Amharic remains underexplored due to"&amp;" data scarcity and suboptimal tokenization. We address this gap by introducing Amharic-specific dense retrieval models based on pre-trained Amharic BERT and RoBERTa backbones. Our proposed RoBERTa-Base-Amharic-Embed model (110M parameters) achieves a 17.6"&amp;"\% relative improvement in MRR@10 and a 9.86\% gain in Recall@10 over the strongest multilingual baseline, Arctic Embed 2.0 (568M parameters). More compact variants, such as RoBERTa-Medium-Amharic-Embed (42M), remain competitive while being over 13$\times"&amp;"$ smaller. Additionally, we train a ColBERT-based late interaction retrieval model that achieves the highest MRR@10 score (0.843) among all evaluated models. We benchmark our proposed models against both sparse and dense retrieval baselines to systematica"&amp;"lly assess retrieval effectiveness in Amharic. Our analysis highlights key challenges in low-resource settings and underscores the importance of language-specific adaptation. To foster future research in low-resource IR, we publicly release our dataset, c"&amp;"odebase, and trained models at https://github.com/kidist-amde/amharic-ir-benchmarks.")</f>
        <v>Neural retrieval methods using transformer-based pre-trained language models have advanced multilingual and cross-lingual retrieval. However, their effectiveness for low-resource, morphologically rich languages such as Amharic remains underexplored due to data scarcity and suboptimal tokenization. We address this gap by introducing Amharic-specific dense retrieval models based on pre-trained Amharic BERT and RoBERTa backbones. Our proposed RoBERTa-Base-Amharic-Embed model (110M parameters) achieves a 17.6\% relative improvement in MRR@10 and a 9.86\% gain in Recall@10 over the strongest multilingual baseline, Arctic Embed 2.0 (568M parameters). More compact variants, such as RoBERTa-Medium-Amharic-Embed (42M), remain competitive while being over 13$\times$ smaller. Additionally, we train a ColBERT-based late interaction retrieval model that achieves the highest MRR@10 score (0.843) among all evaluated models. We benchmark our proposed models against both sparse and dense retrieval baselines to systematically assess retrieval effectiveness in Amharic. Our analysis highlights key challenges in low-resource settings and underscores the importance of language-specific adaptation. To foster future research in low-resource IR, we publicly release our dataset, codebase, and trained models at https://github.com/kidist-amde/amharic-ir-benchmarks.</v>
      </c>
      <c r="D627" s="7" t="str">
        <f>IFERROR(__xludf.DUMMYFUNCTION("""COMPUTED_VALUE"""),"Kidist Amde Mekonnen")</f>
        <v>Kidist Amde Mekonnen</v>
      </c>
      <c r="E627" s="7" t="str">
        <f>IFERROR(__xludf.DUMMYFUNCTION("""COMPUTED_VALUE"""),"Yes")</f>
        <v>Yes</v>
      </c>
      <c r="F627" s="7" t="str">
        <f>IFERROR(__xludf.DUMMYFUNCTION("""COMPUTED_VALUE"""),"IP-Poster")</f>
        <v>IP-Poster</v>
      </c>
      <c r="G627" s="7" t="str">
        <f>IFERROR(__xludf.DUMMYFUNCTION("""COMPUTED_VALUE"""),"In-Person")</f>
        <v>In-Person</v>
      </c>
      <c r="H627" s="7" t="str">
        <f>IFERROR(__xludf.DUMMYFUNCTION("""COMPUTED_VALUE"""),"Hall 4/5")</f>
        <v>Hall 4/5</v>
      </c>
      <c r="I627" s="7" t="str">
        <f>IFERROR(__xludf.DUMMYFUNCTION("""COMPUTED_VALUE"""),"Session 5 :IP-Posters Find ")</f>
        <v>Session 5 :IP-Posters Find </v>
      </c>
      <c r="J627" s="7" t="str">
        <f>IFERROR(__xludf.DUMMYFUNCTION("""COMPUTED_VALUE"""),"Findings Posters - In-Person 1")</f>
        <v>Findings Posters - In-Person 1</v>
      </c>
      <c r="K627" s="7"/>
      <c r="L627" s="8">
        <f>IFERROR(__xludf.DUMMYFUNCTION("""COMPUTED_VALUE"""),45866.0)</f>
        <v>45866</v>
      </c>
      <c r="M627" s="7" t="str">
        <f>IFERROR(__xludf.DUMMYFUNCTION("""COMPUTED_VALUE"""),"18:00-19:30")</f>
        <v>18:00-19:30</v>
      </c>
      <c r="N627" s="7"/>
    </row>
    <row r="628">
      <c r="A628" s="7" t="str">
        <f>IFERROR(__xludf.DUMMYFUNCTION("""COMPUTED_VALUE"""),"2161-FIND")</f>
        <v>2161-FIND</v>
      </c>
      <c r="B628" s="7" t="str">
        <f>IFERROR(__xludf.DUMMYFUNCTION("""COMPUTED_VALUE"""),"Enhancing Transformation from Natural Language to Signal Temporal Logic Using LLMs with Diverse External Knowledge")</f>
        <v>Enhancing Transformation from Natural Language to Signal Temporal Logic Using LLMs with Diverse External Knowledge</v>
      </c>
      <c r="C628" s="7" t="str">
        <f>IFERROR(__xludf.DUMMYFUNCTION("""COMPUTED_VALUE"""),"Temporal Logic (TL), especially Signal Temporal Logic (STL), enables precise formal specification, making it widely used in cyber-physical systems such as autonomous driving and robotics. Automatically transforming NL into STL is an attractive approach to"&amp;" overcome the limitations of manual transformation, which is time-consuming and error-prone. However, due to the lack of datasets, automatic transformation currently faces significant challenges and has not been fully explored. In this paper, we propose a"&amp;" NL-STL dataset named STL-Diversity-Enhanced (STL-DivEn), comprising 16,000 samples enriched with diverse patterns. To develop the dataset, we first manually create a small-scale seed set of NL-STL pairs. Next, representative examples are identified throu"&amp;"gh clustering and used to guide large language models (LLMs) in generating additional NL-STL pairs. Finally, diversity and accuracy are ensured through rigorous rule-based filters and human validation. Furthermore, we introduce the Knowledge-Guided STL Tr"&amp;"ansformation (KGST) framework, a novel approach for transforming natural language into STL, involving a generate-then-refine process based on external knowledge. Statistical analysis shows that the STL-DivEn dataset exhibits more diversity than the existi"&amp;"ng NL-STL dataset. Moreover, both metric-based and human evaluations indicate that our KGST approach outperforms baseline models in transformation accuracy on STL-DivEn and DeepSTL datasets. Dataset and code will be released upon publication.")</f>
        <v>Temporal Logic (TL), especially Signal Temporal Logic (STL), enables precise formal specification, making it widely used in cyber-physical systems such as autonomous driving and robotics. Automatically transforming NL into STL is an attractive approach to overcome the limitations of manual transformation, which is time-consuming and error-prone. However, due to the lack of datasets, automatic transformation currently faces significant challenges and has not been fully explored. In this paper, we propose a NL-STL dataset named STL-Diversity-Enhanced (STL-DivEn), comprising 16,000 samples enriched with diverse patterns. To develop the dataset, we first manually create a small-scale seed set of NL-STL pairs. Next, representative examples are identified through clustering and used to guide large language models (LLMs) in generating additional NL-STL pairs. Finally, diversity and accuracy are ensured through rigorous rule-based filters and human validation. Furthermore, we introduce the Knowledge-Guided STL Transformation (KGST) framework, a novel approach for transforming natural language into STL, involving a generate-then-refine process based on external knowledge. Statistical analysis shows that the STL-DivEn dataset exhibits more diversity than the existing NL-STL dataset. Moreover, both metric-based and human evaluations indicate that our KGST approach outperforms baseline models in transformation accuracy on STL-DivEn and DeepSTL datasets. Dataset and code will be released upon publication.</v>
      </c>
      <c r="D628" s="7" t="str">
        <f>IFERROR(__xludf.DUMMYFUNCTION("""COMPUTED_VALUE"""),"Yue Fang")</f>
        <v>Yue Fang</v>
      </c>
      <c r="E628" s="7" t="str">
        <f>IFERROR(__xludf.DUMMYFUNCTION("""COMPUTED_VALUE"""),"Yes")</f>
        <v>Yes</v>
      </c>
      <c r="F628" s="7" t="str">
        <f>IFERROR(__xludf.DUMMYFUNCTION("""COMPUTED_VALUE"""),"IP-Poster")</f>
        <v>IP-Poster</v>
      </c>
      <c r="G628" s="7" t="str">
        <f>IFERROR(__xludf.DUMMYFUNCTION("""COMPUTED_VALUE"""),"In-Person")</f>
        <v>In-Person</v>
      </c>
      <c r="H628" s="7" t="str">
        <f>IFERROR(__xludf.DUMMYFUNCTION("""COMPUTED_VALUE"""),"Hall 4/5")</f>
        <v>Hall 4/5</v>
      </c>
      <c r="I628" s="7" t="str">
        <f>IFERROR(__xludf.DUMMYFUNCTION("""COMPUTED_VALUE"""),"Session 5 :IP-Posters Find ")</f>
        <v>Session 5 :IP-Posters Find </v>
      </c>
      <c r="J628" s="7" t="str">
        <f>IFERROR(__xludf.DUMMYFUNCTION("""COMPUTED_VALUE"""),"Findings Posters - In-Person 1")</f>
        <v>Findings Posters - In-Person 1</v>
      </c>
      <c r="K628" s="7"/>
      <c r="L628" s="8">
        <f>IFERROR(__xludf.DUMMYFUNCTION("""COMPUTED_VALUE"""),45866.0)</f>
        <v>45866</v>
      </c>
      <c r="M628" s="7" t="str">
        <f>IFERROR(__xludf.DUMMYFUNCTION("""COMPUTED_VALUE"""),"18:00-19:30")</f>
        <v>18:00-19:30</v>
      </c>
      <c r="N628" s="7"/>
    </row>
    <row r="629">
      <c r="A629" s="7" t="str">
        <f>IFERROR(__xludf.DUMMYFUNCTION("""COMPUTED_VALUE"""),"2162-FIND")</f>
        <v>2162-FIND</v>
      </c>
      <c r="B629" s="7" t="str">
        <f>IFERROR(__xludf.DUMMYFUNCTION("""COMPUTED_VALUE"""),"DAGS: A Dependency-Based Dual-Attention and Global Semantic Improvement Framework for Metaphor Recognition")</f>
        <v>DAGS: A Dependency-Based Dual-Attention and Global Semantic Improvement Framework for Metaphor Recognition</v>
      </c>
      <c r="C629" s="7" t="str">
        <f>IFERROR(__xludf.DUMMYFUNCTION("""COMPUTED_VALUE"""),"Current metaphor recognition mainly rely on Metaphor Detection Theory (MDT), such as the Metaphor Identification Procedure, which recognizes metaphors by comparing the basic meaning of target word with context meaning. Existing studies have gradually adop"&amp;"ted literal annotations to model basic meanings, rejecting the  aggregated meanings of target words. However, these methods ignore the problem of interference caused by literal annotations, and do not make full use of  semantic expression relations of MDT"&amp;", making the models difficult to detect and generalize. To address these challenges, we propose a dependency-based \textbf{D}ual-\textbf{A}ttention  and \textbf{G}lobal \textbf{S}emantic Improvement (DAGS) framework. DAGS first extracts literal annotation"&amp;"s of target words as basic meaning from several mainstream corpora. Then, we apply dependency tree and dual-attention while filtering on input sentences and basic meanings. Finally, we improve the MDT to further consider the global semantic relationship o"&amp;"n contexts. The DAGS can not only extract features from multiple information sources but also
effectively removes redundancy, while focusing on mission-critical information. We achieve state-of-the-art on several mainstream metaphor datasets (e.g., VUA AL"&amp;"L, VUAverb, TroFi and PSUCMC), which suggests that filtering and global semantic improvement of contexts is crucial for enhancing metaphor recognition performance.")</f>
        <v>Current metaphor recognition mainly rely on Metaphor Detection Theory (MDT), such as the Metaphor Identification Procedure, which recognizes metaphors by comparing the basic meaning of target word with context meaning. Existing studies have gradually adopted literal annotations to model basic meanings, rejecting the  aggregated meanings of target words. However, these methods ignore the problem of interference caused by literal annotations, and do not make full use of  semantic expression relations of MDT, making the models difficult to detect and generalize. To address these challenges, we propose a dependency-based \textbf{D}ual-\textbf{A}ttention  and \textbf{G}lobal \textbf{S}emantic Improvement (DAGS) framework. DAGS first extracts literal annotations of target words as basic meaning from several mainstream corpora. Then, we apply dependency tree and dual-attention while filtering on input sentences and basic meanings. Finally, we improve the MDT to further consider the global semantic relationship on contexts. The DAGS can not only extract features from multiple information sources but also
effectively removes redundancy, while focusing on mission-critical information. We achieve state-of-the-art on several mainstream metaphor datasets (e.g., VUA ALL, VUAverb, TroFi and PSUCMC), which suggests that filtering and global semantic improvement of contexts is crucial for enhancing metaphor recognition performance.</v>
      </c>
      <c r="D629" s="7" t="str">
        <f>IFERROR(__xludf.DUMMYFUNCTION("""COMPUTED_VALUE"""),"No")</f>
        <v>No</v>
      </c>
      <c r="E629" s="7" t="str">
        <f>IFERROR(__xludf.DUMMYFUNCTION("""COMPUTED_VALUE"""),"#N/A")</f>
        <v>#N/A</v>
      </c>
      <c r="F629" s="7" t="str">
        <f>IFERROR(__xludf.DUMMYFUNCTION("""COMPUTED_VALUE"""),"Not Pres. ")</f>
        <v>Not Pres. </v>
      </c>
      <c r="G629" s="7" t="str">
        <f>IFERROR(__xludf.DUMMYFUNCTION("""COMPUTED_VALUE"""),"NP Findings Not Presenting ")</f>
        <v>NP Findings Not Presenting </v>
      </c>
      <c r="H629" s="7"/>
      <c r="I629" s="7" t="str">
        <f>IFERROR(__xludf.DUMMYFUNCTION("""COMPUTED_VALUE"""),"NP-Find")</f>
        <v>NP-Find</v>
      </c>
      <c r="J629" s="7"/>
      <c r="K629" s="7"/>
      <c r="L629" s="8"/>
      <c r="M629" s="7"/>
      <c r="N629" s="7"/>
    </row>
    <row r="630">
      <c r="A630" s="7" t="str">
        <f>IFERROR(__xludf.DUMMYFUNCTION("""COMPUTED_VALUE"""),"2163-FIND")</f>
        <v>2163-FIND</v>
      </c>
      <c r="B630" s="7" t="str">
        <f>IFERROR(__xludf.DUMMYFUNCTION("""COMPUTED_VALUE"""),"ESF: Efficient Sensitive Fingerprinting for Black-Box Tamper Detection of Large Language Models")</f>
        <v>ESF: Efficient Sensitive Fingerprinting for Black-Box Tamper Detection of Large Language Models</v>
      </c>
      <c r="C630" s="7" t="str">
        <f>IFERROR(__xludf.DUMMYFUNCTION("""COMPUTED_VALUE"""),"The rapid adoption of large language models (LLMs) in diverse applications has intensified concerns over their security and integrity, especially in cloud environments where internal model parameters are inaccessible to users. Traditional tamper detection"&amp;" methods, designed for deterministic classification models, fail to address the output randomness and massive parameter spaces characteristic of LLMs. In this paper, we introduce \emph{Efficient Sensitive Fingerprinting (ESF)}, the first fingerprinting me"&amp;"thod tailored for black-box tamper detection of LLMs. ESF generates fingerprint samples by optimizing output sensitivity at selected detection token positions and leverages \emph{Randomness-Set Consistency Checking (RSCC)} to accommodate inherent output r"&amp;"andomness. Furthermore, a novel \emph{Max Coverage Strategy (MCS)} is proposed to select an optimal set of fingerprint samples that maximizes joint sensitivity to tampering. Grounded in a rigorous theoretical framework, ESF is both computationally efficie"&amp;"nt and scalable to large models. Extensive experiments across state-of-the-art LLMs demonstrate that ESF reliably detects tampering, such as fine-tuning, model compression, and backdoor injection, with a detection rate exceeding 99.2\%, thereby offering a"&amp;" robust solution for securing cloud-based AI systems.")</f>
        <v>The rapid adoption of large language models (LLMs) in diverse applications has intensified concerns over their security and integrity, especially in cloud environments where internal model parameters are inaccessible to users. Traditional tamper detection methods, designed for deterministic classification models, fail to address the output randomness and massive parameter spaces characteristic of LLMs. In this paper, we introduce \emph{Efficient Sensitive Fingerprinting (ESF)}, the first fingerprinting method tailored for black-box tamper detection of LLMs. ESF generates fingerprint samples by optimizing output sensitivity at selected detection token positions and leverages \emph{Randomness-Set Consistency Checking (RSCC)} to accommodate inherent output randomness. Furthermore, a novel \emph{Max Coverage Strategy (MCS)} is proposed to select an optimal set of fingerprint samples that maximizes joint sensitivity to tampering. Grounded in a rigorous theoretical framework, ESF is both computationally efficient and scalable to large models. Extensive experiments across state-of-the-art LLMs demonstrate that ESF reliably detects tampering, such as fine-tuning, model compression, and backdoor injection, with a detection rate exceeding 99.2\%, thereby offering a robust solution for securing cloud-based AI systems.</v>
      </c>
      <c r="D630" s="7" t="str">
        <f>IFERROR(__xludf.DUMMYFUNCTION("""COMPUTED_VALUE"""),"Pingyi Hu")</f>
        <v>Pingyi Hu</v>
      </c>
      <c r="E630" s="7" t="str">
        <f>IFERROR(__xludf.DUMMYFUNCTION("""COMPUTED_VALUE"""),"Yes")</f>
        <v>Yes</v>
      </c>
      <c r="F630" s="7" t="str">
        <f>IFERROR(__xludf.DUMMYFUNCTION("""COMPUTED_VALUE"""),"V-Presentation")</f>
        <v>V-Presentation</v>
      </c>
      <c r="G630" s="7" t="str">
        <f>IFERROR(__xludf.DUMMYFUNCTION("""COMPUTED_VALUE"""),"Virtual/Gather")</f>
        <v>Virtual/Gather</v>
      </c>
      <c r="H630" s="7" t="str">
        <f>IFERROR(__xludf.DUMMYFUNCTION("""COMPUTED_VALUE"""),"Gather")</f>
        <v>Gather</v>
      </c>
      <c r="I630" s="7" t="str">
        <f>IFERROR(__xludf.DUMMYFUNCTION("""COMPUTED_VALUE"""),"Session5: V-Gather Find")</f>
        <v>Session5: V-Gather Find</v>
      </c>
      <c r="J630" s="7" t="str">
        <f>IFERROR(__xludf.DUMMYFUNCTION("""COMPUTED_VALUE"""),"Findings Posters - Virtual")</f>
        <v>Findings Posters - Virtual</v>
      </c>
      <c r="K630" s="7"/>
      <c r="L630" s="8">
        <f>IFERROR(__xludf.DUMMYFUNCTION("""COMPUTED_VALUE"""),45866.0)</f>
        <v>45866</v>
      </c>
      <c r="M630" s="7" t="str">
        <f>IFERROR(__xludf.DUMMYFUNCTION("""COMPUTED_VALUE"""),"18:00-19:30")</f>
        <v>18:00-19:30</v>
      </c>
      <c r="N630" s="7"/>
    </row>
    <row r="631">
      <c r="A631" s="7" t="str">
        <f>IFERROR(__xludf.DUMMYFUNCTION("""COMPUTED_VALUE"""),"2164-FIND")</f>
        <v>2164-FIND</v>
      </c>
      <c r="B631" s="7" t="str">
        <f>IFERROR(__xludf.DUMMYFUNCTION("""COMPUTED_VALUE"""),"The Lessons of Developing Process Reward Models in Mathematical Reasoning")</f>
        <v>The Lessons of Developing Process Reward Models in Mathematical Reasoning</v>
      </c>
      <c r="C631" s="7" t="str">
        <f>IFERROR(__xludf.DUMMYFUNCTION("""COMPUTED_VALUE"""),"Process Reward Models (PRMs) aim to identify and mitigate intermediate errors in the reasoning processes in mathematical reasoning of Large Language Models (LLMs).
However, the development of effective PRMs faces significant challenges, particularly in da"&amp;"ta annotation and evaluation methodologies.
In this paper, through extensive experiments, we demonstrate that commonly used Monte Carlo (MC) estimation-based data synthesis for PRMs typically yields inferior performance and generalization compared to LLM-"&amp;"as-a-judge and human annotation methods.
Furthermore, we identify potential biases in conventional Best-of-N (BoN) evaluation strategies for PRMs.
To address these challenges, we develop a consensus filtering mechanism that effectively integrates MC estim"&amp;"ation with LLM-as-a-judge and advocates a more comprehensive evaluation framework that combines response-level and step-level metrics. Based on the mechanisms, we significantly improve both model performance and data efficiency in the BoN evaluation and t"&amp;"he step-wise error identification task.
Finally, we release a new state-of-the-art PRM that outperforms existing open-source alternatives and provides practical guidelines for future research.")</f>
        <v>Process Reward Models (PRMs) aim to identify and mitigate intermediate errors in the reasoning processes in mathematical reasoning of Large Language Models (LLMs).
However, the development of effective PRMs faces significant challenges, particularly in data annotation and evaluation methodologies.
In this paper, through extensive experiments, we demonstrate that commonly used Monte Carlo (MC) estimation-based data synthesis for PRMs typically yields inferior performance and generalization compared to LLM-as-a-judge and human annotation methods.
Furthermore, we identify potential biases in conventional Best-of-N (BoN) evaluation strategies for PRMs.
To address these challenges, we develop a consensus filtering mechanism that effectively integrates MC estimation with LLM-as-a-judge and advocates a more comprehensive evaluation framework that combines response-level and step-level metrics. Based on the mechanisms, we significantly improve both model performance and data efficiency in the BoN evaluation and the step-wise error identification task.
Finally, we release a new state-of-the-art PRM that outperforms existing open-source alternatives and provides practical guidelines for future research.</v>
      </c>
      <c r="D631" s="7" t="str">
        <f>IFERROR(__xludf.DUMMYFUNCTION("""COMPUTED_VALUE"""),"Zhenru Zhang")</f>
        <v>Zhenru Zhang</v>
      </c>
      <c r="E631" s="7" t="str">
        <f>IFERROR(__xludf.DUMMYFUNCTION("""COMPUTED_VALUE"""),"#N/A")</f>
        <v>#N/A</v>
      </c>
      <c r="F631" s="7" t="str">
        <f>IFERROR(__xludf.DUMMYFUNCTION("""COMPUTED_VALUE"""),"Not Pres. ")</f>
        <v>Not Pres. </v>
      </c>
      <c r="G631" s="7" t="str">
        <f>IFERROR(__xludf.DUMMYFUNCTION("""COMPUTED_VALUE"""),"NP Findings Not Presenting ")</f>
        <v>NP Findings Not Presenting </v>
      </c>
      <c r="H631" s="7"/>
      <c r="I631" s="7" t="str">
        <f>IFERROR(__xludf.DUMMYFUNCTION("""COMPUTED_VALUE"""),"NP-Find")</f>
        <v>NP-Find</v>
      </c>
      <c r="J631" s="7"/>
      <c r="K631" s="7"/>
      <c r="L631" s="8"/>
      <c r="M631" s="7"/>
      <c r="N631" s="7"/>
    </row>
    <row r="632">
      <c r="A632" s="7" t="str">
        <f>IFERROR(__xludf.DUMMYFUNCTION("""COMPUTED_VALUE"""),"2166-FIND")</f>
        <v>2166-FIND</v>
      </c>
      <c r="B632" s="7" t="str">
        <f>IFERROR(__xludf.DUMMYFUNCTION("""COMPUTED_VALUE"""),"MinosEval: Distinguishing Factoid and Non-Factoid for Tailored Open-Ended QA Evaluation with LLMs")</f>
        <v>MinosEval: Distinguishing Factoid and Non-Factoid for Tailored Open-Ended QA Evaluation with LLMs</v>
      </c>
      <c r="C632" s="7" t="str">
        <f>IFERROR(__xludf.DUMMYFUNCTION("""COMPUTED_VALUE"""),"Open-ended question answering (QA) is a key task for evaluating the capabilities of large language models (LLMs). Compared to closed-ended QA, it demands longer answer statements, more nuanced reasoning processes, and diverse expressions, making refined a"&amp;"nd interpretable automatic evaluation both crucial and challenging. Traditional metrics like ROUGE and BERTScore struggle to capture semantic similarities due to different patterns between model responses and reference answers. Current LLM-based evaluatio"&amp;"n approaches, such as pairwise or listwise comparisons of candidate answers, lack intuitive interpretability. While pointwise scoring of each response provides some descriptions, it fails to adapt across different question contents. Most notably, existing"&amp;" methods overlook the distinction between factoid and non-factoid questions. To address these challenges, we propose \textbf{MinosEval}, a novel evaluation method that first distinguishes open-ended questions and then ranks candidate answers using differe"&amp;"nt evaluation strategies. For factoid questions, it applies an adaptive key-point scoring strategy, while for non-factoid questions, it uses an instance-aware listwise ranking strategy. Experiments on multiple open-ended QA datasets, including self-built "&amp;"ones with more candidate responses to complement community resources, show that MinosEval better aligns with human annotations and offers more interpretable results.")</f>
        <v>Open-ended question answering (QA) is a key task for evaluating the capabilities of large language models (LLMs). Compared to closed-ended QA, it demands longer answer statements, more nuanced reasoning processes, and diverse expressions, making refined and interpretable automatic evaluation both crucial and challenging. Traditional metrics like ROUGE and BERTScore struggle to capture semantic similarities due to different patterns between model responses and reference answers. Current LLM-based evaluation approaches, such as pairwise or listwise comparisons of candidate answers, lack intuitive interpretability. While pointwise scoring of each response provides some descriptions, it fails to adapt across different question contents. Most notably, existing methods overlook the distinction between factoid and non-factoid questions. To address these challenges, we propose \textbf{MinosEval}, a novel evaluation method that first distinguishes open-ended questions and then ranks candidate answers using different evaluation strategies. For factoid questions, it applies an adaptive key-point scoring strategy, while for non-factoid questions, it uses an instance-aware listwise ranking strategy. Experiments on multiple open-ended QA datasets, including self-built ones with more candidate responses to complement community resources, show that MinosEval better aligns with human annotations and offers more interpretable results.</v>
      </c>
      <c r="D632" s="7" t="str">
        <f>IFERROR(__xludf.DUMMYFUNCTION("""COMPUTED_VALUE"""),"Yongqi Fan")</f>
        <v>Yongqi Fan</v>
      </c>
      <c r="E632" s="7" t="str">
        <f>IFERROR(__xludf.DUMMYFUNCTION("""COMPUTED_VALUE"""),"Yes")</f>
        <v>Yes</v>
      </c>
      <c r="F632" s="7" t="str">
        <f>IFERROR(__xludf.DUMMYFUNCTION("""COMPUTED_VALUE"""),"IP-Poster")</f>
        <v>IP-Poster</v>
      </c>
      <c r="G632" s="7" t="str">
        <f>IFERROR(__xludf.DUMMYFUNCTION("""COMPUTED_VALUE"""),"In-Person")</f>
        <v>In-Person</v>
      </c>
      <c r="H632" s="7" t="str">
        <f>IFERROR(__xludf.DUMMYFUNCTION("""COMPUTED_VALUE"""),"Hall 4/5")</f>
        <v>Hall 4/5</v>
      </c>
      <c r="I632" s="7" t="str">
        <f>IFERROR(__xludf.DUMMYFUNCTION("""COMPUTED_VALUE"""),"Session 7: IP-Posters")</f>
        <v>Session 7: IP-Posters</v>
      </c>
      <c r="J632" s="7" t="str">
        <f>IFERROR(__xludf.DUMMYFUNCTION("""COMPUTED_VALUE"""),"Findings Posters - In-Person 2")</f>
        <v>Findings Posters - In-Person 2</v>
      </c>
      <c r="K632" s="7"/>
      <c r="L632" s="8">
        <f>IFERROR(__xludf.DUMMYFUNCTION("""COMPUTED_VALUE"""),45867.0)</f>
        <v>45867</v>
      </c>
      <c r="M632" s="7" t="str">
        <f>IFERROR(__xludf.DUMMYFUNCTION("""COMPUTED_VALUE"""),"10:30-12:00")</f>
        <v>10:30-12:00</v>
      </c>
      <c r="N632" s="7"/>
    </row>
    <row r="633">
      <c r="A633" s="7" t="str">
        <f>IFERROR(__xludf.DUMMYFUNCTION("""COMPUTED_VALUE"""),"2168-FIND")</f>
        <v>2168-FIND</v>
      </c>
      <c r="B633" s="7" t="str">
        <f>IFERROR(__xludf.DUMMYFUNCTION("""COMPUTED_VALUE"""),"Towards Conditioning Clinical Text Generation for User Control")</f>
        <v>Towards Conditioning Clinical Text Generation for User Control</v>
      </c>
      <c r="C633" s="7" t="str">
        <f>IFERROR(__xludf.DUMMYFUNCTION("""COMPUTED_VALUE"""),"Deploying natural language generation systems in clinical settings remains challenging despite advances in Large Language Models (LLMs), which continue to exhibit hallucinations and factual inconsistencies, necessitating human oversight. This paper explor"&amp;"es automated dataset augmentation using LLMs as human proxies to condition LLMs for clinician control without increasing cognitive workload. On the BioNLP ACL'24 Discharge Me! Shared Task, we achieve new state-of-the-art results with simpler methods than "&amp;"prior submissions through more efficient training, yielding a 9% relative improvement without augmented training and up to 34% with dataset augmentation. Preliminary human evaluation further supports the effectiveness of our approach, highlighting the pot"&amp;"ential of augmenting clinical text generation for control to enhance relevance, accuracy, and factual consistency.")</f>
        <v>Deploying natural language generation systems in clinical settings remains challenging despite advances in Large Language Models (LLMs), which continue to exhibit hallucinations and factual inconsistencies, necessitating human oversight. This paper explores automated dataset augmentation using LLMs as human proxies to condition LLMs for clinician control without increasing cognitive workload. On the BioNLP ACL'24 Discharge Me! Shared Task, we achieve new state-of-the-art results with simpler methods than prior submissions through more efficient training, yielding a 9% relative improvement without augmented training and up to 34% with dataset augmentation. Preliminary human evaluation further supports the effectiveness of our approach, highlighting the potential of augmenting clinical text generation for control to enhance relevance, accuracy, and factual consistency.</v>
      </c>
      <c r="D633" s="7" t="str">
        <f>IFERROR(__xludf.DUMMYFUNCTION("""COMPUTED_VALUE"""),"Osman Alperen Koraş")</f>
        <v>Osman Alperen Koraş</v>
      </c>
      <c r="E633" s="7" t="str">
        <f>IFERROR(__xludf.DUMMYFUNCTION("""COMPUTED_VALUE"""),"Yes")</f>
        <v>Yes</v>
      </c>
      <c r="F633" s="7" t="str">
        <f>IFERROR(__xludf.DUMMYFUNCTION("""COMPUTED_VALUE"""),"IP-Poster")</f>
        <v>IP-Poster</v>
      </c>
      <c r="G633" s="7" t="str">
        <f>IFERROR(__xludf.DUMMYFUNCTION("""COMPUTED_VALUE"""),"In-Person")</f>
        <v>In-Person</v>
      </c>
      <c r="H633" s="7" t="str">
        <f>IFERROR(__xludf.DUMMYFUNCTION("""COMPUTED_VALUE"""),"Hall 4/5")</f>
        <v>Hall 4/5</v>
      </c>
      <c r="I633" s="7" t="str">
        <f>IFERROR(__xludf.DUMMYFUNCTION("""COMPUTED_VALUE"""),"Session 7: IP-Posters")</f>
        <v>Session 7: IP-Posters</v>
      </c>
      <c r="J633" s="7" t="str">
        <f>IFERROR(__xludf.DUMMYFUNCTION("""COMPUTED_VALUE"""),"Findings Posters - In-Person 2")</f>
        <v>Findings Posters - In-Person 2</v>
      </c>
      <c r="K633" s="7"/>
      <c r="L633" s="8">
        <f>IFERROR(__xludf.DUMMYFUNCTION("""COMPUTED_VALUE"""),45867.0)</f>
        <v>45867</v>
      </c>
      <c r="M633" s="7" t="str">
        <f>IFERROR(__xludf.DUMMYFUNCTION("""COMPUTED_VALUE"""),"10:30-12:00")</f>
        <v>10:30-12:00</v>
      </c>
      <c r="N633" s="7"/>
    </row>
    <row r="634">
      <c r="A634" s="7" t="str">
        <f>IFERROR(__xludf.DUMMYFUNCTION("""COMPUTED_VALUE"""),"2173-FIND")</f>
        <v>2173-FIND</v>
      </c>
      <c r="B634" s="7" t="str">
        <f>IFERROR(__xludf.DUMMYFUNCTION("""COMPUTED_VALUE"""),"CoDet-M4: Detecting Machine-Generated Code in Multi-Lingual, Multi-Generator and Multi-Domain Settings")</f>
        <v>CoDet-M4: Detecting Machine-Generated Code in Multi-Lingual, Multi-Generator and Multi-Domain Settings</v>
      </c>
      <c r="C634" s="7" t="str">
        <f>IFERROR(__xludf.DUMMYFUNCTION("""COMPUTED_VALUE"""),"Large language models (LLMs) have revolutionized code generation, automating programming with remarkable efficiency. However, these advancements challenge programming skills, ethics, and assessment integrity, making the detection of LLM-generated code ess"&amp;"ential for maintaining accountability and standards. While, there has been some research on this problem, it generally lacks domain coverage and robustness, and only covers a small number of programming languages. To this end, we propose a framework capab"&amp;"le of distinguishing between human- and LLM-written code across multiple programming languages, code generators, and domains. We use a large-scale dataset from renowned platforms and LLM-based code generators, alongside applying rigorous data quality chec"&amp;"ks, feature engineering, and comparative analysis using evaluation of traditional machine learning models, pre-trained language models (PLMs), and LLMs for code detection. We perform an evaluation on out-of-domain scenarios, such as detecting the authorsh"&amp;"ip and hybrid authorship of generated code and generalizing to unseen models, domains, and programming languages. Moreover, our extensive experiments show that our framework effectively distinguishes human- from LLM-written code and sets a new benchmark f"&amp;"or this task.")</f>
        <v>Large language models (LLMs) have revolutionized code generation, automating programming with remarkable efficiency. However, these advancements challenge programming skills, ethics, and assessment integrity, making the detection of LLM-generated code essential for maintaining accountability and standards. While, there has been some research on this problem, it generally lacks domain coverage and robustness, and only covers a small number of programming languages. To this end, we propose a framework capable of distinguishing between human- and LLM-written code across multiple programming languages, code generators, and domains. We use a large-scale dataset from renowned platforms and LLM-based code generators, alongside applying rigorous data quality checks, feature engineering, and comparative analysis using evaluation of traditional machine learning models, pre-trained language models (PLMs), and LLMs for code detection. We perform an evaluation on out-of-domain scenarios, such as detecting the authorship and hybrid authorship of generated code and generalizing to unseen models, domains, and programming languages. Moreover, our extensive experiments show that our framework effectively distinguishes human- from LLM-written code and sets a new benchmark for this task.</v>
      </c>
      <c r="D634" s="7" t="str">
        <f>IFERROR(__xludf.DUMMYFUNCTION("""COMPUTED_VALUE"""),"Daniil Orel")</f>
        <v>Daniil Orel</v>
      </c>
      <c r="E634" s="7" t="str">
        <f>IFERROR(__xludf.DUMMYFUNCTION("""COMPUTED_VALUE"""),"Yes")</f>
        <v>Yes</v>
      </c>
      <c r="F634" s="7" t="str">
        <f>IFERROR(__xludf.DUMMYFUNCTION("""COMPUTED_VALUE"""),"IP-Poster")</f>
        <v>IP-Poster</v>
      </c>
      <c r="G634" s="7" t="str">
        <f>IFERROR(__xludf.DUMMYFUNCTION("""COMPUTED_VALUE"""),"In-Person")</f>
        <v>In-Person</v>
      </c>
      <c r="H634" s="7" t="str">
        <f>IFERROR(__xludf.DUMMYFUNCTION("""COMPUTED_VALUE"""),"Hall 4/5")</f>
        <v>Hall 4/5</v>
      </c>
      <c r="I634" s="7" t="str">
        <f>IFERROR(__xludf.DUMMYFUNCTION("""COMPUTED_VALUE"""),"Session 7: IP-Posters")</f>
        <v>Session 7: IP-Posters</v>
      </c>
      <c r="J634" s="7" t="str">
        <f>IFERROR(__xludf.DUMMYFUNCTION("""COMPUTED_VALUE"""),"Findings Posters - In-Person 2")</f>
        <v>Findings Posters - In-Person 2</v>
      </c>
      <c r="K634" s="7"/>
      <c r="L634" s="8">
        <f>IFERROR(__xludf.DUMMYFUNCTION("""COMPUTED_VALUE"""),45867.0)</f>
        <v>45867</v>
      </c>
      <c r="M634" s="7" t="str">
        <f>IFERROR(__xludf.DUMMYFUNCTION("""COMPUTED_VALUE"""),"10:30-12:00")</f>
        <v>10:30-12:00</v>
      </c>
      <c r="N634" s="7"/>
    </row>
    <row r="635">
      <c r="A635" s="7" t="str">
        <f>IFERROR(__xludf.DUMMYFUNCTION("""COMPUTED_VALUE"""),"2179-FIND")</f>
        <v>2179-FIND</v>
      </c>
      <c r="B635" s="7" t="str">
        <f>IFERROR(__xludf.DUMMYFUNCTION("""COMPUTED_VALUE"""),"Q-Mamba: Towards more efficient Mamba models via post-training quantization")</f>
        <v>Q-Mamba: Towards more efficient Mamba models via post-training quantization</v>
      </c>
      <c r="C635" s="7" t="str">
        <f>IFERROR(__xludf.DUMMYFUNCTION("""COMPUTED_VALUE"""),"State Space Models (SSMs), such as Mamba, have recently demonstrated potential in language understanding tasks, positioning them as competitors to transformer architectures. However, our investigations reveal that the Mamba architecture still has room for"&amp;" further optimization—not only in linear projections but also in state caches, which contribute significantly to memory consumption, particularly after quantizing the former into low bits. After a theoretical analysis of the causes of outliers in states, "&amp;"we propose Decoupled Scale Quantization (DSQ), which mitigates outliers in both the state and channel dimensions by applying separate quantization scales. To preserve the selective ability of quantized Mamba, we introduce Efficient Selectivity Reconstruct"&amp;"ion (ESR), a novel quantization simulation scheme in block-wise reconstruction that enables fast parallel scan algorithms with the non-linear quantization function. We demonstrate the effectiveness of Q-Mamba across various quantization settings, model si"&amp;"zes, and both generation and zero-shot tasks. In particular, for Mamba2-2.7B with W8A8H4 (8-bit weights and activations, 4-bit state caches) quantization, Q-Mamba achieves a 50% reduction in memory consumption with only a 2.13% average accuracy degradatio"&amp;"n on zero-shot tasks.")</f>
        <v>State Space Models (SSMs), such as Mamba, have recently demonstrated potential in language understanding tasks, positioning them as competitors to transformer architectures. However, our investigations reveal that the Mamba architecture still has room for further optimization—not only in linear projections but also in state caches, which contribute significantly to memory consumption, particularly after quantizing the former into low bits. After a theoretical analysis of the causes of outliers in states, we propose Decoupled Scale Quantization (DSQ), which mitigates outliers in both the state and channel dimensions by applying separate quantization scales. To preserve the selective ability of quantized Mamba, we introduce Efficient Selectivity Reconstruction (ESR), a novel quantization simulation scheme in block-wise reconstruction that enables fast parallel scan algorithms with the non-linear quantization function. We demonstrate the effectiveness of Q-Mamba across various quantization settings, model sizes, and both generation and zero-shot tasks. In particular, for Mamba2-2.7B with W8A8H4 (8-bit weights and activations, 4-bit state caches) quantization, Q-Mamba achieves a 50% reduction in memory consumption with only a 2.13% average accuracy degradation on zero-shot tasks.</v>
      </c>
      <c r="D635" s="7" t="str">
        <f>IFERROR(__xludf.DUMMYFUNCTION("""COMPUTED_VALUE"""),"Tianqi Chen")</f>
        <v>Tianqi Chen</v>
      </c>
      <c r="E635" s="7" t="str">
        <f>IFERROR(__xludf.DUMMYFUNCTION("""COMPUTED_VALUE"""),"#N/A")</f>
        <v>#N/A</v>
      </c>
      <c r="F635" s="7" t="str">
        <f>IFERROR(__xludf.DUMMYFUNCTION("""COMPUTED_VALUE"""),"Not Pres. ")</f>
        <v>Not Pres. </v>
      </c>
      <c r="G635" s="7" t="str">
        <f>IFERROR(__xludf.DUMMYFUNCTION("""COMPUTED_VALUE"""),"NP Findings Not Presenting ")</f>
        <v>NP Findings Not Presenting </v>
      </c>
      <c r="H635" s="7"/>
      <c r="I635" s="7" t="str">
        <f>IFERROR(__xludf.DUMMYFUNCTION("""COMPUTED_VALUE"""),"NP-Find")</f>
        <v>NP-Find</v>
      </c>
      <c r="J635" s="7"/>
      <c r="K635" s="7"/>
      <c r="L635" s="8"/>
      <c r="M635" s="7"/>
      <c r="N635" s="7"/>
    </row>
    <row r="636">
      <c r="A636" s="7" t="str">
        <f>IFERROR(__xludf.DUMMYFUNCTION("""COMPUTED_VALUE"""),"2180-FIND")</f>
        <v>2180-FIND</v>
      </c>
      <c r="B636" s="7" t="str">
        <f>IFERROR(__xludf.DUMMYFUNCTION("""COMPUTED_VALUE"""),"P²Net: Parallel Pointer-based Network for Key Information Extraction with Complex Layouts")</f>
        <v>P²Net: Parallel Pointer-based Network for Key Information Extraction with Complex Layouts</v>
      </c>
      <c r="C636" s="7" t="str">
        <f>IFERROR(__xludf.DUMMYFUNCTION("""COMPUTED_VALUE"""),"Key Information Extraction (KIE) is a challenging multimodal task aimed at extracting structured value entities from visually rich documents. Despite recent advancements, two major challenges remain. First, existing datasets typically feature fixed layout"&amp;"s and a limited set of entity categories, while current methods are based on a full-shot setting that is difficult to apply in real-world scenarios, where new entity categories frequently emerge. Secondly, current methods often treat key entities simply a"&amp;"s parts of the OCR-parsed context, neglecting the positive impact of the relationships between key-value entities. To address the first challenge, we introduce a new large-scale, human-annotated dataset, Complex Layout document for Key Information Extract"&amp;"ion (CLEX). Comprising 5,860 images with 1,162 entity categories, CLEX is larger and more complex than existing datasets. It also primarily focuses on the zero-shot and few-shot KIE tasks, which are more aligned with real-world applications. To tackle the"&amp;" second challenge, we propose the Parallel Pointer-based Network (P²Net). This model frames KIE as a pointer-based classification task and effectively leverages implicit relationships between key-value entities to enhance extraction. Its parallel extracti"&amp;"on mechanism enables simultaneous and efficient extraction of multiple results. Experiments on widely-used datasets, including SROIE, CORD, and the newly introduced CLEX, demonstrate that P²Net outperforms existing state-of-the-art methods (including GPT-"&amp;"4V) while maintaining fast inference speeds.")</f>
        <v>Key Information Extraction (KIE) is a challenging multimodal task aimed at extracting structured value entities from visually rich documents. Despite recent advancements, two major challenges remain. First, existing datasets typically feature fixed layouts and a limited set of entity categories, while current methods are based on a full-shot setting that is difficult to apply in real-world scenarios, where new entity categories frequently emerge. Secondly, current methods often treat key entities simply as parts of the OCR-parsed context, neglecting the positive impact of the relationships between key-value entities. To address the first challenge, we introduce a new large-scale, human-annotated dataset, Complex Layout document for Key Information Extraction (CLEX). Comprising 5,860 images with 1,162 entity categories, CLEX is larger and more complex than existing datasets. It also primarily focuses on the zero-shot and few-shot KIE tasks, which are more aligned with real-world applications. To tackle the second challenge, we propose the Parallel Pointer-based Network (P²Net). This model frames KIE as a pointer-based classification task and effectively leverages implicit relationships between key-value entities to enhance extraction. Its parallel extraction mechanism enables simultaneous and efficient extraction of multiple results. Experiments on widely-used datasets, including SROIE, CORD, and the newly introduced CLEX, demonstrate that P²Net outperforms existing state-of-the-art methods (including GPT-4V) while maintaining fast inference speeds.</v>
      </c>
      <c r="D636" s="7" t="str">
        <f>IFERROR(__xludf.DUMMYFUNCTION("""COMPUTED_VALUE"""),"Kaiwen Wei")</f>
        <v>Kaiwen Wei</v>
      </c>
      <c r="E636" s="7" t="str">
        <f>IFERROR(__xludf.DUMMYFUNCTION("""COMPUTED_VALUE"""),"N/A")</f>
        <v>N/A</v>
      </c>
      <c r="F636" s="7" t="str">
        <f>IFERROR(__xludf.DUMMYFUNCTION("""COMPUTED_VALUE"""),"Not Pres. ")</f>
        <v>Not Pres. </v>
      </c>
      <c r="G636" s="7" t="str">
        <f>IFERROR(__xludf.DUMMYFUNCTION("""COMPUTED_VALUE"""),"NP Findings Not Presenting ")</f>
        <v>NP Findings Not Presenting </v>
      </c>
      <c r="H636" s="7"/>
      <c r="I636" s="7"/>
      <c r="J636" s="7"/>
      <c r="K636" s="7"/>
      <c r="L636" s="8"/>
      <c r="M636" s="7"/>
      <c r="N636" s="7"/>
    </row>
    <row r="637">
      <c r="A637" s="7" t="str">
        <f>IFERROR(__xludf.DUMMYFUNCTION("""COMPUTED_VALUE"""),"2181-FIND")</f>
        <v>2181-FIND</v>
      </c>
      <c r="B637" s="7" t="str">
        <f>IFERROR(__xludf.DUMMYFUNCTION("""COMPUTED_VALUE"""),"Refining Sentence Embedding Model through Ranking Sentences Generation with Large Language Models")</f>
        <v>Refining Sentence Embedding Model through Ranking Sentences Generation with Large Language Models</v>
      </c>
      <c r="C637" s="7" t="str">
        <f>IFERROR(__xludf.DUMMYFUNCTION("""COMPUTED_VALUE"""),"Sentence embedding is essential for many NLP tasks, with contrastive learning methods achieving strong performance using annotated datasets like NLI. Yet, the reliance on manual labels limits scalability. Recent studies leverage large language models (LLM"&amp;"s) to generate sentence pairs, reducing annotation dependency. However, they overlook ranking information crucial for fine-grained semantic distinctions. To tackle this challenge, we propose a method for controlling the generation direction of LLMs in the"&amp;" latent space. Unlike unconstrained generation, the controlled approach ensures meaningful semantic divergence. Then, we refine exist sentence embedding model by integrating ranking information and semantic information. Experiments on multiple benchmarks "&amp;"demonstrate that our method achieves new SOTA performance with a modest cost in ranking sentence synthesis.")</f>
        <v>Sentence embedding is essential for many NLP tasks, with contrastive learning methods achieving strong performance using annotated datasets like NLI. Yet, the reliance on manual labels limits scalability. Recent studies leverage large language models (LLMs) to generate sentence pairs, reducing annotation dependency. However, they overlook ranking information crucial for fine-grained semantic distinctions. To tackle this challenge, we propose a method for controlling the generation direction of LLMs in the latent space. Unlike unconstrained generation, the controlled approach ensures meaningful semantic divergence. Then, we refine exist sentence embedding model by integrating ranking information and semantic information. Experiments on multiple benchmarks demonstrate that our method achieves new SOTA performance with a modest cost in ranking sentence synthesis.</v>
      </c>
      <c r="D637" s="7" t="str">
        <f>IFERROR(__xludf.DUMMYFUNCTION("""COMPUTED_VALUE"""),"N/A")</f>
        <v>N/A</v>
      </c>
      <c r="E637" s="7" t="str">
        <f>IFERROR(__xludf.DUMMYFUNCTION("""COMPUTED_VALUE"""),"#N/A")</f>
        <v>#N/A</v>
      </c>
      <c r="F637" s="7" t="str">
        <f>IFERROR(__xludf.DUMMYFUNCTION("""COMPUTED_VALUE"""),"Not Pres. ")</f>
        <v>Not Pres. </v>
      </c>
      <c r="G637" s="7" t="str">
        <f>IFERROR(__xludf.DUMMYFUNCTION("""COMPUTED_VALUE"""),"NP Findings Not Presenting ")</f>
        <v>NP Findings Not Presenting </v>
      </c>
      <c r="H637" s="7"/>
      <c r="I637" s="7" t="str">
        <f>IFERROR(__xludf.DUMMYFUNCTION("""COMPUTED_VALUE"""),"NP-Find")</f>
        <v>NP-Find</v>
      </c>
      <c r="J637" s="7"/>
      <c r="K637" s="7"/>
      <c r="L637" s="8"/>
      <c r="M637" s="7"/>
      <c r="N637" s="7"/>
    </row>
    <row r="638">
      <c r="A638" s="7" t="str">
        <f>IFERROR(__xludf.DUMMYFUNCTION("""COMPUTED_VALUE"""),"2184-FIND")</f>
        <v>2184-FIND</v>
      </c>
      <c r="B638" s="7" t="str">
        <f>IFERROR(__xludf.DUMMYFUNCTION("""COMPUTED_VALUE"""),"RQT: Hierarchical Residual Quantization for Multi-Model Compression")</f>
        <v>RQT: Hierarchical Residual Quantization for Multi-Model Compression</v>
      </c>
      <c r="C638" s="7" t="str">
        <f>IFERROR(__xludf.DUMMYFUNCTION("""COMPUTED_VALUE"""),"Delta compression methods focus on efficiently serving multiple uniquely fine-tuned models, each tailored to specific tasks and user requirements. These approaches decompose a fine-tuned LLM into a base model and corresponding delta weights, which are com"&amp;"pressed using low-rank or low-bit representations to reduce storage costs. However, their effectiveness is highly sensitive to the magnitude of the model deltas—a factor directly influenced by the scale of the training data. We propose the Residual Quanti"&amp;"zation Tree (RQT), a hierarchical quantization framework that automatically shares low-bit integer weights across similar fine-tuned models. The RQT construction employs a two-phase greedy algorithm: a bottom-up aggregation of models based on weight matri"&amp;"x similarity, and top-down residual quantization, in which each node optimizes the quantization parameters and then delegates residual errors to child nodes. We evaluate RQT on fine-tuned models across mathematics, coding, chatbot, and Chinese LLMs. The r"&amp;"esults show that RQT achieves an average accuracy degradation of approximately 3% (comparable to previous 4-bit post-training quantization) while maintaining an effective bitwidth of around 2 bits.")</f>
        <v>Delta compression methods focus on efficiently serving multiple uniquely fine-tuned models, each tailored to specific tasks and user requirements. These approaches decompose a fine-tuned LLM into a base model and corresponding delta weights, which are compressed using low-rank or low-bit representations to reduce storage costs. However, their effectiveness is highly sensitive to the magnitude of the model deltas—a factor directly influenced by the scale of the training data. We propose the Residual Quantization Tree (RQT), a hierarchical quantization framework that automatically shares low-bit integer weights across similar fine-tuned models. The RQT construction employs a two-phase greedy algorithm: a bottom-up aggregation of models based on weight matrix similarity, and top-down residual quantization, in which each node optimizes the quantization parameters and then delegates residual errors to child nodes. We evaluate RQT on fine-tuned models across mathematics, coding, chatbot, and Chinese LLMs. The results show that RQT achieves an average accuracy degradation of approximately 3% (comparable to previous 4-bit post-training quantization) while maintaining an effective bitwidth of around 2 bits.</v>
      </c>
      <c r="D638" s="7" t="str">
        <f>IFERROR(__xludf.DUMMYFUNCTION("""COMPUTED_VALUE"""),"Tianqi Chen")</f>
        <v>Tianqi Chen</v>
      </c>
      <c r="E638" s="7" t="str">
        <f>IFERROR(__xludf.DUMMYFUNCTION("""COMPUTED_VALUE"""),"#N/A")</f>
        <v>#N/A</v>
      </c>
      <c r="F638" s="7" t="str">
        <f>IFERROR(__xludf.DUMMYFUNCTION("""COMPUTED_VALUE"""),"Not Pres. ")</f>
        <v>Not Pres. </v>
      </c>
      <c r="G638" s="7" t="str">
        <f>IFERROR(__xludf.DUMMYFUNCTION("""COMPUTED_VALUE"""),"NP Findings Not Presenting ")</f>
        <v>NP Findings Not Presenting </v>
      </c>
      <c r="H638" s="7"/>
      <c r="I638" s="7" t="str">
        <f>IFERROR(__xludf.DUMMYFUNCTION("""COMPUTED_VALUE"""),"NP-Find")</f>
        <v>NP-Find</v>
      </c>
      <c r="J638" s="7"/>
      <c r="K638" s="7"/>
      <c r="L638" s="8"/>
      <c r="M638" s="7"/>
      <c r="N638" s="7"/>
    </row>
    <row r="639">
      <c r="A639" s="7" t="str">
        <f>IFERROR(__xludf.DUMMYFUNCTION("""COMPUTED_VALUE"""),"2187-FIND")</f>
        <v>2187-FIND</v>
      </c>
      <c r="B639" s="7" t="str">
        <f>IFERROR(__xludf.DUMMYFUNCTION("""COMPUTED_VALUE"""),"taz2024full: Analysing German Newspapers for Gender Bias and Discrimination across Decades")</f>
        <v>taz2024full: Analysing German Newspapers for Gender Bias and Discrimination across Decades</v>
      </c>
      <c r="C639" s="7" t="str">
        <f>IFERROR(__xludf.DUMMYFUNCTION("""COMPUTED_VALUE"""),"Open-access corpora are essential for advancing natural language processing (NLP) and computational social science (CSS). However,
large-scale resources for German remain limited, restricting research on linguistic trends and societal issues such as gende"&amp;"r bias. We
present taz2024full, the largest publicly available corpus of German newspaper articles to date, comprising over 1.8 million texts from
taz, spanning 1980 to 2024.
As a demonstration of the corpus’s utility for bias and discrimination research"&amp;", we analyse gender representation across four decades of
reporting. We find a consistent overrepresentation of men, but also a gradual shift toward more balanced coverage in recent years. Using
a scalable, structured analysis pipeline, we provide a found"&amp;"ation for studying actor mentions, sentiment, and linguistic framing in German
journalistic texts.
The corpus supports a wide range of applications, from diachronic language analysis to critical media studies, and is freely available to
foster inclusive "&amp;"and reproducible research in German-language NLP.")</f>
        <v>Open-access corpora are essential for advancing natural language processing (NLP) and computational social science (CSS). However,
large-scale resources for German remain limited, restricting research on linguistic trends and societal issues such as gender bias. We
present taz2024full, the largest publicly available corpus of German newspaper articles to date, comprising over 1.8 million texts from
taz, spanning 1980 to 2024.
As a demonstration of the corpus’s utility for bias and discrimination research, we analyse gender representation across four decades of
reporting. We find a consistent overrepresentation of men, but also a gradual shift toward more balanced coverage in recent years. Using
a scalable, structured analysis pipeline, we provide a foundation for studying actor mentions, sentiment, and linguistic framing in German
journalistic texts.
The corpus supports a wide range of applications, from diachronic language analysis to critical media studies, and is freely available to
foster inclusive and reproducible research in German-language NLP.</v>
      </c>
      <c r="D639" s="7" t="str">
        <f>IFERROR(__xludf.DUMMYFUNCTION("""COMPUTED_VALUE"""),"Stefanie Urchs")</f>
        <v>Stefanie Urchs</v>
      </c>
      <c r="E639" s="7" t="str">
        <f>IFERROR(__xludf.DUMMYFUNCTION("""COMPUTED_VALUE"""),"Yes")</f>
        <v>Yes</v>
      </c>
      <c r="F639" s="7" t="str">
        <f>IFERROR(__xludf.DUMMYFUNCTION("""COMPUTED_VALUE"""),"IP-Poster")</f>
        <v>IP-Poster</v>
      </c>
      <c r="G639" s="7" t="str">
        <f>IFERROR(__xludf.DUMMYFUNCTION("""COMPUTED_VALUE"""),"In-Person")</f>
        <v>In-Person</v>
      </c>
      <c r="H639" s="7" t="str">
        <f>IFERROR(__xludf.DUMMYFUNCTION("""COMPUTED_VALUE"""),"Hall 4/5")</f>
        <v>Hall 4/5</v>
      </c>
      <c r="I639" s="7" t="str">
        <f>IFERROR(__xludf.DUMMYFUNCTION("""COMPUTED_VALUE"""),"Session 7: IP-Posters")</f>
        <v>Session 7: IP-Posters</v>
      </c>
      <c r="J639" s="7" t="str">
        <f>IFERROR(__xludf.DUMMYFUNCTION("""COMPUTED_VALUE"""),"Findings Posters - In-Person 2")</f>
        <v>Findings Posters - In-Person 2</v>
      </c>
      <c r="K639" s="7"/>
      <c r="L639" s="8">
        <f>IFERROR(__xludf.DUMMYFUNCTION("""COMPUTED_VALUE"""),45867.0)</f>
        <v>45867</v>
      </c>
      <c r="M639" s="7" t="str">
        <f>IFERROR(__xludf.DUMMYFUNCTION("""COMPUTED_VALUE"""),"10:30-12:00")</f>
        <v>10:30-12:00</v>
      </c>
      <c r="N639" s="7"/>
    </row>
    <row r="640">
      <c r="A640" s="7" t="str">
        <f>IFERROR(__xludf.DUMMYFUNCTION("""COMPUTED_VALUE"""),"2191-FIND")</f>
        <v>2191-FIND</v>
      </c>
      <c r="B640" s="7" t="str">
        <f>IFERROR(__xludf.DUMMYFUNCTION("""COMPUTED_VALUE"""),"LCFO: Long Context and Long Form Output Dataset and Benchmarking")</f>
        <v>LCFO: Long Context and Long Form Output Dataset and Benchmarking</v>
      </c>
      <c r="C640" s="7" t="str">
        <f>IFERROR(__xludf.DUMMYFUNCTION("""COMPUTED_VALUE"""),"This paper presents the Long Context and Form Output (LCFO) benchmark, a novel evaluation framework for assessing gradual summarization and summary expansion capabilities across diverse domains. LCFO consists of long input documents (5k words average leng"&amp;"th), each of which comes with three summaries of different lengths (20%, 10%, and 5% of the input text), as well as approximately 15 questions and answers (QA) related to the input content. Notably, LCFO also provides alignments between specific QA pairs "&amp;"and corresponding summaries in 7 domains.
The primary motivation behind providing summaries of different lengths is to establish a controllable framework for generating long texts from shorter inputs, i.e. summary expansion. %, enabling a more nuanced ev"&amp;"aluation of summary expansion capabilities. To establish an evaluation metric framework for summarization and summary expansion, we provide human evaluation scores for human-generated outputs, as well as results from various state-of-the-art large languag"&amp;"e models (LLMs).
GPT-4o-mini achieves best human scores among automatic systems in both summarization and summary expansion tasks (+10% and +20%, respectively). It even surpasses human output quality in the case of short summaries (+7%). Overall automati"&amp;"c metrics achieve low correlations with human evaluation scores (~ 0.4) but moderate correlation on specific evaluation aspects such as fluency and attribution (~ 0.6).")</f>
        <v>This paper presents the Long Context and Form Output (LCFO) benchmark, a novel evaluation framework for assessing gradual summarization and summary expansion capabilities across diverse domains. LCFO consists of long input documents (5k words average length), each of which comes with three summaries of different lengths (20%, 10%, and 5% of the input text), as well as approximately 15 questions and answers (QA) related to the input content. Notably, LCFO also provides alignments between specific QA pairs and corresponding summaries in 7 domains.
The primary motivation behind providing summaries of different lengths is to establish a controllable framework for generating long texts from shorter inputs, i.e. summary expansion. %, enabling a more nuanced evaluation of summary expansion capabilities. To establish an evaluation metric framework for summarization and summary expansion, we provide human evaluation scores for human-generated outputs, as well as results from various state-of-the-art large language models (LLMs).
GPT-4o-mini achieves best human scores among automatic systems in both summarization and summary expansion tasks (+10% and +20%, respectively). It even surpasses human output quality in the case of short summaries (+7%). Overall automatic metrics achieve low correlations with human evaluation scores (~ 0.4) but moderate correlation on specific evaluation aspects such as fluency and attribution (~ 0.6).</v>
      </c>
      <c r="D640" s="7" t="str">
        <f>IFERROR(__xludf.DUMMYFUNCTION("""COMPUTED_VALUE"""),"Marta R. Costa-jussà")</f>
        <v>Marta R. Costa-jussà</v>
      </c>
      <c r="E640" s="7" t="str">
        <f>IFERROR(__xludf.DUMMYFUNCTION("""COMPUTED_VALUE"""),"Yes")</f>
        <v>Yes</v>
      </c>
      <c r="F640" s="7" t="str">
        <f>IFERROR(__xludf.DUMMYFUNCTION("""COMPUTED_VALUE"""),"IP-Poster")</f>
        <v>IP-Poster</v>
      </c>
      <c r="G640" s="7" t="str">
        <f>IFERROR(__xludf.DUMMYFUNCTION("""COMPUTED_VALUE"""),"In-Person")</f>
        <v>In-Person</v>
      </c>
      <c r="H640" s="7" t="str">
        <f>IFERROR(__xludf.DUMMYFUNCTION("""COMPUTED_VALUE"""),"Hall 4/5")</f>
        <v>Hall 4/5</v>
      </c>
      <c r="I640" s="7" t="str">
        <f>IFERROR(__xludf.DUMMYFUNCTION("""COMPUTED_VALUE"""),"Session 7: IP-Posters")</f>
        <v>Session 7: IP-Posters</v>
      </c>
      <c r="J640" s="7" t="str">
        <f>IFERROR(__xludf.DUMMYFUNCTION("""COMPUTED_VALUE"""),"Findings Posters - In-Person 2")</f>
        <v>Findings Posters - In-Person 2</v>
      </c>
      <c r="K640" s="7"/>
      <c r="L640" s="8">
        <f>IFERROR(__xludf.DUMMYFUNCTION("""COMPUTED_VALUE"""),45867.0)</f>
        <v>45867</v>
      </c>
      <c r="M640" s="7" t="str">
        <f>IFERROR(__xludf.DUMMYFUNCTION("""COMPUTED_VALUE"""),"10:30-12:00")</f>
        <v>10:30-12:00</v>
      </c>
      <c r="N640" s="7"/>
    </row>
    <row r="641">
      <c r="A641" s="7" t="str">
        <f>IFERROR(__xludf.DUMMYFUNCTION("""COMPUTED_VALUE"""),"2197-FIND")</f>
        <v>2197-FIND</v>
      </c>
      <c r="B641" s="7" t="str">
        <f>IFERROR(__xludf.DUMMYFUNCTION("""COMPUTED_VALUE"""),"Span-based Semantic Role Labeling as Lexicalized Constituency Tree Parsing")</f>
        <v>Span-based Semantic Role Labeling as Lexicalized Constituency Tree Parsing</v>
      </c>
      <c r="C641" s="7" t="str">
        <f>IFERROR(__xludf.DUMMYFUNCTION("""COMPUTED_VALUE"""),"Semantic Role Labeling (SRL) is a critical task that focuses on identifying predicate-argument structures in sentences. Span-based SRL, a prominent paradigm, is often tackled using BIO-based or graph-based methods. However, these approaches often fail to "&amp;"capture the inherent relationship between syntax and semantics. While syntax-aware models have been proposed to address this limitation, they heavily rely on pre-existing syntactic resources, limiting their general applicability. In this work, we propose "&amp;"a lexicalized tree representation for span-based SRL, which integrates constituency and dependency parsing to explicitly model predicate-argument structures. By structurally representing predicates as roots and arguments as subtrees directly linked to the"&amp;" predicate, our approach bridges the gap between syntactic and semantic representations. Experiments on standard benchmarks (CoNLL05 and CoNLL12) demonstrate that our model achieves competitive performance, with particular improvement in predicate-given s"&amp;"ettings.")</f>
        <v>Semantic Role Labeling (SRL) is a critical task that focuses on identifying predicate-argument structures in sentences. Span-based SRL, a prominent paradigm, is often tackled using BIO-based or graph-based methods. However, these approaches often fail to capture the inherent relationship between syntax and semantics. While syntax-aware models have been proposed to address this limitation, they heavily rely on pre-existing syntactic resources, limiting their general applicability. In this work, we propose a lexicalized tree representation for span-based SRL, which integrates constituency and dependency parsing to explicitly model predicate-argument structures. By structurally representing predicates as roots and arguments as subtrees directly linked to the predicate, our approach bridges the gap between syntactic and semantic representations. Experiments on standard benchmarks (CoNLL05 and CoNLL12) demonstrate that our model achieves competitive performance, with particular improvement in predicate-given settings.</v>
      </c>
      <c r="D641" s="7" t="str">
        <f>IFERROR(__xludf.DUMMYFUNCTION("""COMPUTED_VALUE"""),"Yang Hou")</f>
        <v>Yang Hou</v>
      </c>
      <c r="E641" s="7" t="str">
        <f>IFERROR(__xludf.DUMMYFUNCTION("""COMPUTED_VALUE"""),"Yes")</f>
        <v>Yes</v>
      </c>
      <c r="F641" s="7" t="str">
        <f>IFERROR(__xludf.DUMMYFUNCTION("""COMPUTED_VALUE"""),"IP-Poster")</f>
        <v>IP-Poster</v>
      </c>
      <c r="G641" s="7" t="str">
        <f>IFERROR(__xludf.DUMMYFUNCTION("""COMPUTED_VALUE"""),"In-Person")</f>
        <v>In-Person</v>
      </c>
      <c r="H641" s="7" t="str">
        <f>IFERROR(__xludf.DUMMYFUNCTION("""COMPUTED_VALUE"""),"Hall 4/5")</f>
        <v>Hall 4/5</v>
      </c>
      <c r="I641" s="7" t="str">
        <f>IFERROR(__xludf.DUMMYFUNCTION("""COMPUTED_VALUE"""),"Session 10: IP-Posters")</f>
        <v>Session 10: IP-Posters</v>
      </c>
      <c r="J641" s="7" t="str">
        <f>IFERROR(__xludf.DUMMYFUNCTION("""COMPUTED_VALUE"""),"Findings Posters - In-Person 3")</f>
        <v>Findings Posters - In-Person 3</v>
      </c>
      <c r="K641" s="7"/>
      <c r="L641" s="8">
        <f>IFERROR(__xludf.DUMMYFUNCTION("""COMPUTED_VALUE"""),45867.0)</f>
        <v>45867</v>
      </c>
      <c r="M641" s="7" t="str">
        <f>IFERROR(__xludf.DUMMYFUNCTION("""COMPUTED_VALUE"""),"16:00-17:30")</f>
        <v>16:00-17:30</v>
      </c>
      <c r="N641" s="7"/>
    </row>
    <row r="642">
      <c r="A642" s="7" t="str">
        <f>IFERROR(__xludf.DUMMYFUNCTION("""COMPUTED_VALUE"""),"2201-FIND")</f>
        <v>2201-FIND</v>
      </c>
      <c r="B642" s="7" t="str">
        <f>IFERROR(__xludf.DUMMYFUNCTION("""COMPUTED_VALUE"""),"Learning from Negative Samples in Biomedical Generative Entity Linking")</f>
        <v>Learning from Negative Samples in Biomedical Generative Entity Linking</v>
      </c>
      <c r="C642" s="7" t="str">
        <f>IFERROR(__xludf.DUMMYFUNCTION("""COMPUTED_VALUE"""),"Generative models have become widely used in biomedical entity linking (BioEL) due to their excellent performance and efficient memory usage. However, these models are usually trained only with positive samples—entities that match the input mention’s iden"&amp;"tifier—and do not explicitly learn from hard negative samples, which are entities that look similar but have different meanings. To address this limitation, we introduce ANGEL (Learning from Negative Samples in Biomedical Generative Entity Linking), the f"&amp;"irst framework that trains generative BioEL models using negative samples. Specifically, a generative model is initially trained to generate positive entity names from the knowledge base for given input entities. Subsequently, both correct and incorrect o"&amp;"utputs are gathered from the model’s top-k predictions. Finally, the model is updated to prioritize the correct predictions through preference optimization. Our models fine-tuned with ANGEL outperform the previous best baseline models by up to an average "&amp;"top-1 accuracy of 1.4% on five benchmarks. When incorporating our framework into pre-training, the performance improvement increases further to 1.7%, demonstrating its effectiveness in both the pre-training and fine-tuning stages. We will make our models "&amp;"and code publicly available upon acceptance.")</f>
        <v>Generative models have become widely used in biomedical entity linking (BioEL) due to their excellent performance and efficient memory usage. However, these models are usually trained only with positive samples—entities that match the input mention’s identifier—and do not explicitly learn from hard negative samples, which are entities that look similar but have different meanings. To address this limitation, we introduce ANGEL (Learning from Negative Samples in Biomedical Generative Entity Linking), the first framework that trains generative BioEL models using negative samples. Specifically, a generative model is initially trained to generate positive entity names from the knowledge base for given input entities. Subsequently, both correct and incorrect outputs are gathered from the model’s top-k predictions. Finally, the model is updated to prioritize the correct predictions through preference optimization. Our models fine-tuned with ANGEL outperform the previous best baseline models by up to an average top-1 accuracy of 1.4% on five benchmarks. When incorporating our framework into pre-training, the performance improvement increases further to 1.7%, demonstrating its effectiveness in both the pre-training and fine-tuning stages. We will make our models and code publicly available upon acceptance.</v>
      </c>
      <c r="D642" s="7" t="str">
        <f>IFERROR(__xludf.DUMMYFUNCTION("""COMPUTED_VALUE"""),"None")</f>
        <v>None</v>
      </c>
      <c r="E642" s="7" t="str">
        <f>IFERROR(__xludf.DUMMYFUNCTION("""COMPUTED_VALUE"""),"#N/A")</f>
        <v>#N/A</v>
      </c>
      <c r="F642" s="7" t="str">
        <f>IFERROR(__xludf.DUMMYFUNCTION("""COMPUTED_VALUE"""),"Not Pres. ")</f>
        <v>Not Pres. </v>
      </c>
      <c r="G642" s="7" t="str">
        <f>IFERROR(__xludf.DUMMYFUNCTION("""COMPUTED_VALUE"""),"NP Findings Not Presenting ")</f>
        <v>NP Findings Not Presenting </v>
      </c>
      <c r="H642" s="7"/>
      <c r="I642" s="7" t="str">
        <f>IFERROR(__xludf.DUMMYFUNCTION("""COMPUTED_VALUE"""),"NP-Find")</f>
        <v>NP-Find</v>
      </c>
      <c r="J642" s="7"/>
      <c r="K642" s="7"/>
      <c r="L642" s="8"/>
      <c r="M642" s="7"/>
      <c r="N642" s="7"/>
    </row>
    <row r="643">
      <c r="A643" s="7" t="str">
        <f>IFERROR(__xludf.DUMMYFUNCTION("""COMPUTED_VALUE"""),"2203-FIND")</f>
        <v>2203-FIND</v>
      </c>
      <c r="B643" s="7" t="str">
        <f>IFERROR(__xludf.DUMMYFUNCTION("""COMPUTED_VALUE"""),"Self-play through Computational Runtimes improves Chart Reasoning")</f>
        <v>Self-play through Computational Runtimes improves Chart Reasoning</v>
      </c>
      <c r="C643" s="7" t="str">
        <f>IFERROR(__xludf.DUMMYFUNCTION("""COMPUTED_VALUE"""),"Vision-language models (VLMs) achieve impressive zero-shot performance on multimodal reasoning tasks. Typically, best reported performance is achieved with a zero- or a few-shot prompt. We observe that asking the model to take other routes of solving the "&amp;"same task, such as through code generation, hurts performance. Furthermore, training sets are typically no longer useful for improving model performance through few-shot learning, due to their use in training. Indeed, we observe that auto-prompting techni"&amp;"ques such as DSPy \cite{khattab2023dspycompilingdeclarativelanguage}, when applied on training sets, do not produce few-shot examples that further improve validation performance. Further, when used in conjunction with program-of-thought, performance becom"&amp;"es even worse.
Our work overcomes these limitations by introducing a novel self-play programming interface which leverages the ability of VLMs to first generate code to decompose a complex visual reasoning task in sub-tasks, then use itself, or other mod"&amp;"els, as a tool to solve decomposed tasks. Our approach enables DSPy to not suffer from performance drops, when applied iteratively on training sets. Furthermore, it outperforms zero-shot baselines on difficult chart reasoning benchmarks. We report the per"&amp;"formance of our approach on ChartQA, PlotQA and ChartFC. This enables large models, such as Gemini or GPT to autonomously learn how to use themselves as tools and iteratively improve without the need for additional data.")</f>
        <v>Vision-language models (VLMs) achieve impressive zero-shot performance on multimodal reasoning tasks. Typically, best reported performance is achieved with a zero- or a few-shot prompt. We observe that asking the model to take other routes of solving the same task, such as through code generation, hurts performance. Furthermore, training sets are typically no longer useful for improving model performance through few-shot learning, due to their use in training. Indeed, we observe that auto-prompting techniques such as DSPy \cite{khattab2023dspycompilingdeclarativelanguage}, when applied on training sets, do not produce few-shot examples that further improve validation performance. Further, when used in conjunction with program-of-thought, performance becomes even worse.
Our work overcomes these limitations by introducing a novel self-play programming interface which leverages the ability of VLMs to first generate code to decompose a complex visual reasoning task in sub-tasks, then use itself, or other models, as a tool to solve decomposed tasks. Our approach enables DSPy to not suffer from performance drops, when applied iteratively on training sets. Furthermore, it outperforms zero-shot baselines on difficult chart reasoning benchmarks. We report the performance of our approach on ChartQA, PlotQA and ChartFC. This enables large models, such as Gemini or GPT to autonomously learn how to use themselves as tools and iteratively improve without the need for additional data.</v>
      </c>
      <c r="D643" s="7" t="str">
        <f>IFERROR(__xludf.DUMMYFUNCTION("""COMPUTED_VALUE"""),"N/A (no attendance)")</f>
        <v>N/A (no attendance)</v>
      </c>
      <c r="E643" s="7" t="str">
        <f>IFERROR(__xludf.DUMMYFUNCTION("""COMPUTED_VALUE"""),"#N/A")</f>
        <v>#N/A</v>
      </c>
      <c r="F643" s="7" t="str">
        <f>IFERROR(__xludf.DUMMYFUNCTION("""COMPUTED_VALUE"""),"Not Pres. ")</f>
        <v>Not Pres. </v>
      </c>
      <c r="G643" s="7" t="str">
        <f>IFERROR(__xludf.DUMMYFUNCTION("""COMPUTED_VALUE"""),"NP Findings Not Presenting ")</f>
        <v>NP Findings Not Presenting </v>
      </c>
      <c r="H643" s="7"/>
      <c r="I643" s="7" t="str">
        <f>IFERROR(__xludf.DUMMYFUNCTION("""COMPUTED_VALUE"""),"NP-Find")</f>
        <v>NP-Find</v>
      </c>
      <c r="J643" s="7"/>
      <c r="K643" s="7"/>
      <c r="L643" s="8"/>
      <c r="M643" s="7"/>
      <c r="N643" s="7"/>
    </row>
    <row r="644">
      <c r="A644" s="7" t="str">
        <f>IFERROR(__xludf.DUMMYFUNCTION("""COMPUTED_VALUE"""),"2211-FIND")</f>
        <v>2211-FIND</v>
      </c>
      <c r="B644" s="7" t="str">
        <f>IFERROR(__xludf.DUMMYFUNCTION("""COMPUTED_VALUE"""),"Towards Better Chain-of-Thought: A Reflection on Effectiveness and Faithfulness")</f>
        <v>Towards Better Chain-of-Thought: A Reflection on Effectiveness and Faithfulness</v>
      </c>
      <c r="C644" s="7" t="str">
        <f>IFERROR(__xludf.DUMMYFUNCTION("""COMPUTED_VALUE"""),"Chain-of-thought (CoT) prompting demonstrates varying performance under different reasoning tasks. Previous work attempts to evaluate it but falls short in providing an in-depth analysis of patterns that influence the CoT. In this paper, we study the CoT "&amp;"performance from the perspective of effectiveness and faithfulness. For the former, we identify key factors that influence CoT effectiveness on performance improvement, including problem difficulty, information gain, and information flow. For the latter, "&amp;"we interpret the unfaithful CoT issue by conducting a joint analysis of the information interaction among the question, CoT, and answer. The result demonstrates that, when the LLM predicts answers, it can recall correct information missing in the CoT from"&amp;" the question, leading to the problem. Finally, we propose a novel algorithm to mitigate this issue, in which we recall extra information from the question to enhance the CoT generation and evaluate CoTs based on their information gain. Extensive experime"&amp;"nts demonstrate that our approach enhances both the faithfulness and effectiveness of CoT.")</f>
        <v>Chain-of-thought (CoT) prompting demonstrates varying performance under different reasoning tasks. Previous work attempts to evaluate it but falls short in providing an in-depth analysis of patterns that influence the CoT. In this paper, we study the CoT performance from the perspective of effectiveness and faithfulness. For the former, we identify key factors that influence CoT effectiveness on performance improvement, including problem difficulty, information gain, and information flow. For the latter, we interpret the unfaithful CoT issue by conducting a joint analysis of the information interaction among the question, CoT, and answer. The result demonstrates that, when the LLM predicts answers, it can recall correct information missing in the CoT from the question, leading to the problem. Finally, we propose a novel algorithm to mitigate this issue, in which we recall extra information from the question to enhance the CoT generation and evaluate CoTs based on their information gain. Extensive experiments demonstrate that our approach enhances both the faithfulness and effectiveness of CoT.</v>
      </c>
      <c r="D644" s="7" t="str">
        <f>IFERROR(__xludf.DUMMYFUNCTION("""COMPUTED_VALUE"""),"Jiachun Li")</f>
        <v>Jiachun Li</v>
      </c>
      <c r="E644" s="7" t="str">
        <f>IFERROR(__xludf.DUMMYFUNCTION("""COMPUTED_VALUE"""),"#N/A")</f>
        <v>#N/A</v>
      </c>
      <c r="F644" s="7" t="str">
        <f>IFERROR(__xludf.DUMMYFUNCTION("""COMPUTED_VALUE"""),"Not Pres. ")</f>
        <v>Not Pres. </v>
      </c>
      <c r="G644" s="7" t="str">
        <f>IFERROR(__xludf.DUMMYFUNCTION("""COMPUTED_VALUE"""),"NP Findings Not Presenting ")</f>
        <v>NP Findings Not Presenting </v>
      </c>
      <c r="H644" s="7"/>
      <c r="I644" s="7" t="str">
        <f>IFERROR(__xludf.DUMMYFUNCTION("""COMPUTED_VALUE"""),"NP-Find")</f>
        <v>NP-Find</v>
      </c>
      <c r="J644" s="7"/>
      <c r="K644" s="7"/>
      <c r="L644" s="8"/>
      <c r="M644" s="7"/>
      <c r="N644" s="7"/>
    </row>
    <row r="645">
      <c r="A645" s="7" t="str">
        <f>IFERROR(__xludf.DUMMYFUNCTION("""COMPUTED_VALUE"""),"2212-FIND")</f>
        <v>2212-FIND</v>
      </c>
      <c r="B645" s="7" t="str">
        <f>IFERROR(__xludf.DUMMYFUNCTION("""COMPUTED_VALUE"""),"A Couch Potato is not a Potato on a Couch: Prompting Strategies, Image Generation, and Compositionality Prediction for Noun Compounds")</f>
        <v>A Couch Potato is not a Potato on a Couch: Prompting Strategies, Image Generation, and Compositionality Prediction for Noun Compounds</v>
      </c>
      <c r="C645" s="7" t="str">
        <f>IFERROR(__xludf.DUMMYFUNCTION("""COMPUTED_VALUE"""),"Predicting the compositionality of English noun-noun compounds, such as climate change and couch potato, has traditionally relied on text-based methods. We explore a novel image-based approach, believing that images convey rich information beyond what tex"&amp;"t alone can capture and that visual context may provide valuable insights. We generate images for compounds and their constituents using variants of text prompts, then encode these images with Vision Transformers, and assess the depicted meaning relatedne"&amp;"ss through cosine similarity. Evaluated against human compositionality ratings, the image-based approach performs en par with text-based methods for concrete compounds, while challenges in image acquisition and the misalignment between visual and semantic"&amp;" similarity negatively affect the results for abstract compounds.")</f>
        <v>Predicting the compositionality of English noun-noun compounds, such as climate change and couch potato, has traditionally relied on text-based methods. We explore a novel image-based approach, believing that images convey rich information beyond what text alone can capture and that visual context may provide valuable insights. We generate images for compounds and their constituents using variants of text prompts, then encode these images with Vision Transformers, and assess the depicted meaning relatedness through cosine similarity. Evaluated against human compositionality ratings, the image-based approach performs en par with text-based methods for concrete compounds, while challenges in image acquisition and the misalignment between visual and semantic similarity negatively affect the results for abstract compounds.</v>
      </c>
      <c r="D645" s="7" t="str">
        <f>IFERROR(__xludf.DUMMYFUNCTION("""COMPUTED_VALUE"""),"Sinan Kurtyigit")</f>
        <v>Sinan Kurtyigit</v>
      </c>
      <c r="E645" s="7" t="str">
        <f>IFERROR(__xludf.DUMMYFUNCTION("""COMPUTED_VALUE"""),"Yes")</f>
        <v>Yes</v>
      </c>
      <c r="F645" s="7" t="str">
        <f>IFERROR(__xludf.DUMMYFUNCTION("""COMPUTED_VALUE"""),"IP-Poster")</f>
        <v>IP-Poster</v>
      </c>
      <c r="G645" s="7" t="str">
        <f>IFERROR(__xludf.DUMMYFUNCTION("""COMPUTED_VALUE"""),"In-Person")</f>
        <v>In-Person</v>
      </c>
      <c r="H645" s="7" t="str">
        <f>IFERROR(__xludf.DUMMYFUNCTION("""COMPUTED_VALUE"""),"Hall 4/5")</f>
        <v>Hall 4/5</v>
      </c>
      <c r="I645" s="7" t="str">
        <f>IFERROR(__xludf.DUMMYFUNCTION("""COMPUTED_VALUE"""),"Session 5 :IP-Posters Find ")</f>
        <v>Session 5 :IP-Posters Find </v>
      </c>
      <c r="J645" s="7" t="str">
        <f>IFERROR(__xludf.DUMMYFUNCTION("""COMPUTED_VALUE"""),"Findings Posters - In-Person 1")</f>
        <v>Findings Posters - In-Person 1</v>
      </c>
      <c r="K645" s="7"/>
      <c r="L645" s="8">
        <f>IFERROR(__xludf.DUMMYFUNCTION("""COMPUTED_VALUE"""),45866.0)</f>
        <v>45866</v>
      </c>
      <c r="M645" s="7" t="str">
        <f>IFERROR(__xludf.DUMMYFUNCTION("""COMPUTED_VALUE"""),"18:00-19:30")</f>
        <v>18:00-19:30</v>
      </c>
      <c r="N645" s="7"/>
    </row>
    <row r="646">
      <c r="A646" s="7" t="str">
        <f>IFERROR(__xludf.DUMMYFUNCTION("""COMPUTED_VALUE"""),"2213-FIND")</f>
        <v>2213-FIND</v>
      </c>
      <c r="B646" s="7" t="str">
        <f>IFERROR(__xludf.DUMMYFUNCTION("""COMPUTED_VALUE"""),"A Rose by Any Other Name: LLM-Generated Explanations Are Good Proxies for Human Explanations to Collect Label Distributions on NLI")</f>
        <v>A Rose by Any Other Name: LLM-Generated Explanations Are Good Proxies for Human Explanations to Collect Label Distributions on NLI</v>
      </c>
      <c r="C646" s="7" t="str">
        <f>IFERROR(__xludf.DUMMYFUNCTION("""COMPUTED_VALUE"""),"Disagreement in human labeling is ubiquitous, and can be captured in human judgment distributions (HJDs). Recent research has shown that explanations provide valuable information for understanding human label variation (HLV) and large language models (LLM"&amp;"s) can approximate HJD from a few human-provided label-explanation pairs. However, collecting explanations for every label is still time-consuming. This paper examines whether LLMs can be used to replace humans in generating explanations for approximating"&amp;" HJD. Specifically, we use LLMs as annotators to generate model explanations for a few given human labels. We test ways to obtain and combine these label-explanations with the goal to approximate human judgment distribution. We further compare the resulti"&amp;"ng human with model-generated explanations, and test automatic and human explanation selection. Our experiments show that LLM explanations are promising for NLI: to estimate HJD, generated explanations yield comparable results to human's when provided wit"&amp;"h human labels. Importantly, our results generalize from datasets with human explanations to i) datasets where they are not available and ii) challenging out-of-distribution test sets.")</f>
        <v>Disagreement in human labeling is ubiquitous, and can be captured in human judgment distributions (HJDs). Recent research has shown that explanations provide valuable information for understanding human label variation (HLV) and large language models (LLMs) can approximate HJD from a few human-provided label-explanation pairs. However, collecting explanations for every label is still time-consuming. This paper examines whether LLMs can be used to replace humans in generating explanations for approximating HJD. Specifically, we use LLMs as annotators to generate model explanations for a few given human labels. We test ways to obtain and combine these label-explanations with the goal to approximate human judgment distribution. We further compare the resulting human with model-generated explanations, and test automatic and human explanation selection. Our experiments show that LLM explanations are promising for NLI: to estimate HJD, generated explanations yield comparable results to human's when provided with human labels. Importantly, our results generalize from datasets with human explanations to i) datasets where they are not available and ii) challenging out-of-distribution test sets.</v>
      </c>
      <c r="D646" s="7" t="str">
        <f>IFERROR(__xludf.DUMMYFUNCTION("""COMPUTED_VALUE"""),"Beiduo Chen")</f>
        <v>Beiduo Chen</v>
      </c>
      <c r="E646" s="7" t="str">
        <f>IFERROR(__xludf.DUMMYFUNCTION("""COMPUTED_VALUE"""),"Yes")</f>
        <v>Yes</v>
      </c>
      <c r="F646" s="7" t="str">
        <f>IFERROR(__xludf.DUMMYFUNCTION("""COMPUTED_VALUE"""),"IP-Poster")</f>
        <v>IP-Poster</v>
      </c>
      <c r="G646" s="7" t="str">
        <f>IFERROR(__xludf.DUMMYFUNCTION("""COMPUTED_VALUE"""),"In-Person")</f>
        <v>In-Person</v>
      </c>
      <c r="H646" s="7" t="str">
        <f>IFERROR(__xludf.DUMMYFUNCTION("""COMPUTED_VALUE"""),"Hall 4/5")</f>
        <v>Hall 4/5</v>
      </c>
      <c r="I646" s="7" t="str">
        <f>IFERROR(__xludf.DUMMYFUNCTION("""COMPUTED_VALUE"""),"Session 5 :IP-Posters Find ")</f>
        <v>Session 5 :IP-Posters Find </v>
      </c>
      <c r="J646" s="7" t="str">
        <f>IFERROR(__xludf.DUMMYFUNCTION("""COMPUTED_VALUE"""),"Findings Posters - In-Person 1")</f>
        <v>Findings Posters - In-Person 1</v>
      </c>
      <c r="K646" s="7"/>
      <c r="L646" s="8">
        <f>IFERROR(__xludf.DUMMYFUNCTION("""COMPUTED_VALUE"""),45866.0)</f>
        <v>45866</v>
      </c>
      <c r="M646" s="7" t="str">
        <f>IFERROR(__xludf.DUMMYFUNCTION("""COMPUTED_VALUE"""),"18:00-19:30")</f>
        <v>18:00-19:30</v>
      </c>
      <c r="N646" s="7"/>
    </row>
    <row r="647">
      <c r="A647" s="7" t="str">
        <f>IFERROR(__xludf.DUMMYFUNCTION("""COMPUTED_VALUE"""),"2214-FIND")</f>
        <v>2214-FIND</v>
      </c>
      <c r="B647" s="7" t="str">
        <f>IFERROR(__xludf.DUMMYFUNCTION("""COMPUTED_VALUE"""),"Measuring What Matters: Evaluating Ensemble LLMs with Label Refinement in Inductive Coding")</f>
        <v>Measuring What Matters: Evaluating Ensemble LLMs with Label Refinement in Inductive Coding</v>
      </c>
      <c r="C647" s="7" t="str">
        <f>IFERROR(__xludf.DUMMYFUNCTION("""COMPUTED_VALUE"""),"Inductive coding traditionally relies on labor-intensive human efforts, who are prone to inconsistencies and individual biases. Although large language models (LLMs) offer promising automation capabilities, their standalone use often results in inconsiste"&amp;"nt outputs, limiting their reliability. In this work, we propose a framework that combines ensemble methods with code refinement methodology to address these challenges. Our approach integrates multiple smaller LLMs, fine-tuned via Low-Rank Adaptation (Lo"&amp;"RA), and employs a moderator-based mechanism to simulate human consensus. To address the limitations of metrics like ROUGE and BERTScore, we introduce a composite evaluation metric that combines code conciseness and contextual similarity. The validity of "&amp;"this metric is confirmed through correlation analysis with human expert ratings. Results demonstrate that smaller ensemble models with refined outputs consistently outperform other ensembles, individual models, and even large-scale LLMs like GPT-4. Our ev"&amp;"idence suggests that smaller ensemble models significantly outperform larger standalone language models, pointing out the risk of relying solely on a single large model for qualitative analysis.")</f>
        <v>Inductive coding traditionally relies on labor-intensive human efforts, who are prone to inconsistencies and individual biases. Although large language models (LLMs) offer promising automation capabilities, their standalone use often results in inconsistent outputs, limiting their reliability. In this work, we propose a framework that combines ensemble methods with code refinement methodology to address these challenges. Our approach integrates multiple smaller LLMs, fine-tuned via Low-Rank Adaptation (LoRA), and employs a moderator-based mechanism to simulate human consensus. To address the limitations of metrics like ROUGE and BERTScore, we introduce a composite evaluation metric that combines code conciseness and contextual similarity. The validity of this metric is confirmed through correlation analysis with human expert ratings. Results demonstrate that smaller ensemble models with refined outputs consistently outperform other ensembles, individual models, and even large-scale LLMs like GPT-4. Our evidence suggests that smaller ensemble models significantly outperform larger standalone language models, pointing out the risk of relying solely on a single large model for qualitative analysis.</v>
      </c>
      <c r="D647" s="7" t="str">
        <f>IFERROR(__xludf.DUMMYFUNCTION("""COMPUTED_VALUE"""),"Angelina Parfenova")</f>
        <v>Angelina Parfenova</v>
      </c>
      <c r="E647" s="7" t="str">
        <f>IFERROR(__xludf.DUMMYFUNCTION("""COMPUTED_VALUE"""),"Yes")</f>
        <v>Yes</v>
      </c>
      <c r="F647" s="7" t="str">
        <f>IFERROR(__xludf.DUMMYFUNCTION("""COMPUTED_VALUE"""),"IP-Poster")</f>
        <v>IP-Poster</v>
      </c>
      <c r="G647" s="7" t="str">
        <f>IFERROR(__xludf.DUMMYFUNCTION("""COMPUTED_VALUE"""),"In-Person")</f>
        <v>In-Person</v>
      </c>
      <c r="H647" s="7" t="str">
        <f>IFERROR(__xludf.DUMMYFUNCTION("""COMPUTED_VALUE"""),"Hall 4/5")</f>
        <v>Hall 4/5</v>
      </c>
      <c r="I647" s="7" t="str">
        <f>IFERROR(__xludf.DUMMYFUNCTION("""COMPUTED_VALUE"""),"Session 5 :IP-Posters Find ")</f>
        <v>Session 5 :IP-Posters Find </v>
      </c>
      <c r="J647" s="7" t="str">
        <f>IFERROR(__xludf.DUMMYFUNCTION("""COMPUTED_VALUE"""),"Findings Posters - In-Person 1")</f>
        <v>Findings Posters - In-Person 1</v>
      </c>
      <c r="K647" s="7"/>
      <c r="L647" s="8">
        <f>IFERROR(__xludf.DUMMYFUNCTION("""COMPUTED_VALUE"""),45866.0)</f>
        <v>45866</v>
      </c>
      <c r="M647" s="7" t="str">
        <f>IFERROR(__xludf.DUMMYFUNCTION("""COMPUTED_VALUE"""),"18:00-19:30")</f>
        <v>18:00-19:30</v>
      </c>
      <c r="N647" s="7"/>
    </row>
    <row r="648">
      <c r="A648" s="7" t="str">
        <f>IFERROR(__xludf.DUMMYFUNCTION("""COMPUTED_VALUE"""),"2217-FIND")</f>
        <v>2217-FIND</v>
      </c>
      <c r="B648" s="7" t="str">
        <f>IFERROR(__xludf.DUMMYFUNCTION("""COMPUTED_VALUE"""),"Dynamic Evil Score-Guided Decoding: An Efficient Decoding Framework For Red-Team Model")</f>
        <v>Dynamic Evil Score-Guided Decoding: An Efficient Decoding Framework For Red-Team Model</v>
      </c>
      <c r="C648" s="7" t="str">
        <f>IFERROR(__xludf.DUMMYFUNCTION("""COMPUTED_VALUE"""),"Large language models (LLMs) have achieved significant advances but can potentially generate harmful content such as social biases, extremism, and misinformation. Red teaming is a promising approach to enhance model safety by creating adversarial prompts "&amp;"to test and improve model robustness. However, existing red-teaming methods often require expensive fine-tuning, especially for large LLMs. We propose the Dynamic Evil Score-Guided Decoding framework (DESGD), an efficient red-teaming method that does not "&amp;"increase computational cost with the target model size. DESGD introduces the concept of an 'evil score' to dynamically evaluate the potential of tokens to contribute to harmful outputs during decoding. This framework constructs a small unsafe model using "&amp;"an adversarial dataset and adjusts the logits vector of the target model based on the evil score. Experiments show that DESGD achieves an ASR of 92.83% on the Llama-3.2-3B-Instruct model, compared to 83.48% with adversarial fine-tuning while using less co"&amp;"mputational resources. Similarly, on the Qwen2.5-3B-Instruct model, DESGD reaches an ASR of 88.62%, outperforming adversarial fine-tuning (77.56%).")</f>
        <v>Large language models (LLMs) have achieved significant advances but can potentially generate harmful content such as social biases, extremism, and misinformation. Red teaming is a promising approach to enhance model safety by creating adversarial prompts to test and improve model robustness. However, existing red-teaming methods often require expensive fine-tuning, especially for large LLMs. We propose the Dynamic Evil Score-Guided Decoding framework (DESGD), an efficient red-teaming method that does not increase computational cost with the target model size. DESGD introduces the concept of an 'evil score' to dynamically evaluate the potential of tokens to contribute to harmful outputs during decoding. This framework constructs a small unsafe model using an adversarial dataset and adjusts the logits vector of the target model based on the evil score. Experiments show that DESGD achieves an ASR of 92.83% on the Llama-3.2-3B-Instruct model, compared to 83.48% with adversarial fine-tuning while using less computational resources. Similarly, on the Qwen2.5-3B-Instruct model, DESGD reaches an ASR of 88.62%, outperforming adversarial fine-tuning (77.56%).</v>
      </c>
      <c r="D648" s="7" t="str">
        <f>IFERROR(__xludf.DUMMYFUNCTION("""COMPUTED_VALUE"""),"Cong Gao")</f>
        <v>Cong Gao</v>
      </c>
      <c r="E648" s="7" t="str">
        <f>IFERROR(__xludf.DUMMYFUNCTION("""COMPUTED_VALUE"""),"#N/A")</f>
        <v>#N/A</v>
      </c>
      <c r="F648" s="7" t="str">
        <f>IFERROR(__xludf.DUMMYFUNCTION("""COMPUTED_VALUE"""),"Not Pres. ")</f>
        <v>Not Pres. </v>
      </c>
      <c r="G648" s="7" t="str">
        <f>IFERROR(__xludf.DUMMYFUNCTION("""COMPUTED_VALUE"""),"NP Findings Not Presenting ")</f>
        <v>NP Findings Not Presenting </v>
      </c>
      <c r="H648" s="7"/>
      <c r="I648" s="7" t="str">
        <f>IFERROR(__xludf.DUMMYFUNCTION("""COMPUTED_VALUE"""),"NP-Find")</f>
        <v>NP-Find</v>
      </c>
      <c r="J648" s="7"/>
      <c r="K648" s="7"/>
      <c r="L648" s="8"/>
      <c r="M648" s="7"/>
      <c r="N648" s="7"/>
    </row>
    <row r="649">
      <c r="A649" s="7" t="str">
        <f>IFERROR(__xludf.DUMMYFUNCTION("""COMPUTED_VALUE"""),"2218-FIND")</f>
        <v>2218-FIND</v>
      </c>
      <c r="B649" s="7" t="str">
        <f>IFERROR(__xludf.DUMMYFUNCTION("""COMPUTED_VALUE"""),"CoMuMDR: Code-mixed Multi-modal Multi-domain corpus for Discourse paRsing in conversations")</f>
        <v>CoMuMDR: Code-mixed Multi-modal Multi-domain corpus for Discourse paRsing in conversations</v>
      </c>
      <c r="C649" s="7" t="str">
        <f>IFERROR(__xludf.DUMMYFUNCTION("""COMPUTED_VALUE"""),"Discourse parsing is an important task useful for NLU applications such as summarization, machine comprehension, and emotion recognition. The current discourse parsing datasets based on conversations consists of written English dialogues restricted to a s"&amp;"ingle domain. In this resource paper, we introduce CoMuMDR: Code-mixed Multi-modal Multi-domain corpus for Discourse paRsing in conversations. The corpus (code-mixed in Hindi and English) has both audio and transcribed text and is annotated with nine disc"&amp;"ourse relations. We experiment with various SoTA baseline models; the poor performance of SoTA models highlights the challenges of multi-domain code-mixed data, pointing towards the need for developing better models for such realistic settings.")</f>
        <v>Discourse parsing is an important task useful for NLU applications such as summarization, machine comprehension, and emotion recognition. The current discourse parsing datasets based on conversations consists of written English dialogues restricted to a single domain. In this resource paper, we introduce CoMuMDR: Code-mixed Multi-modal Multi-domain corpus for Discourse paRsing in conversations. The corpus (code-mixed in Hindi and English) has both audio and transcribed text and is annotated with nine discourse relations. We experiment with various SoTA baseline models; the poor performance of SoTA models highlights the challenges of multi-domain code-mixed data, pointing towards the need for developing better models for such realistic settings.</v>
      </c>
      <c r="D649" s="7" t="str">
        <f>IFERROR(__xludf.DUMMYFUNCTION("""COMPUTED_VALUE"""),"Ashutosh Modi")</f>
        <v>Ashutosh Modi</v>
      </c>
      <c r="E649" s="7" t="str">
        <f>IFERROR(__xludf.DUMMYFUNCTION("""COMPUTED_VALUE"""),"Yes")</f>
        <v>Yes</v>
      </c>
      <c r="F649" s="7" t="str">
        <f>IFERROR(__xludf.DUMMYFUNCTION("""COMPUTED_VALUE"""),"IP-Poster")</f>
        <v>IP-Poster</v>
      </c>
      <c r="G649" s="7" t="str">
        <f>IFERROR(__xludf.DUMMYFUNCTION("""COMPUTED_VALUE"""),"In-Person")</f>
        <v>In-Person</v>
      </c>
      <c r="H649" s="7" t="str">
        <f>IFERROR(__xludf.DUMMYFUNCTION("""COMPUTED_VALUE"""),"Hall 4/5")</f>
        <v>Hall 4/5</v>
      </c>
      <c r="I649" s="7" t="str">
        <f>IFERROR(__xludf.DUMMYFUNCTION("""COMPUTED_VALUE"""),"Session 7: IP-Posters")</f>
        <v>Session 7: IP-Posters</v>
      </c>
      <c r="J649" s="7" t="str">
        <f>IFERROR(__xludf.DUMMYFUNCTION("""COMPUTED_VALUE"""),"Findings Posters - In-Person 2")</f>
        <v>Findings Posters - In-Person 2</v>
      </c>
      <c r="K649" s="7"/>
      <c r="L649" s="8">
        <f>IFERROR(__xludf.DUMMYFUNCTION("""COMPUTED_VALUE"""),45867.0)</f>
        <v>45867</v>
      </c>
      <c r="M649" s="7" t="str">
        <f>IFERROR(__xludf.DUMMYFUNCTION("""COMPUTED_VALUE"""),"10:30-12:00")</f>
        <v>10:30-12:00</v>
      </c>
      <c r="N649" s="7"/>
    </row>
    <row r="650">
      <c r="A650" s="7" t="str">
        <f>IFERROR(__xludf.DUMMYFUNCTION("""COMPUTED_VALUE"""),"2219-FIND")</f>
        <v>2219-FIND</v>
      </c>
      <c r="B650" s="7" t="str">
        <f>IFERROR(__xludf.DUMMYFUNCTION("""COMPUTED_VALUE"""),"Multi-word Measures: Modeling Semantic Change in Compound Nouns")</f>
        <v>Multi-word Measures: Modeling Semantic Change in Compound Nouns</v>
      </c>
      <c r="C650" s="7" t="str">
        <f>IFERROR(__xludf.DUMMYFUNCTION("""COMPUTED_VALUE"""),"Compound words (e.g. shower thought) provide a multifaceted challenge for diachronic models of semantic change. Datasets describing noun compound semantics tend to describe only the predominant sense of a compound, which is limiting, especially in diachro"&amp;"nic settings where senses may shift over time. We create a novel dataset of relatedness judgements of noun compounds in English and German, the first to capture diachronic meaning changes for multi-word expressions without prematurely condensing individua"&amp;"l senses into an aggregate value. Furthermore, we introduce a novel, sense-targeting approach for noun compounds that evaluates two contrasting vector representations in their ability to cluster example sentence pairs. Our clustering approach targets both"&amp;" noun compounds and their constituent parts, to model the interdependence of these terms over time. We calculate time-delineated distributions of these clusters and compare them against measures of semantic change aggregated from the human relatedness ann"&amp;"otations.")</f>
        <v>Compound words (e.g. shower thought) provide a multifaceted challenge for diachronic models of semantic change. Datasets describing noun compound semantics tend to describe only the predominant sense of a compound, which is limiting, especially in diachronic settings where senses may shift over time. We create a novel dataset of relatedness judgements of noun compounds in English and German, the first to capture diachronic meaning changes for multi-word expressions without prematurely condensing individual senses into an aggregate value. Furthermore, we introduce a novel, sense-targeting approach for noun compounds that evaluates two contrasting vector representations in their ability to cluster example sentence pairs. Our clustering approach targets both noun compounds and their constituent parts, to model the interdependence of these terms over time. We calculate time-delineated distributions of these clusters and compare them against measures of semantic change aggregated from the human relatedness annotations.</v>
      </c>
      <c r="D650" s="7" t="str">
        <f>IFERROR(__xludf.DUMMYFUNCTION("""COMPUTED_VALUE"""),"Chris Jenkins")</f>
        <v>Chris Jenkins</v>
      </c>
      <c r="E650" s="7" t="str">
        <f>IFERROR(__xludf.DUMMYFUNCTION("""COMPUTED_VALUE"""),"Yes")</f>
        <v>Yes</v>
      </c>
      <c r="F650" s="7" t="str">
        <f>IFERROR(__xludf.DUMMYFUNCTION("""COMPUTED_VALUE"""),"IP-Poster")</f>
        <v>IP-Poster</v>
      </c>
      <c r="G650" s="7" t="str">
        <f>IFERROR(__xludf.DUMMYFUNCTION("""COMPUTED_VALUE"""),"In-Person")</f>
        <v>In-Person</v>
      </c>
      <c r="H650" s="7" t="str">
        <f>IFERROR(__xludf.DUMMYFUNCTION("""COMPUTED_VALUE"""),"Hall 4/5")</f>
        <v>Hall 4/5</v>
      </c>
      <c r="I650" s="7" t="str">
        <f>IFERROR(__xludf.DUMMYFUNCTION("""COMPUTED_VALUE"""),"Session 5 :IP-Posters Find ")</f>
        <v>Session 5 :IP-Posters Find </v>
      </c>
      <c r="J650" s="7" t="str">
        <f>IFERROR(__xludf.DUMMYFUNCTION("""COMPUTED_VALUE"""),"Findings Posters - In-Person 1")</f>
        <v>Findings Posters - In-Person 1</v>
      </c>
      <c r="K650" s="7"/>
      <c r="L650" s="8">
        <f>IFERROR(__xludf.DUMMYFUNCTION("""COMPUTED_VALUE"""),45866.0)</f>
        <v>45866</v>
      </c>
      <c r="M650" s="7" t="str">
        <f>IFERROR(__xludf.DUMMYFUNCTION("""COMPUTED_VALUE"""),"18:00-19:30")</f>
        <v>18:00-19:30</v>
      </c>
      <c r="N650" s="7"/>
    </row>
    <row r="651">
      <c r="A651" s="7" t="str">
        <f>IFERROR(__xludf.DUMMYFUNCTION("""COMPUTED_VALUE"""),"2221-FIND")</f>
        <v>2221-FIND</v>
      </c>
      <c r="B651" s="7" t="str">
        <f>IFERROR(__xludf.DUMMYFUNCTION("""COMPUTED_VALUE"""),"Bridge-Coder: Transferring Model Capabilities from High-Resource to Low-Resource Programming Language")</f>
        <v>Bridge-Coder: Transferring Model Capabilities from High-Resource to Low-Resource Programming Language</v>
      </c>
      <c r="C651" s="7" t="str">
        <f>IFERROR(__xludf.DUMMYFUNCTION("""COMPUTED_VALUE"""),"Most LLMs universally excel at generating code for high-resource programming languages (HRPLs) like Python, a capability that has become standard due to the abundance of training data. However, they struggle significantly with low-resource programming lan"&amp;"guages (LRPLs) such as D, exacerbating the digital divide. This gap limits developers using LRPLs from equally benefiting and hinders innovation within underrepresented programming communities. To make matters worse, manually generating data for LRPLs is "&amp;"highly labor intensive and requires expensive expert effort. In this work, we begin by analyzing the NL-PL Gap, where LLMs' direct-generated LRPL data often suffers from subpar quality due to the misalignment between natural language (NL) instructions and"&amp;" programming language (PL) outputs. To address this issue, we introduce Bridge-Assist Generation, a method to generate LRPL data utilizing LLM's general knowledge, HRPL proficiency, and in-context learning capabilities. To further maximize the utility of "&amp;"the generated data, we propose Bridged Alignment to obtain Bridge-Coder. To thoroughly evaluate our approach, we select four relatively LRPLs: R, D, Racket, and Bash. Experimental results reveal that Bridge-Coder achieves significant improvements over the"&amp;" original model, with average gains of 18.71 and 10.81 on two comprehensive benchmarks, M-HumanEval and M-MBPP.")</f>
        <v>Most LLMs universally excel at generating code for high-resource programming languages (HRPLs) like Python, a capability that has become standard due to the abundance of training data. However, they struggle significantly with low-resource programming languages (LRPLs) such as D, exacerbating the digital divide. This gap limits developers using LRPLs from equally benefiting and hinders innovation within underrepresented programming communities. To make matters worse, manually generating data for LRPLs is highly labor intensive and requires expensive expert effort. In this work, we begin by analyzing the NL-PL Gap, where LLMs' direct-generated LRPL data often suffers from subpar quality due to the misalignment between natural language (NL) instructions and programming language (PL) outputs. To address this issue, we introduce Bridge-Assist Generation, a method to generate LRPL data utilizing LLM's general knowledge, HRPL proficiency, and in-context learning capabilities. To further maximize the utility of the generated data, we propose Bridged Alignment to obtain Bridge-Coder. To thoroughly evaluate our approach, we select four relatively LRPLs: R, D, Racket, and Bash. Experimental results reveal that Bridge-Coder achieves significant improvements over the original model, with average gains of 18.71 and 10.81 on two comprehensive benchmarks, M-HumanEval and M-MBPP.</v>
      </c>
      <c r="D651" s="7" t="str">
        <f>IFERROR(__xludf.DUMMYFUNCTION("""COMPUTED_VALUE"""),"ZHANG Jipeng")</f>
        <v>ZHANG Jipeng</v>
      </c>
      <c r="E651" s="7" t="str">
        <f>IFERROR(__xludf.DUMMYFUNCTION("""COMPUTED_VALUE"""),"Yes")</f>
        <v>Yes</v>
      </c>
      <c r="F651" s="7" t="str">
        <f>IFERROR(__xludf.DUMMYFUNCTION("""COMPUTED_VALUE"""),"IP-Poster")</f>
        <v>IP-Poster</v>
      </c>
      <c r="G651" s="7" t="str">
        <f>IFERROR(__xludf.DUMMYFUNCTION("""COMPUTED_VALUE"""),"In-Person")</f>
        <v>In-Person</v>
      </c>
      <c r="H651" s="7" t="str">
        <f>IFERROR(__xludf.DUMMYFUNCTION("""COMPUTED_VALUE"""),"Hall 4/5")</f>
        <v>Hall 4/5</v>
      </c>
      <c r="I651" s="7" t="str">
        <f>IFERROR(__xludf.DUMMYFUNCTION("""COMPUTED_VALUE"""),"Session 7: IP-Posters")</f>
        <v>Session 7: IP-Posters</v>
      </c>
      <c r="J651" s="7" t="str">
        <f>IFERROR(__xludf.DUMMYFUNCTION("""COMPUTED_VALUE"""),"Findings Posters - In-Person 2")</f>
        <v>Findings Posters - In-Person 2</v>
      </c>
      <c r="K651" s="7"/>
      <c r="L651" s="8">
        <f>IFERROR(__xludf.DUMMYFUNCTION("""COMPUTED_VALUE"""),45867.0)</f>
        <v>45867</v>
      </c>
      <c r="M651" s="7" t="str">
        <f>IFERROR(__xludf.DUMMYFUNCTION("""COMPUTED_VALUE"""),"10:30-12:00")</f>
        <v>10:30-12:00</v>
      </c>
      <c r="N651" s="7"/>
    </row>
    <row r="652">
      <c r="A652" s="7" t="str">
        <f>IFERROR(__xludf.DUMMYFUNCTION("""COMPUTED_VALUE"""),"2222-FIND")</f>
        <v>2222-FIND</v>
      </c>
      <c r="B652" s="7" t="str">
        <f>IFERROR(__xludf.DUMMYFUNCTION("""COMPUTED_VALUE"""),"ProBench: Judging Multimodal Foundation Models on Open-ended Multi-domain Expert Tasks")</f>
        <v>ProBench: Judging Multimodal Foundation Models on Open-ended Multi-domain Expert Tasks</v>
      </c>
      <c r="C652" s="7" t="str">
        <f>IFERROR(__xludf.DUMMYFUNCTION("""COMPUTED_VALUE"""),"Solving expert-level multimodal tasks is a key milestone in general intelligence. As the capabilities of multimodal large language models (MLLMs) continue to evolve, evaluation of frontier multimodal intelligence becomes necessary yet challenging. In this"&amp;" work, we introduce ProBench, a benchmark of open-ended user queries encapsulating professional expertise and advanced reasoning. ProBench consists of 4,000 high-quality samples independently collected from professionals based on their productivity demand"&amp;"s. It spans across 10 fields and 56 sub-fields, including science, arts, humanities, coding, mathematics, and creative writing. Experimentally, we evaluate and compare 24 latest models using MLLM-as-a-Judge. Our results reveal that although the best open-"&amp;"source models rival the proprietary ones, they all face significant challenges in visual perception, textual understanding, domain knowledge, and advanced reasoning. Our benchmark is publicly accessible at \url{TBC}.")</f>
        <v>Solving expert-level multimodal tasks is a key milestone in general intelligence. As the capabilities of multimodal large language models (MLLMs) continue to evolve, evaluation of frontier multimodal intelligence becomes necessary yet challenging. In this work, we introduce ProBench, a benchmark of open-ended user queries encapsulating professional expertise and advanced reasoning. ProBench consists of 4,000 high-quality samples independently collected from professionals based on their productivity demands. It spans across 10 fields and 56 sub-fields, including science, arts, humanities, coding, mathematics, and creative writing. Experimentally, we evaluate and compare 24 latest models using MLLM-as-a-Judge. Our results reveal that although the best open-source models rival the proprietary ones, they all face significant challenges in visual perception, textual understanding, domain knowledge, and advanced reasoning. Our benchmark is publicly accessible at \url{TBC}.</v>
      </c>
      <c r="D652" s="7" t="str">
        <f>IFERROR(__xludf.DUMMYFUNCTION("""COMPUTED_VALUE"""),"Yan Yang")</f>
        <v>Yan Yang</v>
      </c>
      <c r="E652" s="7" t="str">
        <f>IFERROR(__xludf.DUMMYFUNCTION("""COMPUTED_VALUE"""),"Yes")</f>
        <v>Yes</v>
      </c>
      <c r="F652" s="7" t="str">
        <f>IFERROR(__xludf.DUMMYFUNCTION("""COMPUTED_VALUE"""),"V-Presentation")</f>
        <v>V-Presentation</v>
      </c>
      <c r="G652" s="7" t="str">
        <f>IFERROR(__xludf.DUMMYFUNCTION("""COMPUTED_VALUE"""),"Virtual/Gather")</f>
        <v>Virtual/Gather</v>
      </c>
      <c r="H652" s="7" t="str">
        <f>IFERROR(__xludf.DUMMYFUNCTION("""COMPUTED_VALUE"""),"Gather")</f>
        <v>Gather</v>
      </c>
      <c r="I652" s="7" t="str">
        <f>IFERROR(__xludf.DUMMYFUNCTION("""COMPUTED_VALUE"""),"Session5: V-Gather Find")</f>
        <v>Session5: V-Gather Find</v>
      </c>
      <c r="J652" s="7" t="str">
        <f>IFERROR(__xludf.DUMMYFUNCTION("""COMPUTED_VALUE"""),"Findings Posters - Virtual")</f>
        <v>Findings Posters - Virtual</v>
      </c>
      <c r="K652" s="7"/>
      <c r="L652" s="8">
        <f>IFERROR(__xludf.DUMMYFUNCTION("""COMPUTED_VALUE"""),45866.0)</f>
        <v>45866</v>
      </c>
      <c r="M652" s="7" t="str">
        <f>IFERROR(__xludf.DUMMYFUNCTION("""COMPUTED_VALUE"""),"18:00-19:30")</f>
        <v>18:00-19:30</v>
      </c>
      <c r="N652" s="7"/>
    </row>
    <row r="653">
      <c r="A653" s="7" t="str">
        <f>IFERROR(__xludf.DUMMYFUNCTION("""COMPUTED_VALUE"""),"2226-FIND")</f>
        <v>2226-FIND</v>
      </c>
      <c r="B653" s="7" t="str">
        <f>IFERROR(__xludf.DUMMYFUNCTION("""COMPUTED_VALUE"""),"2M-BELEBELE: Highly Multilingual Speech and American Sign Language Comprehension Dataset Download PDF")</f>
        <v>2M-BELEBELE: Highly Multilingual Speech and American Sign Language Comprehension Dataset Download PDF</v>
      </c>
      <c r="C653" s="7" t="str">
        <f>IFERROR(__xludf.DUMMYFUNCTION("""COMPUTED_VALUE"""),"We introduce the first highly multilingual speech and American Sign Language (ASL) comprehension dataset by extending BELEBELE. Our dataset covers 74 spoken languages at the intersection of BELEBELE and FLEURS, and one sign language (ASL). We evaluate 2M-"&amp;"BELEBELE dataset for both 5-shot and zero-shot settings and across languages, the speech comprehension accuracy is ≈ 10% average lower compared to reading comprehension.")</f>
        <v>We introduce the first highly multilingual speech and American Sign Language (ASL) comprehension dataset by extending BELEBELE. Our dataset covers 74 spoken languages at the intersection of BELEBELE and FLEURS, and one sign language (ASL). We evaluate 2M-BELEBELE dataset for both 5-shot and zero-shot settings and across languages, the speech comprehension accuracy is ≈ 10% average lower compared to reading comprehension.</v>
      </c>
      <c r="D653" s="7" t="str">
        <f>IFERROR(__xludf.DUMMYFUNCTION("""COMPUTED_VALUE"""),"Marta R. Costa-jussà")</f>
        <v>Marta R. Costa-jussà</v>
      </c>
      <c r="E653" s="7" t="str">
        <f>IFERROR(__xludf.DUMMYFUNCTION("""COMPUTED_VALUE"""),"Yes")</f>
        <v>Yes</v>
      </c>
      <c r="F653" s="7" t="str">
        <f>IFERROR(__xludf.DUMMYFUNCTION("""COMPUTED_VALUE"""),"IP-Poster")</f>
        <v>IP-Poster</v>
      </c>
      <c r="G653" s="7" t="str">
        <f>IFERROR(__xludf.DUMMYFUNCTION("""COMPUTED_VALUE"""),"In-Person")</f>
        <v>In-Person</v>
      </c>
      <c r="H653" s="7" t="str">
        <f>IFERROR(__xludf.DUMMYFUNCTION("""COMPUTED_VALUE"""),"Hall 4/5")</f>
        <v>Hall 4/5</v>
      </c>
      <c r="I653" s="7" t="str">
        <f>IFERROR(__xludf.DUMMYFUNCTION("""COMPUTED_VALUE"""),"Session 7: IP-Posters")</f>
        <v>Session 7: IP-Posters</v>
      </c>
      <c r="J653" s="7" t="str">
        <f>IFERROR(__xludf.DUMMYFUNCTION("""COMPUTED_VALUE"""),"Findings Posters - In-Person 2")</f>
        <v>Findings Posters - In-Person 2</v>
      </c>
      <c r="K653" s="7"/>
      <c r="L653" s="8">
        <f>IFERROR(__xludf.DUMMYFUNCTION("""COMPUTED_VALUE"""),45867.0)</f>
        <v>45867</v>
      </c>
      <c r="M653" s="7" t="str">
        <f>IFERROR(__xludf.DUMMYFUNCTION("""COMPUTED_VALUE"""),"10:30-12:00")</f>
        <v>10:30-12:00</v>
      </c>
      <c r="N653" s="7"/>
    </row>
    <row r="654">
      <c r="A654" s="7" t="str">
        <f>IFERROR(__xludf.DUMMYFUNCTION("""COMPUTED_VALUE"""),"2227-FIND")</f>
        <v>2227-FIND</v>
      </c>
      <c r="B654" s="7" t="str">
        <f>IFERROR(__xludf.DUMMYFUNCTION("""COMPUTED_VALUE"""),"A General Framework to Evaluate Methods for Assessing Dimensions of Lexical Semantic Change Using LLM-Generated Synthetic Data")</f>
        <v>A General Framework to Evaluate Methods for Assessing Dimensions of Lexical Semantic Change Using LLM-Generated Synthetic Data</v>
      </c>
      <c r="C654" s="7" t="str">
        <f>IFERROR(__xludf.DUMMYFUNCTION("""COMPUTED_VALUE"""),"Lexical Semantic Change (LSC) offers insights into cultural and social dynamics. Yet, the validity of methods for measuring kinds of LSC has yet to be established due to the absence of historical benchmark datasets. To address this gap, we develop a novel"&amp;" three-stage evaluation framework that involves: 1) creating a scalable, domain-general methodology for generating synthetic datasets that simulate theory-driven LSC across time, leveraging In-Context Learning and a lexical database; 2) using these datase"&amp;"ts to evaluate the effectiveness of various methods; and 3) assessing their suitability for specific dimensions and domains. We apply this framework to simulate changes across key dimensions of LSC (SIB: Sentiment, Intensity, and Breadth) using examples f"&amp;"rom psychology, and evaluate the sensitivity of selected methods to detect these artificially induced changes. Our findings support the utility of the synthetic data approach, validate the efficacy of tailored methods for detecting synthetic changes in SI"&amp;"B, and reveal that a state-of-the-art LSC model faces challenges in detecting affective dimensions of LSC. This framework provides a valuable tool for dimension- and domain-specific benchmarking and evaluation of LSC methods, with particular benefits for "&amp;"the social sciences.")</f>
        <v>Lexical Semantic Change (LSC) offers insights into cultural and social dynamics. Yet, the validity of methods for measuring kinds of LSC has yet to be established due to the absence of historical benchmark datasets. To address this gap, we develop a novel three-stage evaluation framework that involves: 1) creating a scalable, domain-general methodology for generating synthetic datasets that simulate theory-driven LSC across time, leveraging In-Context Learning and a lexical database; 2) using these datasets to evaluate the effectiveness of various methods; and 3) assessing their suitability for specific dimensions and domains. We apply this framework to simulate changes across key dimensions of LSC (SIB: Sentiment, Intensity, and Breadth) using examples from psychology, and evaluate the sensitivity of selected methods to detect these artificially induced changes. Our findings support the utility of the synthetic data approach, validate the efficacy of tailored methods for detecting synthetic changes in SIB, and reveal that a state-of-the-art LSC model faces challenges in detecting affective dimensions of LSC. This framework provides a valuable tool for dimension- and domain-specific benchmarking and evaluation of LSC methods, with particular benefits for the social sciences.</v>
      </c>
      <c r="D654" s="7" t="str">
        <f>IFERROR(__xludf.DUMMYFUNCTION("""COMPUTED_VALUE"""),"Naomi Baes")</f>
        <v>Naomi Baes</v>
      </c>
      <c r="E654" s="7" t="str">
        <f>IFERROR(__xludf.DUMMYFUNCTION("""COMPUTED_VALUE"""),"Yes")</f>
        <v>Yes</v>
      </c>
      <c r="F654" s="7" t="str">
        <f>IFERROR(__xludf.DUMMYFUNCTION("""COMPUTED_VALUE"""),"IP-Poster")</f>
        <v>IP-Poster</v>
      </c>
      <c r="G654" s="7" t="str">
        <f>IFERROR(__xludf.DUMMYFUNCTION("""COMPUTED_VALUE"""),"In-Person")</f>
        <v>In-Person</v>
      </c>
      <c r="H654" s="7" t="str">
        <f>IFERROR(__xludf.DUMMYFUNCTION("""COMPUTED_VALUE"""),"Hall 4/5")</f>
        <v>Hall 4/5</v>
      </c>
      <c r="I654" s="7" t="str">
        <f>IFERROR(__xludf.DUMMYFUNCTION("""COMPUTED_VALUE"""),"Session 5 :IP-Posters Find ")</f>
        <v>Session 5 :IP-Posters Find </v>
      </c>
      <c r="J654" s="7" t="str">
        <f>IFERROR(__xludf.DUMMYFUNCTION("""COMPUTED_VALUE"""),"Findings Posters - In-Person 1")</f>
        <v>Findings Posters - In-Person 1</v>
      </c>
      <c r="K654" s="7"/>
      <c r="L654" s="8">
        <f>IFERROR(__xludf.DUMMYFUNCTION("""COMPUTED_VALUE"""),45866.0)</f>
        <v>45866</v>
      </c>
      <c r="M654" s="7" t="str">
        <f>IFERROR(__xludf.DUMMYFUNCTION("""COMPUTED_VALUE"""),"18:00-19:30")</f>
        <v>18:00-19:30</v>
      </c>
      <c r="N654" s="7"/>
    </row>
    <row r="655">
      <c r="A655" s="7" t="str">
        <f>IFERROR(__xludf.DUMMYFUNCTION("""COMPUTED_VALUE"""),"2228-FIND")</f>
        <v>2228-FIND</v>
      </c>
      <c r="B655" s="7" t="str">
        <f>IFERROR(__xludf.DUMMYFUNCTION("""COMPUTED_VALUE"""),"Chain-of-Jailbreak Attack for Image Generation Models via Step by Step Editing")</f>
        <v>Chain-of-Jailbreak Attack for Image Generation Models via Step by Step Editing</v>
      </c>
      <c r="C655" s="7" t="str">
        <f>IFERROR(__xludf.DUMMYFUNCTION("""COMPUTED_VALUE"""),"Text-based image generation models, such as Stable Diffusion and DALL-E 3, hold significant potential in content creation and publishing workflows, making them the focus in recent years. Despite their remarkable capability to generate diverse and vivid im"&amp;"ages, considerable efforts are being made to prevent the generation of harmful content, such as abusive, violent, or pornographic material. To assess the safety of existing models, we introduce a novel jailbreaking method called Chain-of-Jailbreak (CoJ) a"&amp;"ttack, which compromises image generation models through a step-by-step editing process. Specifically, for malicious queries that cannot bypass the safeguards with a single prompt, we intentionally decompose the query into multiple sub-queries. The image "&amp;"generation models are then prompted to generate and iteratively edit images based on these sub-queries. To evaluate the effectiveness of our CoJ attack method, we constructed a comprehensive dataset, CoJ-Bench, including nine safety scenarios, three types"&amp;" of editing operations, and three editing elements. Experiments on four widely-used image generation services provided by GPT-4V, GPT-4o, Gemini 1.5 and Gemini 1.5 Pro, demonstrate that our CoJ attack method can successfully bypass the safeguards of model"&amp;"s for over 60% cases, which significantly outperforms other jailbreaking methods (i.e., 14%). Further, to enhance these models' safety against our CoJ attack method, we also propose an effective prompting-based method, Think-Twice Prompting, that can succ"&amp;"essfully defend over 95% of CoJ attack. Our dataset and code are included in the supplementary materials and will be made publicly available upon publication.")</f>
        <v>Text-based image generation models, such as Stable Diffusion and DALL-E 3, hold significant potential in content creation and publishing workflows, making them the focus in recent years. Despite their remarkable capability to generate diverse and vivid images, considerable efforts are being made to prevent the generation of harmful content, such as abusive, violent, or pornographic material. To assess the safety of existing models, we introduce a novel jailbreaking method called Chain-of-Jailbreak (CoJ) attack, which compromises image generation models through a step-by-step editing process. Specifically, for malicious queries that cannot bypass the safeguards with a single prompt, we intentionally decompose the query into multiple sub-queries. The image generation models are then prompted to generate and iteratively edit images based on these sub-queries. To evaluate the effectiveness of our CoJ attack method, we constructed a comprehensive dataset, CoJ-Bench, including nine safety scenarios, three types of editing operations, and three editing elements. Experiments on four widely-used image generation services provided by GPT-4V, GPT-4o, Gemini 1.5 and Gemini 1.5 Pro, demonstrate that our CoJ attack method can successfully bypass the safeguards of models for over 60% cases, which significantly outperforms other jailbreaking methods (i.e., 14%). Further, to enhance these models' safety against our CoJ attack method, we also propose an effective prompting-based method, Think-Twice Prompting, that can successfully defend over 95% of CoJ attack. Our dataset and code are included in the supplementary materials and will be made publicly available upon publication.</v>
      </c>
      <c r="D655" s="7" t="str">
        <f>IFERROR(__xludf.DUMMYFUNCTION("""COMPUTED_VALUE"""),"Wenxuan Wang")</f>
        <v>Wenxuan Wang</v>
      </c>
      <c r="E655" s="7" t="str">
        <f>IFERROR(__xludf.DUMMYFUNCTION("""COMPUTED_VALUE"""),"Yes")</f>
        <v>Yes</v>
      </c>
      <c r="F655" s="7" t="str">
        <f>IFERROR(__xludf.DUMMYFUNCTION("""COMPUTED_VALUE"""),"IP-Poster")</f>
        <v>IP-Poster</v>
      </c>
      <c r="G655" s="7" t="str">
        <f>IFERROR(__xludf.DUMMYFUNCTION("""COMPUTED_VALUE"""),"In-Person")</f>
        <v>In-Person</v>
      </c>
      <c r="H655" s="7" t="str">
        <f>IFERROR(__xludf.DUMMYFUNCTION("""COMPUTED_VALUE"""),"Hall 4/5")</f>
        <v>Hall 4/5</v>
      </c>
      <c r="I655" s="7" t="str">
        <f>IFERROR(__xludf.DUMMYFUNCTION("""COMPUTED_VALUE"""),"Session 5 :IP-Posters Find ")</f>
        <v>Session 5 :IP-Posters Find </v>
      </c>
      <c r="J655" s="7" t="str">
        <f>IFERROR(__xludf.DUMMYFUNCTION("""COMPUTED_VALUE"""),"Findings Posters - In-Person 1")</f>
        <v>Findings Posters - In-Person 1</v>
      </c>
      <c r="K655" s="7"/>
      <c r="L655" s="8">
        <f>IFERROR(__xludf.DUMMYFUNCTION("""COMPUTED_VALUE"""),45866.0)</f>
        <v>45866</v>
      </c>
      <c r="M655" s="7" t="str">
        <f>IFERROR(__xludf.DUMMYFUNCTION("""COMPUTED_VALUE"""),"18:00-19:30")</f>
        <v>18:00-19:30</v>
      </c>
      <c r="N655" s="7"/>
    </row>
    <row r="656">
      <c r="A656" s="7" t="str">
        <f>IFERROR(__xludf.DUMMYFUNCTION("""COMPUTED_VALUE"""),"2232-FIND")</f>
        <v>2232-FIND</v>
      </c>
      <c r="B656" s="7" t="str">
        <f>IFERROR(__xludf.DUMMYFUNCTION("""COMPUTED_VALUE"""),"Tokenization is Sensitive to Language Variation")</f>
        <v>Tokenization is Sensitive to Language Variation</v>
      </c>
      <c r="C656" s="7" t="str">
        <f>IFERROR(__xludf.DUMMYFUNCTION("""COMPUTED_VALUE"""),"Variation in language is ubiquitous and often systematically linked to regional, social, and contextual factors. Tokenizers split texts into smaller units and might behave differently for less common linguistic forms. This might affect downstream LLM perf"&amp;"ormance differently on two types of tasks: Tasks where the model should be robust to language variation (e.g., for semantic tasks like NLI, labels do not depend on whether a text uses British or American spelling) and tasks where the model should be sensi"&amp;"tive to language variation (e.g., for form-based tasks like authorship verification, labels depend on whether a text uses British or American spelling). We pre-train BERT base models for the popular Byte-Pair Encoding algorithm to investigate how key algo"&amp;"rithmic design choices impact downstream models' performances: fitting corpus, pre-tokenizer and vocabulary size. We find that the best tokenizer varies on the two task types---with the pre-tokenizer having the biggest impact on performance. Further, we i"&amp;"ntroduce a new approach to estimate tokenizer impact on downstream LLM performance, showing significant improvement over techniques like Rényi efficiency. We encourage more work on language variation and its relation to tokenizers and thus LLM performance"&amp;".")</f>
        <v>Variation in language is ubiquitous and often systematically linked to regional, social, and contextual factors. Tokenizers split texts into smaller units and might behave differently for less common linguistic forms. This might affect downstream LLM performance differently on two types of tasks: Tasks where the model should be robust to language variation (e.g., for semantic tasks like NLI, labels do not depend on whether a text uses British or American spelling) and tasks where the model should be sensitive to language variation (e.g., for form-based tasks like authorship verification, labels depend on whether a text uses British or American spelling). We pre-train BERT base models for the popular Byte-Pair Encoding algorithm to investigate how key algorithmic design choices impact downstream models' performances: fitting corpus, pre-tokenizer and vocabulary size. We find that the best tokenizer varies on the two task types---with the pre-tokenizer having the biggest impact on performance. Further, we introduce a new approach to estimate tokenizer impact on downstream LLM performance, showing significant improvement over techniques like Rényi efficiency. We encourage more work on language variation and its relation to tokenizers and thus LLM performance.</v>
      </c>
      <c r="D656" s="7" t="str">
        <f>IFERROR(__xludf.DUMMYFUNCTION("""COMPUTED_VALUE"""),"Anna Wegmann")</f>
        <v>Anna Wegmann</v>
      </c>
      <c r="E656" s="7" t="str">
        <f>IFERROR(__xludf.DUMMYFUNCTION("""COMPUTED_VALUE"""),"Yes")</f>
        <v>Yes</v>
      </c>
      <c r="F656" s="7" t="str">
        <f>IFERROR(__xludf.DUMMYFUNCTION("""COMPUTED_VALUE"""),"IP-Poster")</f>
        <v>IP-Poster</v>
      </c>
      <c r="G656" s="7" t="str">
        <f>IFERROR(__xludf.DUMMYFUNCTION("""COMPUTED_VALUE"""),"In-Person")</f>
        <v>In-Person</v>
      </c>
      <c r="H656" s="7" t="str">
        <f>IFERROR(__xludf.DUMMYFUNCTION("""COMPUTED_VALUE"""),"Hall 4/5")</f>
        <v>Hall 4/5</v>
      </c>
      <c r="I656" s="7" t="str">
        <f>IFERROR(__xludf.DUMMYFUNCTION("""COMPUTED_VALUE"""),"Session 7: IP-Posters")</f>
        <v>Session 7: IP-Posters</v>
      </c>
      <c r="J656" s="7" t="str">
        <f>IFERROR(__xludf.DUMMYFUNCTION("""COMPUTED_VALUE"""),"Findings Posters - In-Person 2")</f>
        <v>Findings Posters - In-Person 2</v>
      </c>
      <c r="K656" s="7"/>
      <c r="L656" s="8">
        <f>IFERROR(__xludf.DUMMYFUNCTION("""COMPUTED_VALUE"""),45867.0)</f>
        <v>45867</v>
      </c>
      <c r="M656" s="7" t="str">
        <f>IFERROR(__xludf.DUMMYFUNCTION("""COMPUTED_VALUE"""),"10:30-12:00")</f>
        <v>10:30-12:00</v>
      </c>
      <c r="N656" s="7"/>
    </row>
    <row r="657">
      <c r="A657" s="7" t="str">
        <f>IFERROR(__xludf.DUMMYFUNCTION("""COMPUTED_VALUE"""),"2238-FIND")</f>
        <v>2238-FIND</v>
      </c>
      <c r="B657" s="7" t="str">
        <f>IFERROR(__xludf.DUMMYFUNCTION("""COMPUTED_VALUE"""),"WirelessMathBench: A Mathematical Modeling Benchmark for LLMs in Wireless Communications")</f>
        <v>WirelessMathBench: A Mathematical Modeling Benchmark for LLMs in Wireless Communications</v>
      </c>
      <c r="C657" s="7" t="str">
        <f>IFERROR(__xludf.DUMMYFUNCTION("""COMPUTED_VALUE"""),"Large Language Models (LLMs) have achieved impressive results across a broad array of tasks, yet their capacity for complex, domain-specific mathematical reasoning—particularly in wireless communications—remains underexplored. In this work, we introduce W"&amp;"irelessMathBench, a novel benchmark specifically designed to evaluate LLMs on mathematical modeling challenges to wireless communications engineering. Our benchmark consists of 587 meticulously curated questions sourced from 40 state-of-the-art research p"&amp;"apers, encompassing a diverse spectrum of tasks ranging from basic multiple-choice questions to complex equation completion tasks, including both partial and full completions, all of which rigorously adhere to physical and dimensional constraints. Through"&amp;" extensive experimentation with leading LLMs, we observe that while many models excel in basic recall tasks, their performance degrades significantly when reconstructing partially or fully obscured equations, exposing fundamental limitations in current LL"&amp;"Ms. Even DeepSeek-R1, the best performer on our benchmark, achieves an average accuracy of only 38.05%, with a mere 7.83% success rate in full equation completion. By publicly releasing WirelessMathBench along with the evaluation toolkit, we aim to advanc"&amp;"e the development of more robust, domain-aware LLMs for wireless system analysis and broader engineering applications.")</f>
        <v>Large Language Models (LLMs) have achieved impressive results across a broad array of tasks, yet their capacity for complex, domain-specific mathematical reasoning—particularly in wireless communications—remains underexplored. In this work, we introduce WirelessMathBench, a novel benchmark specifically designed to evaluate LLMs on mathematical modeling challenges to wireless communications engineering. Our benchmark consists of 587 meticulously curated questions sourced from 40 state-of-the-art research papers, encompassing a diverse spectrum of tasks ranging from basic multiple-choice questions to complex equation completion tasks, including both partial and full completions, all of which rigorously adhere to physical and dimensional constraints. Through extensive experimentation with leading LLMs, we observe that while many models excel in basic recall tasks, their performance degrades significantly when reconstructing partially or fully obscured equations, exposing fundamental limitations in current LLMs. Even DeepSeek-R1, the best performer on our benchmark, achieves an average accuracy of only 38.05%, with a mere 7.83% success rate in full equation completion. By publicly releasing WirelessMathBench along with the evaluation toolkit, we aim to advance the development of more robust, domain-aware LLMs for wireless system analysis and broader engineering applications.</v>
      </c>
      <c r="D657" s="7" t="str">
        <f>IFERROR(__xludf.DUMMYFUNCTION("""COMPUTED_VALUE"""),"Xin Li")</f>
        <v>Xin Li</v>
      </c>
      <c r="E657" s="7" t="str">
        <f>IFERROR(__xludf.DUMMYFUNCTION("""COMPUTED_VALUE"""),"Yes")</f>
        <v>Yes</v>
      </c>
      <c r="F657" s="7" t="str">
        <f>IFERROR(__xludf.DUMMYFUNCTION("""COMPUTED_VALUE"""),"IP-Poster")</f>
        <v>IP-Poster</v>
      </c>
      <c r="G657" s="7" t="str">
        <f>IFERROR(__xludf.DUMMYFUNCTION("""COMPUTED_VALUE"""),"In-Person")</f>
        <v>In-Person</v>
      </c>
      <c r="H657" s="7" t="str">
        <f>IFERROR(__xludf.DUMMYFUNCTION("""COMPUTED_VALUE"""),"Hall 4/5")</f>
        <v>Hall 4/5</v>
      </c>
      <c r="I657" s="7" t="str">
        <f>IFERROR(__xludf.DUMMYFUNCTION("""COMPUTED_VALUE"""),"Session 7: IP-Posters")</f>
        <v>Session 7: IP-Posters</v>
      </c>
      <c r="J657" s="7" t="str">
        <f>IFERROR(__xludf.DUMMYFUNCTION("""COMPUTED_VALUE"""),"Findings Posters - In-Person 2")</f>
        <v>Findings Posters - In-Person 2</v>
      </c>
      <c r="K657" s="7"/>
      <c r="L657" s="8">
        <f>IFERROR(__xludf.DUMMYFUNCTION("""COMPUTED_VALUE"""),45867.0)</f>
        <v>45867</v>
      </c>
      <c r="M657" s="7" t="str">
        <f>IFERROR(__xludf.DUMMYFUNCTION("""COMPUTED_VALUE"""),"10:30-12:00")</f>
        <v>10:30-12:00</v>
      </c>
      <c r="N657" s="7"/>
    </row>
    <row r="658">
      <c r="A658" s="7" t="str">
        <f>IFERROR(__xludf.DUMMYFUNCTION("""COMPUTED_VALUE"""),"2241-FIND")</f>
        <v>2241-FIND</v>
      </c>
      <c r="B658" s="7" t="str">
        <f>IFERROR(__xludf.DUMMYFUNCTION("""COMPUTED_VALUE"""),"Self-Improvement Towards Pareto Optimality: Mitigating Preference Conflicts in Multi-Objective Alignment")</f>
        <v>Self-Improvement Towards Pareto Optimality: Mitigating Preference Conflicts in Multi-Objective Alignment</v>
      </c>
      <c r="C658" s="7" t="str">
        <f>IFERROR(__xludf.DUMMYFUNCTION("""COMPUTED_VALUE"""),"Multi-Objective Alignment (MOA) aims to align LLMs' responses with multiple human preference objectives, with Direct Preference Optimization (DPO) emerging as a prominent approach. However, we find that DPO-based MOA approaches suffer from widespread pref"&amp;"erence conflicts in the data, where different objectives favor different responses. This results in conflicting optimization directions, hindering the optimization on the Pareto Front. To address this, we propose to construct Pareto-optimal responses to r"&amp;"esolve preference conflicts. To efficiently obtain and utilize such responses, we propose a self-improving DPO framework that enables LLMs to self-generate and select Pareto-optimal responses for self-supervised preference alignment. Extensive experiments"&amp;" on two datasets demonstrate the superior Pareto Front achieved by our framework compared to various baselines\footnote{Code is available at \url{http://anonymous.4open.science/r/SIPO-3FE6}.")</f>
        <v>Multi-Objective Alignment (MOA) aims to align LLMs' responses with multiple human preference objectives, with Direct Preference Optimization (DPO) emerging as a prominent approach. However, we find that DPO-based MOA approaches suffer from widespread preference conflicts in the data, where different objectives favor different responses. This results in conflicting optimization directions, hindering the optimization on the Pareto Front. To address this, we propose to construct Pareto-optimal responses to resolve preference conflicts. To efficiently obtain and utilize such responses, we propose a self-improving DPO framework that enables LLMs to self-generate and select Pareto-optimal responses for self-supervised preference alignment. Extensive experiments on two datasets demonstrate the superior Pareto Front achieved by our framework compared to various baselines\footnote{Code is available at \url{http://anonymous.4open.science/r/SIPO-3FE6}.</v>
      </c>
      <c r="D658" s="7" t="str">
        <f>IFERROR(__xludf.DUMMYFUNCTION("""COMPUTED_VALUE"""),"Moxin Li")</f>
        <v>Moxin Li</v>
      </c>
      <c r="E658" s="7" t="str">
        <f>IFERROR(__xludf.DUMMYFUNCTION("""COMPUTED_VALUE"""),"Yes")</f>
        <v>Yes</v>
      </c>
      <c r="F658" s="7" t="str">
        <f>IFERROR(__xludf.DUMMYFUNCTION("""COMPUTED_VALUE"""),"IP-Poster")</f>
        <v>IP-Poster</v>
      </c>
      <c r="G658" s="7" t="str">
        <f>IFERROR(__xludf.DUMMYFUNCTION("""COMPUTED_VALUE"""),"In-Person")</f>
        <v>In-Person</v>
      </c>
      <c r="H658" s="7" t="str">
        <f>IFERROR(__xludf.DUMMYFUNCTION("""COMPUTED_VALUE"""),"Hall 4/5")</f>
        <v>Hall 4/5</v>
      </c>
      <c r="I658" s="7" t="str">
        <f>IFERROR(__xludf.DUMMYFUNCTION("""COMPUTED_VALUE"""),"Session 7: IP-Posters")</f>
        <v>Session 7: IP-Posters</v>
      </c>
      <c r="J658" s="7" t="str">
        <f>IFERROR(__xludf.DUMMYFUNCTION("""COMPUTED_VALUE"""),"Findings Posters - In-Person 2")</f>
        <v>Findings Posters - In-Person 2</v>
      </c>
      <c r="K658" s="7"/>
      <c r="L658" s="8">
        <f>IFERROR(__xludf.DUMMYFUNCTION("""COMPUTED_VALUE"""),45867.0)</f>
        <v>45867</v>
      </c>
      <c r="M658" s="7" t="str">
        <f>IFERROR(__xludf.DUMMYFUNCTION("""COMPUTED_VALUE"""),"10:30-12:00")</f>
        <v>10:30-12:00</v>
      </c>
      <c r="N658" s="7"/>
    </row>
    <row r="659">
      <c r="A659" s="7" t="str">
        <f>IFERROR(__xludf.DUMMYFUNCTION("""COMPUTED_VALUE"""),"2245-FIND")</f>
        <v>2245-FIND</v>
      </c>
      <c r="B659" s="7" t="str">
        <f>IFERROR(__xludf.DUMMYFUNCTION("""COMPUTED_VALUE"""),"Investigating and Scaling up Code-Switching for Multilingual Language Model Pre-Training")</f>
        <v>Investigating and Scaling up Code-Switching for Multilingual Language Model Pre-Training</v>
      </c>
      <c r="C659" s="7" t="str">
        <f>IFERROR(__xludf.DUMMYFUNCTION("""COMPUTED_VALUE"""),"Large language models (LLMs) exhibit remarkable multilingual capabilities despite the extreme language imbalance in the pre-training data. In this paper, we closely examine the reasons behind this phenomenon, focusing on the pre-training corpus. We find t"&amp;"hat the existence of code-switching, alternating between different languages within a context, is key to multilingual capabilities. We conduct an analysis to investigate code-switching in the pre-training corpus, examining its presence and categorizing it"&amp;" into four types within two quadrants. We then assess its impact on multilingual performance. These types of code-switching data are unbalanced in proportions and demonstrate different effects on facilitating language transfer. To better explore the power"&amp;" of code-switching for language alignment during pre-training, we investigate the strategy of synthetic code-switching. We continuously scale up the synthetic code-switching data and observe remarkable improvements in both benchmarks and representation sp"&amp;"ace. Extensive experiments indicate that incorporating synthetic code-switching data enables better language alignment and generalizes well to high, medium, and low-resource languages with pre-training corpora of varying qualities.")</f>
        <v>Large language models (LLMs) exhibit remarkable multilingual capabilities despite the extreme language imbalance in the pre-training data. In this paper, we closely examine the reasons behind this phenomenon, focusing on the pre-training corpus. We find that the existence of code-switching, alternating between different languages within a context, is key to multilingual capabilities. We conduct an analysis to investigate code-switching in the pre-training corpus, examining its presence and categorizing it into four types within two quadrants. We then assess its impact on multilingual performance. These types of code-switching data are unbalanced in proportions and demonstrate different effects on facilitating language transfer. To better explore the power of code-switching for language alignment during pre-training, we investigate the strategy of synthetic code-switching. We continuously scale up the synthetic code-switching data and observe remarkable improvements in both benchmarks and representation space. Extensive experiments indicate that incorporating synthetic code-switching data enables better language alignment and generalizes well to high, medium, and low-resource languages with pre-training corpora of varying qualities.</v>
      </c>
      <c r="D659" s="7" t="str">
        <f>IFERROR(__xludf.DUMMYFUNCTION("""COMPUTED_VALUE"""),"Zhijun Wang")</f>
        <v>Zhijun Wang</v>
      </c>
      <c r="E659" s="7" t="str">
        <f>IFERROR(__xludf.DUMMYFUNCTION("""COMPUTED_VALUE"""),"Yes")</f>
        <v>Yes</v>
      </c>
      <c r="F659" s="7" t="str">
        <f>IFERROR(__xludf.DUMMYFUNCTION("""COMPUTED_VALUE"""),"V-Presentation")</f>
        <v>V-Presentation</v>
      </c>
      <c r="G659" s="7" t="str">
        <f>IFERROR(__xludf.DUMMYFUNCTION("""COMPUTED_VALUE"""),"Virtual/Gather")</f>
        <v>Virtual/Gather</v>
      </c>
      <c r="H659" s="7" t="str">
        <f>IFERROR(__xludf.DUMMYFUNCTION("""COMPUTED_VALUE"""),"Gather")</f>
        <v>Gather</v>
      </c>
      <c r="I659" s="7" t="str">
        <f>IFERROR(__xludf.DUMMYFUNCTION("""COMPUTED_VALUE"""),"Session5: V-Gather Find")</f>
        <v>Session5: V-Gather Find</v>
      </c>
      <c r="J659" s="7" t="str">
        <f>IFERROR(__xludf.DUMMYFUNCTION("""COMPUTED_VALUE"""),"Findings Posters - Virtual")</f>
        <v>Findings Posters - Virtual</v>
      </c>
      <c r="K659" s="7"/>
      <c r="L659" s="8">
        <f>IFERROR(__xludf.DUMMYFUNCTION("""COMPUTED_VALUE"""),45866.0)</f>
        <v>45866</v>
      </c>
      <c r="M659" s="7" t="str">
        <f>IFERROR(__xludf.DUMMYFUNCTION("""COMPUTED_VALUE"""),"18:00-19:30")</f>
        <v>18:00-19:30</v>
      </c>
      <c r="N659" s="7"/>
    </row>
    <row r="660">
      <c r="A660" s="7" t="str">
        <f>IFERROR(__xludf.DUMMYFUNCTION("""COMPUTED_VALUE"""),"2250-FIND")</f>
        <v>2250-FIND</v>
      </c>
      <c r="B660" s="7" t="str">
        <f>IFERROR(__xludf.DUMMYFUNCTION("""COMPUTED_VALUE"""),"User Behavior Prediction as a Generic, Robust, Scalable, and Low-Cost Evaluation Strategy for Estimating Generalization in LLMs")</f>
        <v>User Behavior Prediction as a Generic, Robust, Scalable, and Low-Cost Evaluation Strategy for Estimating Generalization in LLMs</v>
      </c>
      <c r="C660" s="7" t="str">
        <f>IFERROR(__xludf.DUMMYFUNCTION("""COMPUTED_VALUE"""),"Measuring the generalization ability of Large Language Models (LLMs) is challenging due to data contamination. As models grow and computation becomes cheaper, ensuring tasks and test cases are unseen during training phases will become nearly impossible. W"&amp;"e argue that knowledge-retrieval and reasoning tasks are not ideal for measuring generalization, as LLMs are not trained for specific tasks. Instead, we propose user behavior prediction, also a key aspect of personalization, as a theoretically sound, scal"&amp;"able, and robust alternative. We introduce a novel framework for this approach and test it on movie and music recommendation datasets for GPT-4o, GPT-4o-mini, and Llama-3.1-8B-Instruct. Results align with our framework’s predictions, showing GPT-4o outper"&amp;"forms GPT-4o-mini and Llama, though all models have much room for improvement, especially Llama.")</f>
        <v>Measuring the generalization ability of Large Language Models (LLMs) is challenging due to data contamination. As models grow and computation becomes cheaper, ensuring tasks and test cases are unseen during training phases will become nearly impossible. We argue that knowledge-retrieval and reasoning tasks are not ideal for measuring generalization, as LLMs are not trained for specific tasks. Instead, we propose user behavior prediction, also a key aspect of personalization, as a theoretically sound, scalable, and robust alternative. We introduce a novel framework for this approach and test it on movie and music recommendation datasets for GPT-4o, GPT-4o-mini, and Llama-3.1-8B-Instruct. Results align with our framework’s predictions, showing GPT-4o outperforms GPT-4o-mini and Llama, though all models have much room for improvement, especially Llama.</v>
      </c>
      <c r="D660" s="7" t="str">
        <f>IFERROR(__xludf.DUMMYFUNCTION("""COMPUTED_VALUE"""),"Monojit Choudhury")</f>
        <v>Monojit Choudhury</v>
      </c>
      <c r="E660" s="7" t="str">
        <f>IFERROR(__xludf.DUMMYFUNCTION("""COMPUTED_VALUE"""),"Yes")</f>
        <v>Yes</v>
      </c>
      <c r="F660" s="7" t="str">
        <f>IFERROR(__xludf.DUMMYFUNCTION("""COMPUTED_VALUE"""),"IP-Poster")</f>
        <v>IP-Poster</v>
      </c>
      <c r="G660" s="7" t="str">
        <f>IFERROR(__xludf.DUMMYFUNCTION("""COMPUTED_VALUE"""),"In-Person")</f>
        <v>In-Person</v>
      </c>
      <c r="H660" s="7" t="str">
        <f>IFERROR(__xludf.DUMMYFUNCTION("""COMPUTED_VALUE"""),"Hall 4/5")</f>
        <v>Hall 4/5</v>
      </c>
      <c r="I660" s="7" t="str">
        <f>IFERROR(__xludf.DUMMYFUNCTION("""COMPUTED_VALUE"""),"Session 5 :IP-Posters Find ")</f>
        <v>Session 5 :IP-Posters Find </v>
      </c>
      <c r="J660" s="7" t="str">
        <f>IFERROR(__xludf.DUMMYFUNCTION("""COMPUTED_VALUE"""),"Findings Posters - In-Person 1")</f>
        <v>Findings Posters - In-Person 1</v>
      </c>
      <c r="K660" s="7"/>
      <c r="L660" s="8">
        <f>IFERROR(__xludf.DUMMYFUNCTION("""COMPUTED_VALUE"""),45866.0)</f>
        <v>45866</v>
      </c>
      <c r="M660" s="7" t="str">
        <f>IFERROR(__xludf.DUMMYFUNCTION("""COMPUTED_VALUE"""),"18:00-19:30")</f>
        <v>18:00-19:30</v>
      </c>
      <c r="N660" s="7"/>
    </row>
    <row r="661">
      <c r="A661" s="7" t="str">
        <f>IFERROR(__xludf.DUMMYFUNCTION("""COMPUTED_VALUE"""),"2259-FIND")</f>
        <v>2259-FIND</v>
      </c>
      <c r="B661" s="7" t="str">
        <f>IFERROR(__xludf.DUMMYFUNCTION("""COMPUTED_VALUE"""),"Beyond Browsing: API-Based Web Agents")</f>
        <v>Beyond Browsing: API-Based Web Agents</v>
      </c>
      <c r="C661" s="7" t="str">
        <f>IFERROR(__xludf.DUMMYFUNCTION("""COMPUTED_VALUE"""),"Web browsers are a portal to the internet, where much of human activity is undertaken. Thus, there has been significant research work in AI agents that interact with the internet through web browsing. However, there is also another interface designed spec"&amp;"ifically for machine interaction with online content: application programming interfaces (APIs). In this paper we ask - *what if we were to take tasks traditionally tackled by Browsing Agents, and give AI agents access to APIs*? To do so, we propose two v"&amp;"arieties of agents: (1) an API-calling agent that attempts to perform online tasks through APIs only, similar to traditional coding agents, and (2) a Hybrid Agent that can interact with online data through both web browsing and APIs. In experiments on Web"&amp;"Arena, a widely-used and realistic benchmark for web navigation tasks, we find that API-Based Agents outperform web Browsing Agents. Hybrid Agents out-perform both others nearly uniformly across tasks, resulting in a more than 20.0% absolute improvement o"&amp;"ver web browsing alone, achieving a success rate of 35.8%, the SOTA performance among task-agnostic agents. These results strongly suggest that when APIs are available, they present an attractive alternative to relying on web browsing alone.")</f>
        <v>Web browsers are a portal to the internet, where much of human activity is undertaken. Thus, there has been significant research work in AI agents that interact with the internet through web browsing. However, there is also another interface designed specifically for machine interaction with online content: application programming interfaces (APIs). In this paper we ask - *what if we were to take tasks traditionally tackled by Browsing Agents, and give AI agents access to APIs*? To do so, we propose two varieties of agents: (1) an API-calling agent that attempts to perform online tasks through APIs only, similar to traditional coding agents, and (2) a Hybrid Agent that can interact with online data through both web browsing and APIs. In experiments on WebArena, a widely-used and realistic benchmark for web navigation tasks, we find that API-Based Agents outperform web Browsing Agents. Hybrid Agents out-perform both others nearly uniformly across tasks, resulting in a more than 20.0% absolute improvement over web browsing alone, achieving a success rate of 35.8%, the SOTA performance among task-agnostic agents. These results strongly suggest that when APIs are available, they present an attractive alternative to relying on web browsing alone.</v>
      </c>
      <c r="D661" s="7" t="str">
        <f>IFERROR(__xludf.DUMMYFUNCTION("""COMPUTED_VALUE"""),"Yueqi Song")</f>
        <v>Yueqi Song</v>
      </c>
      <c r="E661" s="7" t="str">
        <f>IFERROR(__xludf.DUMMYFUNCTION("""COMPUTED_VALUE"""),"Yes")</f>
        <v>Yes</v>
      </c>
      <c r="F661" s="7" t="str">
        <f>IFERROR(__xludf.DUMMYFUNCTION("""COMPUTED_VALUE"""),"IP-Poster")</f>
        <v>IP-Poster</v>
      </c>
      <c r="G661" s="7" t="str">
        <f>IFERROR(__xludf.DUMMYFUNCTION("""COMPUTED_VALUE"""),"In-Person")</f>
        <v>In-Person</v>
      </c>
      <c r="H661" s="7" t="str">
        <f>IFERROR(__xludf.DUMMYFUNCTION("""COMPUTED_VALUE"""),"Hall 4/5")</f>
        <v>Hall 4/5</v>
      </c>
      <c r="I661" s="7" t="str">
        <f>IFERROR(__xludf.DUMMYFUNCTION("""COMPUTED_VALUE"""),"Session 7: IP-Posters")</f>
        <v>Session 7: IP-Posters</v>
      </c>
      <c r="J661" s="7" t="str">
        <f>IFERROR(__xludf.DUMMYFUNCTION("""COMPUTED_VALUE"""),"Findings Posters - In-Person 2")</f>
        <v>Findings Posters - In-Person 2</v>
      </c>
      <c r="K661" s="7"/>
      <c r="L661" s="8">
        <f>IFERROR(__xludf.DUMMYFUNCTION("""COMPUTED_VALUE"""),45867.0)</f>
        <v>45867</v>
      </c>
      <c r="M661" s="7" t="str">
        <f>IFERROR(__xludf.DUMMYFUNCTION("""COMPUTED_VALUE"""),"10:30-12:00")</f>
        <v>10:30-12:00</v>
      </c>
      <c r="N661" s="7"/>
    </row>
    <row r="662">
      <c r="A662" s="7" t="str">
        <f>IFERROR(__xludf.DUMMYFUNCTION("""COMPUTED_VALUE"""),"2262-FIND")</f>
        <v>2262-FIND</v>
      </c>
      <c r="B662" s="7" t="str">
        <f>IFERROR(__xludf.DUMMYFUNCTION("""COMPUTED_VALUE"""),"MiLiC-Eval: Benchmarking Multilingual LLMs for China's Minority Languages")</f>
        <v>MiLiC-Eval: Benchmarking Multilingual LLMs for China's Minority Languages</v>
      </c>
      <c r="C662" s="7" t="str">
        <f>IFERROR(__xludf.DUMMYFUNCTION("""COMPUTED_VALUE"""),"Large language models (LLMs) excel in high-resource languages but struggle with low-resource languages (LRLs), particularly those spoken by minority communities in China, such as Tibetan, Uyghur, Kazakh, and Mongolian. To systematically track the progress"&amp;" in these languages, we introduce MiLiC-Eval, a benchmark designed for minority languages in China, featuring 24K instances across 9 tasks. MiLiC-Eval focuses on underrepresented writing systems and provides a fine-grained assessment of linguistic and pro"&amp;"blem-solving skills. Our evaluation reveals that LLMs perform poorly on syntax-intensive tasks and multi-script languages. We further demonstrate how MiLiC-Eval can help advance LRL research in handling diverse writing systems and understanding the proces"&amp;"s of language adaptation.")</f>
        <v>Large language models (LLMs) excel in high-resource languages but struggle with low-resource languages (LRLs), particularly those spoken by minority communities in China, such as Tibetan, Uyghur, Kazakh, and Mongolian. To systematically track the progress in these languages, we introduce MiLiC-Eval, a benchmark designed for minority languages in China, featuring 24K instances across 9 tasks. MiLiC-Eval focuses on underrepresented writing systems and provides a fine-grained assessment of linguistic and problem-solving skills. Our evaluation reveals that LLMs perform poorly on syntax-intensive tasks and multi-script languages. We further demonstrate how MiLiC-Eval can help advance LRL research in handling diverse writing systems and understanding the process of language adaptation.</v>
      </c>
      <c r="D662" s="7" t="str">
        <f>IFERROR(__xludf.DUMMYFUNCTION("""COMPUTED_VALUE"""),"Chen Zhang")</f>
        <v>Chen Zhang</v>
      </c>
      <c r="E662" s="7" t="str">
        <f>IFERROR(__xludf.DUMMYFUNCTION("""COMPUTED_VALUE"""),"Yes")</f>
        <v>Yes</v>
      </c>
      <c r="F662" s="7" t="str">
        <f>IFERROR(__xludf.DUMMYFUNCTION("""COMPUTED_VALUE"""),"IP-Poster")</f>
        <v>IP-Poster</v>
      </c>
      <c r="G662" s="7" t="str">
        <f>IFERROR(__xludf.DUMMYFUNCTION("""COMPUTED_VALUE"""),"In-Person")</f>
        <v>In-Person</v>
      </c>
      <c r="H662" s="7" t="str">
        <f>IFERROR(__xludf.DUMMYFUNCTION("""COMPUTED_VALUE"""),"Hall 4/5")</f>
        <v>Hall 4/5</v>
      </c>
      <c r="I662" s="7" t="str">
        <f>IFERROR(__xludf.DUMMYFUNCTION("""COMPUTED_VALUE"""),"Session 5 :IP-Posters Find ")</f>
        <v>Session 5 :IP-Posters Find </v>
      </c>
      <c r="J662" s="7" t="str">
        <f>IFERROR(__xludf.DUMMYFUNCTION("""COMPUTED_VALUE"""),"Findings Posters - In-Person 1")</f>
        <v>Findings Posters - In-Person 1</v>
      </c>
      <c r="K662" s="7"/>
      <c r="L662" s="8">
        <f>IFERROR(__xludf.DUMMYFUNCTION("""COMPUTED_VALUE"""),45866.0)</f>
        <v>45866</v>
      </c>
      <c r="M662" s="7" t="str">
        <f>IFERROR(__xludf.DUMMYFUNCTION("""COMPUTED_VALUE"""),"18:00-19:30")</f>
        <v>18:00-19:30</v>
      </c>
      <c r="N662" s="7"/>
    </row>
    <row r="663">
      <c r="A663" s="7" t="str">
        <f>IFERROR(__xludf.DUMMYFUNCTION("""COMPUTED_VALUE"""),"2271-FIND")</f>
        <v>2271-FIND</v>
      </c>
      <c r="B663" s="7" t="str">
        <f>IFERROR(__xludf.DUMMYFUNCTION("""COMPUTED_VALUE"""),"ArgInstruct: Specialized Instruction Fine-Tuning for Computational Argumentation")</f>
        <v>ArgInstruct: Specialized Instruction Fine-Tuning for Computational Argumentation</v>
      </c>
      <c r="C663" s="7" t="str">
        <f>IFERROR(__xludf.DUMMYFUNCTION("""COMPUTED_VALUE"""),"Training large language models (LLMs) to follow instructions has significantly enhanced their ability to tackle unseen tasks. However, despite their strong generalization capabilities, instruction-following LLMs encounter difficulties when dealing with ta"&amp;"sks that require domain knowledge. This work introduces a specialized instruction fine-tuning for the domain of computational argumentation (CA). The goal is to enable an LLM to effectively tackle any unseen CA tasks while preserving its generalization ca"&amp;"pabilities. Reviewing existing CA research, we crafted natural language instructions for 105 CA tasks to this end. On this basis, we developed a CA-specific benchmark for LLMs that allows for a comprehensive evaluation of LLMs' capabilities in solving var"&amp;"ious CA tasks. We synthesized 52k CA-related instructions, adapting the self-instruct process to train a CA-specialized instruction-following LLM. Our experiments suggest that CA-specialized instruction fine-tuning significantly enhances the LLM on both s"&amp;"een and unseen CA tasks. At the same time, performance on the general NLP tasks of the SuperNI benchmark remains stable.")</f>
        <v>Training large language models (LLMs) to follow instructions has significantly enhanced their ability to tackle unseen tasks. However, despite their strong generalization capabilities, instruction-following LLMs encounter difficulties when dealing with tasks that require domain knowledge. This work introduces a specialized instruction fine-tuning for the domain of computational argumentation (CA). The goal is to enable an LLM to effectively tackle any unseen CA tasks while preserving its generalization capabilities. Reviewing existing CA research, we crafted natural language instructions for 105 CA tasks to this end. On this basis, we developed a CA-specific benchmark for LLMs that allows for a comprehensive evaluation of LLMs' capabilities in solving various CA tasks. We synthesized 52k CA-related instructions, adapting the self-instruct process to train a CA-specialized instruction-following LLM. Our experiments suggest that CA-specialized instruction fine-tuning significantly enhances the LLM on both seen and unseen CA tasks. At the same time, performance on the general NLP tasks of the SuperNI benchmark remains stable.</v>
      </c>
      <c r="D663" s="7" t="str">
        <f>IFERROR(__xludf.DUMMYFUNCTION("""COMPUTED_VALUE"""),"Timon Ziegenbein")</f>
        <v>Timon Ziegenbein</v>
      </c>
      <c r="E663" s="7" t="str">
        <f>IFERROR(__xludf.DUMMYFUNCTION("""COMPUTED_VALUE"""),"Yes")</f>
        <v>Yes</v>
      </c>
      <c r="F663" s="7" t="str">
        <f>IFERROR(__xludf.DUMMYFUNCTION("""COMPUTED_VALUE"""),"IP-Poster")</f>
        <v>IP-Poster</v>
      </c>
      <c r="G663" s="7" t="str">
        <f>IFERROR(__xludf.DUMMYFUNCTION("""COMPUTED_VALUE"""),"In-Person")</f>
        <v>In-Person</v>
      </c>
      <c r="H663" s="7" t="str">
        <f>IFERROR(__xludf.DUMMYFUNCTION("""COMPUTED_VALUE"""),"Hall 4/5")</f>
        <v>Hall 4/5</v>
      </c>
      <c r="I663" s="7" t="str">
        <f>IFERROR(__xludf.DUMMYFUNCTION("""COMPUTED_VALUE"""),"Session 5 :IP-Posters Find ")</f>
        <v>Session 5 :IP-Posters Find </v>
      </c>
      <c r="J663" s="7" t="str">
        <f>IFERROR(__xludf.DUMMYFUNCTION("""COMPUTED_VALUE"""),"Findings Posters - In-Person 1")</f>
        <v>Findings Posters - In-Person 1</v>
      </c>
      <c r="K663" s="7"/>
      <c r="L663" s="8">
        <f>IFERROR(__xludf.DUMMYFUNCTION("""COMPUTED_VALUE"""),45866.0)</f>
        <v>45866</v>
      </c>
      <c r="M663" s="7" t="str">
        <f>IFERROR(__xludf.DUMMYFUNCTION("""COMPUTED_VALUE"""),"18:00-19:30")</f>
        <v>18:00-19:30</v>
      </c>
      <c r="N663" s="7"/>
    </row>
    <row r="664">
      <c r="A664" s="7" t="str">
        <f>IFERROR(__xludf.DUMMYFUNCTION("""COMPUTED_VALUE"""),"2275-FIND")</f>
        <v>2275-FIND</v>
      </c>
      <c r="B664" s="7" t="str">
        <f>IFERROR(__xludf.DUMMYFUNCTION("""COMPUTED_VALUE"""),"Crabs: Consuming Resource via Auto-generation for LLM-DoS Attack under Black-box Settings")</f>
        <v>Crabs: Consuming Resource via Auto-generation for LLM-DoS Attack under Black-box Settings</v>
      </c>
      <c r="C664" s="7" t="str">
        <f>IFERROR(__xludf.DUMMYFUNCTION("""COMPUTED_VALUE"""),"Large Language Models (LLMs) have demonstrated remarkable performance across diverse tasks yet still are vulnerable to external threats, particularly LLM Denial-of-Service (LLM-DoS) attacks. Specifically, LLM-DoS attacks aim to exhaust computational resou"&amp;"rces and block services. However, existing studies predominantly focus on white-box attacks, leaving black-box scenarios underexplored. In this paper, we introduce Auto-Generation for LLM-DoS (AutoDoS) attack, an automated algorithm designed for black-box"&amp;" LLMs. AutoDoS constructs the DoS Attack Tree and expands the node coverage to achieve effectiveness under black-box conditions. By transferability-driven iterative optimization, AutoDoS could work across different models in one prompt.Furthermore, we rev"&amp;"eal that embedding the Length Trojan allows AutoDoS to bypass existing defenses more effectively.Experimental results show that AutoDoS significantly amplifies service response latency by over 250×↑, leading to severe resource consumption in terms of GPU "&amp;"utilization and memory usage. Our work provides a new perspective on LLM-DoS attacks and security defenses.")</f>
        <v>Large Language Models (LLMs) have demonstrated remarkable performance across diverse tasks yet still are vulnerable to external threats, particularly LLM Denial-of-Service (LLM-DoS) attacks. Specifically, LLM-DoS attacks aim to exhaust computational resources and block services. However, existing studies predominantly focus on white-box attacks, leaving black-box scenarios underexplored. In this paper, we introduce Auto-Generation for LLM-DoS (AutoDoS) attack, an automated algorithm designed for black-box LLMs. AutoDoS constructs the DoS Attack Tree and expands the node coverage to achieve effectiveness under black-box conditions. By transferability-driven iterative optimization, AutoDoS could work across different models in one prompt.Furthermore, we reveal that embedding the Length Trojan allows AutoDoS to bypass existing defenses more effectively.Experimental results show that AutoDoS significantly amplifies service response latency by over 250×↑, leading to severe resource consumption in terms of GPU utilization and memory usage. Our work provides a new perspective on LLM-DoS attacks and security defenses.</v>
      </c>
      <c r="D664" s="7" t="str">
        <f>IFERROR(__xludf.DUMMYFUNCTION("""COMPUTED_VALUE"""),"Yuanhe Zhang")</f>
        <v>Yuanhe Zhang</v>
      </c>
      <c r="E664" s="7" t="str">
        <f>IFERROR(__xludf.DUMMYFUNCTION("""COMPUTED_VALUE"""),"#N/A")</f>
        <v>#N/A</v>
      </c>
      <c r="F664" s="7" t="str">
        <f>IFERROR(__xludf.DUMMYFUNCTION("""COMPUTED_VALUE"""),"Not Pres. ")</f>
        <v>Not Pres. </v>
      </c>
      <c r="G664" s="7" t="str">
        <f>IFERROR(__xludf.DUMMYFUNCTION("""COMPUTED_VALUE"""),"NP Findings Not Presenting ")</f>
        <v>NP Findings Not Presenting </v>
      </c>
      <c r="H664" s="7"/>
      <c r="I664" s="7" t="str">
        <f>IFERROR(__xludf.DUMMYFUNCTION("""COMPUTED_VALUE"""),"NP-Find")</f>
        <v>NP-Find</v>
      </c>
      <c r="J664" s="7"/>
      <c r="K664" s="7"/>
      <c r="L664" s="8"/>
      <c r="M664" s="7"/>
      <c r="N664" s="7"/>
    </row>
    <row r="665">
      <c r="A665" s="7" t="str">
        <f>IFERROR(__xludf.DUMMYFUNCTION("""COMPUTED_VALUE"""),"2282-FIND")</f>
        <v>2282-FIND</v>
      </c>
      <c r="B665" s="7" t="str">
        <f>IFERROR(__xludf.DUMMYFUNCTION("""COMPUTED_VALUE"""),"Probabilistic Aggregation and Targeted Embedding Optimization for Collective Moral Reasoning in Large Language Models")</f>
        <v>Probabilistic Aggregation and Targeted Embedding Optimization for Collective Moral Reasoning in Large Language Models</v>
      </c>
      <c r="C665" s="7" t="str">
        <f>IFERROR(__xludf.DUMMYFUNCTION("""COMPUTED_VALUE"""),"Large Language Models (LLMs) have shown impressive moral reasoning abilities. Yet they often diverge when confronted with complex, multi-factor moral dilemmas. To address these discrepancies, we propose a framework that synthesizes multiple LLMs' moral ju"&amp;"dgments into a collectively formulated moral judgment, realigning models that deviate significantly from this consensus. Our aggregation mechanism fuses continuous moral acceptability scores (beyond binary labels) into a collective probability, weighting "&amp;"contributions by model reliability. For misaligned models, a targeted embedding-optimization procedure fine-tunes token embeddings for moral concepts, minimizing JS divergence to the consensus while preserving semantic integrity. Experiments on a large-sc"&amp;"ale social moral dilemma dataset show our approach builds robust consensus and improves individual model fidelity. These findings highlight the value of data-driven moral alignment across multiple models and its potential for safer, more consistent AI sys"&amp;"tems.")</f>
        <v>Large Language Models (LLMs) have shown impressive moral reasoning abilities. Yet they often diverge when confronted with complex, multi-factor moral dilemmas. To address these discrepancies, we propose a framework that synthesizes multiple LLMs' moral judgments into a collectively formulated moral judgment, realigning models that deviate significantly from this consensus. Our aggregation mechanism fuses continuous moral acceptability scores (beyond binary labels) into a collective probability, weighting contributions by model reliability. For misaligned models, a targeted embedding-optimization procedure fine-tunes token embeddings for moral concepts, minimizing JS divergence to the consensus while preserving semantic integrity. Experiments on a large-scale social moral dilemma dataset show our approach builds robust consensus and improves individual model fidelity. These findings highlight the value of data-driven moral alignment across multiple models and its potential for safer, more consistent AI systems.</v>
      </c>
      <c r="D665" s="7" t="str">
        <f>IFERROR(__xludf.DUMMYFUNCTION("""COMPUTED_VALUE"""),"Chenchen Yuan")</f>
        <v>Chenchen Yuan</v>
      </c>
      <c r="E665" s="7" t="str">
        <f>IFERROR(__xludf.DUMMYFUNCTION("""COMPUTED_VALUE"""),"Yes")</f>
        <v>Yes</v>
      </c>
      <c r="F665" s="7" t="str">
        <f>IFERROR(__xludf.DUMMYFUNCTION("""COMPUTED_VALUE"""),"IP-Poster")</f>
        <v>IP-Poster</v>
      </c>
      <c r="G665" s="7" t="str">
        <f>IFERROR(__xludf.DUMMYFUNCTION("""COMPUTED_VALUE"""),"In-Person")</f>
        <v>In-Person</v>
      </c>
      <c r="H665" s="7" t="str">
        <f>IFERROR(__xludf.DUMMYFUNCTION("""COMPUTED_VALUE"""),"Hall 4/5")</f>
        <v>Hall 4/5</v>
      </c>
      <c r="I665" s="7" t="str">
        <f>IFERROR(__xludf.DUMMYFUNCTION("""COMPUTED_VALUE"""),"Session 5 :IP-Posters Find ")</f>
        <v>Session 5 :IP-Posters Find </v>
      </c>
      <c r="J665" s="7" t="str">
        <f>IFERROR(__xludf.DUMMYFUNCTION("""COMPUTED_VALUE"""),"Findings Posters - In-Person 1")</f>
        <v>Findings Posters - In-Person 1</v>
      </c>
      <c r="K665" s="7"/>
      <c r="L665" s="8">
        <f>IFERROR(__xludf.DUMMYFUNCTION("""COMPUTED_VALUE"""),45866.0)</f>
        <v>45866</v>
      </c>
      <c r="M665" s="7" t="str">
        <f>IFERROR(__xludf.DUMMYFUNCTION("""COMPUTED_VALUE"""),"18:00-19:30")</f>
        <v>18:00-19:30</v>
      </c>
      <c r="N665" s="7"/>
    </row>
    <row r="666">
      <c r="A666" s="7" t="str">
        <f>IFERROR(__xludf.DUMMYFUNCTION("""COMPUTED_VALUE"""),"2287-FIND")</f>
        <v>2287-FIND</v>
      </c>
      <c r="B666" s="7" t="str">
        <f>IFERROR(__xludf.DUMMYFUNCTION("""COMPUTED_VALUE"""),"Unlocking Recursive Thinking of LLMs: Alignment via Refinement")</f>
        <v>Unlocking Recursive Thinking of LLMs: Alignment via Refinement</v>
      </c>
      <c r="C666" s="7" t="str">
        <f>IFERROR(__xludf.DUMMYFUNCTION("""COMPUTED_VALUE"""),"The OpenAI o1 series model has demonstrated that leveraging long-form Chain of Thought~(CoT) can significantly enhance its performance. However, the recursive thinking capability of Large Language Models (LLMs) remains limited in the absence of expert dat"&amp;"a for distillation. In this paper, we introduce \textbf{CUTE}: Re\textbf{cu}rsive \textbf{T}hinking in Inferenc\textbf{e}, a method designed to unveil the potential of LLMs to iteratively refine their outputs through long-form CoT. Specifically, we incorp"&amp;"orate criticism and improvement actions along with differentiable learning techniques to maximize refinement-aware rewards. As a result, the synthesized multi-round data can be organized as a long refinement thought, further enabling test-time scaling. Ex"&amp;"periments show that CUTE significantly outperforms traditional preference optimization methods, with as little as 3k synthetic data enabling the LLaMA-3-8B-Instruct model to achieve more than a 20% performance improvement in win rate on the Alpaca Eval 2."&amp;"0.")</f>
        <v>The OpenAI o1 series model has demonstrated that leveraging long-form Chain of Thought~(CoT) can significantly enhance its performance. However, the recursive thinking capability of Large Language Models (LLMs) remains limited in the absence of expert data for distillation. In this paper, we introduce \textbf{CUTE}: Re\textbf{cu}rsive \textbf{T}hinking in Inferenc\textbf{e}, a method designed to unveil the potential of LLMs to iteratively refine their outputs through long-form CoT. Specifically, we incorporate criticism and improvement actions along with differentiable learning techniques to maximize refinement-aware rewards. As a result, the synthesized multi-round data can be organized as a long refinement thought, further enabling test-time scaling. Experiments show that CUTE significantly outperforms traditional preference optimization methods, with as little as 3k synthetic data enabling the LLaMA-3-8B-Instruct model to achieve more than a 20% performance improvement in win rate on the Alpaca Eval 2.0.</v>
      </c>
      <c r="D666" s="7" t="str">
        <f>IFERROR(__xludf.DUMMYFUNCTION("""COMPUTED_VALUE"""),"Haoke Zhang")</f>
        <v>Haoke Zhang</v>
      </c>
      <c r="E666" s="7" t="str">
        <f>IFERROR(__xludf.DUMMYFUNCTION("""COMPUTED_VALUE"""),"#N/A")</f>
        <v>#N/A</v>
      </c>
      <c r="F666" s="7" t="str">
        <f>IFERROR(__xludf.DUMMYFUNCTION("""COMPUTED_VALUE"""),"Not Pres. ")</f>
        <v>Not Pres. </v>
      </c>
      <c r="G666" s="7" t="str">
        <f>IFERROR(__xludf.DUMMYFUNCTION("""COMPUTED_VALUE"""),"NP Findings Not Presenting ")</f>
        <v>NP Findings Not Presenting </v>
      </c>
      <c r="H666" s="7"/>
      <c r="I666" s="7" t="str">
        <f>IFERROR(__xludf.DUMMYFUNCTION("""COMPUTED_VALUE"""),"NP-Find")</f>
        <v>NP-Find</v>
      </c>
      <c r="J666" s="7"/>
      <c r="K666" s="7"/>
      <c r="L666" s="8"/>
      <c r="M666" s="7"/>
      <c r="N666" s="7"/>
    </row>
    <row r="667">
      <c r="A667" s="7" t="str">
        <f>IFERROR(__xludf.DUMMYFUNCTION("""COMPUTED_VALUE"""),"2296-FIND")</f>
        <v>2296-FIND</v>
      </c>
      <c r="B667" s="7" t="str">
        <f>IFERROR(__xludf.DUMMYFUNCTION("""COMPUTED_VALUE"""),"CitaLaw: Enhancing LLM with Citations in Legal Domain")</f>
        <v>CitaLaw: Enhancing LLM with Citations in Legal Domain</v>
      </c>
      <c r="C667" s="7" t="str">
        <f>IFERROR(__xludf.DUMMYFUNCTION("""COMPUTED_VALUE"""),"In this paper, we propose CitaLaw, the first benchmark designed to evaluate LLMs’ ability to produce legally sound responses with appropriate citations. CitaLaw features a diverse set of legal questions for both laypersons and practitioners, paired with a"&amp;" comprehensive corpus of law articles and precedent cases as a reference pool. This framework enables LLM-based systems to retrieve supporting citations from the reference corpus and align these citations with the corresponding sentences in their response"&amp;"s. Moreover, we introduce syllogism-inspired evaluation methods to assess the legal alignment between retrieved references and LLM-generated responses, as well as their consistency with user questions. Extensive experiments on 2 open-domain and 7 legal-sp"&amp;"ecific LLMs demonstrate that integrating legal references substantially enhances response quality. Furthermore, our proposed syllogism-based evaluation method exhibits strong agreement with human judgments.")</f>
        <v>In this paper, we propose CitaLaw, the first benchmark designed to evaluate LLMs’ ability to produce legally sound responses with appropriate citations. CitaLaw features a diverse set of legal questions for both laypersons and practitioners, paired with a comprehensive corpus of law articles and precedent cases as a reference pool. This framework enables LLM-based systems to retrieve supporting citations from the reference corpus and align these citations with the corresponding sentences in their responses. Moreover, we introduce syllogism-inspired evaluation methods to assess the legal alignment between retrieved references and LLM-generated responses, as well as their consistency with user questions. Extensive experiments on 2 open-domain and 7 legal-specific LLMs demonstrate that integrating legal references substantially enhances response quality. Furthermore, our proposed syllogism-based evaluation method exhibits strong agreement with human judgments.</v>
      </c>
      <c r="D667" s="7" t="str">
        <f>IFERROR(__xludf.DUMMYFUNCTION("""COMPUTED_VALUE"""),"N/A")</f>
        <v>N/A</v>
      </c>
      <c r="E667" s="7" t="str">
        <f>IFERROR(__xludf.DUMMYFUNCTION("""COMPUTED_VALUE"""),"#N/A")</f>
        <v>#N/A</v>
      </c>
      <c r="F667" s="7" t="str">
        <f>IFERROR(__xludf.DUMMYFUNCTION("""COMPUTED_VALUE"""),"Not Pres. ")</f>
        <v>Not Pres. </v>
      </c>
      <c r="G667" s="7" t="str">
        <f>IFERROR(__xludf.DUMMYFUNCTION("""COMPUTED_VALUE"""),"NP Findings Not Presenting ")</f>
        <v>NP Findings Not Presenting </v>
      </c>
      <c r="H667" s="7"/>
      <c r="I667" s="7" t="str">
        <f>IFERROR(__xludf.DUMMYFUNCTION("""COMPUTED_VALUE"""),"NP-Find")</f>
        <v>NP-Find</v>
      </c>
      <c r="J667" s="7"/>
      <c r="K667" s="7"/>
      <c r="L667" s="8"/>
      <c r="M667" s="7"/>
      <c r="N667" s="7"/>
    </row>
    <row r="668">
      <c r="A668" s="7" t="str">
        <f>IFERROR(__xludf.DUMMYFUNCTION("""COMPUTED_VALUE"""),"2302-FIND")</f>
        <v>2302-FIND</v>
      </c>
      <c r="B668" s="7" t="str">
        <f>IFERROR(__xludf.DUMMYFUNCTION("""COMPUTED_VALUE"""),"MEGen: Generative Backdoor into Large Language Models via Model Editing")</f>
        <v>MEGen: Generative Backdoor into Large Language Models via Model Editing</v>
      </c>
      <c r="C668" s="7" t="str">
        <f>IFERROR(__xludf.DUMMYFUNCTION("""COMPUTED_VALUE"""),"Large language models (LLMs) have exhibited remarkable versatility and adaptability, while their widespread adoption across various applications also raises critical safety concerns. This paper focuses on the impact of backdoored LLMs. Traditional backdoo"&amp;"r injection methods are primarily limited to yes-or-no discriminative tasks, leading users to underestimate the potential risks of backdoored LLMs. Given the inherently generative nature of LLMs, this paper reveals that a generative backdoor injected into"&amp;" LLMs can expose the true safety risks in their application. We propose an editing-based generative backdoor, named MEGen, aiming to expand the backdoor to generative tasks in a unified format of any text-to any text, leading to natural generations with a"&amp;" specific intention. Experiments show that MEGen achieves a high attack success rate by adjusting only a small set of local parameters with few-shot samples. Notably, we show that the backdoored model, when triggered, can freely output pre-set dangerous i"&amp;"nformation while completing downstream tasks. Our work highlights that MEGen enables backdoors in LLMs to exhibit generative capabilities, causing potential safety risks by altering the generative style.")</f>
        <v>Large language models (LLMs) have exhibited remarkable versatility and adaptability, while their widespread adoption across various applications also raises critical safety concerns. This paper focuses on the impact of backdoored LLMs. Traditional backdoor injection methods are primarily limited to yes-or-no discriminative tasks, leading users to underestimate the potential risks of backdoored LLMs. Given the inherently generative nature of LLMs, this paper reveals that a generative backdoor injected into LLMs can expose the true safety risks in their application. We propose an editing-based generative backdoor, named MEGen, aiming to expand the backdoor to generative tasks in a unified format of any text-to any text, leading to natural generations with a specific intention. Experiments show that MEGen achieves a high attack success rate by adjusting only a small set of local parameters with few-shot samples. Notably, we show that the backdoored model, when triggered, can freely output pre-set dangerous information while completing downstream tasks. Our work highlights that MEGen enables backdoors in LLMs to exhibit generative capabilities, causing potential safety risks by altering the generative style.</v>
      </c>
      <c r="D668" s="7" t="str">
        <f>IFERROR(__xludf.DUMMYFUNCTION("""COMPUTED_VALUE"""),"Jiyang Qiu")</f>
        <v>Jiyang Qiu</v>
      </c>
      <c r="E668" s="7" t="str">
        <f>IFERROR(__xludf.DUMMYFUNCTION("""COMPUTED_VALUE"""),"Yes")</f>
        <v>Yes</v>
      </c>
      <c r="F668" s="7" t="str">
        <f>IFERROR(__xludf.DUMMYFUNCTION("""COMPUTED_VALUE"""),"IP-Poster")</f>
        <v>IP-Poster</v>
      </c>
      <c r="G668" s="7" t="str">
        <f>IFERROR(__xludf.DUMMYFUNCTION("""COMPUTED_VALUE"""),"In-Person")</f>
        <v>In-Person</v>
      </c>
      <c r="H668" s="7" t="str">
        <f>IFERROR(__xludf.DUMMYFUNCTION("""COMPUTED_VALUE"""),"Hall 4/5")</f>
        <v>Hall 4/5</v>
      </c>
      <c r="I668" s="7" t="str">
        <f>IFERROR(__xludf.DUMMYFUNCTION("""COMPUTED_VALUE"""),"Session 5 :IP-Posters Find ")</f>
        <v>Session 5 :IP-Posters Find </v>
      </c>
      <c r="J668" s="7" t="str">
        <f>IFERROR(__xludf.DUMMYFUNCTION("""COMPUTED_VALUE"""),"Findings Posters - In-Person 1")</f>
        <v>Findings Posters - In-Person 1</v>
      </c>
      <c r="K668" s="7"/>
      <c r="L668" s="8">
        <f>IFERROR(__xludf.DUMMYFUNCTION("""COMPUTED_VALUE"""),45866.0)</f>
        <v>45866</v>
      </c>
      <c r="M668" s="7" t="str">
        <f>IFERROR(__xludf.DUMMYFUNCTION("""COMPUTED_VALUE"""),"18:00-19:30")</f>
        <v>18:00-19:30</v>
      </c>
      <c r="N668" s="7"/>
    </row>
    <row r="669">
      <c r="A669" s="7" t="str">
        <f>IFERROR(__xludf.DUMMYFUNCTION("""COMPUTED_VALUE"""),"2307-FIND")</f>
        <v>2307-FIND</v>
      </c>
      <c r="B669" s="7" t="str">
        <f>IFERROR(__xludf.DUMMYFUNCTION("""COMPUTED_VALUE"""),"Social Bias Benchmark for Generation: A Comparison of Generation and QA-Based Evaluations")</f>
        <v>Social Bias Benchmark for Generation: A Comparison of Generation and QA-Based Evaluations</v>
      </c>
      <c r="C669" s="7" t="str">
        <f>IFERROR(__xludf.DUMMYFUNCTION("""COMPUTED_VALUE"""),"Measuring social bias in large language models (LLMs) is crucial, but existing bias evaluation methods struggle to assess bias in long-form generation. We propose a Bias Benchmark for Generation (BBG), an adaptation of the Bias Benchmark for QA (BBQ), des"&amp;"igned to evaluate social bias in long-form generation by having LLMs generate continuations of story prompts. Building our benchmark in English and Korean, we measure the probability of neutral and biased generations across ten LLMs. We also compare our l"&amp;"ong-form story generation evaluation results with multiple-choice BBQ evaluation, showing that the two approaches produce inconsistent results.")</f>
        <v>Measuring social bias in large language models (LLMs) is crucial, but existing bias evaluation methods struggle to assess bias in long-form generation. We propose a Bias Benchmark for Generation (BBG), an adaptation of the Bias Benchmark for QA (BBQ), designed to evaluate social bias in long-form generation by having LLMs generate continuations of story prompts. Building our benchmark in English and Korean, we measure the probability of neutral and biased generations across ten LLMs. We also compare our long-form story generation evaluation results with multiple-choice BBQ evaluation, showing that the two approaches produce inconsistent results.</v>
      </c>
      <c r="D669" s="7" t="str">
        <f>IFERROR(__xludf.DUMMYFUNCTION("""COMPUTED_VALUE"""),"Jiho Jin")</f>
        <v>Jiho Jin</v>
      </c>
      <c r="E669" s="7" t="str">
        <f>IFERROR(__xludf.DUMMYFUNCTION("""COMPUTED_VALUE"""),"Yes")</f>
        <v>Yes</v>
      </c>
      <c r="F669" s="7" t="str">
        <f>IFERROR(__xludf.DUMMYFUNCTION("""COMPUTED_VALUE"""),"IP-Poster")</f>
        <v>IP-Poster</v>
      </c>
      <c r="G669" s="7" t="str">
        <f>IFERROR(__xludf.DUMMYFUNCTION("""COMPUTED_VALUE"""),"In-Person")</f>
        <v>In-Person</v>
      </c>
      <c r="H669" s="7" t="str">
        <f>IFERROR(__xludf.DUMMYFUNCTION("""COMPUTED_VALUE"""),"Hall 4/5")</f>
        <v>Hall 4/5</v>
      </c>
      <c r="I669" s="7" t="str">
        <f>IFERROR(__xludf.DUMMYFUNCTION("""COMPUTED_VALUE"""),"Session 10: IP-Posters")</f>
        <v>Session 10: IP-Posters</v>
      </c>
      <c r="J669" s="7" t="str">
        <f>IFERROR(__xludf.DUMMYFUNCTION("""COMPUTED_VALUE"""),"Findings Posters - In-Person 3")</f>
        <v>Findings Posters - In-Person 3</v>
      </c>
      <c r="K669" s="7"/>
      <c r="L669" s="8">
        <f>IFERROR(__xludf.DUMMYFUNCTION("""COMPUTED_VALUE"""),45867.0)</f>
        <v>45867</v>
      </c>
      <c r="M669" s="7" t="str">
        <f>IFERROR(__xludf.DUMMYFUNCTION("""COMPUTED_VALUE"""),"16:00-17:30")</f>
        <v>16:00-17:30</v>
      </c>
      <c r="N669" s="7"/>
    </row>
    <row r="670">
      <c r="A670" s="7" t="str">
        <f>IFERROR(__xludf.DUMMYFUNCTION("""COMPUTED_VALUE"""),"2314-FIND")</f>
        <v>2314-FIND</v>
      </c>
      <c r="B670" s="7" t="str">
        <f>IFERROR(__xludf.DUMMYFUNCTION("""COMPUTED_VALUE"""),"Math2Visual: A Framework for Generating Pedagogically Meaningful Visuals for Teaching Math Word Problems")</f>
        <v>Math2Visual: A Framework for Generating Pedagogically Meaningful Visuals for Teaching Math Word Problems</v>
      </c>
      <c r="C670" s="7" t="str">
        <f>IFERROR(__xludf.DUMMYFUNCTION("""COMPUTED_VALUE"""),"Visuals are valuable tools in teaching math word problems (MWPs), helping young learners interpret textual descriptions into mathematical expressions before solving them. However, creating such visuals is labor-intensive and we lack automated methods. In "&amp;"this paper, we present Math2Visual, an automatic framework for generating pedagogically meaningful visuals from MWP text descriptions. Math2Visual leverages a pre-defined visual language and a structured design space for visuals, informed by math teachers"&amp;", to effectively capture the essential mathematical relationships within MWPs. Using Math2Visual, we construct an annotated dataset of 1,903 visuals and evaluate Text-to-Image (TTI) models in generating visuals that align with our design. We further fine-"&amp;"tune various TTI models with our dataset, demonstrating improvements in educational visual generation. Our work establishes a new benchmark for automated pedagogical meaningful visual generation and offers insights into the challenge of generating multimo"&amp;"dal educational content.")</f>
        <v>Visuals are valuable tools in teaching math word problems (MWPs), helping young learners interpret textual descriptions into mathematical expressions before solving them. However, creating such visuals is labor-intensive and we lack automated methods. In this paper, we present Math2Visual, an automatic framework for generating pedagogically meaningful visuals from MWP text descriptions. Math2Visual leverages a pre-defined visual language and a structured design space for visuals, informed by math teachers, to effectively capture the essential mathematical relationships within MWPs. Using Math2Visual, we construct an annotated dataset of 1,903 visuals and evaluate Text-to-Image (TTI) models in generating visuals that align with our design. We further fine-tune various TTI models with our dataset, demonstrating improvements in educational visual generation. Our work establishes a new benchmark for automated pedagogical meaningful visual generation and offers insights into the challenge of generating multimodal educational content.</v>
      </c>
      <c r="D670" s="7" t="str">
        <f>IFERROR(__xludf.DUMMYFUNCTION("""COMPUTED_VALUE"""),"Junling Wang")</f>
        <v>Junling Wang</v>
      </c>
      <c r="E670" s="7" t="str">
        <f>IFERROR(__xludf.DUMMYFUNCTION("""COMPUTED_VALUE"""),"Yes")</f>
        <v>Yes</v>
      </c>
      <c r="F670" s="7" t="str">
        <f>IFERROR(__xludf.DUMMYFUNCTION("""COMPUTED_VALUE"""),"IP-Poster")</f>
        <v>IP-Poster</v>
      </c>
      <c r="G670" s="7" t="str">
        <f>IFERROR(__xludf.DUMMYFUNCTION("""COMPUTED_VALUE"""),"In-Person")</f>
        <v>In-Person</v>
      </c>
      <c r="H670" s="7" t="str">
        <f>IFERROR(__xludf.DUMMYFUNCTION("""COMPUTED_VALUE"""),"Hall 4/5")</f>
        <v>Hall 4/5</v>
      </c>
      <c r="I670" s="7" t="str">
        <f>IFERROR(__xludf.DUMMYFUNCTION("""COMPUTED_VALUE"""),"Session 7: IP-Posters")</f>
        <v>Session 7: IP-Posters</v>
      </c>
      <c r="J670" s="7" t="str">
        <f>IFERROR(__xludf.DUMMYFUNCTION("""COMPUTED_VALUE"""),"Findings Posters - In-Person 2")</f>
        <v>Findings Posters - In-Person 2</v>
      </c>
      <c r="K670" s="7"/>
      <c r="L670" s="8">
        <f>IFERROR(__xludf.DUMMYFUNCTION("""COMPUTED_VALUE"""),45867.0)</f>
        <v>45867</v>
      </c>
      <c r="M670" s="7" t="str">
        <f>IFERROR(__xludf.DUMMYFUNCTION("""COMPUTED_VALUE"""),"10:30-12:00")</f>
        <v>10:30-12:00</v>
      </c>
      <c r="N670" s="7"/>
    </row>
    <row r="671">
      <c r="A671" s="7" t="str">
        <f>IFERROR(__xludf.DUMMYFUNCTION("""COMPUTED_VALUE"""),"2316-FIND")</f>
        <v>2316-FIND</v>
      </c>
      <c r="B671" s="7" t="str">
        <f>IFERROR(__xludf.DUMMYFUNCTION("""COMPUTED_VALUE"""),"RASPberry: Retrieval-Augmented Monte Carlo Tree Self-Play with Reasoning Consistency for Multi-Hop Question Answering")</f>
        <v>RASPberry: Retrieval-Augmented Monte Carlo Tree Self-Play with Reasoning Consistency for Multi-Hop Question Answering</v>
      </c>
      <c r="C671" s="7" t="str">
        <f>IFERROR(__xludf.DUMMYFUNCTION("""COMPUTED_VALUE"""),"Complex multi-hop question answering requires large language models (LLMs) not only to retrieve external knowledge but also to reason over the retrieved information in order to arrive at the final solution. This involves two key challenges: (i) how to eff"&amp;"ectively explore the solution space and generate more potentially correct solution candidates, and (ii) how to select the optimal solution from multiple solution candidates, both of which require a training-free approach without introducing a more powerfu"&amp;"l teacher model. To address these challenges, we propose Retrieval-Augmented Monte Carlo Tree Self-Play with Reasoning Consistency (RASPberry), which introduces a more flexible action-level sampling granularity compared to existing methods, leverages Mont"&amp;"e Carlo Tree Search for efficient solution space exploration, and utilizes an enhanced version of reasoning consistency to guide the selection of the optimal solution. Experimental results demonstrate that our proposed RASPberry effectively tackles the tw"&amp;"o challenges outlined above, achieving more efficient RAG inference-time scaling. Our code is available at https://github.com/BaixuanLi/RASPberry.")</f>
        <v>Complex multi-hop question answering requires large language models (LLMs) not only to retrieve external knowledge but also to reason over the retrieved information in order to arrive at the final solution. This involves two key challenges: (i) how to effectively explore the solution space and generate more potentially correct solution candidates, and (ii) how to select the optimal solution from multiple solution candidates, both of which require a training-free approach without introducing a more powerful teacher model. To address these challenges, we propose Retrieval-Augmented Monte Carlo Tree Self-Play with Reasoning Consistency (RASPberry), which introduces a more flexible action-level sampling granularity compared to existing methods, leverages Monte Carlo Tree Search for efficient solution space exploration, and utilizes an enhanced version of reasoning consistency to guide the selection of the optimal solution. Experimental results demonstrate that our proposed RASPberry effectively tackles the two challenges outlined above, achieving more efficient RAG inference-time scaling. Our code is available at https://github.com/BaixuanLi/RASPberry.</v>
      </c>
      <c r="D671" s="7" t="str">
        <f>IFERROR(__xludf.DUMMYFUNCTION("""COMPUTED_VALUE"""),"Baixuan Li")</f>
        <v>Baixuan Li</v>
      </c>
      <c r="E671" s="7" t="str">
        <f>IFERROR(__xludf.DUMMYFUNCTION("""COMPUTED_VALUE"""),"Yes")</f>
        <v>Yes</v>
      </c>
      <c r="F671" s="7" t="str">
        <f>IFERROR(__xludf.DUMMYFUNCTION("""COMPUTED_VALUE"""),"IP-Poster")</f>
        <v>IP-Poster</v>
      </c>
      <c r="G671" s="7" t="str">
        <f>IFERROR(__xludf.DUMMYFUNCTION("""COMPUTED_VALUE"""),"In-Person")</f>
        <v>In-Person</v>
      </c>
      <c r="H671" s="7" t="str">
        <f>IFERROR(__xludf.DUMMYFUNCTION("""COMPUTED_VALUE"""),"Hall 4/5")</f>
        <v>Hall 4/5</v>
      </c>
      <c r="I671" s="7" t="str">
        <f>IFERROR(__xludf.DUMMYFUNCTION("""COMPUTED_VALUE"""),"Session 5 :IP-Posters Find ")</f>
        <v>Session 5 :IP-Posters Find </v>
      </c>
      <c r="J671" s="7" t="str">
        <f>IFERROR(__xludf.DUMMYFUNCTION("""COMPUTED_VALUE"""),"Findings Posters - In-Person 1")</f>
        <v>Findings Posters - In-Person 1</v>
      </c>
      <c r="K671" s="7"/>
      <c r="L671" s="8">
        <f>IFERROR(__xludf.DUMMYFUNCTION("""COMPUTED_VALUE"""),45866.0)</f>
        <v>45866</v>
      </c>
      <c r="M671" s="7" t="str">
        <f>IFERROR(__xludf.DUMMYFUNCTION("""COMPUTED_VALUE"""),"18:00-19:30")</f>
        <v>18:00-19:30</v>
      </c>
      <c r="N671" s="7"/>
    </row>
    <row r="672">
      <c r="A672" s="7" t="str">
        <f>IFERROR(__xludf.DUMMYFUNCTION("""COMPUTED_VALUE"""),"2318-FIND")</f>
        <v>2318-FIND</v>
      </c>
      <c r="B672" s="7" t="str">
        <f>IFERROR(__xludf.DUMMYFUNCTION("""COMPUTED_VALUE"""),"All That Glitters is Not Gold: Improving Robust Retrieval-Augmented Language Models with Fact-Centric Preference Alignment")</f>
        <v>All That Glitters is Not Gold: Improving Robust Retrieval-Augmented Language Models with Fact-Centric Preference Alignment</v>
      </c>
      <c r="C672" s="7" t="str">
        <f>IFERROR(__xludf.DUMMYFUNCTION("""COMPUTED_VALUE"""),"Retrieval-augmented language model (RALM) relies on retrieved external knowledge to generate responses, resulting in vulnerability in the face of retrieval results with noisy documents. Previous works integrate additional filters or finetune Large Languag"&amp;"e Models (LLMs) to learn adaptive retrieval to reduce the performance damage of noisy documents. However, prior noise filtering may lead to the loss of crucial information, and these methods do not focus on distracting documents with high semantic relevan"&amp;"ce, which is the most challenging problem. In this study, we propose a training method for fact-centric preference alignment (FPA) to improve the ability of LLMs to directly extract useful information from noisy retrieval results without prior filtering. "&amp;"Our method performs positive document mining based on factual consistency and uses LLMs self-generated synthetic data as training data without manual annotation. We evaluate our FPA on four question answering benchmarks, and the experimental results demon"&amp;"strate that our method achieves significant improvement with a small scale of training data.")</f>
        <v>Retrieval-augmented language model (RALM) relies on retrieved external knowledge to generate responses, resulting in vulnerability in the face of retrieval results with noisy documents. Previous works integrate additional filters or finetune Large Language Models (LLMs) to learn adaptive retrieval to reduce the performance damage of noisy documents. However, prior noise filtering may lead to the loss of crucial information, and these methods do not focus on distracting documents with high semantic relevance, which is the most challenging problem. In this study, we propose a training method for fact-centric preference alignment (FPA) to improve the ability of LLMs to directly extract useful information from noisy retrieval results without prior filtering. Our method performs positive document mining based on factual consistency and uses LLMs self-generated synthetic data as training data without manual annotation. We evaluate our FPA on four question answering benchmarks, and the experimental results demonstrate that our method achieves significant improvement with a small scale of training data.</v>
      </c>
      <c r="D672" s="7" t="str">
        <f>IFERROR(__xludf.DUMMYFUNCTION("""COMPUTED_VALUE"""),"Jia Hao")</f>
        <v>Jia Hao</v>
      </c>
      <c r="E672" s="7" t="str">
        <f>IFERROR(__xludf.DUMMYFUNCTION("""COMPUTED_VALUE"""),"#N/A")</f>
        <v>#N/A</v>
      </c>
      <c r="F672" s="7" t="str">
        <f>IFERROR(__xludf.DUMMYFUNCTION("""COMPUTED_VALUE"""),"Not Pres. ")</f>
        <v>Not Pres. </v>
      </c>
      <c r="G672" s="7" t="str">
        <f>IFERROR(__xludf.DUMMYFUNCTION("""COMPUTED_VALUE"""),"NP Findings Not Presenting ")</f>
        <v>NP Findings Not Presenting </v>
      </c>
      <c r="H672" s="7"/>
      <c r="I672" s="7" t="str">
        <f>IFERROR(__xludf.DUMMYFUNCTION("""COMPUTED_VALUE"""),"NP-Find")</f>
        <v>NP-Find</v>
      </c>
      <c r="J672" s="7"/>
      <c r="K672" s="7"/>
      <c r="L672" s="8"/>
      <c r="M672" s="7"/>
      <c r="N672" s="7"/>
    </row>
    <row r="673">
      <c r="A673" s="7" t="str">
        <f>IFERROR(__xludf.DUMMYFUNCTION("""COMPUTED_VALUE"""),"2320-FIND")</f>
        <v>2320-FIND</v>
      </c>
      <c r="B673" s="7" t="str">
        <f>IFERROR(__xludf.DUMMYFUNCTION("""COMPUTED_VALUE"""),"FairSteer: Inference Time Debiasing for LLMs with Dynamic Activation Steering")</f>
        <v>FairSteer: Inference Time Debiasing for LLMs with Dynamic Activation Steering</v>
      </c>
      <c r="C673" s="7" t="str">
        <f>IFERROR(__xludf.DUMMYFUNCTION("""COMPUTED_VALUE"""),"Large language models (LLMs) are prone to capturing biases from training corpus, leading to potential negative social impacts. Existing prompt-based debiasing methods exhibit instability due to their sensitivity to prompt changes, while fine-tuning-based "&amp;"techniques incur substantial computational overhead and catastrophic forgetting. In this paper, we propose FairSteer, a novel inference-time debiasing framework without requiring customized prompt design or model retraining. Motivated by the linear repres"&amp;"entation hypothesis, our preliminary investigation demonstrates that fairness-related features can be encoded into separable directions in the hidden activation space. FairSteer operates in three steps: biased activation detection, debiasing steering vect"&amp;"or (DSV) computation, and dynamic activation steering. Specifically, it first trains a lightweight linear classifier to detect bias signatures in activations, and then computes DSVs as intervention directions derived from small contrastive prompt pairs. S"&amp;"ubsequently, it performs debiasing by adjusting activations with DSVs in the inference stage. Comprehensive evaluation with six LLMs demonstrates the superiority of FairSteer across question-answering, counterfactual input evaluation and open-ended text g"&amp;"eneration tasks. Code will be released.")</f>
        <v>Large language models (LLMs) are prone to capturing biases from training corpus, leading to potential negative social impacts. Existing prompt-based debiasing methods exhibit instability due to their sensitivity to prompt changes, while fine-tuning-based techniques incur substantial computational overhead and catastrophic forgetting. In this paper, we propose FairSteer, a novel inference-time debiasing framework without requiring customized prompt design or model retraining. Motivated by the linear representation hypothesis, our preliminary investigation demonstrates that fairness-related features can be encoded into separable directions in the hidden activation space. FairSteer operates in three steps: biased activation detection, debiasing steering vector (DSV) computation, and dynamic activation steering. Specifically, it first trains a lightweight linear classifier to detect bias signatures in activations, and then computes DSVs as intervention directions derived from small contrastive prompt pairs. Subsequently, it performs debiasing by adjusting activations with DSVs in the inference stage. Comprehensive evaluation with six LLMs demonstrates the superiority of FairSteer across question-answering, counterfactual input evaluation and open-ended text generation tasks. Code will be released.</v>
      </c>
      <c r="D673" s="7" t="str">
        <f>IFERROR(__xludf.DUMMYFUNCTION("""COMPUTED_VALUE"""),"None")</f>
        <v>None</v>
      </c>
      <c r="E673" s="7" t="str">
        <f>IFERROR(__xludf.DUMMYFUNCTION("""COMPUTED_VALUE"""),"#N/A")</f>
        <v>#N/A</v>
      </c>
      <c r="F673" s="7" t="str">
        <f>IFERROR(__xludf.DUMMYFUNCTION("""COMPUTED_VALUE"""),"Not Pres. ")</f>
        <v>Not Pres. </v>
      </c>
      <c r="G673" s="7" t="str">
        <f>IFERROR(__xludf.DUMMYFUNCTION("""COMPUTED_VALUE"""),"NP Findings Not Presenting ")</f>
        <v>NP Findings Not Presenting </v>
      </c>
      <c r="H673" s="7"/>
      <c r="I673" s="7" t="str">
        <f>IFERROR(__xludf.DUMMYFUNCTION("""COMPUTED_VALUE"""),"NP-Find")</f>
        <v>NP-Find</v>
      </c>
      <c r="J673" s="7"/>
      <c r="K673" s="7"/>
      <c r="L673" s="8"/>
      <c r="M673" s="7"/>
      <c r="N673" s="7"/>
    </row>
    <row r="674">
      <c r="A674" s="7" t="str">
        <f>IFERROR(__xludf.DUMMYFUNCTION("""COMPUTED_VALUE"""),"2323-FIND")</f>
        <v>2323-FIND</v>
      </c>
      <c r="B674" s="7" t="str">
        <f>IFERROR(__xludf.DUMMYFUNCTION("""COMPUTED_VALUE"""),"Listen, Watch, and Learn to Feel: Retrieval-Augmented Emotion Reasoning for Compound Emotion Generation")</f>
        <v>Listen, Watch, and Learn to Feel: Retrieval-Augmented Emotion Reasoning for Compound Emotion Generation</v>
      </c>
      <c r="C674" s="7" t="str">
        <f>IFERROR(__xludf.DUMMYFUNCTION("""COMPUTED_VALUE"""),"The ability to comprehend human emotion using multimodal large language models (MLLMs) is essential for advancing human-AI interaction and multimodal sentiment analysis. While psychology theory-based human annotations have contributed to multimodal emotio"&amp;"n tasks, the subjective nature of emotional perception often leads to inconsistent annotations, limiting the robustness of current models. Addressing these challenges requires more fine-grained methods and evaluation frameworks. In this paper, we propose "&amp;"the Retrieval-Augmented Emotion Reasoning (RAER) framework, a plug-and-play module that enhances MLLMs' ability to tackle compound and context-rich emotion tasks. To systematically evaluate model performance, we introduce the Stimulus-Armed Bandit (SAB) f"&amp;"ramework, designed to benchmark emotional reasoning capabilities. Additionally, we construct the Compound Emotion QA dataset, an AI-generated multimodal dataset aimed at strengthening emotion understanding in MLLMs. Experimental results demonstrate the ef"&amp;"fectiveness of RAER across both traditional benchmarks and SAB evaluations, highlighting its potential to enhance emotional intelligence in multimodal AI systems.")</f>
        <v>The ability to comprehend human emotion using multimodal large language models (MLLMs) is essential for advancing human-AI interaction and multimodal sentiment analysis. While psychology theory-based human annotations have contributed to multimodal emotion tasks, the subjective nature of emotional perception often leads to inconsistent annotations, limiting the robustness of current models. Addressing these challenges requires more fine-grained methods and evaluation frameworks. In this paper, we propose the Retrieval-Augmented Emotion Reasoning (RAER) framework, a plug-and-play module that enhances MLLMs' ability to tackle compound and context-rich emotion tasks. To systematically evaluate model performance, we introduce the Stimulus-Armed Bandit (SAB) framework, designed to benchmark emotional reasoning capabilities. Additionally, we construct the Compound Emotion QA dataset, an AI-generated multimodal dataset aimed at strengthening emotion understanding in MLLMs. Experimental results demonstrate the effectiveness of RAER across both traditional benchmarks and SAB evaluations, highlighting its potential to enhance emotional intelligence in multimodal AI systems.</v>
      </c>
      <c r="D674" s="7" t="str">
        <f>IFERROR(__xludf.DUMMYFUNCTION("""COMPUTED_VALUE"""),"Zhuofan Wen")</f>
        <v>Zhuofan Wen</v>
      </c>
      <c r="E674" s="7" t="str">
        <f>IFERROR(__xludf.DUMMYFUNCTION("""COMPUTED_VALUE"""),"#N/A")</f>
        <v>#N/A</v>
      </c>
      <c r="F674" s="7" t="str">
        <f>IFERROR(__xludf.DUMMYFUNCTION("""COMPUTED_VALUE"""),"Not Pres. ")</f>
        <v>Not Pres. </v>
      </c>
      <c r="G674" s="7" t="str">
        <f>IFERROR(__xludf.DUMMYFUNCTION("""COMPUTED_VALUE"""),"NP Findings Not Presenting ")</f>
        <v>NP Findings Not Presenting </v>
      </c>
      <c r="H674" s="7"/>
      <c r="I674" s="7" t="str">
        <f>IFERROR(__xludf.DUMMYFUNCTION("""COMPUTED_VALUE"""),"NP-Find")</f>
        <v>NP-Find</v>
      </c>
      <c r="J674" s="7"/>
      <c r="K674" s="7"/>
      <c r="L674" s="8"/>
      <c r="M674" s="7"/>
      <c r="N674" s="7"/>
    </row>
    <row r="675">
      <c r="A675" s="7" t="str">
        <f>IFERROR(__xludf.DUMMYFUNCTION("""COMPUTED_VALUE"""),"2327-FIND")</f>
        <v>2327-FIND</v>
      </c>
      <c r="B675" s="7" t="str">
        <f>IFERROR(__xludf.DUMMYFUNCTION("""COMPUTED_VALUE"""),"GLTW: Joint Improved Graph Transformer and LLM via Three-Word Language for Knowledge Graph Completion")</f>
        <v>GLTW: Joint Improved Graph Transformer and LLM via Three-Word Language for Knowledge Graph Completion</v>
      </c>
      <c r="C675" s="7" t="str">
        <f>IFERROR(__xludf.DUMMYFUNCTION("""COMPUTED_VALUE"""),"Knowledge Graph Completion (KGC), which aims to infer missing or incomplete facts, is a crucial task for KGs. However, integrating the vital structural information of KGs into Large Language Models (LLMs) and outputting predictions deterministically remai"&amp;"ns challenging. To address this, we propose a new method called \textbf{GLTW}, which encodes the structural information of KGs and merges it with LLMs to enhance KGC performance. Specifically, we introduce an improved Graph Transformer (\textbf{iGT}) that"&amp;" effectively encodes subgraphs with both local and global structural information and inherits the characteristics of language model, bypassing training from scratch. Also, we develop a subgraph-based multi-classification training objective, using all enti"&amp;"ties within KG as classification objects, to boost learning efficiency. Importantly, we combine iGT with an LLM that takes KG language prompts as input. Our extensive experiments on various KG datasets show that GLTW achieves significant performance gains"&amp;" compared to SOTA baselines.")</f>
        <v>Knowledge Graph Completion (KGC), which aims to infer missing or incomplete facts, is a crucial task for KGs. However, integrating the vital structural information of KGs into Large Language Models (LLMs) and outputting predictions deterministically remains challenging. To address this, we propose a new method called \textbf{GLTW}, which encodes the structural information of KGs and merges it with LLMs to enhance KGC performance. Specifically, we introduce an improved Graph Transformer (\textbf{iGT}) that effectively encodes subgraphs with both local and global structural information and inherits the characteristics of language model, bypassing training from scratch. Also, we develop a subgraph-based multi-classification training objective, using all entities within KG as classification objects, to boost learning efficiency. Importantly, we combine iGT with an LLM that takes KG language prompts as input. Our extensive experiments on various KG datasets show that GLTW achieves significant performance gains compared to SOTA baselines.</v>
      </c>
      <c r="D675" s="7" t="str">
        <f>IFERROR(__xludf.DUMMYFUNCTION("""COMPUTED_VALUE"""),"Kangyang Luo")</f>
        <v>Kangyang Luo</v>
      </c>
      <c r="E675" s="7" t="str">
        <f>IFERROR(__xludf.DUMMYFUNCTION("""COMPUTED_VALUE"""),"#N/A")</f>
        <v>#N/A</v>
      </c>
      <c r="F675" s="7" t="str">
        <f>IFERROR(__xludf.DUMMYFUNCTION("""COMPUTED_VALUE"""),"Not Pres. ")</f>
        <v>Not Pres. </v>
      </c>
      <c r="G675" s="7" t="str">
        <f>IFERROR(__xludf.DUMMYFUNCTION("""COMPUTED_VALUE"""),"NP Findings Not Presenting ")</f>
        <v>NP Findings Not Presenting </v>
      </c>
      <c r="H675" s="7"/>
      <c r="I675" s="7" t="str">
        <f>IFERROR(__xludf.DUMMYFUNCTION("""COMPUTED_VALUE"""),"NP-Find")</f>
        <v>NP-Find</v>
      </c>
      <c r="J675" s="7"/>
      <c r="K675" s="7"/>
      <c r="L675" s="8"/>
      <c r="M675" s="7"/>
      <c r="N675" s="7"/>
    </row>
    <row r="676">
      <c r="A676" s="7" t="str">
        <f>IFERROR(__xludf.DUMMYFUNCTION("""COMPUTED_VALUE"""),"2344-FIND")</f>
        <v>2344-FIND</v>
      </c>
      <c r="B676" s="7" t="str">
        <f>IFERROR(__xludf.DUMMYFUNCTION("""COMPUTED_VALUE"""),"Learning to Select In-Context Demonstration Preferred by Large Language Model")</f>
        <v>Learning to Select In-Context Demonstration Preferred by Large Language Model</v>
      </c>
      <c r="C676" s="7" t="str">
        <f>IFERROR(__xludf.DUMMYFUNCTION("""COMPUTED_VALUE"""),"In-context learning (ICL) enables large language models (LLMs) to adapt to new tasks during inference using only a few demonstrations. However, ICL performance is highly dependent on the selection of these demonstrations. Recent work explores retrieval-ba"&amp;"sed methods for selecting query-specific demonstrations, but these approaches often rely on surrogate objectives such as metric learning, failing to directly optimize ICL performance. Consequently, they struggle to identify truly beneficial demonstrations"&amp;". Moreover, their discriminative retrieval paradigm is ineffective when the candidate pool lacks sufficient high-quality demonstrations. To address these challenges, we propose GenICL, a novel generative preference learning framework that leverages LLM fe"&amp;"edback to directly optimize demonstration selection for ICL. Experiments on 19 datasets across 11 task categories demonstrate that GenICL achieves superior performance than existing methods in selecting the most effective demonstrations, leading to better"&amp;" ICL performance.")</f>
        <v>In-context learning (ICL) enables large language models (LLMs) to adapt to new tasks during inference using only a few demonstrations. However, ICL performance is highly dependent on the selection of these demonstrations. Recent work explores retrieval-based methods for selecting query-specific demonstrations, but these approaches often rely on surrogate objectives such as metric learning, failing to directly optimize ICL performance. Consequently, they struggle to identify truly beneficial demonstrations. Moreover, their discriminative retrieval paradigm is ineffective when the candidate pool lacks sufficient high-quality demonstrations. To address these challenges, we propose GenICL, a novel generative preference learning framework that leverages LLM feedback to directly optimize demonstration selection for ICL. Experiments on 19 datasets across 11 task categories demonstrate that GenICL achieves superior performance than existing methods in selecting the most effective demonstrations, leading to better ICL performance.</v>
      </c>
      <c r="D676" s="7" t="str">
        <f>IFERROR(__xludf.DUMMYFUNCTION("""COMPUTED_VALUE"""),"None")</f>
        <v>None</v>
      </c>
      <c r="E676" s="7" t="str">
        <f>IFERROR(__xludf.DUMMYFUNCTION("""COMPUTED_VALUE"""),"#N/A")</f>
        <v>#N/A</v>
      </c>
      <c r="F676" s="7" t="str">
        <f>IFERROR(__xludf.DUMMYFUNCTION("""COMPUTED_VALUE"""),"Not Pres. ")</f>
        <v>Not Pres. </v>
      </c>
      <c r="G676" s="7" t="str">
        <f>IFERROR(__xludf.DUMMYFUNCTION("""COMPUTED_VALUE"""),"NP Findings Not Presenting ")</f>
        <v>NP Findings Not Presenting </v>
      </c>
      <c r="H676" s="7"/>
      <c r="I676" s="7" t="str">
        <f>IFERROR(__xludf.DUMMYFUNCTION("""COMPUTED_VALUE"""),"NP-Find")</f>
        <v>NP-Find</v>
      </c>
      <c r="J676" s="7"/>
      <c r="K676" s="7"/>
      <c r="L676" s="8"/>
      <c r="M676" s="7"/>
      <c r="N676" s="7"/>
    </row>
    <row r="677">
      <c r="A677" s="7" t="str">
        <f>IFERROR(__xludf.DUMMYFUNCTION("""COMPUTED_VALUE"""),"2346-FIND")</f>
        <v>2346-FIND</v>
      </c>
      <c r="B677" s="7" t="str">
        <f>IFERROR(__xludf.DUMMYFUNCTION("""COMPUTED_VALUE"""),"Beyond the Spelling Miracle: Investigating Substring Awareness in Character-Blind Language Models")</f>
        <v>Beyond the Spelling Miracle: Investigating Substring Awareness in Character-Blind Language Models</v>
      </c>
      <c r="C677" s="7" t="str">
        <f>IFERROR(__xludf.DUMMYFUNCTION("""COMPUTED_VALUE"""),"Correctly identifying characters and substrings of words should be a basic but essential ability of any Language Model that aims to proficiently understand and produce language. Despite so, the majority of Pre-trained Language Models (PLMs) are ""characte"&amp;"r-blind"" and struggle in spelling tasks, although they still seem to acquire some character knowledge during pre-training, a phenomenon dubbed Spelling Miracle. To shed light on this phenomenon, we systematically evaluate a range of PLMs with different p"&amp;"arameter sizes using a controlled binary substring identification task. Through a series of experiments, we propose the first comprehensive investigation on where, when, and how a PLMs develop awareness of characters and substrings, with a particular ling"&amp;"uistic focus on morphemic units such as prefixes, suffixes, and roots.")</f>
        <v>Correctly identifying characters and substrings of words should be a basic but essential ability of any Language Model that aims to proficiently understand and produce language. Despite so, the majority of Pre-trained Language Models (PLMs) are "character-blind" and struggle in spelling tasks, although they still seem to acquire some character knowledge during pre-training, a phenomenon dubbed Spelling Miracle. To shed light on this phenomenon, we systematically evaluate a range of PLMs with different parameter sizes using a controlled binary substring identification task. Through a series of experiments, we propose the first comprehensive investigation on where, when, and how a PLMs develop awareness of characters and substrings, with a particular linguistic focus on morphemic units such as prefixes, suffixes, and roots.</v>
      </c>
      <c r="D677" s="7" t="str">
        <f>IFERROR(__xludf.DUMMYFUNCTION("""COMPUTED_VALUE"""),"Cristiano Ciaccio")</f>
        <v>Cristiano Ciaccio</v>
      </c>
      <c r="E677" s="7" t="str">
        <f>IFERROR(__xludf.DUMMYFUNCTION("""COMPUTED_VALUE"""),"Yes")</f>
        <v>Yes</v>
      </c>
      <c r="F677" s="7" t="str">
        <f>IFERROR(__xludf.DUMMYFUNCTION("""COMPUTED_VALUE"""),"IP-Poster")</f>
        <v>IP-Poster</v>
      </c>
      <c r="G677" s="7" t="str">
        <f>IFERROR(__xludf.DUMMYFUNCTION("""COMPUTED_VALUE"""),"In-Person")</f>
        <v>In-Person</v>
      </c>
      <c r="H677" s="7" t="str">
        <f>IFERROR(__xludf.DUMMYFUNCTION("""COMPUTED_VALUE"""),"Hall 4/5")</f>
        <v>Hall 4/5</v>
      </c>
      <c r="I677" s="7" t="str">
        <f>IFERROR(__xludf.DUMMYFUNCTION("""COMPUTED_VALUE"""),"Session 5 :IP-Posters Find ")</f>
        <v>Session 5 :IP-Posters Find </v>
      </c>
      <c r="J677" s="7" t="str">
        <f>IFERROR(__xludf.DUMMYFUNCTION("""COMPUTED_VALUE"""),"Findings Posters - In-Person 1")</f>
        <v>Findings Posters - In-Person 1</v>
      </c>
      <c r="K677" s="7"/>
      <c r="L677" s="8">
        <f>IFERROR(__xludf.DUMMYFUNCTION("""COMPUTED_VALUE"""),45866.0)</f>
        <v>45866</v>
      </c>
      <c r="M677" s="7" t="str">
        <f>IFERROR(__xludf.DUMMYFUNCTION("""COMPUTED_VALUE"""),"18:00-19:30")</f>
        <v>18:00-19:30</v>
      </c>
      <c r="N677" s="7"/>
    </row>
    <row r="678">
      <c r="A678" s="7" t="str">
        <f>IFERROR(__xludf.DUMMYFUNCTION("""COMPUTED_VALUE"""),"2350-FIND")</f>
        <v>2350-FIND</v>
      </c>
      <c r="B678" s="7" t="str">
        <f>IFERROR(__xludf.DUMMYFUNCTION("""COMPUTED_VALUE"""),"DEMO: Reframing Dialogue Interaction with Fine-grained Element Modeling")</f>
        <v>DEMO: Reframing Dialogue Interaction with Fine-grained Element Modeling</v>
      </c>
      <c r="C678" s="7" t="str">
        <f>IFERROR(__xludf.DUMMYFUNCTION("""COMPUTED_VALUE"""),"Large language models (LLMs) enabled dialogue systems have become one of the central modes in human-machine interaction, which bring about vast amounts of conversation logs and increasing demand for dialogue generation. The dialogue's life-cycle spans fro"&amp;"m Prelude through Interlocution to Epilogue, encompassing rich dialogue elements. Despite large volumes of dialogue-related studies, there is a lack of systematic investigation into the dialogue stages to frame benchmark construction that covers comprehen"&amp;"sive dialogue elements. This hinders the precise modeling, generation and assessment of LLMs-based dialogue systems. To bridge this gap, in this paper, we introduce a new research task—Dialogue Element MOdeling, including Element Awareness and Dialogue Ag"&amp;"ent Interaction and propose a novel benchmark, DEMO, designed for a comprehensive dialogue modeling and assessment. On this basis, we further build the DEMO agent with the adept ability to model dialogue elements via imitation learning. Extensive experime"&amp;"nts on DEMO indicate that current representative LLMs still have considerable potential for enhancement, and our DEMO agent performs well in both dialogue element modeling and out-of-domain tasks.")</f>
        <v>Large language models (LLMs) enabled dialogue systems have become one of the central modes in human-machine interaction, which bring about vast amounts of conversation logs and increasing demand for dialogue generation. The dialogue's life-cycle spans from Prelude through Interlocution to Epilogue, encompassing rich dialogue elements. Despite large volumes of dialogue-related studies, there is a lack of systematic investigation into the dialogue stages to frame benchmark construction that covers comprehensive dialogue elements. This hinders the precise modeling, generation and assessment of LLMs-based dialogue systems. To bridge this gap, in this paper, we introduce a new research task—Dialogue Element MOdeling, including Element Awareness and Dialogue Agent Interaction and propose a novel benchmark, DEMO, designed for a comprehensive dialogue modeling and assessment. On this basis, we further build the DEMO agent with the adept ability to model dialogue elements via imitation learning. Extensive experiments on DEMO indicate that current representative LLMs still have considerable potential for enhancement, and our DEMO agent performs well in both dialogue element modeling and out-of-domain tasks.</v>
      </c>
      <c r="D678" s="7" t="str">
        <f>IFERROR(__xludf.DUMMYFUNCTION("""COMPUTED_VALUE"""),"Minzheng Wang")</f>
        <v>Minzheng Wang</v>
      </c>
      <c r="E678" s="7" t="str">
        <f>IFERROR(__xludf.DUMMYFUNCTION("""COMPUTED_VALUE"""),"Yes")</f>
        <v>Yes</v>
      </c>
      <c r="F678" s="7" t="str">
        <f>IFERROR(__xludf.DUMMYFUNCTION("""COMPUTED_VALUE"""),"IP-Poster")</f>
        <v>IP-Poster</v>
      </c>
      <c r="G678" s="7" t="str">
        <f>IFERROR(__xludf.DUMMYFUNCTION("""COMPUTED_VALUE"""),"In-Person")</f>
        <v>In-Person</v>
      </c>
      <c r="H678" s="7" t="str">
        <f>IFERROR(__xludf.DUMMYFUNCTION("""COMPUTED_VALUE"""),"Hall 4/5")</f>
        <v>Hall 4/5</v>
      </c>
      <c r="I678" s="7" t="str">
        <f>IFERROR(__xludf.DUMMYFUNCTION("""COMPUTED_VALUE"""),"Session 7: IP-Posters")</f>
        <v>Session 7: IP-Posters</v>
      </c>
      <c r="J678" s="7" t="str">
        <f>IFERROR(__xludf.DUMMYFUNCTION("""COMPUTED_VALUE"""),"Findings Posters - In-Person 2")</f>
        <v>Findings Posters - In-Person 2</v>
      </c>
      <c r="K678" s="7"/>
      <c r="L678" s="8">
        <f>IFERROR(__xludf.DUMMYFUNCTION("""COMPUTED_VALUE"""),45867.0)</f>
        <v>45867</v>
      </c>
      <c r="M678" s="7" t="str">
        <f>IFERROR(__xludf.DUMMYFUNCTION("""COMPUTED_VALUE"""),"10:30-12:00")</f>
        <v>10:30-12:00</v>
      </c>
      <c r="N678" s="7"/>
    </row>
    <row r="679">
      <c r="A679" s="7" t="str">
        <f>IFERROR(__xludf.DUMMYFUNCTION("""COMPUTED_VALUE"""),"2353-FIND")</f>
        <v>2353-FIND</v>
      </c>
      <c r="B679" s="7" t="str">
        <f>IFERROR(__xludf.DUMMYFUNCTION("""COMPUTED_VALUE"""),"InfiniteICL: Breaking the Limit of Context Window Size via Long Short-term Memory Transformation")</f>
        <v>InfiniteICL: Breaking the Limit of Context Window Size via Long Short-term Memory Transformation</v>
      </c>
      <c r="C679" s="7" t="str">
        <f>IFERROR(__xludf.DUMMYFUNCTION("""COMPUTED_VALUE"""),"In-context learning (ICL) is critical for large language models (LLMs), but its effectiveness is constrained by finite context windows, particularly in ultra-long contexts. To overcome this, we introduce **InfiniteICL**, a framework that parallels context"&amp;" and parameters in LLMs with short- and long-term memory in human cognitive systems, focusing on transforming temporary context knowledge into permanent parameter updates. This approach significantly reduces memory usage, maintains robust performance acro"&amp;"ss varying input lengths, and theoretically enables infinite context integration through the principles of context knowledge elicitation, selection, and consolidation. Evaluations demonstrate that our method reduces context length by 90% while achieving 1"&amp;"03% average performance of full-context prompting across fact recall, grounded reasoning, and skill acquisition tasks. When conducting sequential multi-turn transformations on complex, real-world contexts (with length up to 2M tokens), our approach surpas"&amp;"ses full-context prompting while using only 0.4% of the original contexts. These findings highlight InfiniteICL's potential to enhance the scalability and efficiency of LLMs by breaking the limitations of conventional context window sizes.")</f>
        <v>In-context learning (ICL) is critical for large language models (LLMs), but its effectiveness is constrained by finite context windows, particularly in ultra-long contexts. To overcome this, we introduce **InfiniteICL**, a framework that parallels context and parameters in LLMs with short- and long-term memory in human cognitive systems, focusing on transforming temporary context knowledge into permanent parameter updates. This approach significantly reduces memory usage, maintains robust performance across varying input lengths, and theoretically enables infinite context integration through the principles of context knowledge elicitation, selection, and consolidation. Evaluations demonstrate that our method reduces context length by 90% while achieving 103% average performance of full-context prompting across fact recall, grounded reasoning, and skill acquisition tasks. When conducting sequential multi-turn transformations on complex, real-world contexts (with length up to 2M tokens), our approach surpasses full-context prompting while using only 0.4% of the original contexts. These findings highlight InfiniteICL's potential to enhance the scalability and efficiency of LLMs by breaking the limitations of conventional context window sizes.</v>
      </c>
      <c r="D679" s="7" t="str">
        <f>IFERROR(__xludf.DUMMYFUNCTION("""COMPUTED_VALUE"""),"N/A")</f>
        <v>N/A</v>
      </c>
      <c r="E679" s="7" t="str">
        <f>IFERROR(__xludf.DUMMYFUNCTION("""COMPUTED_VALUE"""),"#N/A")</f>
        <v>#N/A</v>
      </c>
      <c r="F679" s="7" t="str">
        <f>IFERROR(__xludf.DUMMYFUNCTION("""COMPUTED_VALUE"""),"Not Pres. ")</f>
        <v>Not Pres. </v>
      </c>
      <c r="G679" s="7" t="str">
        <f>IFERROR(__xludf.DUMMYFUNCTION("""COMPUTED_VALUE"""),"NP Findings Not Presenting ")</f>
        <v>NP Findings Not Presenting </v>
      </c>
      <c r="H679" s="7"/>
      <c r="I679" s="7" t="str">
        <f>IFERROR(__xludf.DUMMYFUNCTION("""COMPUTED_VALUE"""),"NP-Find")</f>
        <v>NP-Find</v>
      </c>
      <c r="J679" s="7"/>
      <c r="K679" s="7"/>
      <c r="L679" s="8"/>
      <c r="M679" s="7"/>
      <c r="N679" s="7"/>
    </row>
    <row r="680">
      <c r="A680" s="7" t="str">
        <f>IFERROR(__xludf.DUMMYFUNCTION("""COMPUTED_VALUE"""),"2361-FIND")</f>
        <v>2361-FIND</v>
      </c>
      <c r="B680" s="7" t="str">
        <f>IFERROR(__xludf.DUMMYFUNCTION("""COMPUTED_VALUE"""),"M3HG: Multimodal, Multi-scale, and Multi-type Node Heterogeneous Graph for Emotion Cause Triplet Extraction in Conversations")</f>
        <v>M3HG: Multimodal, Multi-scale, and Multi-type Node Heterogeneous Graph for Emotion Cause Triplet Extraction in Conversations</v>
      </c>
      <c r="C680" s="7" t="str">
        <f>IFERROR(__xludf.DUMMYFUNCTION("""COMPUTED_VALUE"""),"Emotion Cause Triplet Extraction in Multimodal Conversations (MECTEC) has recently gained significant attention in social media analysis, aiming to extract emotion utterances, cause utterances, and emotion categories simultaneously. However, the scarcity "&amp;"of related datasets, with only one published dataset featuring highly uniform dialogue scenarios, hinders model development in this field. To address this, we introduce MECAD, the first multimodal, multi-scenario MECTEC dataset, comprising 989 conversatio"&amp;"ns from 56 TV series spanning a wide range of dialogue contexts. In addition, existing MECTEC methods fail to explicitly model emotional and causal contexts and neglect the fusion of semantic information at different levels, leading to performance degrada"&amp;"tion. In this paper, we propose M3HG, a novel model that explicitly captures emotional and causal contexts and effectively fuses contextual information at both inter- and intra-utterance levels via a multimodal heterogeneous graph. Extensive experiments d"&amp;"emonstrate the effectiveness of M3HG compared with existing state-of-the-art methods. Codes are available at https://anonymous.4open.science/r/M3HG-6B34.")</f>
        <v>Emotion Cause Triplet Extraction in Multimodal Conversations (MECTEC) has recently gained significant attention in social media analysis, aiming to extract emotion utterances, cause utterances, and emotion categories simultaneously. However, the scarcity of related datasets, with only one published dataset featuring highly uniform dialogue scenarios, hinders model development in this field. To address this, we introduce MECAD, the first multimodal, multi-scenario MECTEC dataset, comprising 989 conversations from 56 TV series spanning a wide range of dialogue contexts. In addition, existing MECTEC methods fail to explicitly model emotional and causal contexts and neglect the fusion of semantic information at different levels, leading to performance degradation. In this paper, we propose M3HG, a novel model that explicitly captures emotional and causal contexts and effectively fuses contextual information at both inter- and intra-utterance levels via a multimodal heterogeneous graph. Extensive experiments demonstrate the effectiveness of M3HG compared with existing state-of-the-art methods. Codes are available at https://anonymous.4open.science/r/M3HG-6B34.</v>
      </c>
      <c r="D680" s="7" t="str">
        <f>IFERROR(__xludf.DUMMYFUNCTION("""COMPUTED_VALUE"""),"Qiao Liang")</f>
        <v>Qiao Liang</v>
      </c>
      <c r="E680" s="7" t="str">
        <f>IFERROR(__xludf.DUMMYFUNCTION("""COMPUTED_VALUE"""),"Yes")</f>
        <v>Yes</v>
      </c>
      <c r="F680" s="7" t="str">
        <f>IFERROR(__xludf.DUMMYFUNCTION("""COMPUTED_VALUE"""),"IP-Poster")</f>
        <v>IP-Poster</v>
      </c>
      <c r="G680" s="7" t="str">
        <f>IFERROR(__xludf.DUMMYFUNCTION("""COMPUTED_VALUE"""),"In-Person")</f>
        <v>In-Person</v>
      </c>
      <c r="H680" s="7" t="str">
        <f>IFERROR(__xludf.DUMMYFUNCTION("""COMPUTED_VALUE"""),"Hall 4/5")</f>
        <v>Hall 4/5</v>
      </c>
      <c r="I680" s="7" t="str">
        <f>IFERROR(__xludf.DUMMYFUNCTION("""COMPUTED_VALUE"""),"Session 5 :IP-Posters Find ")</f>
        <v>Session 5 :IP-Posters Find </v>
      </c>
      <c r="J680" s="7" t="str">
        <f>IFERROR(__xludf.DUMMYFUNCTION("""COMPUTED_VALUE"""),"Findings Posters - In-Person 1")</f>
        <v>Findings Posters - In-Person 1</v>
      </c>
      <c r="K680" s="7"/>
      <c r="L680" s="8">
        <f>IFERROR(__xludf.DUMMYFUNCTION("""COMPUTED_VALUE"""),45866.0)</f>
        <v>45866</v>
      </c>
      <c r="M680" s="7" t="str">
        <f>IFERROR(__xludf.DUMMYFUNCTION("""COMPUTED_VALUE"""),"18:00-19:30")</f>
        <v>18:00-19:30</v>
      </c>
      <c r="N680" s="7"/>
    </row>
    <row r="681">
      <c r="A681" s="7" t="str">
        <f>IFERROR(__xludf.DUMMYFUNCTION("""COMPUTED_VALUE"""),"2362-FIND")</f>
        <v>2362-FIND</v>
      </c>
      <c r="B681" s="7" t="str">
        <f>IFERROR(__xludf.DUMMYFUNCTION("""COMPUTED_VALUE"""),"Large Language Models Are Natural Video Popularity Predictors")</f>
        <v>Large Language Models Are Natural Video Popularity Predictors</v>
      </c>
      <c r="C681" s="7" t="str">
        <f>IFERROR(__xludf.DUMMYFUNCTION("""COMPUTED_VALUE"""),"Predicting video popularity is often framed as a supervised learning task, relying heavily on meta-information and aggregated engagement data. However, video popularity is shaped by complex cultural and social factors that such approaches often overlook. "&amp;"We argue that Large Language Models (LLMs), with their deep contextual awareness, can better capture these nuances. To bridge the gap between pixel-based video data and token-based LLMs, we convert frame-level visuals into sequential text representations "&amp;"using Vision-Language Models. This enables LLMs to process multimodal content—titles, frame-based descriptions, and captions—capturing both engagement intensity (view count) and geographic spread (number of countries where a video trends). On 13,639 popul"&amp;"ar videos, a supervised neural network using content embeddings achieves 80\% accuracy, while our LLM-based approach reaches 82\% without fine-tuning. Combining the neural network's predictions with the LLM further improves accuracy to 85.5\%. Moreover, t"&amp;"he LLM generates interpretable, attribute-based explanations for its predictions. Manual validations confirm the quality of these hypotheses and address concerns about hallucinations in the video-to-text conversion process. Overall, our findings suggest t"&amp;"hat LLMs, equipped with text-based multimodal representations, offer a powerful, interpretable, and data-efficient solution for tasks requiring rich contextual insight, such as video popularity prediction.")</f>
        <v>Predicting video popularity is often framed as a supervised learning task, relying heavily on meta-information and aggregated engagement data. However, video popularity is shaped by complex cultural and social factors that such approaches often overlook. We argue that Large Language Models (LLMs), with their deep contextual awareness, can better capture these nuances. To bridge the gap between pixel-based video data and token-based LLMs, we convert frame-level visuals into sequential text representations using Vision-Language Models. This enables LLMs to process multimodal content—titles, frame-based descriptions, and captions—capturing both engagement intensity (view count) and geographic spread (number of countries where a video trends). On 13,639 popular videos, a supervised neural network using content embeddings achieves 80\% accuracy, while our LLM-based approach reaches 82\% without fine-tuning. Combining the neural network's predictions with the LLM further improves accuracy to 85.5\%. Moreover, the LLM generates interpretable, attribute-based explanations for its predictions. Manual validations confirm the quality of these hypotheses and address concerns about hallucinations in the video-to-text conversion process. Overall, our findings suggest that LLMs, equipped with text-based multimodal representations, offer a powerful, interpretable, and data-efficient solution for tasks requiring rich contextual insight, such as video popularity prediction.</v>
      </c>
      <c r="D681" s="7" t="str">
        <f>IFERROR(__xludf.DUMMYFUNCTION("""COMPUTED_VALUE"""),"Pratik Kayal")</f>
        <v>Pratik Kayal</v>
      </c>
      <c r="E681" s="7" t="str">
        <f>IFERROR(__xludf.DUMMYFUNCTION("""COMPUTED_VALUE"""),"Yes")</f>
        <v>Yes</v>
      </c>
      <c r="F681" s="7" t="str">
        <f>IFERROR(__xludf.DUMMYFUNCTION("""COMPUTED_VALUE"""),"IP-Poster")</f>
        <v>IP-Poster</v>
      </c>
      <c r="G681" s="7" t="str">
        <f>IFERROR(__xludf.DUMMYFUNCTION("""COMPUTED_VALUE"""),"In-Person")</f>
        <v>In-Person</v>
      </c>
      <c r="H681" s="7" t="str">
        <f>IFERROR(__xludf.DUMMYFUNCTION("""COMPUTED_VALUE"""),"Hall 4/5")</f>
        <v>Hall 4/5</v>
      </c>
      <c r="I681" s="7" t="str">
        <f>IFERROR(__xludf.DUMMYFUNCTION("""COMPUTED_VALUE"""),"Session 5 :IP-Posters Find ")</f>
        <v>Session 5 :IP-Posters Find </v>
      </c>
      <c r="J681" s="7" t="str">
        <f>IFERROR(__xludf.DUMMYFUNCTION("""COMPUTED_VALUE"""),"Findings Posters - In-Person 1")</f>
        <v>Findings Posters - In-Person 1</v>
      </c>
      <c r="K681" s="7"/>
      <c r="L681" s="8">
        <f>IFERROR(__xludf.DUMMYFUNCTION("""COMPUTED_VALUE"""),45866.0)</f>
        <v>45866</v>
      </c>
      <c r="M681" s="7" t="str">
        <f>IFERROR(__xludf.DUMMYFUNCTION("""COMPUTED_VALUE"""),"18:00-19:30")</f>
        <v>18:00-19:30</v>
      </c>
      <c r="N681" s="7"/>
    </row>
    <row r="682">
      <c r="A682" s="7" t="str">
        <f>IFERROR(__xludf.DUMMYFUNCTION("""COMPUTED_VALUE"""),"2367-FIND")</f>
        <v>2367-FIND</v>
      </c>
      <c r="B682" s="7" t="str">
        <f>IFERROR(__xludf.DUMMYFUNCTION("""COMPUTED_VALUE"""),"DELMAN: Dynamic Defense Against Large Language Model Jailbreaking with Model Editing")</f>
        <v>DELMAN: Dynamic Defense Against Large Language Model Jailbreaking with Model Editing</v>
      </c>
      <c r="C682" s="7" t="str">
        <f>IFERROR(__xludf.DUMMYFUNCTION("""COMPUTED_VALUE"""),"Large Language Models (LLMs) are widely applied in decision making, but their deployment is threatened by jailbreak attacks, where adversarial users manipulate model behavior to bypass safety measures. Existing defense mechanisms, such as safety fine-tuni"&amp;"ng and model editing, either require extensive parameter modifications or lack precision, leading to performance degradation on general tasks, which is unsuitable to post-deployment safety alignment. To address these challenges, we propose DELMAN (**D**yn"&amp;"amic **E**diting for **L**L**M**s J**A**ilbreak Defe**N**se), a novel approach leveraging direct model editing for precise, dynamic protection against jailbreak attacks. DELMAN directly updates a minimal set of relevant parameters to neutralize harmful be"&amp;"haviors while preserving the model's utility. To avoid triggering a safe response in benign context, we incorporate KL-divergence regularization to ensure the updated model remains consistent with the original model when processing benign queries. Experim"&amp;"ental results demonstrate that DELMAN outperforms baseline methods in mitigating jailbreak attacks while preserving the model’s utility, and adapts seamlessly to new attack instances, providing a practical and efficient solution for post-deployment model "&amp;"protection.")</f>
        <v>Large Language Models (LLMs) are widely applied in decision making, but their deployment is threatened by jailbreak attacks, where adversarial users manipulate model behavior to bypass safety measures. Existing defense mechanisms, such as safety fine-tuning and model editing, either require extensive parameter modifications or lack precision, leading to performance degradation on general tasks, which is unsuitable to post-deployment safety alignment. To address these challenges, we propose DELMAN (**D**ynamic **E**diting for **L**L**M**s J**A**ilbreak Defe**N**se), a novel approach leveraging direct model editing for precise, dynamic protection against jailbreak attacks. DELMAN directly updates a minimal set of relevant parameters to neutralize harmful behaviors while preserving the model's utility. To avoid triggering a safe response in benign context, we incorporate KL-divergence regularization to ensure the updated model remains consistent with the original model when processing benign queries. Experimental results demonstrate that DELMAN outperforms baseline methods in mitigating jailbreak attacks while preserving the model’s utility, and adapts seamlessly to new attack instances, providing a practical and efficient solution for post-deployment model protection.</v>
      </c>
      <c r="D682" s="7" t="str">
        <f>IFERROR(__xludf.DUMMYFUNCTION("""COMPUTED_VALUE"""),"Yi Wang")</f>
        <v>Yi Wang</v>
      </c>
      <c r="E682" s="7" t="str">
        <f>IFERROR(__xludf.DUMMYFUNCTION("""COMPUTED_VALUE"""),"Yes")</f>
        <v>Yes</v>
      </c>
      <c r="F682" s="7" t="str">
        <f>IFERROR(__xludf.DUMMYFUNCTION("""COMPUTED_VALUE"""),"IP-Poster")</f>
        <v>IP-Poster</v>
      </c>
      <c r="G682" s="7" t="str">
        <f>IFERROR(__xludf.DUMMYFUNCTION("""COMPUTED_VALUE"""),"In-Person")</f>
        <v>In-Person</v>
      </c>
      <c r="H682" s="7" t="str">
        <f>IFERROR(__xludf.DUMMYFUNCTION("""COMPUTED_VALUE"""),"Hall 4/5")</f>
        <v>Hall 4/5</v>
      </c>
      <c r="I682" s="7" t="str">
        <f>IFERROR(__xludf.DUMMYFUNCTION("""COMPUTED_VALUE"""),"Session 7: IP-Posters")</f>
        <v>Session 7: IP-Posters</v>
      </c>
      <c r="J682" s="7" t="str">
        <f>IFERROR(__xludf.DUMMYFUNCTION("""COMPUTED_VALUE"""),"Findings Posters - In-Person 2")</f>
        <v>Findings Posters - In-Person 2</v>
      </c>
      <c r="K682" s="7"/>
      <c r="L682" s="8">
        <f>IFERROR(__xludf.DUMMYFUNCTION("""COMPUTED_VALUE"""),45867.0)</f>
        <v>45867</v>
      </c>
      <c r="M682" s="7" t="str">
        <f>IFERROR(__xludf.DUMMYFUNCTION("""COMPUTED_VALUE"""),"10:30-12:00")</f>
        <v>10:30-12:00</v>
      </c>
      <c r="N682" s="7"/>
    </row>
    <row r="683">
      <c r="A683" s="7" t="str">
        <f>IFERROR(__xludf.DUMMYFUNCTION("""COMPUTED_VALUE"""),"2369-FIND")</f>
        <v>2369-FIND</v>
      </c>
      <c r="B683" s="7" t="str">
        <f>IFERROR(__xludf.DUMMYFUNCTION("""COMPUTED_VALUE"""),"You need to MIMIC to get FAME: Solving Meeting Transcript Scarcity with a Multi-Agent Conversations")</f>
        <v>You need to MIMIC to get FAME: Solving Meeting Transcript Scarcity with a Multi-Agent Conversations</v>
      </c>
      <c r="C683" s="7" t="str">
        <f>IFERROR(__xludf.DUMMYFUNCTION("""COMPUTED_VALUE"""),"Meeting summarization suffers from limited high-quality data, mainly due to privacy restrictions and expensive collection processes. We address this gap with FAME, a dataset of 500 meetings in English and 300 in German produced by MIMIC, our new multi-age"&amp;"nt meeting synthesis framework that generates meeting transcripts on a given knowledge source by defining psychologically grounded participant profiles, outlining the conversation, and orchestrating a large language model (LLM) debate. A modular post-proc"&amp;"essing step refines these outputs, mitigating potential repetitiveness and overly formal tones, ensuring coherent, credible dialogues at scale. We also propose a psychologically grounded evaluation framework assessing naturalness, social behavior authenti"&amp;"city, and transcript difficulties. Human assessments show that FAME approximates real-meeting spontaneity (4.5/5 in naturalness), preserves speaker-centric challenges (3/5 in spoken language), and introduces richer information-oriented difficulty (4/5 poi"&amp;"nts in difficulty). These findings show FAME is a good and scalable proxy for real-world meeting conditions. It enables new test scenarios for meeting summarization research and other conversation-centric applications in tasks requiring conversation data "&amp;"or simulating social scenarios under behavioral constraints.")</f>
        <v>Meeting summarization suffers from limited high-quality data, mainly due to privacy restrictions and expensive collection processes. We address this gap with FAME, a dataset of 500 meetings in English and 300 in German produced by MIMIC, our new multi-agent meeting synthesis framework that generates meeting transcripts on a given knowledge source by defining psychologically grounded participant profiles, outlining the conversation, and orchestrating a large language model (LLM) debate. A modular post-processing step refines these outputs, mitigating potential repetitiveness and overly formal tones, ensuring coherent, credible dialogues at scale. We also propose a psychologically grounded evaluation framework assessing naturalness, social behavior authenticity, and transcript difficulties. Human assessments show that FAME approximates real-meeting spontaneity (4.5/5 in naturalness), preserves speaker-centric challenges (3/5 in spoken language), and introduces richer information-oriented difficulty (4/5 points in difficulty). These findings show FAME is a good and scalable proxy for real-world meeting conditions. It enables new test scenarios for meeting summarization research and other conversation-centric applications in tasks requiring conversation data or simulating social scenarios under behavioral constraints.</v>
      </c>
      <c r="D683" s="7" t="str">
        <f>IFERROR(__xludf.DUMMYFUNCTION("""COMPUTED_VALUE"""),"Frederic Kirstein")</f>
        <v>Frederic Kirstein</v>
      </c>
      <c r="E683" s="7" t="str">
        <f>IFERROR(__xludf.DUMMYFUNCTION("""COMPUTED_VALUE"""),"Yes")</f>
        <v>Yes</v>
      </c>
      <c r="F683" s="7" t="str">
        <f>IFERROR(__xludf.DUMMYFUNCTION("""COMPUTED_VALUE"""),"IP-Poster")</f>
        <v>IP-Poster</v>
      </c>
      <c r="G683" s="7" t="str">
        <f>IFERROR(__xludf.DUMMYFUNCTION("""COMPUTED_VALUE"""),"In-Person")</f>
        <v>In-Person</v>
      </c>
      <c r="H683" s="7" t="str">
        <f>IFERROR(__xludf.DUMMYFUNCTION("""COMPUTED_VALUE"""),"Hall 4/5")</f>
        <v>Hall 4/5</v>
      </c>
      <c r="I683" s="7" t="str">
        <f>IFERROR(__xludf.DUMMYFUNCTION("""COMPUTED_VALUE"""),"Session 5 :IP-Posters Find ")</f>
        <v>Session 5 :IP-Posters Find </v>
      </c>
      <c r="J683" s="7" t="str">
        <f>IFERROR(__xludf.DUMMYFUNCTION("""COMPUTED_VALUE"""),"Findings Posters - In-Person 1")</f>
        <v>Findings Posters - In-Person 1</v>
      </c>
      <c r="K683" s="7"/>
      <c r="L683" s="8">
        <f>IFERROR(__xludf.DUMMYFUNCTION("""COMPUTED_VALUE"""),45866.0)</f>
        <v>45866</v>
      </c>
      <c r="M683" s="7" t="str">
        <f>IFERROR(__xludf.DUMMYFUNCTION("""COMPUTED_VALUE"""),"18:00-19:30")</f>
        <v>18:00-19:30</v>
      </c>
      <c r="N683" s="7"/>
    </row>
    <row r="684">
      <c r="A684" s="7" t="str">
        <f>IFERROR(__xludf.DUMMYFUNCTION("""COMPUTED_VALUE"""),"2371-FIND")</f>
        <v>2371-FIND</v>
      </c>
      <c r="B684" s="7" t="str">
        <f>IFERROR(__xludf.DUMMYFUNCTION("""COMPUTED_VALUE"""),"Code-Switching and Syntax: A Large-Scale Experiment")</f>
        <v>Code-Switching and Syntax: A Large-Scale Experiment</v>
      </c>
      <c r="C684" s="7" t="str">
        <f>IFERROR(__xludf.DUMMYFUNCTION("""COMPUTED_VALUE"""),"The theoretical code-switching (CS) literature provides numerous pointwise investigations that aim to explain patterns in CS, i.e. why bilinguals switch language in certain positions in a sentence more often than in others. A resulting consensus is that C"&amp;"S acceptability can be explained by the syntax of the contributing languages. There is however no large-scale, multi-language, cross-phenomena experiment that tests this claim. When designing such an experiment, we need to make sure that the system that i"&amp;"s predicting where bilinguals tend to switch has access only to syntactic information. We provide such an experiment here. Results show that syntax alone is sufficient for an automatic system to distinguish between sentences in minimal pairs of CS, to the"&amp;" same degree as bilingual humans. Furthermore, the learnt syntactic patterns generalise well to unseen language pairs.")</f>
        <v>The theoretical code-switching (CS) literature provides numerous pointwise investigations that aim to explain patterns in CS, i.e. why bilinguals switch language in certain positions in a sentence more often than in others. A resulting consensus is that CS acceptability can be explained by the syntax of the contributing languages. There is however no large-scale, multi-language, cross-phenomena experiment that tests this claim. When designing such an experiment, we need to make sure that the system that is predicting where bilinguals tend to switch has access only to syntactic information. We provide such an experiment here. Results show that syntax alone is sufficient for an automatic system to distinguish between sentences in minimal pairs of CS, to the same degree as bilingual humans. Furthermore, the learnt syntactic patterns generalise well to unseen language pairs.</v>
      </c>
      <c r="D684" s="7" t="str">
        <f>IFERROR(__xludf.DUMMYFUNCTION("""COMPUTED_VALUE"""),"Igor Sterner")</f>
        <v>Igor Sterner</v>
      </c>
      <c r="E684" s="7" t="str">
        <f>IFERROR(__xludf.DUMMYFUNCTION("""COMPUTED_VALUE"""),"Yes")</f>
        <v>Yes</v>
      </c>
      <c r="F684" s="7" t="str">
        <f>IFERROR(__xludf.DUMMYFUNCTION("""COMPUTED_VALUE"""),"IP-Poster")</f>
        <v>IP-Poster</v>
      </c>
      <c r="G684" s="7" t="str">
        <f>IFERROR(__xludf.DUMMYFUNCTION("""COMPUTED_VALUE"""),"In-Person")</f>
        <v>In-Person</v>
      </c>
      <c r="H684" s="7" t="str">
        <f>IFERROR(__xludf.DUMMYFUNCTION("""COMPUTED_VALUE"""),"Hall 4/5")</f>
        <v>Hall 4/5</v>
      </c>
      <c r="I684" s="7" t="str">
        <f>IFERROR(__xludf.DUMMYFUNCTION("""COMPUTED_VALUE"""),"Session 10: IP-Posters")</f>
        <v>Session 10: IP-Posters</v>
      </c>
      <c r="J684" s="7" t="str">
        <f>IFERROR(__xludf.DUMMYFUNCTION("""COMPUTED_VALUE"""),"Findings Posters - In-Person 3")</f>
        <v>Findings Posters - In-Person 3</v>
      </c>
      <c r="K684" s="7"/>
      <c r="L684" s="8">
        <f>IFERROR(__xludf.DUMMYFUNCTION("""COMPUTED_VALUE"""),45867.0)</f>
        <v>45867</v>
      </c>
      <c r="M684" s="7" t="str">
        <f>IFERROR(__xludf.DUMMYFUNCTION("""COMPUTED_VALUE"""),"16:00-17:30")</f>
        <v>16:00-17:30</v>
      </c>
      <c r="N684" s="7"/>
    </row>
    <row r="685">
      <c r="A685" s="7" t="str">
        <f>IFERROR(__xludf.DUMMYFUNCTION("""COMPUTED_VALUE"""),"2373-FIND")</f>
        <v>2373-FIND</v>
      </c>
      <c r="B685" s="7" t="str">
        <f>IFERROR(__xludf.DUMMYFUNCTION("""COMPUTED_VALUE"""),"Optima: Optimizing Effectiveness and Efficiency for LLM-Based Multi-Agent System")</f>
        <v>Optima: Optimizing Effectiveness and Efficiency for LLM-Based Multi-Agent System</v>
      </c>
      <c r="C685" s="7" t="str">
        <f>IFERROR(__xludf.DUMMYFUNCTION("""COMPUTED_VALUE"""),"Large Language Model (LLM) based multi-agent systems (MAS) show remarkable potential in collaborative problem-solving, yet they still face critical challenges: low communication efficiency, poor scalability, and a lack of effective parameter-updating opti"&amp;"mization methods. We present Optima, a novel framework that addresses these issues by significantly enhancing both communication efficiency and task effectiveness in LLM-based MAS through training. Optima employs an iterative generate, rank, select, and t"&amp;"rain paradigm with a reward function balancing task performance, token efficiency, and communication readability. We explore various algorithms, including Supervised Fine-Tuning, Direct Preference Optimization, and their hybrid approaches, providing insig"&amp;"hts into their effectiveness-efficiency trade-offs. We integrate Monte Carlo Tree Search-inspired techniques for DPO data generation, treating conversation turns as tree nodes to explore diverse interaction paths. Evaluated on common multi-agent tasks, in"&amp;"cluding information-asymmetric question answering and complex reasoning, Optimashows consistent and substantial improvements over single-agent baselines and vanilla MAS based on Llama 3 8B / 3.2 3B, achieving up to 2.8x performance gain with less than 10%"&amp;" tokens on tasks requiring heavy information exchange. Moreover, Optima's efficiency gains enable more effective compute utilization during inference, leading to improved inference-time scaling laws. By addressing fundamental challenges in LLM-based MAS, "&amp;"Optima shows the potential towards scalable, efficient, and effective MAS.")</f>
        <v>Large Language Model (LLM) based multi-agent systems (MAS) show remarkable potential in collaborative problem-solving, yet they still face critical challenges: low communication efficiency, poor scalability, and a lack of effective parameter-updating optimization methods. We present Optima, a novel framework that addresses these issues by significantly enhancing both communication efficiency and task effectiveness in LLM-based MAS through training. Optima employs an iterative generate, rank, select, and train paradigm with a reward function balancing task performance, token efficiency, and communication readability. We explore various algorithms, including Supervised Fine-Tuning, Direct Preference Optimization, and their hybrid approaches, providing insights into their effectiveness-efficiency trade-offs. We integrate Monte Carlo Tree Search-inspired techniques for DPO data generation, treating conversation turns as tree nodes to explore diverse interaction paths. Evaluated on common multi-agent tasks, including information-asymmetric question answering and complex reasoning, Optimashows consistent and substantial improvements over single-agent baselines and vanilla MAS based on Llama 3 8B / 3.2 3B, achieving up to 2.8x performance gain with less than 10% tokens on tasks requiring heavy information exchange. Moreover, Optima's efficiency gains enable more effective compute utilization during inference, leading to improved inference-time scaling laws. By addressing fundamental challenges in LLM-based MAS, Optima shows the potential towards scalable, efficient, and effective MAS.</v>
      </c>
      <c r="D685" s="7" t="str">
        <f>IFERROR(__xludf.DUMMYFUNCTION("""COMPUTED_VALUE"""),"Weize Chen")</f>
        <v>Weize Chen</v>
      </c>
      <c r="E685" s="7" t="str">
        <f>IFERROR(__xludf.DUMMYFUNCTION("""COMPUTED_VALUE"""),"#N/A")</f>
        <v>#N/A</v>
      </c>
      <c r="F685" s="7" t="str">
        <f>IFERROR(__xludf.DUMMYFUNCTION("""COMPUTED_VALUE"""),"Not Pres. ")</f>
        <v>Not Pres. </v>
      </c>
      <c r="G685" s="7" t="str">
        <f>IFERROR(__xludf.DUMMYFUNCTION("""COMPUTED_VALUE"""),"NP Findings Not Presenting ")</f>
        <v>NP Findings Not Presenting </v>
      </c>
      <c r="H685" s="7"/>
      <c r="I685" s="7" t="str">
        <f>IFERROR(__xludf.DUMMYFUNCTION("""COMPUTED_VALUE"""),"NP-Find")</f>
        <v>NP-Find</v>
      </c>
      <c r="J685" s="7"/>
      <c r="K685" s="7"/>
      <c r="L685" s="8"/>
      <c r="M685" s="7"/>
      <c r="N685" s="7"/>
    </row>
    <row r="686">
      <c r="A686" s="7" t="str">
        <f>IFERROR(__xludf.DUMMYFUNCTION("""COMPUTED_VALUE"""),"2377-FIND")</f>
        <v>2377-FIND</v>
      </c>
      <c r="B686" s="7" t="str">
        <f>IFERROR(__xludf.DUMMYFUNCTION("""COMPUTED_VALUE"""),"Generating Domain-Specific Knowledge Graphs from Large Language Models")</f>
        <v>Generating Domain-Specific Knowledge Graphs from Large Language Models</v>
      </c>
      <c r="C686" s="7" t="str">
        <f>IFERROR(__xludf.DUMMYFUNCTION("""COMPUTED_VALUE"""),"Knowledge graphs (KGs) have been a cornerstone of search and recommendation due to their ability to store factual knowledge about any domain in a structured form enabling easy search and retrieval. Large language models (LLMs) have shown impressive world "&amp;"knowledge across different benchmarks and domains but their knowledge is inconveniently scattered across their billions of parameters. In this paper, we propose a prompt-based method to construct domain-specific KGs by extracting knowledge solely from LLM"&amp;"s' parameters. First, we use an LLM to create a schema for a specific domain, which contains a set of domain-representative entities and relations. After that, we use the schema to guide the LLM through an iterative data generation process equipped with C"&amp;"hain-of-Verification (CoVe) for increased data quality. Using this method, we construct KGs for two domains: books and landmarks, which we then evaluate against Wikidata, an open-source human-created KG. Our results show that LLMs can generate large domai"&amp;"n-specific KGs containing tens of thousands of entities and relations. However, due to the increased hallucination rates as the procedure evolves, the practical utility of obtained KGs could remain limited.")</f>
        <v>Knowledge graphs (KGs) have been a cornerstone of search and recommendation due to their ability to store factual knowledge about any domain in a structured form enabling easy search and retrieval. Large language models (LLMs) have shown impressive world knowledge across different benchmarks and domains but their knowledge is inconveniently scattered across their billions of parameters. In this paper, we propose a prompt-based method to construct domain-specific KGs by extracting knowledge solely from LLMs' parameters. First, we use an LLM to create a schema for a specific domain, which contains a set of domain-representative entities and relations. After that, we use the schema to guide the LLM through an iterative data generation process equipped with Chain-of-Verification (CoVe) for increased data quality. Using this method, we construct KGs for two domains: books and landmarks, which we then evaluate against Wikidata, an open-source human-created KG. Our results show that LLMs can generate large domain-specific KGs containing tens of thousands of entities and relations. However, due to the increased hallucination rates as the procedure evolves, the practical utility of obtained KGs could remain limited.</v>
      </c>
      <c r="D686" s="7" t="str">
        <f>IFERROR(__xludf.DUMMYFUNCTION("""COMPUTED_VALUE"""),"Marinela Parovic")</f>
        <v>Marinela Parovic</v>
      </c>
      <c r="E686" s="7" t="str">
        <f>IFERROR(__xludf.DUMMYFUNCTION("""COMPUTED_VALUE"""),"Yes")</f>
        <v>Yes</v>
      </c>
      <c r="F686" s="7" t="str">
        <f>IFERROR(__xludf.DUMMYFUNCTION("""COMPUTED_VALUE"""),"IP-Poster")</f>
        <v>IP-Poster</v>
      </c>
      <c r="G686" s="7" t="str">
        <f>IFERROR(__xludf.DUMMYFUNCTION("""COMPUTED_VALUE"""),"In-Person")</f>
        <v>In-Person</v>
      </c>
      <c r="H686" s="7" t="str">
        <f>IFERROR(__xludf.DUMMYFUNCTION("""COMPUTED_VALUE"""),"Hall 4/5")</f>
        <v>Hall 4/5</v>
      </c>
      <c r="I686" s="7" t="str">
        <f>IFERROR(__xludf.DUMMYFUNCTION("""COMPUTED_VALUE"""),"Session 5 :IP-Posters Find ")</f>
        <v>Session 5 :IP-Posters Find </v>
      </c>
      <c r="J686" s="7" t="str">
        <f>IFERROR(__xludf.DUMMYFUNCTION("""COMPUTED_VALUE"""),"Findings Posters - In-Person 1")</f>
        <v>Findings Posters - In-Person 1</v>
      </c>
      <c r="K686" s="7"/>
      <c r="L686" s="8">
        <f>IFERROR(__xludf.DUMMYFUNCTION("""COMPUTED_VALUE"""),45866.0)</f>
        <v>45866</v>
      </c>
      <c r="M686" s="7" t="str">
        <f>IFERROR(__xludf.DUMMYFUNCTION("""COMPUTED_VALUE"""),"18:00-19:30")</f>
        <v>18:00-19:30</v>
      </c>
      <c r="N686" s="7"/>
    </row>
    <row r="687">
      <c r="A687" s="7" t="str">
        <f>IFERROR(__xludf.DUMMYFUNCTION("""COMPUTED_VALUE"""),"2379-FIND")</f>
        <v>2379-FIND</v>
      </c>
      <c r="B687" s="7" t="str">
        <f>IFERROR(__xludf.DUMMYFUNCTION("""COMPUTED_VALUE"""),"Large Language Models are Miscalibrated In-Context Learners")</f>
        <v>Large Language Models are Miscalibrated In-Context Learners</v>
      </c>
      <c r="C687" s="7" t="str">
        <f>IFERROR(__xludf.DUMMYFUNCTION("""COMPUTED_VALUE"""),"When adapting ICL with or without fine-tuning, we are curious about whether the instruction-tuned language model is able to achieve well-calibrated results without suffering from the problem of overconfidence (i.e., miscalibration) considering its strong "&amp;"instruction following ability, especially in such limited data setups. In this work, we deliver an in-depth analysis of the behavior across different choices of learning methods from the perspective of both performance and calibration. Through extensive c"&amp;"ontrolled experiments, we observe that the miscalibration problem exists across all learning methods in low-resource setups. To achieve simultaneous gain for both in-task performance and calibration, we then study the potential of self-ensembling applied "&amp;"at different modeling stages (e.g., variations of in-context examples or variations in prompts or different ensembling strategies) to make the predictions more calibrated and have comparable or even better performance. We find that self-ensembling with ma"&amp;"x probability produces robust and calibrated predictions. Our work reveals the potential calibration problem of using ICL despite the improvements in task performance and sheds light on which learning paradigm to choose. We also provide practical guidelin"&amp;"es for choosing learning paradigms depending on whether the data has been seen by the model before and a worthwhile solution via self-ensembling on how to enhance both task performance and calibration of LMs, which we hope could encourage further study.")</f>
        <v>When adapting ICL with or without fine-tuning, we are curious about whether the instruction-tuned language model is able to achieve well-calibrated results without suffering from the problem of overconfidence (i.e., miscalibration) considering its strong instruction following ability, especially in such limited data setups. In this work, we deliver an in-depth analysis of the behavior across different choices of learning methods from the perspective of both performance and calibration. Through extensive controlled experiments, we observe that the miscalibration problem exists across all learning methods in low-resource setups. To achieve simultaneous gain for both in-task performance and calibration, we then study the potential of self-ensembling applied at different modeling stages (e.g., variations of in-context examples or variations in prompts or different ensembling strategies) to make the predictions more calibrated and have comparable or even better performance. We find that self-ensembling with max probability produces robust and calibrated predictions. Our work reveals the potential calibration problem of using ICL despite the improvements in task performance and sheds light on which learning paradigm to choose. We also provide practical guidelines for choosing learning paradigms depending on whether the data has been seen by the model before and a worthwhile solution via self-ensembling on how to enhance both task performance and calibration of LMs, which we hope could encourage further study.</v>
      </c>
      <c r="D687" s="7" t="str">
        <f>IFERROR(__xludf.DUMMYFUNCTION("""COMPUTED_VALUE"""),"Chengzu Li")</f>
        <v>Chengzu Li</v>
      </c>
      <c r="E687" s="7" t="str">
        <f>IFERROR(__xludf.DUMMYFUNCTION("""COMPUTED_VALUE"""),"Yes")</f>
        <v>Yes</v>
      </c>
      <c r="F687" s="7" t="str">
        <f>IFERROR(__xludf.DUMMYFUNCTION("""COMPUTED_VALUE"""),"IP-Poster")</f>
        <v>IP-Poster</v>
      </c>
      <c r="G687" s="7" t="str">
        <f>IFERROR(__xludf.DUMMYFUNCTION("""COMPUTED_VALUE"""),"In-Person")</f>
        <v>In-Person</v>
      </c>
      <c r="H687" s="7" t="str">
        <f>IFERROR(__xludf.DUMMYFUNCTION("""COMPUTED_VALUE"""),"Hall 4/5")</f>
        <v>Hall 4/5</v>
      </c>
      <c r="I687" s="7" t="str">
        <f>IFERROR(__xludf.DUMMYFUNCTION("""COMPUTED_VALUE"""),"Session 5 :IP-Posters Find ")</f>
        <v>Session 5 :IP-Posters Find </v>
      </c>
      <c r="J687" s="7" t="str">
        <f>IFERROR(__xludf.DUMMYFUNCTION("""COMPUTED_VALUE"""),"Findings Posters - In-Person 1")</f>
        <v>Findings Posters - In-Person 1</v>
      </c>
      <c r="K687" s="7"/>
      <c r="L687" s="8">
        <f>IFERROR(__xludf.DUMMYFUNCTION("""COMPUTED_VALUE"""),45866.0)</f>
        <v>45866</v>
      </c>
      <c r="M687" s="7" t="str">
        <f>IFERROR(__xludf.DUMMYFUNCTION("""COMPUTED_VALUE"""),"18:00-19:30")</f>
        <v>18:00-19:30</v>
      </c>
      <c r="N687" s="7"/>
    </row>
    <row r="688">
      <c r="A688" s="7" t="str">
        <f>IFERROR(__xludf.DUMMYFUNCTION("""COMPUTED_VALUE"""),"2381-FIND")</f>
        <v>2381-FIND</v>
      </c>
      <c r="B688" s="7" t="str">
        <f>IFERROR(__xludf.DUMMYFUNCTION("""COMPUTED_VALUE"""),"STeCa: Step-level Trajectory Calibration for LLM Agent Learning")</f>
        <v>STeCa: Step-level Trajectory Calibration for LLM Agent Learning</v>
      </c>
      <c r="C688" s="7" t="str">
        <f>IFERROR(__xludf.DUMMYFUNCTION("""COMPUTED_VALUE"""),"Large language model (LLM)-based agents have shown promise in tackling complex tasks by interacting dynamically with the environment. 
Existing work primarily focuses on behavior cloning from expert demonstrations or preference learning through explorator"&amp;"y trajectory sampling. 
However, these methods often struggle to address long-horizon tasks, where suboptimal actions accumulate step by step, causing agents to deviate from correct task trajectories.
To address this, we highlight the importance of timely"&amp;" calibration and the need to automatically construct calibration trajectories for training agents. We propose Step-Level Trajectory Calibration (STeCa), a novel framework for LLM agent learning. 
Specifically, STeCa identifies suboptimal actions through a"&amp;" step-level reward comparison during exploration. It constructs calibrated trajectories using LLM-driven reflection, enabling agents to learn from improved decision-making processes. We finally leverage these calibrated trajectories with successful trajec"&amp;"tories for reinforced training.
Extensive experiments demonstrate that STeCa significantly outperforms existing methods. Further analysis highlights that timely calibration enables agents to complete tasks with greater robustness. 
Our code and data are a"&amp;"vailable at https://github.com/WangHanLinHenry/STeCa.")</f>
        <v>Large language model (LLM)-based agents have shown promise in tackling complex tasks by interacting dynamically with the environment. 
Existing work primarily focuses on behavior cloning from expert demonstrations or preference learning through exploratory trajectory sampling. 
However, these methods often struggle to address long-horizon tasks, where suboptimal actions accumulate step by step, causing agents to deviate from correct task trajectories.
To address this, we highlight the importance of timely calibration and the need to automatically construct calibration trajectories for training agents. We propose Step-Level Trajectory Calibration (STeCa), a novel framework for LLM agent learning. 
Specifically, STeCa identifies suboptimal actions through a step-level reward comparison during exploration. It constructs calibrated trajectories using LLM-driven reflection, enabling agents to learn from improved decision-making processes. We finally leverage these calibrated trajectories with successful trajectories for reinforced training.
Extensive experiments demonstrate that STeCa significantly outperforms existing methods. Further analysis highlights that timely calibration enables agents to complete tasks with greater robustness. 
Our code and data are available at https://github.com/WangHanLinHenry/STeCa.</v>
      </c>
      <c r="D688" s="7" t="str">
        <f>IFERROR(__xludf.DUMMYFUNCTION("""COMPUTED_VALUE"""),"Hanlin Wang")</f>
        <v>Hanlin Wang</v>
      </c>
      <c r="E688" s="7" t="str">
        <f>IFERROR(__xludf.DUMMYFUNCTION("""COMPUTED_VALUE"""),"#N/A")</f>
        <v>#N/A</v>
      </c>
      <c r="F688" s="7" t="str">
        <f>IFERROR(__xludf.DUMMYFUNCTION("""COMPUTED_VALUE"""),"Not Pres. ")</f>
        <v>Not Pres. </v>
      </c>
      <c r="G688" s="7" t="str">
        <f>IFERROR(__xludf.DUMMYFUNCTION("""COMPUTED_VALUE"""),"NP Findings Not Presenting ")</f>
        <v>NP Findings Not Presenting </v>
      </c>
      <c r="H688" s="7"/>
      <c r="I688" s="7" t="str">
        <f>IFERROR(__xludf.DUMMYFUNCTION("""COMPUTED_VALUE"""),"NP-Find")</f>
        <v>NP-Find</v>
      </c>
      <c r="J688" s="7"/>
      <c r="K688" s="7"/>
      <c r="L688" s="8"/>
      <c r="M688" s="7"/>
      <c r="N688" s="7"/>
    </row>
    <row r="689">
      <c r="A689" s="7" t="str">
        <f>IFERROR(__xludf.DUMMYFUNCTION("""COMPUTED_VALUE"""),"2384-FIND")</f>
        <v>2384-FIND</v>
      </c>
      <c r="B689" s="7" t="str">
        <f>IFERROR(__xludf.DUMMYFUNCTION("""COMPUTED_VALUE"""),"LEMMA: Learning from Errors for MatheMatical Advancement in LLMs")</f>
        <v>LEMMA: Learning from Errors for MatheMatical Advancement in LLMs</v>
      </c>
      <c r="C689" s="7" t="str">
        <f>IFERROR(__xludf.DUMMYFUNCTION("""COMPUTED_VALUE"""),"Large language models (LLMs) have demonstrated remarkable reasoning capability in solving mathematical problems. However, existing approaches primarily focus on improving the quality of correct training data, e.g., distilling high-quality correct solution"&amp;"s from advanced models, neglecting the value contained in error data, potentially hindering the model’s reflective ability. Though some studies attempted to leverage error data, they often involve complex mechanisms, such as Monte Carlo Tree Search (MCTS)"&amp;" to explore error nodes.In this work, we propose to enhance LLM’s reasoning ability by Learning from Errors for MatheMatical Advancement (LEMMA). LEMMA constructs data consists of an incorrect solution with an erroneous step and a reflection connection to"&amp;" a correct solution for fine-tuning. Specifically, we systematically analyze the model-generated error types and introduce an _error-type grounded mistake augmentation_ method to collect diverse and representative errors. Correct solutions are either from"&amp;" fixing the errors or generating a fresh start. By fine-tuning on the constructed dataset, the model is able to _self-correct errors autonomously_ within the generation process _without relying on external critique models_. Experimental results demonstrat"&amp;"e that LEMMA achieves significant performance improvements over other strong models with less than 90k data.")</f>
        <v>Large language models (LLMs) have demonstrated remarkable reasoning capability in solving mathematical problems. However, existing approaches primarily focus on improving the quality of correct training data, e.g., distilling high-quality correct solutions from advanced models, neglecting the value contained in error data, potentially hindering the model’s reflective ability. Though some studies attempted to leverage error data, they often involve complex mechanisms, such as Monte Carlo Tree Search (MCTS) to explore error nodes.In this work, we propose to enhance LLM’s reasoning ability by Learning from Errors for MatheMatical Advancement (LEMMA). LEMMA constructs data consists of an incorrect solution with an erroneous step and a reflection connection to a correct solution for fine-tuning. Specifically, we systematically analyze the model-generated error types and introduce an _error-type grounded mistake augmentation_ method to collect diverse and representative errors. Correct solutions are either from fixing the errors or generating a fresh start. By fine-tuning on the constructed dataset, the model is able to _self-correct errors autonomously_ within the generation process _without relying on external critique models_. Experimental results demonstrate that LEMMA achieves significant performance improvements over other strong models with less than 90k data.</v>
      </c>
      <c r="D689" s="7" t="str">
        <f>IFERROR(__xludf.DUMMYFUNCTION("""COMPUTED_VALUE"""),"Qizhi Pei")</f>
        <v>Qizhi Pei</v>
      </c>
      <c r="E689" s="7" t="str">
        <f>IFERROR(__xludf.DUMMYFUNCTION("""COMPUTED_VALUE"""),"Yes")</f>
        <v>Yes</v>
      </c>
      <c r="F689" s="7" t="str">
        <f>IFERROR(__xludf.DUMMYFUNCTION("""COMPUTED_VALUE"""),"IP-Poster")</f>
        <v>IP-Poster</v>
      </c>
      <c r="G689" s="7" t="str">
        <f>IFERROR(__xludf.DUMMYFUNCTION("""COMPUTED_VALUE"""),"In-Person")</f>
        <v>In-Person</v>
      </c>
      <c r="H689" s="7" t="str">
        <f>IFERROR(__xludf.DUMMYFUNCTION("""COMPUTED_VALUE"""),"Hall 4/5")</f>
        <v>Hall 4/5</v>
      </c>
      <c r="I689" s="7" t="str">
        <f>IFERROR(__xludf.DUMMYFUNCTION("""COMPUTED_VALUE"""),"Session 7: IP-Posters")</f>
        <v>Session 7: IP-Posters</v>
      </c>
      <c r="J689" s="7" t="str">
        <f>IFERROR(__xludf.DUMMYFUNCTION("""COMPUTED_VALUE"""),"Findings Posters - In-Person 2")</f>
        <v>Findings Posters - In-Person 2</v>
      </c>
      <c r="K689" s="7"/>
      <c r="L689" s="8">
        <f>IFERROR(__xludf.DUMMYFUNCTION("""COMPUTED_VALUE"""),45867.0)</f>
        <v>45867</v>
      </c>
      <c r="M689" s="7" t="str">
        <f>IFERROR(__xludf.DUMMYFUNCTION("""COMPUTED_VALUE"""),"10:30-12:00")</f>
        <v>10:30-12:00</v>
      </c>
      <c r="N689" s="7"/>
    </row>
    <row r="690">
      <c r="A690" s="7" t="str">
        <f>IFERROR(__xludf.DUMMYFUNCTION("""COMPUTED_VALUE"""),"2388-FIND")</f>
        <v>2388-FIND</v>
      </c>
      <c r="B690" s="7" t="str">
        <f>IFERROR(__xludf.DUMMYFUNCTION("""COMPUTED_VALUE"""),"Voting or Consensus? Decision-Making in Multi-Agent Debate")</f>
        <v>Voting or Consensus? Decision-Making in Multi-Agent Debate</v>
      </c>
      <c r="C690" s="7" t="str">
        <f>IFERROR(__xludf.DUMMYFUNCTION("""COMPUTED_VALUE"""),"Much of the success of multi-agent debates depends on carefully choosing the right parameters. The decision-making protocol stands out as it can highly impact final model answers, depending on how decisions are reached. Systematic comparison of decision p"&amp;"rotocols is difficult because many studies alter multiple discussion parameters beyond the protocol. So far, it has been largely unknown how decision-making influences different tasks. This work systematically evaluates the impact of seven decision protoc"&amp;"ols (e.g., majority voting, unanimity consensus). We change only one variable at a time - the decision protocol - to analyze how different methods affect the collaboration between agents and measure differences in knowledge and reasoning tasks. Our result"&amp;"s show that voting protocols improve performance by 13.2% in reasoning tasks and consensus protocols by 2.8% in knowledge tasks compared to other decision protocols. Increasing the number of agents improves performance, while more discussion rounds before"&amp;" voting reduce it. To improve decision-making by increasing answer diversity, we propose two new methods, All-Agents Drafting (AAD) and Collective Improvement (CI). Our methods improve task performance by up to 3.3% with AAD and up to 7.4% with CI. This w"&amp;"ork demonstrates the importance of decision-making in multi-agent debates beyond scaling.")</f>
        <v>Much of the success of multi-agent debates depends on carefully choosing the right parameters. The decision-making protocol stands out as it can highly impact final model answers, depending on how decisions are reached. Systematic comparison of decision protocols is difficult because many studies alter multiple discussion parameters beyond the protocol. So far, it has been largely unknown how decision-making influences different tasks. This work systematically evaluates the impact of seven decision protocols (e.g., majority voting, unanimity consensus). We change only one variable at a time - the decision protocol - to analyze how different methods affect the collaboration between agents and measure differences in knowledge and reasoning tasks. Our results show that voting protocols improve performance by 13.2% in reasoning tasks and consensus protocols by 2.8% in knowledge tasks compared to other decision protocols. Increasing the number of agents improves performance, while more discussion rounds before voting reduce it. To improve decision-making by increasing answer diversity, we propose two new methods, All-Agents Drafting (AAD) and Collective Improvement (CI). Our methods improve task performance by up to 3.3% with AAD and up to 7.4% with CI. This work demonstrates the importance of decision-making in multi-agent debates beyond scaling.</v>
      </c>
      <c r="D690" s="7" t="str">
        <f>IFERROR(__xludf.DUMMYFUNCTION("""COMPUTED_VALUE"""),"Lars Benedikt Kaesberg")</f>
        <v>Lars Benedikt Kaesberg</v>
      </c>
      <c r="E690" s="7" t="str">
        <f>IFERROR(__xludf.DUMMYFUNCTION("""COMPUTED_VALUE"""),"Yes")</f>
        <v>Yes</v>
      </c>
      <c r="F690" s="7" t="str">
        <f>IFERROR(__xludf.DUMMYFUNCTION("""COMPUTED_VALUE"""),"IP-Poster")</f>
        <v>IP-Poster</v>
      </c>
      <c r="G690" s="7" t="str">
        <f>IFERROR(__xludf.DUMMYFUNCTION("""COMPUTED_VALUE"""),"In-Person")</f>
        <v>In-Person</v>
      </c>
      <c r="H690" s="7" t="str">
        <f>IFERROR(__xludf.DUMMYFUNCTION("""COMPUTED_VALUE"""),"Hall 4/5")</f>
        <v>Hall 4/5</v>
      </c>
      <c r="I690" s="7" t="str">
        <f>IFERROR(__xludf.DUMMYFUNCTION("""COMPUTED_VALUE"""),"Session 5 :IP-Posters Find ")</f>
        <v>Session 5 :IP-Posters Find </v>
      </c>
      <c r="J690" s="7" t="str">
        <f>IFERROR(__xludf.DUMMYFUNCTION("""COMPUTED_VALUE"""),"Findings Posters - In-Person 1")</f>
        <v>Findings Posters - In-Person 1</v>
      </c>
      <c r="K690" s="7"/>
      <c r="L690" s="8">
        <f>IFERROR(__xludf.DUMMYFUNCTION("""COMPUTED_VALUE"""),45866.0)</f>
        <v>45866</v>
      </c>
      <c r="M690" s="7" t="str">
        <f>IFERROR(__xludf.DUMMYFUNCTION("""COMPUTED_VALUE"""),"18:00-19:30")</f>
        <v>18:00-19:30</v>
      </c>
      <c r="N690" s="7"/>
    </row>
    <row r="691">
      <c r="A691" s="7" t="str">
        <f>IFERROR(__xludf.DUMMYFUNCTION("""COMPUTED_VALUE"""),"2395-FIND")</f>
        <v>2395-FIND</v>
      </c>
      <c r="B691" s="7" t="str">
        <f>IFERROR(__xludf.DUMMYFUNCTION("""COMPUTED_VALUE"""),"Rhetorical Device-Aware Sarcasm Detection with Counterfactual Data Augmentation")</f>
        <v>Rhetorical Device-Aware Sarcasm Detection with Counterfactual Data Augmentation</v>
      </c>
      <c r="C691" s="7" t="str">
        <f>IFERROR(__xludf.DUMMYFUNCTION("""COMPUTED_VALUE"""),"Sarcasm is a complex form of sentiment expression widely used in human daily life. Previous work primarily defines sarcasm as a form of verbal irony, which covers only a subset of real-world sarcastic expressions. However, sarcasm serves multifaceted func"&amp;"tions and manifests itself through various rhetorical devices, such as echoic mention, rhetorical question and hyperbole. To fully capture its complexity, this paper investigates fine-grained sarcasm classification through the lens of rhetorical devices, "&amp;"and introduces RedSD, a RhEtorical Device-Aware Sarcasm Dataset with counterfactually augmented data.To construct the dataset, we extract sarcastic dialogues from situation comedies (i.e., sitcoms), and summarize nine rhetorical devices commonly employed "&amp;"in sarcasm. We then propose a rhetorical device-aware counterfactual data generation pipeline facilitated by both Large Language Models (LLMs) and human revision. Additionally, we propose duplex counterfactual augmentation that generates counterfactuals f"&amp;"or both sarcastic and non-sarcastic dialogues, to further enhance the scale and diversity of the dataset.Experimental results on the dataset demonstrate that fine-tuned models exhibit a more balanced performance compared to zero-shot models, including GPT"&amp;"-3.5 and LLaMA 3.1, underscoring the importance of integrating various rhetorical devices in sarcasm detection. Our dataset is avaliable at https://github.com/qqHong73/RedSD.")</f>
        <v>Sarcasm is a complex form of sentiment expression widely used in human daily life. Previous work primarily defines sarcasm as a form of verbal irony, which covers only a subset of real-world sarcastic expressions. However, sarcasm serves multifaceted functions and manifests itself through various rhetorical devices, such as echoic mention, rhetorical question and hyperbole. To fully capture its complexity, this paper investigates fine-grained sarcasm classification through the lens of rhetorical devices, and introduces RedSD, a RhEtorical Device-Aware Sarcasm Dataset with counterfactually augmented data.To construct the dataset, we extract sarcastic dialogues from situation comedies (i.e., sitcoms), and summarize nine rhetorical devices commonly employed in sarcasm. We then propose a rhetorical device-aware counterfactual data generation pipeline facilitated by both Large Language Models (LLMs) and human revision. Additionally, we propose duplex counterfactual augmentation that generates counterfactuals for both sarcastic and non-sarcastic dialogues, to further enhance the scale and diversity of the dataset.Experimental results on the dataset demonstrate that fine-tuned models exhibit a more balanced performance compared to zero-shot models, including GPT-3.5 and LLaMA 3.1, underscoring the importance of integrating various rhetorical devices in sarcasm detection. Our dataset is avaliable at https://github.com/qqHong73/RedSD.</v>
      </c>
      <c r="D691" s="7" t="str">
        <f>IFERROR(__xludf.DUMMYFUNCTION("""COMPUTED_VALUE"""),"Qingqing Hong")</f>
        <v>Qingqing Hong</v>
      </c>
      <c r="E691" s="7" t="str">
        <f>IFERROR(__xludf.DUMMYFUNCTION("""COMPUTED_VALUE"""),"Yes")</f>
        <v>Yes</v>
      </c>
      <c r="F691" s="7" t="str">
        <f>IFERROR(__xludf.DUMMYFUNCTION("""COMPUTED_VALUE"""),"V-Presentation")</f>
        <v>V-Presentation</v>
      </c>
      <c r="G691" s="7" t="str">
        <f>IFERROR(__xludf.DUMMYFUNCTION("""COMPUTED_VALUE"""),"Virtual/Gather")</f>
        <v>Virtual/Gather</v>
      </c>
      <c r="H691" s="7" t="str">
        <f>IFERROR(__xludf.DUMMYFUNCTION("""COMPUTED_VALUE"""),"Gather")</f>
        <v>Gather</v>
      </c>
      <c r="I691" s="7" t="str">
        <f>IFERROR(__xludf.DUMMYFUNCTION("""COMPUTED_VALUE"""),"Session5: V-Gather Find")</f>
        <v>Session5: V-Gather Find</v>
      </c>
      <c r="J691" s="7" t="str">
        <f>IFERROR(__xludf.DUMMYFUNCTION("""COMPUTED_VALUE"""),"Findings Posters - Virtual")</f>
        <v>Findings Posters - Virtual</v>
      </c>
      <c r="K691" s="7"/>
      <c r="L691" s="8">
        <f>IFERROR(__xludf.DUMMYFUNCTION("""COMPUTED_VALUE"""),45866.0)</f>
        <v>45866</v>
      </c>
      <c r="M691" s="7" t="str">
        <f>IFERROR(__xludf.DUMMYFUNCTION("""COMPUTED_VALUE"""),"18:00-19:30")</f>
        <v>18:00-19:30</v>
      </c>
      <c r="N691" s="7"/>
    </row>
    <row r="692">
      <c r="A692" s="7" t="str">
        <f>IFERROR(__xludf.DUMMYFUNCTION("""COMPUTED_VALUE"""),"2399-FIND")</f>
        <v>2399-FIND</v>
      </c>
      <c r="B692" s="7" t="str">
        <f>IFERROR(__xludf.DUMMYFUNCTION("""COMPUTED_VALUE"""),"Selecting Demonstrations for Many-Shot In-Context Learning via Gradient Matching")</f>
        <v>Selecting Demonstrations for Many-Shot In-Context Learning via Gradient Matching</v>
      </c>
      <c r="C692" s="7" t="str">
        <f>IFERROR(__xludf.DUMMYFUNCTION("""COMPUTED_VALUE"""),"In-Context Learning (ICL) empowers Large Language Models (LLMs) for rapid task adaptation without Fine-Tuning (FT), but its reliance on demonstration selection remains a critical challenge. While many-shot ICL shows promising performance through scaled de"&amp;"monstrations, the selection method for many-shot demonstrations remains limited to random selection in existing work. Since the conventional instance-level retrieval is not suitable for many-shot scenarios, we hypothesize that the data requirements for in"&amp;"-context learning and fine-tuning are analogous. To this end, we introduce a novel gradient matching approach that selects demonstrations by aligning fine-tuning gradients between the entire training set of the target task and the selected examples, so as"&amp;" to approach the learning effect on the entire training set within the selected examples. Through gradient matching on relatively small models, e.g., Qwen2.5-3B or Llama3-8B, our method consistently outperforms random selection on larger LLMs from 4-shot "&amp;"to 128-shot scenarios across 9 diverse datasets. For instance, it surpasses random selection by 4% on Qwen2.5-72B and Llama3-70B, and by around 2% on 5 closed-source LLMs. This work unlocks more reliable and effective many-shot ICL, paving the way for its"&amp;" broader application.")</f>
        <v>In-Context Learning (ICL) empowers Large Language Models (LLMs) for rapid task adaptation without Fine-Tuning (FT), but its reliance on demonstration selection remains a critical challenge. While many-shot ICL shows promising performance through scaled demonstrations, the selection method for many-shot demonstrations remains limited to random selection in existing work. Since the conventional instance-level retrieval is not suitable for many-shot scenarios, we hypothesize that the data requirements for in-context learning and fine-tuning are analogous. To this end, we introduce a novel gradient matching approach that selects demonstrations by aligning fine-tuning gradients between the entire training set of the target task and the selected examples, so as to approach the learning effect on the entire training set within the selected examples. Through gradient matching on relatively small models, e.g., Qwen2.5-3B or Llama3-8B, our method consistently outperforms random selection on larger LLMs from 4-shot to 128-shot scenarios across 9 diverse datasets. For instance, it surpasses random selection by 4% on Qwen2.5-72B and Llama3-70B, and by around 2% on 5 closed-source LLMs. This work unlocks more reliable and effective many-shot ICL, paving the way for its broader application.</v>
      </c>
      <c r="D692" s="7" t="str">
        <f>IFERROR(__xludf.DUMMYFUNCTION("""COMPUTED_VALUE"""),"Jianfei Zhang")</f>
        <v>Jianfei Zhang</v>
      </c>
      <c r="E692" s="7" t="str">
        <f>IFERROR(__xludf.DUMMYFUNCTION("""COMPUTED_VALUE"""),"#N/A")</f>
        <v>#N/A</v>
      </c>
      <c r="F692" s="7" t="str">
        <f>IFERROR(__xludf.DUMMYFUNCTION("""COMPUTED_VALUE"""),"Not Pres. ")</f>
        <v>Not Pres. </v>
      </c>
      <c r="G692" s="7" t="str">
        <f>IFERROR(__xludf.DUMMYFUNCTION("""COMPUTED_VALUE"""),"NP Findings Not Presenting ")</f>
        <v>NP Findings Not Presenting </v>
      </c>
      <c r="H692" s="7"/>
      <c r="I692" s="7" t="str">
        <f>IFERROR(__xludf.DUMMYFUNCTION("""COMPUTED_VALUE"""),"NP-Find")</f>
        <v>NP-Find</v>
      </c>
      <c r="J692" s="7"/>
      <c r="K692" s="7"/>
      <c r="L692" s="8"/>
      <c r="M692" s="7"/>
      <c r="N692" s="7"/>
    </row>
    <row r="693">
      <c r="A693" s="7" t="str">
        <f>IFERROR(__xludf.DUMMYFUNCTION("""COMPUTED_VALUE"""),"2400-FIND")</f>
        <v>2400-FIND</v>
      </c>
      <c r="B693" s="7" t="str">
        <f>IFERROR(__xludf.DUMMYFUNCTION("""COMPUTED_VALUE"""),"Cheap Character Noise for OCR-Robust Multilingual Embeddings")</f>
        <v>Cheap Character Noise for OCR-Robust Multilingual Embeddings</v>
      </c>
      <c r="C693" s="7" t="str">
        <f>IFERROR(__xludf.DUMMYFUNCTION("""COMPUTED_VALUE"""),"The rapid growth of text collections digitized by imperfect OCR systems requires semantic search models that can perform well in noisy texts. Such collections are highly heterogeneous, with varying degrees of OCR quality, spelling conventions and other in"&amp;"consistencies ---all phenomena that are underrepresented in the training data of standard embedding models, with ramifications for their generalization. In our paper, we show that this problem can be alleviated with a simple and inexpensive method that do"&amp;"es not require supervision or in-domain training. Specifically, we fine-tune existing multilingual models using noisy texts and a contrastive loss. We show that these models show considerable improvements across different noise conditions. Control experim"&amp;"ents show minimal performance loss on conventional similarity tasks, with occasional improvements. Our results demonstrate that it is possible to cheaply adapt embedding models as cross-lingual semantic search systems that generalize to heterogeneous digi"&amp;"tized corpora.")</f>
        <v>The rapid growth of text collections digitized by imperfect OCR systems requires semantic search models that can perform well in noisy texts. Such collections are highly heterogeneous, with varying degrees of OCR quality, spelling conventions and other inconsistencies ---all phenomena that are underrepresented in the training data of standard embedding models, with ramifications for their generalization. In our paper, we show that this problem can be alleviated with a simple and inexpensive method that does not require supervision or in-domain training. Specifically, we fine-tune existing multilingual models using noisy texts and a contrastive loss. We show that these models show considerable improvements across different noise conditions. Control experiments show minimal performance loss on conventional similarity tasks, with occasional improvements. Our results demonstrate that it is possible to cheaply adapt embedding models as cross-lingual semantic search systems that generalize to heterogeneous digitized corpora.</v>
      </c>
      <c r="D693" s="7" t="str">
        <f>IFERROR(__xludf.DUMMYFUNCTION("""COMPUTED_VALUE"""),"Andrianos Michail")</f>
        <v>Andrianos Michail</v>
      </c>
      <c r="E693" s="7" t="str">
        <f>IFERROR(__xludf.DUMMYFUNCTION("""COMPUTED_VALUE"""),"Yes")</f>
        <v>Yes</v>
      </c>
      <c r="F693" s="7" t="str">
        <f>IFERROR(__xludf.DUMMYFUNCTION("""COMPUTED_VALUE"""),"IP-Poster")</f>
        <v>IP-Poster</v>
      </c>
      <c r="G693" s="7" t="str">
        <f>IFERROR(__xludf.DUMMYFUNCTION("""COMPUTED_VALUE"""),"In-Person")</f>
        <v>In-Person</v>
      </c>
      <c r="H693" s="7" t="str">
        <f>IFERROR(__xludf.DUMMYFUNCTION("""COMPUTED_VALUE"""),"Hall 4/5")</f>
        <v>Hall 4/5</v>
      </c>
      <c r="I693" s="7" t="str">
        <f>IFERROR(__xludf.DUMMYFUNCTION("""COMPUTED_VALUE"""),"Session 5 :IP-Posters Find ")</f>
        <v>Session 5 :IP-Posters Find </v>
      </c>
      <c r="J693" s="7" t="str">
        <f>IFERROR(__xludf.DUMMYFUNCTION("""COMPUTED_VALUE"""),"Findings Posters - In-Person 1")</f>
        <v>Findings Posters - In-Person 1</v>
      </c>
      <c r="K693" s="7"/>
      <c r="L693" s="8">
        <f>IFERROR(__xludf.DUMMYFUNCTION("""COMPUTED_VALUE"""),45866.0)</f>
        <v>45866</v>
      </c>
      <c r="M693" s="7" t="str">
        <f>IFERROR(__xludf.DUMMYFUNCTION("""COMPUTED_VALUE"""),"18:00-19:30")</f>
        <v>18:00-19:30</v>
      </c>
      <c r="N693" s="7"/>
    </row>
    <row r="694">
      <c r="A694" s="7" t="str">
        <f>IFERROR(__xludf.DUMMYFUNCTION("""COMPUTED_VALUE"""),"2403-FIND")</f>
        <v>2403-FIND</v>
      </c>
      <c r="B694" s="7" t="str">
        <f>IFERROR(__xludf.DUMMYFUNCTION("""COMPUTED_VALUE"""),"Physics: Benchmarking Foundation Models for PhD-Qualifying Exam Physics Problem Solving")</f>
        <v>Physics: Benchmarking Foundation Models for PhD-Qualifying Exam Physics Problem Solving</v>
      </c>
      <c r="C694" s="7" t="str">
        <f>IFERROR(__xludf.DUMMYFUNCTION("""COMPUTED_VALUE"""),"We introduce Physics, a comprehensive benchmark for PhD-qualifying exam physics problem solving. It contains 1297 expert-annotated problems covering six core areas: classical mechanics, quantum mechanics, thermodynamics and statistical mechanics, electrom"&amp;"agnetism, atomic physics, and optics. Each problem requires advanced physics knowledge and mathematical reasoning. We develop a robust automated evaluation system for precise and reliable validation. Our evaluation of leading foundation models reveals sub"&amp;"stantial limitations. Even the most advanced model, o3-mini, achieves only 59.9% accuracy, highlighting significant challenges in solving high-level scientific problems. Through comprehensive error analysis, exploration of diverse prompting strategies, an"&amp;"d RAG-based knowledge augmentation, we identify key areas for improvement, laying the foundation for future advancements.")</f>
        <v>We introduce Physics, a comprehensive benchmark for PhD-qualifying exam physics problem solving. It contains 1297 expert-annotated problems covering six core areas: classical mechanics, quantum mechanics, thermodynamics and statistical mechanics, electromagnetism, atomic physics, and optics. Each problem requires advanced physics knowledge and mathematical reasoning. We develop a robust automated evaluation system for precise and reliable validation. Our evaluation of leading foundation models reveals substantial limitations. Even the most advanced model, o3-mini, achieves only 59.9% accuracy, highlighting significant challenges in solving high-level scientific problems. Through comprehensive error analysis, exploration of diverse prompting strategies, and RAG-based knowledge augmentation, we identify key areas for improvement, laying the foundation for future advancements.</v>
      </c>
      <c r="D694" s="7" t="str">
        <f>IFERROR(__xludf.DUMMYFUNCTION("""COMPUTED_VALUE"""),"Kaiyue Feng")</f>
        <v>Kaiyue Feng</v>
      </c>
      <c r="E694" s="7" t="str">
        <f>IFERROR(__xludf.DUMMYFUNCTION("""COMPUTED_VALUE"""),"Yes")</f>
        <v>Yes</v>
      </c>
      <c r="F694" s="7" t="str">
        <f>IFERROR(__xludf.DUMMYFUNCTION("""COMPUTED_VALUE"""),"IP-Poster")</f>
        <v>IP-Poster</v>
      </c>
      <c r="G694" s="7" t="str">
        <f>IFERROR(__xludf.DUMMYFUNCTION("""COMPUTED_VALUE"""),"In-Person")</f>
        <v>In-Person</v>
      </c>
      <c r="H694" s="7" t="str">
        <f>IFERROR(__xludf.DUMMYFUNCTION("""COMPUTED_VALUE"""),"Hall 4/5")</f>
        <v>Hall 4/5</v>
      </c>
      <c r="I694" s="7" t="str">
        <f>IFERROR(__xludf.DUMMYFUNCTION("""COMPUTED_VALUE"""),"Session 7: IP-Posters")</f>
        <v>Session 7: IP-Posters</v>
      </c>
      <c r="J694" s="7" t="str">
        <f>IFERROR(__xludf.DUMMYFUNCTION("""COMPUTED_VALUE"""),"Findings Posters - In-Person 2")</f>
        <v>Findings Posters - In-Person 2</v>
      </c>
      <c r="K694" s="7"/>
      <c r="L694" s="8">
        <f>IFERROR(__xludf.DUMMYFUNCTION("""COMPUTED_VALUE"""),45867.0)</f>
        <v>45867</v>
      </c>
      <c r="M694" s="7" t="str">
        <f>IFERROR(__xludf.DUMMYFUNCTION("""COMPUTED_VALUE"""),"10:30-12:00")</f>
        <v>10:30-12:00</v>
      </c>
      <c r="N694" s="7"/>
    </row>
    <row r="695">
      <c r="A695" s="7" t="str">
        <f>IFERROR(__xludf.DUMMYFUNCTION("""COMPUTED_VALUE"""),"2405-FIND")</f>
        <v>2405-FIND</v>
      </c>
      <c r="B695" s="7" t="str">
        <f>IFERROR(__xludf.DUMMYFUNCTION("""COMPUTED_VALUE"""),"DOVE: A Large-Scale Multi-Dimensional Predictions Dataset Towards Meaningful LLM Evaluation")</f>
        <v>DOVE: A Large-Scale Multi-Dimensional Predictions Dataset Towards Meaningful LLM Evaluation</v>
      </c>
      <c r="C695" s="7" t="str">
        <f>IFERROR(__xludf.DUMMYFUNCTION("""COMPUTED_VALUE"""),"Recent work found that LLMs are sensitive to a wide range of arbitrary prompt dimensions, including the type of delimiters, answer enumerators, instruction wording, and more. This throws into question popular single-prompt evaluation practices. In this wo"&amp;"rk, we present DOVE (Dataset Of Variation Evaluation) a large-scale dataset containing prompt perturbations of various evaluation benchmarks. In contrast to previous work, we examine LLM sensitivity from an holistic perspective, and assess the joint effec"&amp;"ts of perturbations along various dimensions, resulting in thousands of perturbations per instance. We evaluate several model families against DOVE, leading to several findings, including efficient methods for choosing well-performing prompts, observing t"&amp;"hat few-shot examples reduce sensitivity, and identifying instances which are inherently hard across all perturbations. DOVE consists of more than 300M prompt perturbations and model outputs, which we make publicly available to spur a community-wide effor"&amp;"t toward meaningful, robust, and efficient evaluation.")</f>
        <v>Recent work found that LLMs are sensitive to a wide range of arbitrary prompt dimensions, including the type of delimiters, answer enumerators, instruction wording, and more. This throws into question popular single-prompt evaluation practices. In this work, we present DOVE (Dataset Of Variation Evaluation) a large-scale dataset containing prompt perturbations of various evaluation benchmarks. In contrast to previous work, we examine LLM sensitivity from an holistic perspective, and assess the joint effects of perturbations along various dimensions, resulting in thousands of perturbations per instance. We evaluate several model families against DOVE, leading to several findings, including efficient methods for choosing well-performing prompts, observing that few-shot examples reduce sensitivity, and identifying instances which are inherently hard across all perturbations. DOVE consists of more than 300M prompt perturbations and model outputs, which we make publicly available to spur a community-wide effort toward meaningful, robust, and efficient evaluation.</v>
      </c>
      <c r="D695" s="7" t="str">
        <f>IFERROR(__xludf.DUMMYFUNCTION("""COMPUTED_VALUE"""),"Eliya Habba")</f>
        <v>Eliya Habba</v>
      </c>
      <c r="E695" s="7" t="str">
        <f>IFERROR(__xludf.DUMMYFUNCTION("""COMPUTED_VALUE"""),"Yes")</f>
        <v>Yes</v>
      </c>
      <c r="F695" s="7" t="str">
        <f>IFERROR(__xludf.DUMMYFUNCTION("""COMPUTED_VALUE"""),"IP-Poster")</f>
        <v>IP-Poster</v>
      </c>
      <c r="G695" s="7" t="str">
        <f>IFERROR(__xludf.DUMMYFUNCTION("""COMPUTED_VALUE"""),"In-Person")</f>
        <v>In-Person</v>
      </c>
      <c r="H695" s="7" t="str">
        <f>IFERROR(__xludf.DUMMYFUNCTION("""COMPUTED_VALUE"""),"Hall 4/5")</f>
        <v>Hall 4/5</v>
      </c>
      <c r="I695" s="7" t="str">
        <f>IFERROR(__xludf.DUMMYFUNCTION("""COMPUTED_VALUE"""),"Session 5 :IP-Posters Find ")</f>
        <v>Session 5 :IP-Posters Find </v>
      </c>
      <c r="J695" s="7" t="str">
        <f>IFERROR(__xludf.DUMMYFUNCTION("""COMPUTED_VALUE"""),"Findings Posters - In-Person 1")</f>
        <v>Findings Posters - In-Person 1</v>
      </c>
      <c r="K695" s="7"/>
      <c r="L695" s="8">
        <f>IFERROR(__xludf.DUMMYFUNCTION("""COMPUTED_VALUE"""),45866.0)</f>
        <v>45866</v>
      </c>
      <c r="M695" s="7" t="str">
        <f>IFERROR(__xludf.DUMMYFUNCTION("""COMPUTED_VALUE"""),"18:00-19:30")</f>
        <v>18:00-19:30</v>
      </c>
      <c r="N695" s="7"/>
    </row>
    <row r="696">
      <c r="A696" s="7" t="str">
        <f>IFERROR(__xludf.DUMMYFUNCTION("""COMPUTED_VALUE"""),"2409-FIND")</f>
        <v>2409-FIND</v>
      </c>
      <c r="B696" s="7" t="str">
        <f>IFERROR(__xludf.DUMMYFUNCTION("""COMPUTED_VALUE"""),"ALPS: Attention Localization and Pruning Strategy for Efficient Adaptation of Large Language Models")</f>
        <v>ALPS: Attention Localization and Pruning Strategy for Efficient Adaptation of Large Language Models</v>
      </c>
      <c r="C696" s="7" t="str">
        <f>IFERROR(__xludf.DUMMYFUNCTION("""COMPUTED_VALUE"""),"Aligning general-purpose large language models (LLMs) to downstream tasks often incurs significant training adjustment costs. Prior research has explored various avenues to enhance alignment efficiency, primarily through minimal-data training or data-driv"&amp;"en activations to identify key attention heads. However, these approaches inherently introduce data dependency, which hinders generalization and reusability. To address this issue and enhance model alignment efficiency, we propose the Attention Localizati"&amp;"on and Pruning Strategy ALPS, an efficient algorithm that localizes the most task-sensitive attention heads and prunes by restricting attention training updates to these heads, thereby reducing alignment costs. Experimental results demonstrate that our me"&amp;"thod activates only 10% of attention parameters during fine-tuning while achieving a 2% performance improvement over baselines on three tasks. Moreover, the identified task-specific heads are transferable across datasets and mitigate knowledge forgetting."&amp;" Our work and findings provide a novel perspective on efficient LLM alignment.")</f>
        <v>Aligning general-purpose large language models (LLMs) to downstream tasks often incurs significant training adjustment costs. Prior research has explored various avenues to enhance alignment efficiency, primarily through minimal-data training or data-driven activations to identify key attention heads. However, these approaches inherently introduce data dependency, which hinders generalization and reusability. To address this issue and enhance model alignment efficiency, we propose the Attention Localization and Pruning Strategy ALPS, an efficient algorithm that localizes the most task-sensitive attention heads and prunes by restricting attention training updates to these heads, thereby reducing alignment costs. Experimental results demonstrate that our method activates only 10% of attention parameters during fine-tuning while achieving a 2% performance improvement over baselines on three tasks. Moreover, the identified task-specific heads are transferable across datasets and mitigate knowledge forgetting. Our work and findings provide a novel perspective on efficient LLM alignment.</v>
      </c>
      <c r="D696" s="7" t="str">
        <f>IFERROR(__xludf.DUMMYFUNCTION("""COMPUTED_VALUE"""),"Hao Chen")</f>
        <v>Hao Chen</v>
      </c>
      <c r="E696" s="7" t="str">
        <f>IFERROR(__xludf.DUMMYFUNCTION("""COMPUTED_VALUE"""),"Yes")</f>
        <v>Yes</v>
      </c>
      <c r="F696" s="7" t="str">
        <f>IFERROR(__xludf.DUMMYFUNCTION("""COMPUTED_VALUE"""),"IP-Poster")</f>
        <v>IP-Poster</v>
      </c>
      <c r="G696" s="7" t="str">
        <f>IFERROR(__xludf.DUMMYFUNCTION("""COMPUTED_VALUE"""),"In-Person")</f>
        <v>In-Person</v>
      </c>
      <c r="H696" s="7" t="str">
        <f>IFERROR(__xludf.DUMMYFUNCTION("""COMPUTED_VALUE"""),"Hall 4/5")</f>
        <v>Hall 4/5</v>
      </c>
      <c r="I696" s="7" t="str">
        <f>IFERROR(__xludf.DUMMYFUNCTION("""COMPUTED_VALUE"""),"Session 5 :IP-Posters Find ")</f>
        <v>Session 5 :IP-Posters Find </v>
      </c>
      <c r="J696" s="7" t="str">
        <f>IFERROR(__xludf.DUMMYFUNCTION("""COMPUTED_VALUE"""),"Findings Posters - In-Person 1")</f>
        <v>Findings Posters - In-Person 1</v>
      </c>
      <c r="K696" s="7"/>
      <c r="L696" s="8">
        <f>IFERROR(__xludf.DUMMYFUNCTION("""COMPUTED_VALUE"""),45866.0)</f>
        <v>45866</v>
      </c>
      <c r="M696" s="7" t="str">
        <f>IFERROR(__xludf.DUMMYFUNCTION("""COMPUTED_VALUE"""),"18:00-19:30")</f>
        <v>18:00-19:30</v>
      </c>
      <c r="N696" s="7"/>
    </row>
    <row r="697">
      <c r="A697" s="7" t="str">
        <f>IFERROR(__xludf.DUMMYFUNCTION("""COMPUTED_VALUE"""),"2417-FIND")</f>
        <v>2417-FIND</v>
      </c>
      <c r="B697" s="7" t="str">
        <f>IFERROR(__xludf.DUMMYFUNCTION("""COMPUTED_VALUE"""),"DeTAM: Defending LLMs Against Jailbreak Attacks via Targeted Attention Modification")</f>
        <v>DeTAM: Defending LLMs Against Jailbreak Attacks via Targeted Attention Modification</v>
      </c>
      <c r="C697" s="7" t="str">
        <f>IFERROR(__xludf.DUMMYFUNCTION("""COMPUTED_VALUE"""),"With the widespread adoption of Large Language Models (LLMs), jailbreak attacks have become an increasingly pressing safety concern. While safety-aligned LLMs can effectively defend against normal harmful queries, they remain vulnerable to such attacks. E"&amp;"xisting defense methods primarily rely on fine-tuning or input modification, which often suffer from limited generalization and reduced utility. To address this, we introduce DeTAM, a finetuning-free defense approach that improves the defensive capabiliti"&amp;"es to jailbreak attacks of LLMs via targeted attention modification. Specifically, we analyze the differences in attention scores between successful and unsuccessful defenses to identify the attention heads sensitive to jailbreak attacks. During inference"&amp;", we reallocate attention to emphasize the user's core intention, minimizing interference from attack tokens. Our experimental results demonstrate that DeTAM outperforms various baselines in jailbreak defense and exhibits robust generalization across diff"&amp;"erent attacks and models, maintaining its effectiveness even on in-the-wild jailbreak data. Furthermore, in evaluating the model's utility, we incorporated over-defense datasets, which further validate the superior performance of our approach.")</f>
        <v>With the widespread adoption of Large Language Models (LLMs), jailbreak attacks have become an increasingly pressing safety concern. While safety-aligned LLMs can effectively defend against normal harmful queries, they remain vulnerable to such attacks. Existing defense methods primarily rely on fine-tuning or input modification, which often suffer from limited generalization and reduced utility. To address this, we introduce DeTAM, a finetuning-free defense approach that improves the defensive capabilities to jailbreak attacks of LLMs via targeted attention modification. Specifically, we analyze the differences in attention scores between successful and unsuccessful defenses to identify the attention heads sensitive to jailbreak attacks. During inference, we reallocate attention to emphasize the user's core intention, minimizing interference from attack tokens. Our experimental results demonstrate that DeTAM outperforms various baselines in jailbreak defense and exhibits robust generalization across different attacks and models, maintaining its effectiveness even on in-the-wild jailbreak data. Furthermore, in evaluating the model's utility, we incorporated over-defense datasets, which further validate the superior performance of our approach.</v>
      </c>
      <c r="D697" s="7" t="str">
        <f>IFERROR(__xludf.DUMMYFUNCTION("""COMPUTED_VALUE"""),"Yu Li")</f>
        <v>Yu Li</v>
      </c>
      <c r="E697" s="7" t="str">
        <f>IFERROR(__xludf.DUMMYFUNCTION("""COMPUTED_VALUE"""),"#N/A")</f>
        <v>#N/A</v>
      </c>
      <c r="F697" s="7" t="str">
        <f>IFERROR(__xludf.DUMMYFUNCTION("""COMPUTED_VALUE"""),"Not Pres. ")</f>
        <v>Not Pres. </v>
      </c>
      <c r="G697" s="7" t="str">
        <f>IFERROR(__xludf.DUMMYFUNCTION("""COMPUTED_VALUE"""),"NP Findings Not Presenting ")</f>
        <v>NP Findings Not Presenting </v>
      </c>
      <c r="H697" s="7"/>
      <c r="I697" s="7" t="str">
        <f>IFERROR(__xludf.DUMMYFUNCTION("""COMPUTED_VALUE"""),"NP-Find")</f>
        <v>NP-Find</v>
      </c>
      <c r="J697" s="7"/>
      <c r="K697" s="7"/>
      <c r="L697" s="8"/>
      <c r="M697" s="7"/>
      <c r="N697" s="7"/>
    </row>
    <row r="698">
      <c r="A698" s="7" t="str">
        <f>IFERROR(__xludf.DUMMYFUNCTION("""COMPUTED_VALUE"""),"2419-FIND")</f>
        <v>2419-FIND</v>
      </c>
      <c r="B698" s="7" t="str">
        <f>IFERROR(__xludf.DUMMYFUNCTION("""COMPUTED_VALUE"""),"A Survey of Mathematical Reasoning in the Era of Multimodal Large Language Model: Benchmark, Method &amp; Challenges")</f>
        <v>A Survey of Mathematical Reasoning in the Era of Multimodal Large Language Model: Benchmark, Method &amp; Challenges</v>
      </c>
      <c r="C698" s="7" t="str">
        <f>IFERROR(__xludf.DUMMYFUNCTION("""COMPUTED_VALUE"""),"Mathematical reasoning, a core aspect of human cognition, is vital across many domains, from educational problem-solving to scientific advancements. As artificial general intelligence (AGI) progresses, integrating large language models (LLMs) with mathema"&amp;"tical reasoning tasks is becoming increasingly significant. This survey provides **the first comprehensive analysis of mathematical reasoning in the era of multimodal large language models (MLLMs)**. We review over 200 studies published since 2021, and ex"&amp;"amine the state-of-the-art developments in Math-LLMs, with a focus on multimodal settings. We categorize the field into three dimensions: benchmarks, methodologies, and challenges. In particular, we explore multimodal mathematical reasoning pipeline, as w"&amp;"ell as the role of (M)LLMs and the associated methodologies. Finally, we identify five major challenges hindering the realization of AGI in this domain, offering insights into the future direction for enhancing multimodal reasoning capabilities. This surv"&amp;"ey serves as a critical resource for the research community in advancing the capabilities of LLMs to tackle complex multimodal reasoning tasks.")</f>
        <v>Mathematical reasoning, a core aspect of human cognition, is vital across many domains, from educational problem-solving to scientific advancements. As artificial general intelligence (AGI) progresses, integrating large language models (LLMs) with mathematical reasoning tasks is becoming increasingly significant. This survey provides **the first comprehensive analysis of mathematical reasoning in the era of multimodal large language models (MLLMs)**. We review over 200 studies published since 2021, and examine the state-of-the-art developments in Math-LLMs, with a focus on multimodal settings. We categorize the field into three dimensions: benchmarks, methodologies, and challenges. In particular, we explore multimodal mathematical reasoning pipeline, as well as the role of (M)LLMs and the associated methodologies. Finally, we identify five major challenges hindering the realization of AGI in this domain, offering insights into the future direction for enhancing multimodal reasoning capabilities. This survey serves as a critical resource for the research community in advancing the capabilities of LLMs to tackle complex multimodal reasoning tasks.</v>
      </c>
      <c r="D698" s="7" t="str">
        <f>IFERROR(__xludf.DUMMYFUNCTION("""COMPUTED_VALUE"""),"Yibo Yan")</f>
        <v>Yibo Yan</v>
      </c>
      <c r="E698" s="7" t="str">
        <f>IFERROR(__xludf.DUMMYFUNCTION("""COMPUTED_VALUE"""),"Yes")</f>
        <v>Yes</v>
      </c>
      <c r="F698" s="7" t="str">
        <f>IFERROR(__xludf.DUMMYFUNCTION("""COMPUTED_VALUE"""),"IP-Poster")</f>
        <v>IP-Poster</v>
      </c>
      <c r="G698" s="7" t="str">
        <f>IFERROR(__xludf.DUMMYFUNCTION("""COMPUTED_VALUE"""),"In-Person")</f>
        <v>In-Person</v>
      </c>
      <c r="H698" s="7" t="str">
        <f>IFERROR(__xludf.DUMMYFUNCTION("""COMPUTED_VALUE"""),"Hall 4/5")</f>
        <v>Hall 4/5</v>
      </c>
      <c r="I698" s="7" t="str">
        <f>IFERROR(__xludf.DUMMYFUNCTION("""COMPUTED_VALUE"""),"Session 5 :IP-Posters Find ")</f>
        <v>Session 5 :IP-Posters Find </v>
      </c>
      <c r="J698" s="7" t="str">
        <f>IFERROR(__xludf.DUMMYFUNCTION("""COMPUTED_VALUE"""),"Findings Posters - In-Person 1")</f>
        <v>Findings Posters - In-Person 1</v>
      </c>
      <c r="K698" s="7"/>
      <c r="L698" s="8">
        <f>IFERROR(__xludf.DUMMYFUNCTION("""COMPUTED_VALUE"""),45866.0)</f>
        <v>45866</v>
      </c>
      <c r="M698" s="7" t="str">
        <f>IFERROR(__xludf.DUMMYFUNCTION("""COMPUTED_VALUE"""),"18:00-19:30")</f>
        <v>18:00-19:30</v>
      </c>
      <c r="N698" s="7"/>
    </row>
    <row r="699">
      <c r="A699" s="7" t="str">
        <f>IFERROR(__xludf.DUMMYFUNCTION("""COMPUTED_VALUE"""),"2422-FIND")</f>
        <v>2422-FIND</v>
      </c>
      <c r="B699" s="7" t="str">
        <f>IFERROR(__xludf.DUMMYFUNCTION("""COMPUTED_VALUE"""),"Fast-and-Frugal Text-Graph Transformers are Effective Link Predictors")</f>
        <v>Fast-and-Frugal Text-Graph Transformers are Effective Link Predictors</v>
      </c>
      <c r="C699" s="7" t="str">
        <f>IFERROR(__xludf.DUMMYFUNCTION("""COMPUTED_VALUE"""),"We propose Fast-and-Frugal Text-Graph (FnF-TG) Transformers, a Transformer-based framework that unifies textual and structural information for inductive link prediction in text-attributed knowledge graphs. We demonstrate that, by effectively encoding ego-"&amp;"graphs (1-hop neighbourhoods), we can reduce the reliance on resource-intensive textual encoders. This makes the model both fast at training and inference time, as well as frugal in terms of cost. We perform a comprehensive evaluation on three popular dat"&amp;"asets and show that FnF-TG can achieve superior performance compared to previous state-of-the-art methods. We also extend inductive learning to a fully inductive setting, where relations don't rely on transductive (fixed) representations, as in previous w"&amp;"ork, but are a function of their textual description. Additionally, we introduce new variants of existing datasets, specifically designed to test the performance of models on unseen relations at inference time, thus offering a new test-bench for fully ind"&amp;"uctive link prediction.")</f>
        <v>We propose Fast-and-Frugal Text-Graph (FnF-TG) Transformers, a Transformer-based framework that unifies textual and structural information for inductive link prediction in text-attributed knowledge graphs. We demonstrate that, by effectively encoding ego-graphs (1-hop neighbourhoods), we can reduce the reliance on resource-intensive textual encoders. This makes the model both fast at training and inference time, as well as frugal in terms of cost. We perform a comprehensive evaluation on three popular datasets and show that FnF-TG can achieve superior performance compared to previous state-of-the-art methods. We also extend inductive learning to a fully inductive setting, where relations don't rely on transductive (fixed) representations, as in previous work, but are a function of their textual description. Additionally, we introduce new variants of existing datasets, specifically designed to test the performance of models on unseen relations at inference time, thus offering a new test-bench for fully inductive link prediction.</v>
      </c>
      <c r="D699" s="7" t="str">
        <f>IFERROR(__xludf.DUMMYFUNCTION("""COMPUTED_VALUE"""),"Andrei Catalin Coman")</f>
        <v>Andrei Catalin Coman</v>
      </c>
      <c r="E699" s="7" t="str">
        <f>IFERROR(__xludf.DUMMYFUNCTION("""COMPUTED_VALUE"""),"Yes")</f>
        <v>Yes</v>
      </c>
      <c r="F699" s="7" t="str">
        <f>IFERROR(__xludf.DUMMYFUNCTION("""COMPUTED_VALUE"""),"IP-Poster")</f>
        <v>IP-Poster</v>
      </c>
      <c r="G699" s="7" t="str">
        <f>IFERROR(__xludf.DUMMYFUNCTION("""COMPUTED_VALUE"""),"In-Person")</f>
        <v>In-Person</v>
      </c>
      <c r="H699" s="7" t="str">
        <f>IFERROR(__xludf.DUMMYFUNCTION("""COMPUTED_VALUE"""),"Hall 4/5")</f>
        <v>Hall 4/5</v>
      </c>
      <c r="I699" s="7" t="str">
        <f>IFERROR(__xludf.DUMMYFUNCTION("""COMPUTED_VALUE"""),"Session 5 :IP-Posters Find ")</f>
        <v>Session 5 :IP-Posters Find </v>
      </c>
      <c r="J699" s="7" t="str">
        <f>IFERROR(__xludf.DUMMYFUNCTION("""COMPUTED_VALUE"""),"Findings Posters - In-Person 1")</f>
        <v>Findings Posters - In-Person 1</v>
      </c>
      <c r="K699" s="7"/>
      <c r="L699" s="8">
        <f>IFERROR(__xludf.DUMMYFUNCTION("""COMPUTED_VALUE"""),45866.0)</f>
        <v>45866</v>
      </c>
      <c r="M699" s="7" t="str">
        <f>IFERROR(__xludf.DUMMYFUNCTION("""COMPUTED_VALUE"""),"18:00-19:30")</f>
        <v>18:00-19:30</v>
      </c>
      <c r="N699" s="7"/>
    </row>
    <row r="700">
      <c r="A700" s="7" t="str">
        <f>IFERROR(__xludf.DUMMYFUNCTION("""COMPUTED_VALUE"""),"2425-FIND")</f>
        <v>2425-FIND</v>
      </c>
      <c r="B700" s="7" t="str">
        <f>IFERROR(__xludf.DUMMYFUNCTION("""COMPUTED_VALUE"""),"NeoQA: Evidence-based Question Answering with Generated News Events")</f>
        <v>NeoQA: Evidence-based Question Answering with Generated News Events</v>
      </c>
      <c r="C700" s="7" t="str">
        <f>IFERROR(__xludf.DUMMYFUNCTION("""COMPUTED_VALUE"""),"Evaluating Retrieval-Augmented Generation (RAG) in large language models (LLMs) is challenging because benchmarks can quickly become stale. Questions initially requiring retrieval may become answerable from pretraining knowledge as newer models incorporat"&amp;"e more recent information during pretraining, making it difficult to distinguish evidence-based reasoning from recall. We introduce NeoQA (News Events for Out-of-training Question Answering), a benchmark designed to address this issue. To construct NeoQA,"&amp;" we generated timelines and knowledge bases of fictional news events and entities along with news articles and Q&amp;A pairs to prevent LLMs from leveraging pretraining knowledge, ensuring that no prior evidence exists in their training data. We propose our d"&amp;"ataset as a new platform for evaluating evidence-based question answering, as it requires LLMs to generate responses exclusively from retrieved evidence and only when sufficient evidence is available. NeoQA enables controlled evaluation across various evi"&amp;"dence scenarios, including cases with missing or misleading details. Our findings indicate that LLMs struggle to distinguish subtle mismatches between questions and evidence, and suffer from short-cut reasoning when key information required to answer a qu"&amp;"estion is missing from the evidence, underscoring key limitations in evidence-based reasoning.")</f>
        <v>Evaluating Retrieval-Augmented Generation (RAG) in large language models (LLMs) is challenging because benchmarks can quickly become stale. Questions initially requiring retrieval may become answerable from pretraining knowledge as newer models incorporate more recent information during pretraining, making it difficult to distinguish evidence-based reasoning from recall. We introduce NeoQA (News Events for Out-of-training Question Answering), a benchmark designed to address this issue. To construct NeoQA, we generated timelines and knowledge bases of fictional news events and entities along with news articles and Q&amp;A pairs to prevent LLMs from leveraging pretraining knowledge, ensuring that no prior evidence exists in their training data. We propose our dataset as a new platform for evaluating evidence-based question answering, as it requires LLMs to generate responses exclusively from retrieved evidence and only when sufficient evidence is available. NeoQA enables controlled evaluation across various evidence scenarios, including cases with missing or misleading details. Our findings indicate that LLMs struggle to distinguish subtle mismatches between questions and evidence, and suffer from short-cut reasoning when key information required to answer a question is missing from the evidence, underscoring key limitations in evidence-based reasoning.</v>
      </c>
      <c r="D700" s="7" t="str">
        <f>IFERROR(__xludf.DUMMYFUNCTION("""COMPUTED_VALUE"""),"Markus Dreyer")</f>
        <v>Markus Dreyer</v>
      </c>
      <c r="E700" s="7" t="str">
        <f>IFERROR(__xludf.DUMMYFUNCTION("""COMPUTED_VALUE"""),"Yes")</f>
        <v>Yes</v>
      </c>
      <c r="F700" s="7" t="str">
        <f>IFERROR(__xludf.DUMMYFUNCTION("""COMPUTED_VALUE"""),"IP-Poster")</f>
        <v>IP-Poster</v>
      </c>
      <c r="G700" s="7" t="str">
        <f>IFERROR(__xludf.DUMMYFUNCTION("""COMPUTED_VALUE"""),"In-Person")</f>
        <v>In-Person</v>
      </c>
      <c r="H700" s="7" t="str">
        <f>IFERROR(__xludf.DUMMYFUNCTION("""COMPUTED_VALUE"""),"Hall 4/5")</f>
        <v>Hall 4/5</v>
      </c>
      <c r="I700" s="7" t="str">
        <f>IFERROR(__xludf.DUMMYFUNCTION("""COMPUTED_VALUE"""),"Session 7: IP-Posters")</f>
        <v>Session 7: IP-Posters</v>
      </c>
      <c r="J700" s="7" t="str">
        <f>IFERROR(__xludf.DUMMYFUNCTION("""COMPUTED_VALUE"""),"Findings Posters - In-Person 2")</f>
        <v>Findings Posters - In-Person 2</v>
      </c>
      <c r="K700" s="7"/>
      <c r="L700" s="8">
        <f>IFERROR(__xludf.DUMMYFUNCTION("""COMPUTED_VALUE"""),45867.0)</f>
        <v>45867</v>
      </c>
      <c r="M700" s="7" t="str">
        <f>IFERROR(__xludf.DUMMYFUNCTION("""COMPUTED_VALUE"""),"10:30-12:00")</f>
        <v>10:30-12:00</v>
      </c>
      <c r="N700" s="7"/>
    </row>
    <row r="701">
      <c r="A701" s="7" t="str">
        <f>IFERROR(__xludf.DUMMYFUNCTION("""COMPUTED_VALUE"""),"2427-FIND")</f>
        <v>2427-FIND</v>
      </c>
      <c r="B701" s="7" t="str">
        <f>IFERROR(__xludf.DUMMYFUNCTION("""COMPUTED_VALUE"""),"ChatMap: Mining Human Thought Processes for Customer Service Chatbots via Multi-Agent Collaboration")</f>
        <v>ChatMap: Mining Human Thought Processes for Customer Service Chatbots via Multi-Agent Collaboration</v>
      </c>
      <c r="C701" s="7" t="str">
        <f>IFERROR(__xludf.DUMMYFUNCTION("""COMPUTED_VALUE"""),"Leveraging Large Language Models (LLMs) to build domain-specific conversational agents, especially for e-commerce customer service chatbots, is a growing focus. While existing methods enhance dialogue performance by extracting core patterns from dialogue "&amp;"data and integrating them into models, two key challenges persist: (1) heavy reliance on human experts for dialogue strategy induction, and (2) LLM-based automatic extraction often focuses on summarizing specific behaviors, neglecting the underlying thoug"&amp;"ht processes behind strategy selection. In this paper, we present ChatMap, which focuses on enhancing customer service chatbots by mining thought processes using a Multi-Agent aPproach. Specifically, the process begins by extracting customer requests and "&amp;"solutions from a raw dialogue dataset, followed by clustering similar requests, analyzing the thought processes behind solutions, and refining service thoughts. Through a quality inspection and reflection mechanism, the final service thought dataset is ge"&amp;"nerated, helping chatbots provide more appropriate responses. Offline experimental results show that ChatMap performs comparably to manually annotated thought processes and significantly outperforms other baselines, demonstrating its ability to automate h"&amp;"uman annotation and enhance dialogue capabilities through strategic understanding. Online A/B tests on Taobao, a popular e-commerce platform in China reveal that ChatMap can better improve customer satisfaction and address customer requests from a busines"&amp;"s perspective.")</f>
        <v>Leveraging Large Language Models (LLMs) to build domain-specific conversational agents, especially for e-commerce customer service chatbots, is a growing focus. While existing methods enhance dialogue performance by extracting core patterns from dialogue data and integrating them into models, two key challenges persist: (1) heavy reliance on human experts for dialogue strategy induction, and (2) LLM-based automatic extraction often focuses on summarizing specific behaviors, neglecting the underlying thought processes behind strategy selection. In this paper, we present ChatMap, which focuses on enhancing customer service chatbots by mining thought processes using a Multi-Agent aPproach. Specifically, the process begins by extracting customer requests and solutions from a raw dialogue dataset, followed by clustering similar requests, analyzing the thought processes behind solutions, and refining service thoughts. Through a quality inspection and reflection mechanism, the final service thought dataset is generated, helping chatbots provide more appropriate responses. Offline experimental results show that ChatMap performs comparably to manually annotated thought processes and significantly outperforms other baselines, demonstrating its ability to automate human annotation and enhance dialogue capabilities through strategic understanding. Online A/B tests on Taobao, a popular e-commerce platform in China reveal that ChatMap can better improve customer satisfaction and address customer requests from a business perspective.</v>
      </c>
      <c r="D701" s="7" t="str">
        <f>IFERROR(__xludf.DUMMYFUNCTION("""COMPUTED_VALUE"""),"Guoming Wang")</f>
        <v>Guoming Wang</v>
      </c>
      <c r="E701" s="7" t="str">
        <f>IFERROR(__xludf.DUMMYFUNCTION("""COMPUTED_VALUE"""),"Yes")</f>
        <v>Yes</v>
      </c>
      <c r="F701" s="7" t="str">
        <f>IFERROR(__xludf.DUMMYFUNCTION("""COMPUTED_VALUE"""),"IP-Poster")</f>
        <v>IP-Poster</v>
      </c>
      <c r="G701" s="7" t="str">
        <f>IFERROR(__xludf.DUMMYFUNCTION("""COMPUTED_VALUE"""),"In-Person")</f>
        <v>In-Person</v>
      </c>
      <c r="H701" s="7" t="str">
        <f>IFERROR(__xludf.DUMMYFUNCTION("""COMPUTED_VALUE"""),"Hall 4/5")</f>
        <v>Hall 4/5</v>
      </c>
      <c r="I701" s="7" t="str">
        <f>IFERROR(__xludf.DUMMYFUNCTION("""COMPUTED_VALUE"""),"Session 5 :IP-Posters Find ")</f>
        <v>Session 5 :IP-Posters Find </v>
      </c>
      <c r="J701" s="7" t="str">
        <f>IFERROR(__xludf.DUMMYFUNCTION("""COMPUTED_VALUE"""),"Findings Posters - In-Person 1")</f>
        <v>Findings Posters - In-Person 1</v>
      </c>
      <c r="K701" s="7"/>
      <c r="L701" s="8">
        <f>IFERROR(__xludf.DUMMYFUNCTION("""COMPUTED_VALUE"""),45866.0)</f>
        <v>45866</v>
      </c>
      <c r="M701" s="7" t="str">
        <f>IFERROR(__xludf.DUMMYFUNCTION("""COMPUTED_VALUE"""),"18:00-19:30")</f>
        <v>18:00-19:30</v>
      </c>
      <c r="N701" s="7"/>
    </row>
    <row r="702">
      <c r="A702" s="7" t="str">
        <f>IFERROR(__xludf.DUMMYFUNCTION("""COMPUTED_VALUE"""),"2438-FIND")</f>
        <v>2438-FIND</v>
      </c>
      <c r="B702" s="7" t="str">
        <f>IFERROR(__xludf.DUMMYFUNCTION("""COMPUTED_VALUE"""),"P3: Prompts Promote Prompting")</f>
        <v>P3: Prompts Promote Prompting</v>
      </c>
      <c r="C702" s="7" t="str">
        <f>IFERROR(__xludf.DUMMYFUNCTION("""COMPUTED_VALUE"""),"Current large language model (LLM) applications often employ multi-component prompts, comprising both system and user prompts, to guide model behaviors. While recent advancements have demonstrated the efficacy of automatically optimizing either the system"&amp;" or user prompt to boost performance, such unilateral approaches often yield suboptimal outcomes due to the interdependent nature of these components. In this work, we introduce P3, a novel self-improvement framework that concurrently optimizes both syste"&amp;"m and user prompts through an iterative process. The offline optimized prompts are further leveraged to promote online prompting by performing query-dependent prompt optimization. Extensive experiments on general tasks (e.g., Arena-hard and Alpaca-eval) a"&amp;"nd reasoning tasks (e.g., GSM8K and GPQA) demonstrate that P3 achieves superior performance in the realm of automatic prompt optimization. Our results highlight the effectiveness of a holistic optimization strategy in enhancing LLM performance across dive"&amp;"rse domains.")</f>
        <v>Current large language model (LLM) applications often employ multi-component prompts, comprising both system and user prompts, to guide model behaviors. While recent advancements have demonstrated the efficacy of automatically optimizing either the system or user prompt to boost performance, such unilateral approaches often yield suboptimal outcomes due to the interdependent nature of these components. In this work, we introduce P3, a novel self-improvement framework that concurrently optimizes both system and user prompts through an iterative process. The offline optimized prompts are further leveraged to promote online prompting by performing query-dependent prompt optimization. Extensive experiments on general tasks (e.g., Arena-hard and Alpaca-eval) and reasoning tasks (e.g., GSM8K and GPQA) demonstrate that P3 achieves superior performance in the realm of automatic prompt optimization. Our results highlight the effectiveness of a holistic optimization strategy in enhancing LLM performance across diverse domains.</v>
      </c>
      <c r="D702" s="7" t="str">
        <f>IFERROR(__xludf.DUMMYFUNCTION("""COMPUTED_VALUE"""),"Xinyu Zhang")</f>
        <v>Xinyu Zhang</v>
      </c>
      <c r="E702" s="7" t="str">
        <f>IFERROR(__xludf.DUMMYFUNCTION("""COMPUTED_VALUE"""),"Yes")</f>
        <v>Yes</v>
      </c>
      <c r="F702" s="7" t="str">
        <f>IFERROR(__xludf.DUMMYFUNCTION("""COMPUTED_VALUE"""),"IP-Poster")</f>
        <v>IP-Poster</v>
      </c>
      <c r="G702" s="7" t="str">
        <f>IFERROR(__xludf.DUMMYFUNCTION("""COMPUTED_VALUE"""),"In-Person")</f>
        <v>In-Person</v>
      </c>
      <c r="H702" s="7" t="str">
        <f>IFERROR(__xludf.DUMMYFUNCTION("""COMPUTED_VALUE"""),"Hall 4/5")</f>
        <v>Hall 4/5</v>
      </c>
      <c r="I702" s="7" t="str">
        <f>IFERROR(__xludf.DUMMYFUNCTION("""COMPUTED_VALUE"""),"Session 7: IP-Posters")</f>
        <v>Session 7: IP-Posters</v>
      </c>
      <c r="J702" s="7" t="str">
        <f>IFERROR(__xludf.DUMMYFUNCTION("""COMPUTED_VALUE"""),"Findings Posters - In-Person 2")</f>
        <v>Findings Posters - In-Person 2</v>
      </c>
      <c r="K702" s="7"/>
      <c r="L702" s="8">
        <f>IFERROR(__xludf.DUMMYFUNCTION("""COMPUTED_VALUE"""),45867.0)</f>
        <v>45867</v>
      </c>
      <c r="M702" s="7" t="str">
        <f>IFERROR(__xludf.DUMMYFUNCTION("""COMPUTED_VALUE"""),"10:30-12:00")</f>
        <v>10:30-12:00</v>
      </c>
      <c r="N702" s="7"/>
    </row>
    <row r="703">
      <c r="A703" s="7" t="str">
        <f>IFERROR(__xludf.DUMMYFUNCTION("""COMPUTED_VALUE"""),"2444-FIND")</f>
        <v>2444-FIND</v>
      </c>
      <c r="B703" s="7" t="str">
        <f>IFERROR(__xludf.DUMMYFUNCTION("""COMPUTED_VALUE"""),"VAQUUM: Are Vague Quantifiers Grounded in Visual Data?")</f>
        <v>VAQUUM: Are Vague Quantifiers Grounded in Visual Data?</v>
      </c>
      <c r="C703" s="7" t="str">
        <f>IFERROR(__xludf.DUMMYFUNCTION("""COMPUTED_VALUE"""),"Vague quantifiers such as ""a few"" and ""many"" are influenced by many contextual factors, including how many objects are present in a given context. In this work, we evaluate the extent to which vision-and-language models (VLMs) are compatible with huma"&amp;"ns when producing or judging the appropriateness of vague quantifiers in visual contexts. We release a novel dataset, VAQUUM, containing 20300 human ratings on quantified statements across a total of 1089 images. Using this dataset, we compare human judgm"&amp;"ents and VLM predictions using three different evaluation methods. Our findings show that VLMs, like humans, are influenced by object counts in vague quantifier use. However, we find significant inconsistencies across models in different evaluation settin"&amp;"gs, suggesting that judging and producing vague quantifiers rely on two different processes.")</f>
        <v>Vague quantifiers such as "a few" and "many" are influenced by many contextual factors, including how many objects are present in a given context. In this work, we evaluate the extent to which vision-and-language models (VLMs) are compatible with humans when producing or judging the appropriateness of vague quantifiers in visual contexts. We release a novel dataset, VAQUUM, containing 20300 human ratings on quantified statements across a total of 1089 images. Using this dataset, we compare human judgments and VLM predictions using three different evaluation methods. Our findings show that VLMs, like humans, are influenced by object counts in vague quantifier use. However, we find significant inconsistencies across models in different evaluation settings, suggesting that judging and producing vague quantifiers rely on two different processes.</v>
      </c>
      <c r="D703" s="7" t="str">
        <f>IFERROR(__xludf.DUMMYFUNCTION("""COMPUTED_VALUE"""),"Hugh Mee Wong")</f>
        <v>Hugh Mee Wong</v>
      </c>
      <c r="E703" s="7" t="str">
        <f>IFERROR(__xludf.DUMMYFUNCTION("""COMPUTED_VALUE"""),"Yes")</f>
        <v>Yes</v>
      </c>
      <c r="F703" s="7" t="str">
        <f>IFERROR(__xludf.DUMMYFUNCTION("""COMPUTED_VALUE"""),"IP-Poster")</f>
        <v>IP-Poster</v>
      </c>
      <c r="G703" s="7" t="str">
        <f>IFERROR(__xludf.DUMMYFUNCTION("""COMPUTED_VALUE"""),"In-Person")</f>
        <v>In-Person</v>
      </c>
      <c r="H703" s="7" t="str">
        <f>IFERROR(__xludf.DUMMYFUNCTION("""COMPUTED_VALUE"""),"Hall 4/5")</f>
        <v>Hall 4/5</v>
      </c>
      <c r="I703" s="7" t="str">
        <f>IFERROR(__xludf.DUMMYFUNCTION("""COMPUTED_VALUE"""),"Session 10: IP-Posters")</f>
        <v>Session 10: IP-Posters</v>
      </c>
      <c r="J703" s="7" t="str">
        <f>IFERROR(__xludf.DUMMYFUNCTION("""COMPUTED_VALUE"""),"Findings Posters - In-Person 3")</f>
        <v>Findings Posters - In-Person 3</v>
      </c>
      <c r="K703" s="7"/>
      <c r="L703" s="8">
        <f>IFERROR(__xludf.DUMMYFUNCTION("""COMPUTED_VALUE"""),45867.0)</f>
        <v>45867</v>
      </c>
      <c r="M703" s="7" t="str">
        <f>IFERROR(__xludf.DUMMYFUNCTION("""COMPUTED_VALUE"""),"16:00-17:30")</f>
        <v>16:00-17:30</v>
      </c>
      <c r="N703" s="7"/>
    </row>
    <row r="704">
      <c r="A704" s="7" t="str">
        <f>IFERROR(__xludf.DUMMYFUNCTION("""COMPUTED_VALUE"""),"2445-FIND")</f>
        <v>2445-FIND</v>
      </c>
      <c r="B704" s="7" t="str">
        <f>IFERROR(__xludf.DUMMYFUNCTION("""COMPUTED_VALUE"""),"Forgotten Polygons: Multimodal Large Language Models are Shape-Blind")</f>
        <v>Forgotten Polygons: Multimodal Large Language Models are Shape-Blind</v>
      </c>
      <c r="C704" s="7" t="str">
        <f>IFERROR(__xludf.DUMMYFUNCTION("""COMPUTED_VALUE"""),"Despite strong performance on vision-language tasks, Multimodal Large Language Models (MLLMs) struggle with mathematical problem-solving, with both open-source and state-of-the-art models falling short of human performance on visual-math benchmarks. To sy"&amp;"stematically examine visual-mathematical reasoning in MLLMs, we (1) evaluate their understanding of geometric primitives, (2) test multi-step reasoning, and (3) explore a potential solution to improve visual reasoning capabilities. Our findings reveal fun"&amp;"damental shortcomings in shape recognition, with top models achieving under 50% accuracy in identifying regular polygons. We analyze these failures through the lens of dual-process theory and show that MLLMs rely on System 1 (intuitive, memorized associat"&amp;"ions) rather than System 2 (deliberate reasoning). Consequently, MLLMs fail to count the sides of both familiar and novel shapes, suggesting they have neither learned the concept of ``sides'' nor effectively process visual inputs. Finally, we propose Visu"&amp;"ally Cued Chain-of-Thought (VC-CoT) prompting, which enhances multi-step mathematical reasoning by explicitly referencing visual annotations in diagrams, boosting GPT-4o’s accuracy on an irregular polygon side-counting task from 7% to 93%. Our findings su"&amp;"ggest that System 2 reasoning in MLLMs remains an open problem, and visually-guided prompting is essential for successfully engaging visual reasoning.")</f>
        <v>Despite strong performance on vision-language tasks, Multimodal Large Language Models (MLLMs) struggle with mathematical problem-solving, with both open-source and state-of-the-art models falling short of human performance on visual-math benchmarks. To systematically examine visual-mathematical reasoning in MLLMs, we (1) evaluate their understanding of geometric primitives, (2) test multi-step reasoning, and (3) explore a potential solution to improve visual reasoning capabilities. Our findings reveal fundamental shortcomings in shape recognition, with top models achieving under 50% accuracy in identifying regular polygons. We analyze these failures through the lens of dual-process theory and show that MLLMs rely on System 1 (intuitive, memorized associations) rather than System 2 (deliberate reasoning). Consequently, MLLMs fail to count the sides of both familiar and novel shapes, suggesting they have neither learned the concept of ``sides'' nor effectively process visual inputs. Finally, we propose Visually Cued Chain-of-Thought (VC-CoT) prompting, which enhances multi-step mathematical reasoning by explicitly referencing visual annotations in diagrams, boosting GPT-4o’s accuracy on an irregular polygon side-counting task from 7% to 93%. Our findings suggest that System 2 reasoning in MLLMs remains an open problem, and visually-guided prompting is essential for successfully engaging visual reasoning.</v>
      </c>
      <c r="D704" s="7" t="str">
        <f>IFERROR(__xludf.DUMMYFUNCTION("""COMPUTED_VALUE"""),"Michal Golovanevsky / William Rudman")</f>
        <v>Michal Golovanevsky / William Rudman</v>
      </c>
      <c r="E704" s="7" t="str">
        <f>IFERROR(__xludf.DUMMYFUNCTION("""COMPUTED_VALUE"""),"Yes")</f>
        <v>Yes</v>
      </c>
      <c r="F704" s="7" t="str">
        <f>IFERROR(__xludf.DUMMYFUNCTION("""COMPUTED_VALUE"""),"IP-Poster")</f>
        <v>IP-Poster</v>
      </c>
      <c r="G704" s="7" t="str">
        <f>IFERROR(__xludf.DUMMYFUNCTION("""COMPUTED_VALUE"""),"In-Person")</f>
        <v>In-Person</v>
      </c>
      <c r="H704" s="7" t="str">
        <f>IFERROR(__xludf.DUMMYFUNCTION("""COMPUTED_VALUE"""),"Hall 4/5")</f>
        <v>Hall 4/5</v>
      </c>
      <c r="I704" s="7" t="str">
        <f>IFERROR(__xludf.DUMMYFUNCTION("""COMPUTED_VALUE"""),"Session 10: IP-Posters")</f>
        <v>Session 10: IP-Posters</v>
      </c>
      <c r="J704" s="7" t="str">
        <f>IFERROR(__xludf.DUMMYFUNCTION("""COMPUTED_VALUE"""),"Findings Posters - In-Person 3")</f>
        <v>Findings Posters - In-Person 3</v>
      </c>
      <c r="K704" s="7"/>
      <c r="L704" s="8">
        <f>IFERROR(__xludf.DUMMYFUNCTION("""COMPUTED_VALUE"""),45867.0)</f>
        <v>45867</v>
      </c>
      <c r="M704" s="7" t="str">
        <f>IFERROR(__xludf.DUMMYFUNCTION("""COMPUTED_VALUE"""),"16:00-17:30")</f>
        <v>16:00-17:30</v>
      </c>
      <c r="N704" s="7"/>
    </row>
    <row r="705">
      <c r="A705" s="7" t="str">
        <f>IFERROR(__xludf.DUMMYFUNCTION("""COMPUTED_VALUE"""),"2446-FIND")</f>
        <v>2446-FIND</v>
      </c>
      <c r="B705" s="7" t="str">
        <f>IFERROR(__xludf.DUMMYFUNCTION("""COMPUTED_VALUE"""),"MindBridge: Scalable and Cross-Model Knowledge Editing via Memory-Augmented Modality")</f>
        <v>MindBridge: Scalable and Cross-Model Knowledge Editing via Memory-Augmented Modality</v>
      </c>
      <c r="C705" s="7" t="str">
        <f>IFERROR(__xludf.DUMMYFUNCTION("""COMPUTED_VALUE"""),"Knowledge editing is a technique for efficiently and accurately updating the knowledge of large language models (LLMs) to alleviate obsolescence and correct errors. However, most existing methods overfit to specific models, causing edited knowledge to be "&amp;"discarded during each LLM update and requiring frequent re-editing, which is particularly burdensome in today's rapidly evolving open-source community. To address this issue, we propose the problem of cross-model knowledge editing and introduce **MindBrid"&amp;"ge**, a scalable solution inspired by the low coupling between modality processing and LLMs in multi-modal models. MindBridge introduces the novel concept of **memory modality**, which encodes edited knowledge as an independent modality. It first performs"&amp;" LLM-agnostic pre-training of the memory modality and then integrates it with various LLMs. Extensive experiments on multiple LLMs and popular knowledge editing datasets demonstrate that MindBridge achieves superior performance even in editing tens of tho"&amp;"usands of knowledge entries and can flexibly adapt to different LLMs. Our code is available at https://github.com/CrashBugger/MindBridge.")</f>
        <v>Knowledge editing is a technique for efficiently and accurately updating the knowledge of large language models (LLMs) to alleviate obsolescence and correct errors. However, most existing methods overfit to specific models, causing edited knowledge to be discarded during each LLM update and requiring frequent re-editing, which is particularly burdensome in today's rapidly evolving open-source community. To address this issue, we propose the problem of cross-model knowledge editing and introduce **MindBridge**, a scalable solution inspired by the low coupling between modality processing and LLMs in multi-modal models. MindBridge introduces the novel concept of **memory modality**, which encodes edited knowledge as an independent modality. It first performs LLM-agnostic pre-training of the memory modality and then integrates it with various LLMs. Extensive experiments on multiple LLMs and popular knowledge editing datasets demonstrate that MindBridge achieves superior performance even in editing tens of thousands of knowledge entries and can flexibly adapt to different LLMs. Our code is available at https://github.com/CrashBugger/MindBridge.</v>
      </c>
      <c r="D705" s="7" t="str">
        <f>IFERROR(__xludf.DUMMYFUNCTION("""COMPUTED_VALUE"""),"N/A")</f>
        <v>N/A</v>
      </c>
      <c r="E705" s="7" t="str">
        <f>IFERROR(__xludf.DUMMYFUNCTION("""COMPUTED_VALUE"""),"#N/A")</f>
        <v>#N/A</v>
      </c>
      <c r="F705" s="7" t="str">
        <f>IFERROR(__xludf.DUMMYFUNCTION("""COMPUTED_VALUE"""),"Not Pres. ")</f>
        <v>Not Pres. </v>
      </c>
      <c r="G705" s="7" t="str">
        <f>IFERROR(__xludf.DUMMYFUNCTION("""COMPUTED_VALUE"""),"NP Findings Not Presenting ")</f>
        <v>NP Findings Not Presenting </v>
      </c>
      <c r="H705" s="7"/>
      <c r="I705" s="7" t="str">
        <f>IFERROR(__xludf.DUMMYFUNCTION("""COMPUTED_VALUE"""),"NP-Find")</f>
        <v>NP-Find</v>
      </c>
      <c r="J705" s="7"/>
      <c r="K705" s="7"/>
      <c r="L705" s="8"/>
      <c r="M705" s="7"/>
      <c r="N705" s="7"/>
    </row>
    <row r="706">
      <c r="A706" s="7" t="str">
        <f>IFERROR(__xludf.DUMMYFUNCTION("""COMPUTED_VALUE"""),"2450-FIND")</f>
        <v>2450-FIND</v>
      </c>
      <c r="B706" s="7" t="str">
        <f>IFERROR(__xludf.DUMMYFUNCTION("""COMPUTED_VALUE"""),"FIHA: Automated Fine-grained Hallucinations Evaluations in Large Vision Language Models with Davidson Scene Graphs")</f>
        <v>FIHA: Automated Fine-grained Hallucinations Evaluations in Large Vision Language Models with Davidson Scene Graphs</v>
      </c>
      <c r="C706" s="7" t="str">
        <f>IFERROR(__xludf.DUMMYFUNCTION("""COMPUTED_VALUE"""),"The rapid development of Large Vision-Language Models (LVLMs) often comes with widespread hallucination issues, making cost-effective and comprehensive assessments increasingly vital. Current approaches mainly rely on costly annotations and are not compre"&amp;"hensive -- in terms of evaluating all aspects such as relations, attributes, and dependencies between aspects. Therefore, we introduce the FIHA (automated Fine-graIned Hallucination evAluation evaluation in LVLMs), which could access hallucination LVLMs i"&amp;"n the LLM-free and annotation-free way and model the dependency between different types of hallucinations. FIHA can generate Q&amp;A pairs on any image dataset at minimal cost, enabling hallucination assessment from both image and caption. Based on this appro"&amp;"ach, we introduce a benchmark called FIHA-v1, which consists of diverse questions on various images from three datasets. Furthermore, we use the Davidson Scene Graph (DSG) to organize the structure among Q&amp;A pairs, in which we can increase the reliability"&amp;" of the evaluation. We evaluate representative models using FIHA-v1, highlighting their limitations and challenges. We released our code and data in https://anonymous.4open.science/r/FIHA-BECF/.")</f>
        <v>The rapid development of Large Vision-Language Models (LVLMs) often comes with widespread hallucination issues, making cost-effective and comprehensive assessments increasingly vital. Current approaches mainly rely on costly annotations and are not comprehensive -- in terms of evaluating all aspects such as relations, attributes, and dependencies between aspects. Therefore, we introduce the FIHA (automated Fine-graIned Hallucination evAluation evaluation in LVLMs), which could access hallucination LVLMs in the LLM-free and annotation-free way and model the dependency between different types of hallucinations. FIHA can generate Q&amp;A pairs on any image dataset at minimal cost, enabling hallucination assessment from both image and caption. Based on this approach, we introduce a benchmark called FIHA-v1, which consists of diverse questions on various images from three datasets. Furthermore, we use the Davidson Scene Graph (DSG) to organize the structure among Q&amp;A pairs, in which we can increase the reliability of the evaluation. We evaluate representative models using FIHA-v1, highlighting their limitations and challenges. We released our code and data in https://anonymous.4open.science/r/FIHA-BECF/.</v>
      </c>
      <c r="D706" s="7" t="str">
        <f>IFERROR(__xludf.DUMMYFUNCTION("""COMPUTED_VALUE"""),"None")</f>
        <v>None</v>
      </c>
      <c r="E706" s="7" t="str">
        <f>IFERROR(__xludf.DUMMYFUNCTION("""COMPUTED_VALUE"""),"#N/A")</f>
        <v>#N/A</v>
      </c>
      <c r="F706" s="7" t="str">
        <f>IFERROR(__xludf.DUMMYFUNCTION("""COMPUTED_VALUE"""),"Not Pres. ")</f>
        <v>Not Pres. </v>
      </c>
      <c r="G706" s="7" t="str">
        <f>IFERROR(__xludf.DUMMYFUNCTION("""COMPUTED_VALUE"""),"NP Findings Not Presenting ")</f>
        <v>NP Findings Not Presenting </v>
      </c>
      <c r="H706" s="7"/>
      <c r="I706" s="7" t="str">
        <f>IFERROR(__xludf.DUMMYFUNCTION("""COMPUTED_VALUE"""),"NP-Find")</f>
        <v>NP-Find</v>
      </c>
      <c r="J706" s="7"/>
      <c r="K706" s="7"/>
      <c r="L706" s="8"/>
      <c r="M706" s="7"/>
      <c r="N706" s="7"/>
    </row>
    <row r="707">
      <c r="A707" s="7" t="str">
        <f>IFERROR(__xludf.DUMMYFUNCTION("""COMPUTED_VALUE"""),"2451-FIND")</f>
        <v>2451-FIND</v>
      </c>
      <c r="B707" s="7" t="str">
        <f>IFERROR(__xludf.DUMMYFUNCTION("""COMPUTED_VALUE"""),"On the Role of Semantic Proto-roles in Semantic Analysis: What do LLMs know about agency?")</f>
        <v>On the Role of Semantic Proto-roles in Semantic Analysis: What do LLMs know about agency?</v>
      </c>
      <c r="C707" s="7" t="str">
        <f>IFERROR(__xludf.DUMMYFUNCTION("""COMPUTED_VALUE"""),"Large language models (LLMs) are increasingly used in decision-making contexts, yet their ability to reason over event structure—an important component in the situational awareness needed to make nuanced decisions—is not well understood. By operationalizi"&amp;"ng proto-role theory, which characterizes agents via properties such as *instigation* and *volition* and patients via properties such as *change of state*, we examine the ability of LLMs to answer questions that require complex, multi-step event reasoning"&amp;". Specifically, we investigate the extent to which LLMs capture semantic roles such as ""agent"" and ""patient"" through zero-shot prompts, and whether incorporating semantic proto-role labeling (SPRL) context improves semantic role labeling (SRL) perform"&amp;"ance in a zero-shot setting. We find that, while SPRL context sometimes degrades SRL accuracy in high-performing models (e.g., GPT-4o), it also uncovers an internal consistency between SPRL and SRL predictions that mirrors linguistic theory, and provides "&amp;"evidence that LLMs implicitly encode consistent multi-dimensional event role knowledge. Furthermore, our experiments support prior work showing that LLMs underperform human annotators in complex semantic analysis.")</f>
        <v>Large language models (LLMs) are increasingly used in decision-making contexts, yet their ability to reason over event structure—an important component in the situational awareness needed to make nuanced decisions—is not well understood. By operationalizing proto-role theory, which characterizes agents via properties such as *instigation* and *volition* and patients via properties such as *change of state*, we examine the ability of LLMs to answer questions that require complex, multi-step event reasoning. Specifically, we investigate the extent to which LLMs capture semantic roles such as "agent" and "patient" through zero-shot prompts, and whether incorporating semantic proto-role labeling (SPRL) context improves semantic role labeling (SRL) performance in a zero-shot setting. We find that, while SPRL context sometimes degrades SRL accuracy in high-performing models (e.g., GPT-4o), it also uncovers an internal consistency between SPRL and SRL predictions that mirrors linguistic theory, and provides evidence that LLMs implicitly encode consistent multi-dimensional event role knowledge. Furthermore, our experiments support prior work showing that LLMs underperform human annotators in complex semantic analysis.</v>
      </c>
      <c r="D707" s="7" t="str">
        <f>IFERROR(__xludf.DUMMYFUNCTION("""COMPUTED_VALUE"""),"Elizabeth Spaulding")</f>
        <v>Elizabeth Spaulding</v>
      </c>
      <c r="E707" s="7" t="str">
        <f>IFERROR(__xludf.DUMMYFUNCTION("""COMPUTED_VALUE"""),"Yes")</f>
        <v>Yes</v>
      </c>
      <c r="F707" s="7" t="str">
        <f>IFERROR(__xludf.DUMMYFUNCTION("""COMPUTED_VALUE"""),"IP-Poster")</f>
        <v>IP-Poster</v>
      </c>
      <c r="G707" s="7" t="str">
        <f>IFERROR(__xludf.DUMMYFUNCTION("""COMPUTED_VALUE"""),"In-Person")</f>
        <v>In-Person</v>
      </c>
      <c r="H707" s="7" t="str">
        <f>IFERROR(__xludf.DUMMYFUNCTION("""COMPUTED_VALUE"""),"Hall 4/5")</f>
        <v>Hall 4/5</v>
      </c>
      <c r="I707" s="7" t="str">
        <f>IFERROR(__xludf.DUMMYFUNCTION("""COMPUTED_VALUE"""),"Session 5 :IP-Posters Find ")</f>
        <v>Session 5 :IP-Posters Find </v>
      </c>
      <c r="J707" s="7" t="str">
        <f>IFERROR(__xludf.DUMMYFUNCTION("""COMPUTED_VALUE"""),"Findings Posters - In-Person 1")</f>
        <v>Findings Posters - In-Person 1</v>
      </c>
      <c r="K707" s="7"/>
      <c r="L707" s="8">
        <f>IFERROR(__xludf.DUMMYFUNCTION("""COMPUTED_VALUE"""),45866.0)</f>
        <v>45866</v>
      </c>
      <c r="M707" s="7" t="str">
        <f>IFERROR(__xludf.DUMMYFUNCTION("""COMPUTED_VALUE"""),"18:00-19:30")</f>
        <v>18:00-19:30</v>
      </c>
      <c r="N707" s="7"/>
    </row>
    <row r="708">
      <c r="A708" s="7" t="str">
        <f>IFERROR(__xludf.DUMMYFUNCTION("""COMPUTED_VALUE"""),"2454-FIND")</f>
        <v>2454-FIND</v>
      </c>
      <c r="B708" s="7" t="str">
        <f>IFERROR(__xludf.DUMMYFUNCTION("""COMPUTED_VALUE"""),"GeAR: Graph-enhanced Agent for Retrieval-augmented Generation")</f>
        <v>GeAR: Graph-enhanced Agent for Retrieval-augmented Generation</v>
      </c>
      <c r="C708" s="7" t="str">
        <f>IFERROR(__xludf.DUMMYFUNCTION("""COMPUTED_VALUE"""),"Retrieval-augmented Generation (RAG) relies on effective retrieval capabilities, yet traditional sparse and dense retrievers inherently struggle with multi-hop retrieval scenarios. In this paper, we introduce GeAR, a system that advances RAG performance t"&amp;"hrough two key innovations: (i) an efficient graph expansion mechanism that augments any conventional base retriever, such as BM25, and (ii) an agent framework that incorporates the resulting graph-based retrieval into a multi-step retrieval framework. Ou"&amp;"r evaluation demonstrates GeAR’s superior retrieval capabilities across three multi-hop question answering datasets. Notably, our system achieves state-of-the-art results with improvements exceeding 10% on the challenging MuSiQue dataset, while consuming "&amp;"fewer tokens and requiring fewer iterations than existing multi-step retrieval systems. The project page is available at https://gear-rag.github.io.")</f>
        <v>Retrieval-augmented Generation (RAG) relies on effective retrieval capabilities, yet traditional sparse and dense retrievers inherently struggle with multi-hop retrieval scenarios. In this paper, we introduce GeAR, a system that advances RAG performance through two key innovations: (i) an efficient graph expansion mechanism that augments any conventional base retriever, such as BM25, and (ii) an agent framework that incorporates the resulting graph-based retrieval into a multi-step retrieval framework. Our evaluation demonstrates GeAR’s superior retrieval capabilities across three multi-hop question answering datasets. Notably, our system achieves state-of-the-art results with improvements exceeding 10% on the challenging MuSiQue dataset, while consuming fewer tokens and requiring fewer iterations than existing multi-step retrieval systems. The project page is available at https://gear-rag.github.io.</v>
      </c>
      <c r="D708" s="7" t="str">
        <f>IFERROR(__xludf.DUMMYFUNCTION("""COMPUTED_VALUE"""),"Pavlos Vougiouklis, Chenxin Diao")</f>
        <v>Pavlos Vougiouklis, Chenxin Diao</v>
      </c>
      <c r="E708" s="7" t="str">
        <f>IFERROR(__xludf.DUMMYFUNCTION("""COMPUTED_VALUE"""),"Yes")</f>
        <v>Yes</v>
      </c>
      <c r="F708" s="7" t="str">
        <f>IFERROR(__xludf.DUMMYFUNCTION("""COMPUTED_VALUE"""),"IP-Poster")</f>
        <v>IP-Poster</v>
      </c>
      <c r="G708" s="7" t="str">
        <f>IFERROR(__xludf.DUMMYFUNCTION("""COMPUTED_VALUE"""),"In-Person")</f>
        <v>In-Person</v>
      </c>
      <c r="H708" s="7" t="str">
        <f>IFERROR(__xludf.DUMMYFUNCTION("""COMPUTED_VALUE"""),"Hall 4/5")</f>
        <v>Hall 4/5</v>
      </c>
      <c r="I708" s="7" t="str">
        <f>IFERROR(__xludf.DUMMYFUNCTION("""COMPUTED_VALUE"""),"Session 5 :IP-Posters Find ")</f>
        <v>Session 5 :IP-Posters Find </v>
      </c>
      <c r="J708" s="7" t="str">
        <f>IFERROR(__xludf.DUMMYFUNCTION("""COMPUTED_VALUE"""),"Findings Posters - In-Person 1")</f>
        <v>Findings Posters - In-Person 1</v>
      </c>
      <c r="K708" s="7"/>
      <c r="L708" s="8">
        <f>IFERROR(__xludf.DUMMYFUNCTION("""COMPUTED_VALUE"""),45866.0)</f>
        <v>45866</v>
      </c>
      <c r="M708" s="7" t="str">
        <f>IFERROR(__xludf.DUMMYFUNCTION("""COMPUTED_VALUE"""),"18:00-19:30")</f>
        <v>18:00-19:30</v>
      </c>
      <c r="N708" s="7"/>
    </row>
    <row r="709">
      <c r="A709" s="7" t="str">
        <f>IFERROR(__xludf.DUMMYFUNCTION("""COMPUTED_VALUE"""),"2455-FIND")</f>
        <v>2455-FIND</v>
      </c>
      <c r="B709" s="7" t="str">
        <f>IFERROR(__xludf.DUMMYFUNCTION("""COMPUTED_VALUE"""),"WebNLG-IT: Construction of an aligned RDF-Italian corpus through Machine Translation techniques")</f>
        <v>WebNLG-IT: Construction of an aligned RDF-Italian corpus through Machine Translation techniques</v>
      </c>
      <c r="C709" s="7" t="str">
        <f>IFERROR(__xludf.DUMMYFUNCTION("""COMPUTED_VALUE"""),"The main goal of this work is the creation of the Italian version of the WebNLG corpus through the application of Neural Machine Translation (NMT) and post-editing with hand-written rules. To achieve this goal, in a first step, several existing NMT models"&amp;" were analysed and compared in order to identify the system with the highest performance on the original corpus. In a second step, after using the best NMT system, we semi-automatically designed and applied a number of rules to refine and improve the qual"&amp;"ity of the produced resource, creating a new corpus named WebNLG-IT. We used this resource for fine-tuning several LLMs for RDF-to-text tasks. In this way, comparing the performance of LLM-based generators on both Italian and English, we have (1) evaluate"&amp;"d the quality of WebNLG-IT with respect to the original English version, (2) released the first fine-tuned LLM-based system for generating Italian from semantic web triples and (3) introduced an Italian version of a modular generation pipeline for RDF-to-"&amp;"text.")</f>
        <v>The main goal of this work is the creation of the Italian version of the WebNLG corpus through the application of Neural Machine Translation (NMT) and post-editing with hand-written rules. To achieve this goal, in a first step, several existing NMT models were analysed and compared in order to identify the system with the highest performance on the original corpus. In a second step, after using the best NMT system, we semi-automatically designed and applied a number of rules to refine and improve the quality of the produced resource, creating a new corpus named WebNLG-IT. We used this resource for fine-tuning several LLMs for RDF-to-text tasks. In this way, comparing the performance of LLM-based generators on both Italian and English, we have (1) evaluated the quality of WebNLG-IT with respect to the original English version, (2) released the first fine-tuned LLM-based system for generating Italian from semantic web triples and (3) introduced an Italian version of a modular generation pipeline for RDF-to-text.</v>
      </c>
      <c r="D709" s="7" t="str">
        <f>IFERROR(__xludf.DUMMYFUNCTION("""COMPUTED_VALUE"""),"Michael Oliverio")</f>
        <v>Michael Oliverio</v>
      </c>
      <c r="E709" s="7" t="str">
        <f>IFERROR(__xludf.DUMMYFUNCTION("""COMPUTED_VALUE"""),"Yes")</f>
        <v>Yes</v>
      </c>
      <c r="F709" s="7" t="str">
        <f>IFERROR(__xludf.DUMMYFUNCTION("""COMPUTED_VALUE"""),"IP-Poster")</f>
        <v>IP-Poster</v>
      </c>
      <c r="G709" s="7" t="str">
        <f>IFERROR(__xludf.DUMMYFUNCTION("""COMPUTED_VALUE"""),"In-Person")</f>
        <v>In-Person</v>
      </c>
      <c r="H709" s="7" t="str">
        <f>IFERROR(__xludf.DUMMYFUNCTION("""COMPUTED_VALUE"""),"Hall 4/5")</f>
        <v>Hall 4/5</v>
      </c>
      <c r="I709" s="7" t="str">
        <f>IFERROR(__xludf.DUMMYFUNCTION("""COMPUTED_VALUE"""),"Session 7: IP-Posters")</f>
        <v>Session 7: IP-Posters</v>
      </c>
      <c r="J709" s="7" t="str">
        <f>IFERROR(__xludf.DUMMYFUNCTION("""COMPUTED_VALUE"""),"Findings Posters - In-Person 2")</f>
        <v>Findings Posters - In-Person 2</v>
      </c>
      <c r="K709" s="7"/>
      <c r="L709" s="8">
        <f>IFERROR(__xludf.DUMMYFUNCTION("""COMPUTED_VALUE"""),45867.0)</f>
        <v>45867</v>
      </c>
      <c r="M709" s="7" t="str">
        <f>IFERROR(__xludf.DUMMYFUNCTION("""COMPUTED_VALUE"""),"10:30-12:00")</f>
        <v>10:30-12:00</v>
      </c>
      <c r="N709" s="7"/>
    </row>
    <row r="710">
      <c r="A710" s="7" t="str">
        <f>IFERROR(__xludf.DUMMYFUNCTION("""COMPUTED_VALUE"""),"2461-FIND")</f>
        <v>2461-FIND</v>
      </c>
      <c r="B710" s="7" t="str">
        <f>IFERROR(__xludf.DUMMYFUNCTION("""COMPUTED_VALUE"""),"Towards Adapting Open-Source Large Language Models for Expert-Level Clinical Note Generation")</f>
        <v>Towards Adapting Open-Source Large Language Models for Expert-Level Clinical Note Generation</v>
      </c>
      <c r="C710" s="7" t="str">
        <f>IFERROR(__xludf.DUMMYFUNCTION("""COMPUTED_VALUE"""),"Proprietary Large Language Models (LLMs) such as GPT-4 and Gemini have demonstrated promising capabilities in clinical text summarization tasks. However, due to patient data privacy concerns and computational costs, many healthcare providers prefer using "&amp;"small, locally-hosted models over external generic LLMs. This study presents a comprehensive domain- and task-specific adaptation process for the open-source LLaMA-2 13 billion parameter model, enabling it to generate high-quality clinical notes from outp"&amp;"atient patient-doctor dialogues. Our process incorporates continued pre-training, supervised fine-tuning, and reinforcement learning from both AI and human feedback. We introduced a new approach, DistillDirect, for performing on-policy reinforcement learn"&amp;"ing with Gemini 1.0 Pro as the teacher model. Our resulting model, LLaMA-Clinic, can generate clinical notes comparable in quality to those authored by physicians. In a blinded physician reader study, the majority (92.8%) of individual evaluations rated t"&amp;"he notes generated by LLaMA-Clinic as ""acceptable"" or higher across all three criteria: real-world readiness, completeness, and accuracy. In the more challenging ""Assessment and Plan"" section, LLaMA-Clinic received the same score as the notes authored"&amp;" by physicians. We highlight key considerations for future clinical note-generation tasks, emphasizing the importance of pre-defining a best-practice note format, rather than relying on LLMs to determine this for clinical practice.")</f>
        <v>Proprietary Large Language Models (LLMs) such as GPT-4 and Gemini have demonstrated promising capabilities in clinical text summarization tasks. However, due to patient data privacy concerns and computational costs, many healthcare providers prefer using small, locally-hosted models over external generic LLMs. This study presents a comprehensive domain- and task-specific adaptation process for the open-source LLaMA-2 13 billion parameter model, enabling it to generate high-quality clinical notes from outpatient patient-doctor dialogues. Our process incorporates continued pre-training, supervised fine-tuning, and reinforcement learning from both AI and human feedback. We introduced a new approach, DistillDirect, for performing on-policy reinforcement learning with Gemini 1.0 Pro as the teacher model. Our resulting model, LLaMA-Clinic, can generate clinical notes comparable in quality to those authored by physicians. In a blinded physician reader study, the majority (92.8%) of individual evaluations rated the notes generated by LLaMA-Clinic as "acceptable" or higher across all three criteria: real-world readiness, completeness, and accuracy. In the more challenging "Assessment and Plan" section, LLaMA-Clinic received the same score as the notes authored by physicians. We highlight key considerations for future clinical note-generation tasks, emphasizing the importance of pre-defining a best-practice note format, rather than relying on LLMs to determine this for clinical practice.</v>
      </c>
      <c r="D710" s="7" t="str">
        <f>IFERROR(__xludf.DUMMYFUNCTION("""COMPUTED_VALUE"""),"N/A")</f>
        <v>N/A</v>
      </c>
      <c r="E710" s="7" t="str">
        <f>IFERROR(__xludf.DUMMYFUNCTION("""COMPUTED_VALUE"""),"#N/A")</f>
        <v>#N/A</v>
      </c>
      <c r="F710" s="7" t="str">
        <f>IFERROR(__xludf.DUMMYFUNCTION("""COMPUTED_VALUE"""),"Not Pres. ")</f>
        <v>Not Pres. </v>
      </c>
      <c r="G710" s="7" t="str">
        <f>IFERROR(__xludf.DUMMYFUNCTION("""COMPUTED_VALUE"""),"NP Findings Not Presenting ")</f>
        <v>NP Findings Not Presenting </v>
      </c>
      <c r="H710" s="7"/>
      <c r="I710" s="7" t="str">
        <f>IFERROR(__xludf.DUMMYFUNCTION("""COMPUTED_VALUE"""),"NP-Find")</f>
        <v>NP-Find</v>
      </c>
      <c r="J710" s="7"/>
      <c r="K710" s="7"/>
      <c r="L710" s="8"/>
      <c r="M710" s="7"/>
      <c r="N710" s="7"/>
    </row>
    <row r="711">
      <c r="A711" s="7" t="str">
        <f>IFERROR(__xludf.DUMMYFUNCTION("""COMPUTED_VALUE"""),"2462-FIND")</f>
        <v>2462-FIND</v>
      </c>
      <c r="B711" s="7" t="str">
        <f>IFERROR(__xludf.DUMMYFUNCTION("""COMPUTED_VALUE"""),"Bridging Robustness and Generalization Against Word Substitution Attacks in NLP via the Growth Bound Matrix Approach")</f>
        <v>Bridging Robustness and Generalization Against Word Substitution Attacks in NLP via the Growth Bound Matrix Approach</v>
      </c>
      <c r="C711" s="7" t="str">
        <f>IFERROR(__xludf.DUMMYFUNCTION("""COMPUTED_VALUE"""),"Despite advancements in Natural Language Processing (NLP), models remain vulnerable to adversarial attacks, such as synonym substitutions. While prior work has focused on improving robustness for feed-forward and convolutional architectures, the robustnes"&amp;"s of recurrent networks and modern state space models (SSMs), such as S4, remains understudied. These architectures pose unique challenges due to their sequential processing and complex parameter dynamics. In this paper, we introduce a novel regularizatio"&amp;"n technique based on Growth Bound Matrices (GBM) to improve NLP model robustness by reducing the impact of input perturbations on model outputs. We focus on computing the GBM for three architectures: Long Short-Term Memory (LSTM), State Space models (S4),"&amp;" and Convolutional Neural Networks (CNN). Our method aims to (1) enhance resilience against word substitution attacks, (2) improve generalization on clean text, and (3) providing the first systematic analysis of SSM (S4) robustness. Extensive experiments "&amp;"across multiple architectures and benchmark datasets demonstrate that our method improves adversarial robustness by up to (8.8%) over existing baselines. These results highlight the effectiveness of our approach, outperforming several state-of-the-art met"&amp;"hods in adversarial defense.")</f>
        <v>Despite advancements in Natural Language Processing (NLP), models remain vulnerable to adversarial attacks, such as synonym substitutions. While prior work has focused on improving robustness for feed-forward and convolutional architectures, the robustness of recurrent networks and modern state space models (SSMs), such as S4, remains understudied. These architectures pose unique challenges due to their sequential processing and complex parameter dynamics. In this paper, we introduce a novel regularization technique based on Growth Bound Matrices (GBM) to improve NLP model robustness by reducing the impact of input perturbations on model outputs. We focus on computing the GBM for three architectures: Long Short-Term Memory (LSTM), State Space models (S4), and Convolutional Neural Networks (CNN). Our method aims to (1) enhance resilience against word substitution attacks, (2) improve generalization on clean text, and (3) providing the first systematic analysis of SSM (S4) robustness. Extensive experiments across multiple architectures and benchmark datasets demonstrate that our method improves adversarial robustness by up to (8.8%) over existing baselines. These results highlight the effectiveness of our approach, outperforming several state-of-the-art methods in adversarial defense.</v>
      </c>
      <c r="D711" s="7" t="str">
        <f>IFERROR(__xludf.DUMMYFUNCTION("""COMPUTED_VALUE"""),"Mohammed Bouri")</f>
        <v>Mohammed Bouri</v>
      </c>
      <c r="E711" s="7" t="str">
        <f>IFERROR(__xludf.DUMMYFUNCTION("""COMPUTED_VALUE"""),"Yes")</f>
        <v>Yes</v>
      </c>
      <c r="F711" s="7" t="str">
        <f>IFERROR(__xludf.DUMMYFUNCTION("""COMPUTED_VALUE"""),"V-Presentation")</f>
        <v>V-Presentation</v>
      </c>
      <c r="G711" s="7" t="str">
        <f>IFERROR(__xludf.DUMMYFUNCTION("""COMPUTED_VALUE"""),"Virtual/Gather")</f>
        <v>Virtual/Gather</v>
      </c>
      <c r="H711" s="7" t="str">
        <f>IFERROR(__xludf.DUMMYFUNCTION("""COMPUTED_VALUE"""),"Gather")</f>
        <v>Gather</v>
      </c>
      <c r="I711" s="7" t="str">
        <f>IFERROR(__xludf.DUMMYFUNCTION("""COMPUTED_VALUE"""),"Session5: V-Gather Find")</f>
        <v>Session5: V-Gather Find</v>
      </c>
      <c r="J711" s="7" t="str">
        <f>IFERROR(__xludf.DUMMYFUNCTION("""COMPUTED_VALUE"""),"Findings Posters - Virtual")</f>
        <v>Findings Posters - Virtual</v>
      </c>
      <c r="K711" s="7"/>
      <c r="L711" s="8">
        <f>IFERROR(__xludf.DUMMYFUNCTION("""COMPUTED_VALUE"""),45866.0)</f>
        <v>45866</v>
      </c>
      <c r="M711" s="7" t="str">
        <f>IFERROR(__xludf.DUMMYFUNCTION("""COMPUTED_VALUE"""),"18:00-19:30")</f>
        <v>18:00-19:30</v>
      </c>
      <c r="N711" s="7"/>
    </row>
    <row r="712">
      <c r="A712" s="7" t="str">
        <f>IFERROR(__xludf.DUMMYFUNCTION("""COMPUTED_VALUE"""),"2464-FIND")</f>
        <v>2464-FIND</v>
      </c>
      <c r="B712" s="7" t="str">
        <f>IFERROR(__xludf.DUMMYFUNCTION("""COMPUTED_VALUE"""),"Neuro-Symbolic Query Compiler")</f>
        <v>Neuro-Symbolic Query Compiler</v>
      </c>
      <c r="C712" s="7" t="str">
        <f>IFERROR(__xludf.DUMMYFUNCTION("""COMPUTED_VALUE"""),"Precise recognition of search intent in Retrieval-Augmented Generation (RAG) systems remains a challenging goal, especially under resource constraints and for complex queries with nested structures and dependencies. This paper presents QCompiler, a neuro-"&amp;"symbolic framework inspired by linguistic grammar rules and compiler design, to bridge this gap. It theoretically designs a minimal yet sufficient Backus-Naur Form (BNF) grammar G[q] to formalize complex queries. Unlike previous methods, this grammar main"&amp;"tains completeness while minimizing redundancy. Based on this, QCompiler includes a Query Expression Translator, a Lexical Syntax Parser, and a Recursive Descent Processor to compile queries into Abstract Syntax Trees (ASTs) for execution. The atomicity o"&amp;"f the sub-queries in the leaf nodes ensures more precise document retrieval and response generation, significantly improving the RAG system's ability to address complex queries.")</f>
        <v>Precise recognition of search intent in Retrieval-Augmented Generation (RAG) systems remains a challenging goal, especially under resource constraints and for complex queries with nested structures and dependencies. This paper presents QCompiler, a neuro-symbolic framework inspired by linguistic grammar rules and compiler design, to bridge this gap. It theoretically designs a minimal yet sufficient Backus-Naur Form (BNF) grammar G[q] to formalize complex queries. Unlike previous methods, this grammar maintains completeness while minimizing redundancy. Based on this, QCompiler includes a Query Expression Translator, a Lexical Syntax Parser, and a Recursive Descent Processor to compile queries into Abstract Syntax Trees (ASTs) for execution. The atomicity of the sub-queries in the leaf nodes ensures more precise document retrieval and response generation, significantly improving the RAG system's ability to address complex queries.</v>
      </c>
      <c r="D712" s="7" t="str">
        <f>IFERROR(__xludf.DUMMYFUNCTION("""COMPUTED_VALUE"""),"Yuyao Zhang")</f>
        <v>Yuyao Zhang</v>
      </c>
      <c r="E712" s="7" t="str">
        <f>IFERROR(__xludf.DUMMYFUNCTION("""COMPUTED_VALUE"""),"Yes")</f>
        <v>Yes</v>
      </c>
      <c r="F712" s="7" t="str">
        <f>IFERROR(__xludf.DUMMYFUNCTION("""COMPUTED_VALUE"""),"IP-Poster")</f>
        <v>IP-Poster</v>
      </c>
      <c r="G712" s="7" t="str">
        <f>IFERROR(__xludf.DUMMYFUNCTION("""COMPUTED_VALUE"""),"In-Person")</f>
        <v>In-Person</v>
      </c>
      <c r="H712" s="7" t="str">
        <f>IFERROR(__xludf.DUMMYFUNCTION("""COMPUTED_VALUE"""),"Hall 4/5")</f>
        <v>Hall 4/5</v>
      </c>
      <c r="I712" s="7" t="str">
        <f>IFERROR(__xludf.DUMMYFUNCTION("""COMPUTED_VALUE"""),"Session 5 :IP-Posters Find ")</f>
        <v>Session 5 :IP-Posters Find </v>
      </c>
      <c r="J712" s="7" t="str">
        <f>IFERROR(__xludf.DUMMYFUNCTION("""COMPUTED_VALUE"""),"Findings Posters - In-Person 1")</f>
        <v>Findings Posters - In-Person 1</v>
      </c>
      <c r="K712" s="7"/>
      <c r="L712" s="8">
        <f>IFERROR(__xludf.DUMMYFUNCTION("""COMPUTED_VALUE"""),45866.0)</f>
        <v>45866</v>
      </c>
      <c r="M712" s="7" t="str">
        <f>IFERROR(__xludf.DUMMYFUNCTION("""COMPUTED_VALUE"""),"18:00-19:30")</f>
        <v>18:00-19:30</v>
      </c>
      <c r="N712" s="7"/>
    </row>
    <row r="713">
      <c r="A713" s="7" t="str">
        <f>IFERROR(__xludf.DUMMYFUNCTION("""COMPUTED_VALUE"""),"2466-FIND")</f>
        <v>2466-FIND</v>
      </c>
      <c r="B713" s="7" t="str">
        <f>IFERROR(__xludf.DUMMYFUNCTION("""COMPUTED_VALUE"""),"Revealing and Mitigating the Local Pattern Shortcuts of Mamba")</f>
        <v>Revealing and Mitigating the Local Pattern Shortcuts of Mamba</v>
      </c>
      <c r="C713" s="7" t="str">
        <f>IFERROR(__xludf.DUMMYFUNCTION("""COMPUTED_VALUE"""),"Large language models (LLMs) have advanced significantly due to the attention mechanism, but their quadratic complexity and linear memory demands limit their performance on long-context tasks. Recently, researchers introduced Mamba, an advanced model buil"&amp;"t upon State Space Models (SSMs) that offers linear complexity and constant memory. Although Mamba is reported to match or surpass the performance of attention-based models, our analysis reveals a performance gap: Mamba excels in tasks that involve locali"&amp;"zed key information but faces challenges with tasks that require handling distributed key information. Our controlled experiments suggest that the inconsistency arises from Mamba's reliance on **local pattern shortcuts** across model scales (10M to 1.4B),"&amp;" which enable Mamba to remember local key information within its limited memory but hinder its ability to retain more dispersed information. Therefore, we introduce a global gate module into the Mamba model to address this issue. Experiments on extensive "&amp;"synthetic tasks, as well as real-world tasks, demonstrate the effectiveness of our method. Notably, with the introduction of only 4M extra parameters, our approach enables the Mamba model (130M) to achieve a significant improvement on tasks with distribut"&amp;"ed information, increasing its performance from **below 5% to 80%**.")</f>
        <v>Large language models (LLMs) have advanced significantly due to the attention mechanism, but their quadratic complexity and linear memory demands limit their performance on long-context tasks. Recently, researchers introduced Mamba, an advanced model built upon State Space Models (SSMs) that offers linear complexity and constant memory. Although Mamba is reported to match or surpass the performance of attention-based models, our analysis reveals a performance gap: Mamba excels in tasks that involve localized key information but faces challenges with tasks that require handling distributed key information. Our controlled experiments suggest that the inconsistency arises from Mamba's reliance on **local pattern shortcuts** across model scales (10M to 1.4B), which enable Mamba to remember local key information within its limited memory but hinder its ability to retain more dispersed information. Therefore, we introduce a global gate module into the Mamba model to address this issue. Experiments on extensive synthetic tasks, as well as real-world tasks, demonstrate the effectiveness of our method. Notably, with the introduction of only 4M extra parameters, our approach enables the Mamba model (130M) to achieve a significant improvement on tasks with distributed information, increasing its performance from **below 5% to 80%**.</v>
      </c>
      <c r="D713" s="7" t="str">
        <f>IFERROR(__xludf.DUMMYFUNCTION("""COMPUTED_VALUE"""),"N/A")</f>
        <v>N/A</v>
      </c>
      <c r="E713" s="7" t="str">
        <f>IFERROR(__xludf.DUMMYFUNCTION("""COMPUTED_VALUE"""),"Yes")</f>
        <v>Yes</v>
      </c>
      <c r="F713" s="7" t="str">
        <f>IFERROR(__xludf.DUMMYFUNCTION("""COMPUTED_VALUE"""),"Not Pres. ")</f>
        <v>Not Pres. </v>
      </c>
      <c r="G713" s="7" t="str">
        <f>IFERROR(__xludf.DUMMYFUNCTION("""COMPUTED_VALUE"""),"NP Findings Not Presenting ")</f>
        <v>NP Findings Not Presenting </v>
      </c>
      <c r="H713" s="7"/>
      <c r="I713" s="7"/>
      <c r="J713" s="7"/>
      <c r="K713" s="7"/>
      <c r="L713" s="8"/>
      <c r="M713" s="7"/>
      <c r="N713" s="7"/>
    </row>
    <row r="714">
      <c r="A714" s="7" t="str">
        <f>IFERROR(__xludf.DUMMYFUNCTION("""COMPUTED_VALUE"""),"2477-FIND")</f>
        <v>2477-FIND</v>
      </c>
      <c r="B714" s="7" t="str">
        <f>IFERROR(__xludf.DUMMYFUNCTION("""COMPUTED_VALUE"""),"Forget the Token and Pixel: Rethinking Gradient Ascent for Concept Unlearning in Multimodal Generative Models")</f>
        <v>Forget the Token and Pixel: Rethinking Gradient Ascent for Concept Unlearning in Multimodal Generative Models</v>
      </c>
      <c r="C714" s="7" t="str">
        <f>IFERROR(__xludf.DUMMYFUNCTION("""COMPUTED_VALUE"""),"Gradient Ascent (GA) has emerged as a promising approach for concept unlearning in Multimodal Generative Models (MGMs), such as Multimodal Large Language Models (MLLMs) and Stable Diffusion Models (SDMs). Despite its effectiveness in removing undesired kn"&amp;"owledge, GA leads to severe utility degradation in MGMs. In this paper, we explore the mechanism behind this degradation by quantifying two distinct forms of knowledge in MGMs: (i) Conceptual Knowledge, which represents specific information about concepts"&amp;"; (ii) Natural Knowledge, which refers to the ability to produce coherent and logically structured outputs. Our analysis reveals that applying GA globally not only removes the targeted Conceptual Knowledge but also inadvertently diminishes Natural Knowled"&amp;"ge, resulting in utility collapse. To address this issue, we propose Forget the Token and Pixel (FTTP), a novel approach that selectively applies GA to targeted Conceptual Knowledge while preserving Natural Knowledge through Gradient Descent (GD). FTTP el"&amp;"iminates the need for additional retain sets and a large number of training steps, thereby reducing computational resource costs. Extensive experiments demonstrate FTTP’s efficiency and superior utility-unlearning tradeoff for both text and image generati"&amp;"on tasks. Our source code will be released in the near future\footnote{Our code is available in the supplementary material, along with a link to the anonymous GitHub repository provided in the Appendix.}.")</f>
        <v>Gradient Ascent (GA) has emerged as a promising approach for concept unlearning in Multimodal Generative Models (MGMs), such as Multimodal Large Language Models (MLLMs) and Stable Diffusion Models (SDMs). Despite its effectiveness in removing undesired knowledge, GA leads to severe utility degradation in MGMs. In this paper, we explore the mechanism behind this degradation by quantifying two distinct forms of knowledge in MGMs: (i) Conceptual Knowledge, which represents specific information about concepts; (ii) Natural Knowledge, which refers to the ability to produce coherent and logically structured outputs. Our analysis reveals that applying GA globally not only removes the targeted Conceptual Knowledge but also inadvertently diminishes Natural Knowledge, resulting in utility collapse. To address this issue, we propose Forget the Token and Pixel (FTTP), a novel approach that selectively applies GA to targeted Conceptual Knowledge while preserving Natural Knowledge through Gradient Descent (GD). FTTP eliminates the need for additional retain sets and a large number of training steps, thereby reducing computational resource costs. Extensive experiments demonstrate FTTP’s efficiency and superior utility-unlearning tradeoff for both text and image generation tasks. Our source code will be released in the near future\footnote{Our code is available in the supplementary material, along with a link to the anonymous GitHub repository provided in the Appendix.}.</v>
      </c>
      <c r="D714" s="7" t="str">
        <f>IFERROR(__xludf.DUMMYFUNCTION("""COMPUTED_VALUE"""),"Jiaqi Li")</f>
        <v>Jiaqi Li</v>
      </c>
      <c r="E714" s="7" t="str">
        <f>IFERROR(__xludf.DUMMYFUNCTION("""COMPUTED_VALUE"""),"Yes")</f>
        <v>Yes</v>
      </c>
      <c r="F714" s="7" t="str">
        <f>IFERROR(__xludf.DUMMYFUNCTION("""COMPUTED_VALUE"""),"IP-Poster")</f>
        <v>IP-Poster</v>
      </c>
      <c r="G714" s="7" t="str">
        <f>IFERROR(__xludf.DUMMYFUNCTION("""COMPUTED_VALUE"""),"In-Person")</f>
        <v>In-Person</v>
      </c>
      <c r="H714" s="7" t="str">
        <f>IFERROR(__xludf.DUMMYFUNCTION("""COMPUTED_VALUE"""),"Hall 4/5")</f>
        <v>Hall 4/5</v>
      </c>
      <c r="I714" s="7" t="str">
        <f>IFERROR(__xludf.DUMMYFUNCTION("""COMPUTED_VALUE"""),"Session 5 :IP-Posters Find ")</f>
        <v>Session 5 :IP-Posters Find </v>
      </c>
      <c r="J714" s="7" t="str">
        <f>IFERROR(__xludf.DUMMYFUNCTION("""COMPUTED_VALUE"""),"Findings Posters - In-Person 1")</f>
        <v>Findings Posters - In-Person 1</v>
      </c>
      <c r="K714" s="7"/>
      <c r="L714" s="8">
        <f>IFERROR(__xludf.DUMMYFUNCTION("""COMPUTED_VALUE"""),45866.0)</f>
        <v>45866</v>
      </c>
      <c r="M714" s="7" t="str">
        <f>IFERROR(__xludf.DUMMYFUNCTION("""COMPUTED_VALUE"""),"18:00-19:30")</f>
        <v>18:00-19:30</v>
      </c>
      <c r="N714" s="7"/>
    </row>
    <row r="715">
      <c r="A715" s="7" t="str">
        <f>IFERROR(__xludf.DUMMYFUNCTION("""COMPUTED_VALUE"""),"2486-FIND")</f>
        <v>2486-FIND</v>
      </c>
      <c r="B715" s="7" t="str">
        <f>IFERROR(__xludf.DUMMYFUNCTION("""COMPUTED_VALUE"""),"Slamming: Training a Speech Language Model on One GPU in a Day")</f>
        <v>Slamming: Training a Speech Language Model on One GPU in a Day</v>
      </c>
      <c r="C715" s="7" t="str">
        <f>IFERROR(__xludf.DUMMYFUNCTION("""COMPUTED_VALUE"""),"We introduce Slam, a recipe for training high-quality Speech Language Models (SLMs) on a single academic GPU in 24 hours. We do so through empirical analysis of model initialisation and architecture, synthetic training data, preference optimisation with s"&amp;"ynthetic data and tweaking all other components. We empirically demonstrate that this training recipe also scales well with more compute getting results on par with leading SLMs in a fraction of the compute cost. We hope these insights will make SLM train"&amp;"ing and research more accessible. In the context of SLM scaling laws, our results far outperform predicted compute optimal performance, giving an optimistic view to SLM feasibility. We open source code, data, models, and provide samples at https://anonymo"&amp;"us.4open.science/w/anon_demo/ .")</f>
        <v>We introduce Slam, a recipe for training high-quality Speech Language Models (SLMs) on a single academic GPU in 24 hours. We do so through empirical analysis of model initialisation and architecture, synthetic training data, preference optimisation with synthetic data and tweaking all other components. We empirically demonstrate that this training recipe also scales well with more compute getting results on par with leading SLMs in a fraction of the compute cost. We hope these insights will make SLM training and research more accessible. In the context of SLM scaling laws, our results far outperform predicted compute optimal performance, giving an optimistic view to SLM feasibility. We open source code, data, models, and provide samples at https://anonymous.4open.science/w/anon_demo/ .</v>
      </c>
      <c r="D715" s="7" t="str">
        <f>IFERROR(__xludf.DUMMYFUNCTION("""COMPUTED_VALUE"""),"Avishai Elmakies")</f>
        <v>Avishai Elmakies</v>
      </c>
      <c r="E715" s="7" t="str">
        <f>IFERROR(__xludf.DUMMYFUNCTION("""COMPUTED_VALUE"""),"Yes")</f>
        <v>Yes</v>
      </c>
      <c r="F715" s="7" t="str">
        <f>IFERROR(__xludf.DUMMYFUNCTION("""COMPUTED_VALUE"""),"IP-Poster")</f>
        <v>IP-Poster</v>
      </c>
      <c r="G715" s="7" t="str">
        <f>IFERROR(__xludf.DUMMYFUNCTION("""COMPUTED_VALUE"""),"In-Person")</f>
        <v>In-Person</v>
      </c>
      <c r="H715" s="7" t="str">
        <f>IFERROR(__xludf.DUMMYFUNCTION("""COMPUTED_VALUE"""),"Hall 4/5")</f>
        <v>Hall 4/5</v>
      </c>
      <c r="I715" s="7" t="str">
        <f>IFERROR(__xludf.DUMMYFUNCTION("""COMPUTED_VALUE"""),"Session 5 :IP-Posters Find ")</f>
        <v>Session 5 :IP-Posters Find </v>
      </c>
      <c r="J715" s="7" t="str">
        <f>IFERROR(__xludf.DUMMYFUNCTION("""COMPUTED_VALUE"""),"Findings Posters - In-Person 1")</f>
        <v>Findings Posters - In-Person 1</v>
      </c>
      <c r="K715" s="7"/>
      <c r="L715" s="8">
        <f>IFERROR(__xludf.DUMMYFUNCTION("""COMPUTED_VALUE"""),45866.0)</f>
        <v>45866</v>
      </c>
      <c r="M715" s="7" t="str">
        <f>IFERROR(__xludf.DUMMYFUNCTION("""COMPUTED_VALUE"""),"18:00-19:30")</f>
        <v>18:00-19:30</v>
      </c>
      <c r="N715" s="7"/>
    </row>
    <row r="716">
      <c r="A716" s="7" t="str">
        <f>IFERROR(__xludf.DUMMYFUNCTION("""COMPUTED_VALUE"""),"2487-FIND")</f>
        <v>2487-FIND</v>
      </c>
      <c r="B716" s="7" t="str">
        <f>IFERROR(__xludf.DUMMYFUNCTION("""COMPUTED_VALUE"""),"Boosting LLM Translation Skills without General Ability Loss via Rationale Distillation")</f>
        <v>Boosting LLM Translation Skills without General Ability Loss via Rationale Distillation</v>
      </c>
      <c r="C716" s="7" t="str">
        <f>IFERROR(__xludf.DUMMYFUNCTION("""COMPUTED_VALUE"""),"Large Language Models (LLMs) have achieved impressive results across numerous NLP tasks, and fine-tuning them for Machine Translation (MT) has improved their performance. However, vanilla fine-tuning often leads to catastrophic forgetting, compromising th"&amp;"e broad general abilities of LLMs and introducing potential security risks. These abilities, which are developed using proprietary and unavailable training data, make simple data replay methods ineffective. To overcome this issue, we propose a novel appro"&amp;"ach called **Ra**tionale 
**Dis**tillation. RaDis harnesses the strong generative capabilities of LLMs to create rationales for training data, which are then “replayed” to prevent forgetting. These rationales connect prior knowledge with new tasks, acting"&amp;" as self-distillation targets to regulate the training process. By jointly training on reference translations and self-generated rationales, the model can learn new translation skills while preserving its general abilities across other tasks. Additionally"&amp;", RaDis provides a fresh perspective on using rationales in the CL field and has the potential to serve as a general continual learning method for a variety of tasks.")</f>
        <v>Large Language Models (LLMs) have achieved impressive results across numerous NLP tasks, and fine-tuning them for Machine Translation (MT) has improved their performance. However, vanilla fine-tuning often leads to catastrophic forgetting, compromising the broad general abilities of LLMs and introducing potential security risks. These abilities, which are developed using proprietary and unavailable training data, make simple data replay methods ineffective. To overcome this issue, we propose a novel approach called **Ra**tionale 
**Dis**tillation. RaDis harnesses the strong generative capabilities of LLMs to create rationales for training data, which are then “replayed” to prevent forgetting. These rationales connect prior knowledge with new tasks, acting as self-distillation targets to regulate the training process. By jointly training on reference translations and self-generated rationales, the model can learn new translation skills while preserving its general abilities across other tasks. Additionally, RaDis provides a fresh perspective on using rationales in the CL field and has the potential to serve as a general continual learning method for a variety of tasks.</v>
      </c>
      <c r="D716" s="7" t="str">
        <f>IFERROR(__xludf.DUMMYFUNCTION("""COMPUTED_VALUE"""),"Junhong Wu")</f>
        <v>Junhong Wu</v>
      </c>
      <c r="E716" s="7" t="str">
        <f>IFERROR(__xludf.DUMMYFUNCTION("""COMPUTED_VALUE"""),"Yes")</f>
        <v>Yes</v>
      </c>
      <c r="F716" s="7" t="str">
        <f>IFERROR(__xludf.DUMMYFUNCTION("""COMPUTED_VALUE"""),"Not Pres. ")</f>
        <v>Not Pres. </v>
      </c>
      <c r="G716" s="7" t="str">
        <f>IFERROR(__xludf.DUMMYFUNCTION("""COMPUTED_VALUE"""),"NP Findings Not Presenting ")</f>
        <v>NP Findings Not Presenting </v>
      </c>
      <c r="H716" s="7"/>
      <c r="I716" s="7"/>
      <c r="J716" s="7"/>
      <c r="K716" s="7"/>
      <c r="L716" s="8"/>
      <c r="M716" s="7"/>
      <c r="N716" s="7"/>
    </row>
    <row r="717">
      <c r="A717" s="7" t="str">
        <f>IFERROR(__xludf.DUMMYFUNCTION("""COMPUTED_VALUE"""),"2488-FIND")</f>
        <v>2488-FIND</v>
      </c>
      <c r="B717" s="7" t="str">
        <f>IFERROR(__xludf.DUMMYFUNCTION("""COMPUTED_VALUE"""),"Clarifying Underspecified Discourse Relations in Instructional Texts")</f>
        <v>Clarifying Underspecified Discourse Relations in Instructional Texts</v>
      </c>
      <c r="C717" s="7" t="str">
        <f>IFERROR(__xludf.DUMMYFUNCTION("""COMPUTED_VALUE"""),"Discourse relations contribute to the structure of a text and can optionally be realized through explicit connectives such as ""but"" and ""while"". But when are these connectives necessary to avoid possible misunderstandings? We investigate this question"&amp;" by first building a corpus of 4,274 text revisions in each of which a connective was explicitly inserted. For a subset of 250 cases, we collect plausibility annotations on other connectives to check whether they would represent suitable alternative relat"&amp;"ions. The results of this annotation show that several relations are often perceived as plausible in our data. Furthermore, we analyze the extent to which large language models can identify instances with multiple plausible relations as a possible source "&amp;"of misunderstandings. We find that the models predict plausibility of individual connectives with up to 66% accuracy, but they are not reliable in estimating when multiple relations are plausible.")</f>
        <v>Discourse relations contribute to the structure of a text and can optionally be realized through explicit connectives such as "but" and "while". But when are these connectives necessary to avoid possible misunderstandings? We investigate this question by first building a corpus of 4,274 text revisions in each of which a connective was explicitly inserted. For a subset of 250 cases, we collect plausibility annotations on other connectives to check whether they would represent suitable alternative relations. The results of this annotation show that several relations are often perceived as plausible in our data. Furthermore, we analyze the extent to which large language models can identify instances with multiple plausible relations as a possible source of misunderstandings. We find that the models predict plausibility of individual connectives with up to 66% accuracy, but they are not reliable in estimating when multiple relations are plausible.</v>
      </c>
      <c r="D717" s="7" t="str">
        <f>IFERROR(__xludf.DUMMYFUNCTION("""COMPUTED_VALUE"""),"Berfin Aktaş")</f>
        <v>Berfin Aktaş</v>
      </c>
      <c r="E717" s="7" t="str">
        <f>IFERROR(__xludf.DUMMYFUNCTION("""COMPUTED_VALUE"""),"Yes")</f>
        <v>Yes</v>
      </c>
      <c r="F717" s="7" t="str">
        <f>IFERROR(__xludf.DUMMYFUNCTION("""COMPUTED_VALUE"""),"IP-Poster")</f>
        <v>IP-Poster</v>
      </c>
      <c r="G717" s="7" t="str">
        <f>IFERROR(__xludf.DUMMYFUNCTION("""COMPUTED_VALUE"""),"In-Person")</f>
        <v>In-Person</v>
      </c>
      <c r="H717" s="7" t="str">
        <f>IFERROR(__xludf.DUMMYFUNCTION("""COMPUTED_VALUE"""),"Hall 4/5")</f>
        <v>Hall 4/5</v>
      </c>
      <c r="I717" s="7" t="str">
        <f>IFERROR(__xludf.DUMMYFUNCTION("""COMPUTED_VALUE"""),"Session 10: IP-Posters")</f>
        <v>Session 10: IP-Posters</v>
      </c>
      <c r="J717" s="7" t="str">
        <f>IFERROR(__xludf.DUMMYFUNCTION("""COMPUTED_VALUE"""),"Findings Posters - In-Person 3")</f>
        <v>Findings Posters - In-Person 3</v>
      </c>
      <c r="K717" s="7"/>
      <c r="L717" s="8">
        <f>IFERROR(__xludf.DUMMYFUNCTION("""COMPUTED_VALUE"""),45867.0)</f>
        <v>45867</v>
      </c>
      <c r="M717" s="7" t="str">
        <f>IFERROR(__xludf.DUMMYFUNCTION("""COMPUTED_VALUE"""),"16:00-17:30")</f>
        <v>16:00-17:30</v>
      </c>
      <c r="N717" s="7"/>
    </row>
    <row r="718">
      <c r="A718" s="7" t="str">
        <f>IFERROR(__xludf.DUMMYFUNCTION("""COMPUTED_VALUE"""),"2489-FIND")</f>
        <v>2489-FIND</v>
      </c>
      <c r="B718" s="7" t="str">
        <f>IFERROR(__xludf.DUMMYFUNCTION("""COMPUTED_VALUE"""),"WMT24++: Expanding the Language Coverage of WMT24 to 55 Languages &amp; Dialects")</f>
        <v>WMT24++: Expanding the Language Coverage of WMT24 to 55 Languages &amp; Dialects</v>
      </c>
      <c r="C718" s="7" t="str">
        <f>IFERROR(__xludf.DUMMYFUNCTION("""COMPUTED_VALUE"""),"As large language models (LLM) become more and more capable in languages other than English, it is important to collect benchmark datasets in order to evaluate their multilingual performance, including on tasks like machine translation (MT). In this work,"&amp;" we extend the WMT24 dataset to cover 55 languages by collecting new human-written references and post-edits for 46 new languages/dialects in addition to post-edits of the references in 8 out of 9 languages in the original WMT24 dataset. We benchmark a va"&amp;"riety of MT providers and LLMs on the collected dataset using automatic metrics and find that LLMs are the best-performing MT systems in all 55 languages. However, we caution against using our results to reach strong conclusions about MT quality without a"&amp;" human-based evaluation due to limitations of automatic evaluation metrics, which we leave for future work.")</f>
        <v>As large language models (LLM) become more and more capable in languages other than English, it is important to collect benchmark datasets in order to evaluate their multilingual performance, including on tasks like machine translation (MT). In this work, we extend the WMT24 dataset to cover 55 languages by collecting new human-written references and post-edits for 46 new languages/dialects in addition to post-edits of the references in 8 out of 9 languages in the original WMT24 dataset. We benchmark a variety of MT providers and LLMs on the collected dataset using automatic metrics and find that LLMs are the best-performing MT systems in all 55 languages. However, we caution against using our results to reach strong conclusions about MT quality without a human-based evaluation due to limitations of automatic evaluation metrics, which we leave for future work.</v>
      </c>
      <c r="D718" s="7" t="str">
        <f>IFERROR(__xludf.DUMMYFUNCTION("""COMPUTED_VALUE"""),"Daniel Deutsch")</f>
        <v>Daniel Deutsch</v>
      </c>
      <c r="E718" s="7" t="str">
        <f>IFERROR(__xludf.DUMMYFUNCTION("""COMPUTED_VALUE"""),"Yes")</f>
        <v>Yes</v>
      </c>
      <c r="F718" s="7" t="str">
        <f>IFERROR(__xludf.DUMMYFUNCTION("""COMPUTED_VALUE"""),"IP-Poster")</f>
        <v>IP-Poster</v>
      </c>
      <c r="G718" s="7" t="str">
        <f>IFERROR(__xludf.DUMMYFUNCTION("""COMPUTED_VALUE"""),"In-Person")</f>
        <v>In-Person</v>
      </c>
      <c r="H718" s="7" t="str">
        <f>IFERROR(__xludf.DUMMYFUNCTION("""COMPUTED_VALUE"""),"Hall 4/5")</f>
        <v>Hall 4/5</v>
      </c>
      <c r="I718" s="7" t="str">
        <f>IFERROR(__xludf.DUMMYFUNCTION("""COMPUTED_VALUE"""),"Session 5 :IP-Posters Find ")</f>
        <v>Session 5 :IP-Posters Find </v>
      </c>
      <c r="J718" s="7" t="str">
        <f>IFERROR(__xludf.DUMMYFUNCTION("""COMPUTED_VALUE"""),"Findings Posters - In-Person 1")</f>
        <v>Findings Posters - In-Person 1</v>
      </c>
      <c r="K718" s="7"/>
      <c r="L718" s="8">
        <f>IFERROR(__xludf.DUMMYFUNCTION("""COMPUTED_VALUE"""),45866.0)</f>
        <v>45866</v>
      </c>
      <c r="M718" s="7" t="str">
        <f>IFERROR(__xludf.DUMMYFUNCTION("""COMPUTED_VALUE"""),"18:00-19:30")</f>
        <v>18:00-19:30</v>
      </c>
      <c r="N718" s="7"/>
    </row>
    <row r="719">
      <c r="A719" s="7" t="str">
        <f>IFERROR(__xludf.DUMMYFUNCTION("""COMPUTED_VALUE"""),"2491-FIND")</f>
        <v>2491-FIND</v>
      </c>
      <c r="B719" s="7" t="str">
        <f>IFERROR(__xludf.DUMMYFUNCTION("""COMPUTED_VALUE"""),"Exploring Graph Representations of Logical Forms for Language Modeling")</f>
        <v>Exploring Graph Representations of Logical Forms for Language Modeling</v>
      </c>
      <c r="C719" s="7" t="str">
        <f>IFERROR(__xludf.DUMMYFUNCTION("""COMPUTED_VALUE"""),"We make the case for language models over logical forms (LFLMs), arguing that such models are more data-efficient than their textual counterparts. To that end, we introduce the Graph-based Formal-Logical Distributional Semantics (GFoLDS) prototype, a pret"&amp;"rained LM over graph representations of logical forms, as a proof-of-concept of LFLMs. Using GFoLDS, we present strong experimental evidence that LFLMs can leverage the built-in, basic linguistic knowledge inherent in such models to immediately begin lear"&amp;"ning more complex patterns. On downstream tasks, we show that GFoLDS vastly outperforms textual, transformer LMs (BERT) pretrained on the same data, indicating that LFLMs can learn with substantially less data than models over plain text. Furthermore, we "&amp;"show that the performance of this model is likely to scale with additional parameters and pretraining data, suggesting the viability of LFLMs in real-world applications.")</f>
        <v>We make the case for language models over logical forms (LFLMs), arguing that such models are more data-efficient than their textual counterparts. To that end, we introduce the Graph-based Formal-Logical Distributional Semantics (GFoLDS) prototype, a pretrained LM over graph representations of logical forms, as a proof-of-concept of LFLMs. Using GFoLDS, we present strong experimental evidence that LFLMs can leverage the built-in, basic linguistic knowledge inherent in such models to immediately begin learning more complex patterns. On downstream tasks, we show that GFoLDS vastly outperforms textual, transformer LMs (BERT) pretrained on the same data, indicating that LFLMs can learn with substantially less data than models over plain text. Furthermore, we show that the performance of this model is likely to scale with additional parameters and pretraining data, suggesting the viability of LFLMs in real-world applications.</v>
      </c>
      <c r="D719" s="7" t="str">
        <f>IFERROR(__xludf.DUMMYFUNCTION("""COMPUTED_VALUE"""),"Michael Sullivan")</f>
        <v>Michael Sullivan</v>
      </c>
      <c r="E719" s="7" t="str">
        <f>IFERROR(__xludf.DUMMYFUNCTION("""COMPUTED_VALUE"""),"Yes")</f>
        <v>Yes</v>
      </c>
      <c r="F719" s="7" t="str">
        <f>IFERROR(__xludf.DUMMYFUNCTION("""COMPUTED_VALUE"""),"IP-Poster")</f>
        <v>IP-Poster</v>
      </c>
      <c r="G719" s="7" t="str">
        <f>IFERROR(__xludf.DUMMYFUNCTION("""COMPUTED_VALUE"""),"In-Person")</f>
        <v>In-Person</v>
      </c>
      <c r="H719" s="7" t="str">
        <f>IFERROR(__xludf.DUMMYFUNCTION("""COMPUTED_VALUE"""),"Hall 4/5")</f>
        <v>Hall 4/5</v>
      </c>
      <c r="I719" s="7" t="str">
        <f>IFERROR(__xludf.DUMMYFUNCTION("""COMPUTED_VALUE"""),"Session 7: IP-Posters")</f>
        <v>Session 7: IP-Posters</v>
      </c>
      <c r="J719" s="7" t="str">
        <f>IFERROR(__xludf.DUMMYFUNCTION("""COMPUTED_VALUE"""),"Findings Posters - In-Person 2")</f>
        <v>Findings Posters - In-Person 2</v>
      </c>
      <c r="K719" s="7"/>
      <c r="L719" s="8">
        <f>IFERROR(__xludf.DUMMYFUNCTION("""COMPUTED_VALUE"""),45867.0)</f>
        <v>45867</v>
      </c>
      <c r="M719" s="7" t="str">
        <f>IFERROR(__xludf.DUMMYFUNCTION("""COMPUTED_VALUE"""),"10:30-12:00")</f>
        <v>10:30-12:00</v>
      </c>
      <c r="N719" s="7"/>
    </row>
    <row r="720">
      <c r="A720" s="7" t="str">
        <f>IFERROR(__xludf.DUMMYFUNCTION("""COMPUTED_VALUE"""),"2492-FIND")</f>
        <v>2492-FIND</v>
      </c>
      <c r="B720" s="7" t="str">
        <f>IFERROR(__xludf.DUMMYFUNCTION("""COMPUTED_VALUE"""),"SEA-HELM: Southeast Asian Holistic Evaluation of Language Models")</f>
        <v>SEA-HELM: Southeast Asian Holistic Evaluation of Language Models</v>
      </c>
      <c r="C720" s="7" t="str">
        <f>IFERROR(__xludf.DUMMYFUNCTION("""COMPUTED_VALUE"""),"With the rapid emergence of novel capabilities
in Large Language Models (LLMs), the need
for rigorous multilingual and multicultural
benchmarks that are integrated has become
more pronounced. Though existing LLM
benchmarks are capable of evaluating specif"&amp;"ic
capabilities of LLMs in English as well as
in various mid- to low-resource languages,
including those in the Southeast Asian
(SEA) region, a comprehensive and authentic
evaluation suite for the SEA languages has
not been developed thus far. Here, we
pr"&amp;"esent SEA-HELM, a holistic linguistic
and cultural LLM evaluation suite that
emphasizes SEA languages, comprising five
core pillars: (1) NLP CLASSICS, (2)
LLM-SPECIFICS, (3) SEA LINGUISTICS, (4)
SEA CULTURE, (5) SAFETY. SEA-HELM
currently supports Filipin"&amp;"o, Indonesian, Tamil,
Thai, and Vietnamese. We also introduce
the SEA-HELM leaderboard, which allows
users to understand models’ multilingual and
multicultural performance in a systematic and
user-friendly manner.")</f>
        <v>With the rapid emergence of novel capabilities
in Large Language Models (LLMs), the need
for rigorous multilingual and multicultural
benchmarks that are integrated has become
more pronounced. Though existing LLM
benchmarks are capable of evaluating specific
capabilities of LLMs in English as well as
in various mid- to low-resource languages,
including those in the Southeast Asian
(SEA) region, a comprehensive and authentic
evaluation suite for the SEA languages has
not been developed thus far. Here, we
present SEA-HELM, a holistic linguistic
and cultural LLM evaluation suite that
emphasizes SEA languages, comprising five
core pillars: (1) NLP CLASSICS, (2)
LLM-SPECIFICS, (3) SEA LINGUISTICS, (4)
SEA CULTURE, (5) SAFETY. SEA-HELM
currently supports Filipino, Indonesian, Tamil,
Thai, and Vietnamese. We also introduce
the SEA-HELM leaderboard, which allows
users to understand models’ multilingual and
multicultural performance in a systematic and
user-friendly manner.</v>
      </c>
      <c r="D720" s="7" t="str">
        <f>IFERROR(__xludf.DUMMYFUNCTION("""COMPUTED_VALUE"""),"Yosephine Susanto")</f>
        <v>Yosephine Susanto</v>
      </c>
      <c r="E720" s="7" t="str">
        <f>IFERROR(__xludf.DUMMYFUNCTION("""COMPUTED_VALUE"""),"Yes")</f>
        <v>Yes</v>
      </c>
      <c r="F720" s="7" t="str">
        <f>IFERROR(__xludf.DUMMYFUNCTION("""COMPUTED_VALUE"""),"IP-Poster")</f>
        <v>IP-Poster</v>
      </c>
      <c r="G720" s="7" t="str">
        <f>IFERROR(__xludf.DUMMYFUNCTION("""COMPUTED_VALUE"""),"In-Person")</f>
        <v>In-Person</v>
      </c>
      <c r="H720" s="7" t="str">
        <f>IFERROR(__xludf.DUMMYFUNCTION("""COMPUTED_VALUE"""),"Hall 4/5")</f>
        <v>Hall 4/5</v>
      </c>
      <c r="I720" s="7" t="str">
        <f>IFERROR(__xludf.DUMMYFUNCTION("""COMPUTED_VALUE"""),"Session 7: IP-Posters")</f>
        <v>Session 7: IP-Posters</v>
      </c>
      <c r="J720" s="7" t="str">
        <f>IFERROR(__xludf.DUMMYFUNCTION("""COMPUTED_VALUE"""),"Findings Posters - In-Person 2")</f>
        <v>Findings Posters - In-Person 2</v>
      </c>
      <c r="K720" s="7"/>
      <c r="L720" s="8">
        <f>IFERROR(__xludf.DUMMYFUNCTION("""COMPUTED_VALUE"""),45867.0)</f>
        <v>45867</v>
      </c>
      <c r="M720" s="7" t="str">
        <f>IFERROR(__xludf.DUMMYFUNCTION("""COMPUTED_VALUE"""),"10:30-12:00")</f>
        <v>10:30-12:00</v>
      </c>
      <c r="N720" s="7"/>
    </row>
    <row r="721">
      <c r="A721" s="7" t="str">
        <f>IFERROR(__xludf.DUMMYFUNCTION("""COMPUTED_VALUE"""),"2500-FIND")</f>
        <v>2500-FIND</v>
      </c>
      <c r="B721" s="7" t="str">
        <f>IFERROR(__xludf.DUMMYFUNCTION("""COMPUTED_VALUE"""),"TRANS-ZERO: Self-Play Incentivizes Large Language Models for Multilingual Translation Without Parallel Data")</f>
        <v>TRANS-ZERO: Self-Play Incentivizes Large Language Models for Multilingual Translation Without Parallel Data</v>
      </c>
      <c r="C721" s="7" t="str">
        <f>IFERROR(__xludf.DUMMYFUNCTION("""COMPUTED_VALUE"""),"The rise of Large Language Models (LLMs) has reshaped machine translation (MT), but multilingual MT still relies heavily on parallel data for supervised fine-tuning (SFT), facing challenges like data scarcity for low-resource languages and catastrophic fo"&amp;"rgetting. To address these issues, we propose TRANS-ZERO, a self-play framework that leverages only monolingual data and the intrinsic multilingual knowledge of LLM. TRANS-ZERO combines Genetic Monte-Carlo Tree Search (G-MCTS) with preference optimization"&amp;", achieving strong translation performance that rivals supervised methods. Experiments demonstrate that this approach not only matches the performance of models trained on large-scale parallel data but also excels in non-English translation directions. Fu"&amp;"rther analysis reveals that G-MCTS itself significantly enhances translation quality by exploring semantically consistent candidates through iterative translations, providing a robust foundation for the framework’s success.")</f>
        <v>The rise of Large Language Models (LLMs) has reshaped machine translation (MT), but multilingual MT still relies heavily on parallel data for supervised fine-tuning (SFT), facing challenges like data scarcity for low-resource languages and catastrophic forgetting. To address these issues, we propose TRANS-ZERO, a self-play framework that leverages only monolingual data and the intrinsic multilingual knowledge of LLM. TRANS-ZERO combines Genetic Monte-Carlo Tree Search (G-MCTS) with preference optimization, achieving strong translation performance that rivals supervised methods. Experiments demonstrate that this approach not only matches the performance of models trained on large-scale parallel data but also excels in non-English translation directions. Further analysis reveals that G-MCTS itself significantly enhances translation quality by exploring semantically consistent candidates through iterative translations, providing a robust foundation for the framework’s success.</v>
      </c>
      <c r="D721" s="7" t="str">
        <f>IFERROR(__xludf.DUMMYFUNCTION("""COMPUTED_VALUE"""),"-")</f>
        <v>-</v>
      </c>
      <c r="E721" s="7" t="str">
        <f>IFERROR(__xludf.DUMMYFUNCTION("""COMPUTED_VALUE"""),"#N/A")</f>
        <v>#N/A</v>
      </c>
      <c r="F721" s="7" t="str">
        <f>IFERROR(__xludf.DUMMYFUNCTION("""COMPUTED_VALUE"""),"Not Pres. ")</f>
        <v>Not Pres. </v>
      </c>
      <c r="G721" s="7" t="str">
        <f>IFERROR(__xludf.DUMMYFUNCTION("""COMPUTED_VALUE"""),"NP Findings Not Presenting ")</f>
        <v>NP Findings Not Presenting </v>
      </c>
      <c r="H721" s="7"/>
      <c r="I721" s="7" t="str">
        <f>IFERROR(__xludf.DUMMYFUNCTION("""COMPUTED_VALUE"""),"NP-Find")</f>
        <v>NP-Find</v>
      </c>
      <c r="J721" s="7"/>
      <c r="K721" s="7"/>
      <c r="L721" s="8"/>
      <c r="M721" s="7"/>
      <c r="N721" s="7"/>
    </row>
    <row r="722">
      <c r="A722" s="7" t="str">
        <f>IFERROR(__xludf.DUMMYFUNCTION("""COMPUTED_VALUE"""),"2503-FIND")</f>
        <v>2503-FIND</v>
      </c>
      <c r="B722" s="7" t="str">
        <f>IFERROR(__xludf.DUMMYFUNCTION("""COMPUTED_VALUE"""),"A Conformal Risk Control Framework for Granular Word Assessment and Uncertainty Calibration of CLIPScore Quality Estimates")</f>
        <v>A Conformal Risk Control Framework for Granular Word Assessment and Uncertainty Calibration of CLIPScore Quality Estimates</v>
      </c>
      <c r="C722" s="7" t="str">
        <f>IFERROR(__xludf.DUMMYFUNCTION("""COMPUTED_VALUE"""),"This study explores current limitations of learned image captioning evaluation metrics, specifically the lack of granular assessment for individual word misalignments within captions, and the reliance on single-point quality estimates without considering "&amp;"uncertainty. To address these limitations, we propose a simple yet effective strategy for generating and calibrating CLIPScore distributions. Leveraging a model-agnostic conformal risk control framework, we calibrate CLIPScore values for task-specific con"&amp;"trol variables, to tackle the aforementioned two limitations. Experimental results demonstrate that using conformal risk control, over the distributions produced with simple methods such as input masking, can achieve competitive performance compared to mo"&amp;"re complex approaches. Our method effectively detects misaligned words, while providing formal guarantees aligned with desired risk levels, and improving the correlation between uncertainty estimations and prediction errors, thus enhancing the overall rel"&amp;"iability of caption evaluation metrics.")</f>
        <v>This study explores current limitations of learned image captioning evaluation metrics, specifically the lack of granular assessment for individual word misalignments within captions, and the reliance on single-point quality estimates without considering uncertainty. To address these limitations, we propose a simple yet effective strategy for generating and calibrating CLIPScore distributions. Leveraging a model-agnostic conformal risk control framework, we calibrate CLIPScore values for task-specific control variables, to tackle the aforementioned two limitations. Experimental results demonstrate that using conformal risk control, over the distributions produced with simple methods such as input masking, can achieve competitive performance compared to more complex approaches. Our method effectively detects misaligned words, while providing formal guarantees aligned with desired risk levels, and improving the correlation between uncertainty estimations and prediction errors, thus enhancing the overall reliability of caption evaluation metrics.</v>
      </c>
      <c r="D722" s="7" t="str">
        <f>IFERROR(__xludf.DUMMYFUNCTION("""COMPUTED_VALUE"""),"Gonçalo Gomes")</f>
        <v>Gonçalo Gomes</v>
      </c>
      <c r="E722" s="7" t="str">
        <f>IFERROR(__xludf.DUMMYFUNCTION("""COMPUTED_VALUE"""),"Yes")</f>
        <v>Yes</v>
      </c>
      <c r="F722" s="7" t="str">
        <f>IFERROR(__xludf.DUMMYFUNCTION("""COMPUTED_VALUE"""),"IP-Poster")</f>
        <v>IP-Poster</v>
      </c>
      <c r="G722" s="7" t="str">
        <f>IFERROR(__xludf.DUMMYFUNCTION("""COMPUTED_VALUE"""),"In-Person")</f>
        <v>In-Person</v>
      </c>
      <c r="H722" s="7" t="str">
        <f>IFERROR(__xludf.DUMMYFUNCTION("""COMPUTED_VALUE"""),"Hall 4/5")</f>
        <v>Hall 4/5</v>
      </c>
      <c r="I722" s="7" t="str">
        <f>IFERROR(__xludf.DUMMYFUNCTION("""COMPUTED_VALUE"""),"Session 5 :IP-Posters Find ")</f>
        <v>Session 5 :IP-Posters Find </v>
      </c>
      <c r="J722" s="7" t="str">
        <f>IFERROR(__xludf.DUMMYFUNCTION("""COMPUTED_VALUE"""),"Findings Posters - In-Person 1")</f>
        <v>Findings Posters - In-Person 1</v>
      </c>
      <c r="K722" s="7"/>
      <c r="L722" s="8">
        <f>IFERROR(__xludf.DUMMYFUNCTION("""COMPUTED_VALUE"""),45866.0)</f>
        <v>45866</v>
      </c>
      <c r="M722" s="7" t="str">
        <f>IFERROR(__xludf.DUMMYFUNCTION("""COMPUTED_VALUE"""),"18:00-19:30")</f>
        <v>18:00-19:30</v>
      </c>
      <c r="N722" s="7"/>
    </row>
    <row r="723">
      <c r="A723" s="7" t="str">
        <f>IFERROR(__xludf.DUMMYFUNCTION("""COMPUTED_VALUE"""),"2508-FIND")</f>
        <v>2508-FIND</v>
      </c>
      <c r="B723" s="7" t="str">
        <f>IFERROR(__xludf.DUMMYFUNCTION("""COMPUTED_VALUE"""),"SGDPO: Self-Guided Direct Preference Optimization for Language Model Alignment")</f>
        <v>SGDPO: Self-Guided Direct Preference Optimization for Language Model Alignment</v>
      </c>
      <c r="C723" s="7" t="str">
        <f>IFERROR(__xludf.DUMMYFUNCTION("""COMPUTED_VALUE"""),"Direct Preference Optimization (DPO) is broadly utilized for aligning Large Language Models (LLMs) with human values because of its flexibility. Despite its effectiveness, it has been observed that the capability of DPO to generate human-preferred respons"&amp;"e is limited and the results of DPO are far from resilient. To address these limitations, in this paper we propose a novel Self-Guided Direct Preference Optimization algorithm, i.e., SGDPO, which incorporates a pilot term to steer the gradient flow during"&amp;" the optimization process, allowing for fine-grained control over the updates of chosen and rejected rewards. We provide a detailed theoretical analysis of our proposed method and elucidate its operational mechanism. Furthermore, we conduct comprehensive "&amp;"experiments on various models and benchmarks. The extensive experimental results demonstrate the consistency between the empirical results and our theoretical analysis and confirm the effectiveness of our proposed approach (up to 9.19% higher score).")</f>
        <v>Direct Preference Optimization (DPO) is broadly utilized for aligning Large Language Models (LLMs) with human values because of its flexibility. Despite its effectiveness, it has been observed that the capability of DPO to generate human-preferred response is limited and the results of DPO are far from resilient. To address these limitations, in this paper we propose a novel Self-Guided Direct Preference Optimization algorithm, i.e., SGDPO, which incorporates a pilot term to steer the gradient flow during the optimization process, allowing for fine-grained control over the updates of chosen and rejected rewards. We provide a detailed theoretical analysis of our proposed method and elucidate its operational mechanism. Furthermore, we conduct comprehensive experiments on various models and benchmarks. The extensive experimental results demonstrate the consistency between the empirical results and our theoretical analysis and confirm the effectiveness of our proposed approach (up to 9.19% higher score).</v>
      </c>
      <c r="D723" s="7" t="str">
        <f>IFERROR(__xludf.DUMMYFUNCTION("""COMPUTED_VALUE"""),"Ji Liu")</f>
        <v>Ji Liu</v>
      </c>
      <c r="E723" s="7" t="str">
        <f>IFERROR(__xludf.DUMMYFUNCTION("""COMPUTED_VALUE"""),"Yes")</f>
        <v>Yes</v>
      </c>
      <c r="F723" s="7" t="str">
        <f>IFERROR(__xludf.DUMMYFUNCTION("""COMPUTED_VALUE"""),"IP-Poster")</f>
        <v>IP-Poster</v>
      </c>
      <c r="G723" s="7" t="str">
        <f>IFERROR(__xludf.DUMMYFUNCTION("""COMPUTED_VALUE"""),"In-Person")</f>
        <v>In-Person</v>
      </c>
      <c r="H723" s="7" t="str">
        <f>IFERROR(__xludf.DUMMYFUNCTION("""COMPUTED_VALUE"""),"Hall 4/5")</f>
        <v>Hall 4/5</v>
      </c>
      <c r="I723" s="7" t="str">
        <f>IFERROR(__xludf.DUMMYFUNCTION("""COMPUTED_VALUE"""),"Session 7: IP-Posters")</f>
        <v>Session 7: IP-Posters</v>
      </c>
      <c r="J723" s="7" t="str">
        <f>IFERROR(__xludf.DUMMYFUNCTION("""COMPUTED_VALUE"""),"Findings Posters - In-Person 2")</f>
        <v>Findings Posters - In-Person 2</v>
      </c>
      <c r="K723" s="7"/>
      <c r="L723" s="8">
        <f>IFERROR(__xludf.DUMMYFUNCTION("""COMPUTED_VALUE"""),45867.0)</f>
        <v>45867</v>
      </c>
      <c r="M723" s="7" t="str">
        <f>IFERROR(__xludf.DUMMYFUNCTION("""COMPUTED_VALUE"""),"10:30-12:00")</f>
        <v>10:30-12:00</v>
      </c>
      <c r="N723" s="7"/>
    </row>
    <row r="724">
      <c r="A724" s="7" t="str">
        <f>IFERROR(__xludf.DUMMYFUNCTION("""COMPUTED_VALUE"""),"2509-FIND")</f>
        <v>2509-FIND</v>
      </c>
      <c r="B724" s="7" t="str">
        <f>IFERROR(__xludf.DUMMYFUNCTION("""COMPUTED_VALUE"""),"Socratic Style Chain-of-Thoughts Help LLMs to be a Better Reasoner")</f>
        <v>Socratic Style Chain-of-Thoughts Help LLMs to be a Better Reasoner</v>
      </c>
      <c r="C724" s="7" t="str">
        <f>IFERROR(__xludf.DUMMYFUNCTION("""COMPUTED_VALUE"""),"Synthetic data generation has emerged as a promising approach to enhance the reasoning capabilities of large language models. However, existing methods remain hindered by high costs—either through expensive API access or additional intermediate training—a"&amp;"nd are limited in their ability to generalize across different domains. To address these challenges, we propose a multi-agent debate framework based on the Socratic questioning strategy, abbreviated as SoDa. Distinguished from previous methods that priori"&amp;"tize data quantity, we highlight the wisdom of Socratic questioning in augmenting reasoning quality by deepening the thinking process to encourage exploration and broadening it to motivate self-reflection on each question. Combined with our efficient prod"&amp;"uction pipeline, SoDa enables scaling while maintaining affordable costs. We use SoDa to generate diverse datasets for mathematics and code generation tasks with the Qwen2.5-7B-Instruct model, successfully fine-tuning a range of foundation models, from ge"&amp;"neral-purpose ones to OpenAI o1-like ones. For mathematics, the experimental results show that SoDa outperforms the performance of existing datasets at the same scale, achieving improvements ranging from 1.3% to 13.5%. Remarkably, SoDa with 30K examples e"&amp;"ven surpasses the ScaleQuest dataset with 1000K samples, demonstrating significant efficiency. Our findings highlight the potential of SoDa as a universal, scalable, and cost-effective method for enhancing reasoning capabilities in large models across dom"&amp;"ains.")</f>
        <v>Synthetic data generation has emerged as a promising approach to enhance the reasoning capabilities of large language models. However, existing methods remain hindered by high costs—either through expensive API access or additional intermediate training—and are limited in their ability to generalize across different domains. To address these challenges, we propose a multi-agent debate framework based on the Socratic questioning strategy, abbreviated as SoDa. Distinguished from previous methods that prioritize data quantity, we highlight the wisdom of Socratic questioning in augmenting reasoning quality by deepening the thinking process to encourage exploration and broadening it to motivate self-reflection on each question. Combined with our efficient production pipeline, SoDa enables scaling while maintaining affordable costs. We use SoDa to generate diverse datasets for mathematics and code generation tasks with the Qwen2.5-7B-Instruct model, successfully fine-tuning a range of foundation models, from general-purpose ones to OpenAI o1-like ones. For mathematics, the experimental results show that SoDa outperforms the performance of existing datasets at the same scale, achieving improvements ranging from 1.3% to 13.5%. Remarkably, SoDa with 30K examples even surpasses the ScaleQuest dataset with 1000K samples, demonstrating significant efficiency. Our findings highlight the potential of SoDa as a universal, scalable, and cost-effective method for enhancing reasoning capabilities in large models across domains.</v>
      </c>
      <c r="D724" s="7" t="str">
        <f>IFERROR(__xludf.DUMMYFUNCTION("""COMPUTED_VALUE"""),"Jiangbo Pei")</f>
        <v>Jiangbo Pei</v>
      </c>
      <c r="E724" s="7" t="str">
        <f>IFERROR(__xludf.DUMMYFUNCTION("""COMPUTED_VALUE"""),"Yes")</f>
        <v>Yes</v>
      </c>
      <c r="F724" s="7" t="str">
        <f>IFERROR(__xludf.DUMMYFUNCTION("""COMPUTED_VALUE"""),"V-Presentation")</f>
        <v>V-Presentation</v>
      </c>
      <c r="G724" s="7" t="str">
        <f>IFERROR(__xludf.DUMMYFUNCTION("""COMPUTED_VALUE"""),"Virtual/Gather")</f>
        <v>Virtual/Gather</v>
      </c>
      <c r="H724" s="7" t="str">
        <f>IFERROR(__xludf.DUMMYFUNCTION("""COMPUTED_VALUE"""),"Gather")</f>
        <v>Gather</v>
      </c>
      <c r="I724" s="7" t="str">
        <f>IFERROR(__xludf.DUMMYFUNCTION("""COMPUTED_VALUE"""),"Session5: V-Gather Find")</f>
        <v>Session5: V-Gather Find</v>
      </c>
      <c r="J724" s="7" t="str">
        <f>IFERROR(__xludf.DUMMYFUNCTION("""COMPUTED_VALUE"""),"Findings Posters - Virtual")</f>
        <v>Findings Posters - Virtual</v>
      </c>
      <c r="K724" s="7"/>
      <c r="L724" s="8">
        <f>IFERROR(__xludf.DUMMYFUNCTION("""COMPUTED_VALUE"""),45866.0)</f>
        <v>45866</v>
      </c>
      <c r="M724" s="7" t="str">
        <f>IFERROR(__xludf.DUMMYFUNCTION("""COMPUTED_VALUE"""),"18:00-19:30")</f>
        <v>18:00-19:30</v>
      </c>
      <c r="N724" s="7"/>
    </row>
    <row r="725">
      <c r="A725" s="7" t="str">
        <f>IFERROR(__xludf.DUMMYFUNCTION("""COMPUTED_VALUE"""),"2511-FIND")</f>
        <v>2511-FIND</v>
      </c>
      <c r="B725" s="7" t="str">
        <f>IFERROR(__xludf.DUMMYFUNCTION("""COMPUTED_VALUE"""),"Quantile Regression with Large Language Models for Price Prediction")</f>
        <v>Quantile Regression with Large Language Models for Price Prediction</v>
      </c>
      <c r="C725" s="7" t="str">
        <f>IFERROR(__xludf.DUMMYFUNCTION("""COMPUTED_VALUE"""),"Large Language Models (LLMs) have shown promise in structured prediction tasks, including regression, but existing approaches primarily focus on point estimates and lack systematic comparison across different methods. We investigate probabilistic regressi"&amp;"on using LLMs for unstructured inputs, addressing challenging text-to-distribution prediction tasks such as price estimation where both nuanced text understanding and uncertainty quantification are critical. We propose a novel quantile regression approach"&amp;" that enables LLMs to produce full predictive distributions, improving upon traditional point estimates. Through extensive experiments across three diverse price prediction datasets, we demonstrate that fine-tuned Mistral-7B with quantile heads significan"&amp;"tly outperforms traditional approaches for both point and distributional estimations, as measured by three established metrics each for prediction accuracy and distributional calibration. Our systematic comparison of LLM approaches, model architectures, t"&amp;"raining approaches, and data scaling reveals that Mistral-7B consistently outperforms encoder architectures, embedding-based methods, and few-shot learning methods. Our experiments also reveal the effectiveness of LLM-assisted label correction in achievin"&amp;"g human-level accuracy without systematic bias. We will release our curated datasets with standardized cleaning procedures to support future research in this direction.")</f>
        <v>Large Language Models (LLMs) have shown promise in structured prediction tasks, including regression, but existing approaches primarily focus on point estimates and lack systematic comparison across different methods. We investigate probabilistic regression using LLMs for unstructured inputs, addressing challenging text-to-distribution prediction tasks such as price estimation where both nuanced text understanding and uncertainty quantification are critical. We propose a novel quantile regression approach that enables LLMs to produce full predictive distributions, improving upon traditional point estimates. Through extensive experiments across three diverse price prediction datasets, we demonstrate that fine-tuned Mistral-7B with quantile heads significantly outperforms traditional approaches for both point and distributional estimations, as measured by three established metrics each for prediction accuracy and distributional calibration. Our systematic comparison of LLM approaches, model architectures, training approaches, and data scaling reveals that Mistral-7B consistently outperforms encoder architectures, embedding-based methods, and few-shot learning methods. Our experiments also reveal the effectiveness of LLM-assisted label correction in achieving human-level accuracy without systematic bias. We will release our curated datasets with standardized cleaning procedures to support future research in this direction.</v>
      </c>
      <c r="D725" s="7" t="str">
        <f>IFERROR(__xludf.DUMMYFUNCTION("""COMPUTED_VALUE"""),"Shervin Malmasi")</f>
        <v>Shervin Malmasi</v>
      </c>
      <c r="E725" s="7" t="str">
        <f>IFERROR(__xludf.DUMMYFUNCTION("""COMPUTED_VALUE"""),"Yes")</f>
        <v>Yes</v>
      </c>
      <c r="F725" s="7" t="str">
        <f>IFERROR(__xludf.DUMMYFUNCTION("""COMPUTED_VALUE"""),"IP-Poster")</f>
        <v>IP-Poster</v>
      </c>
      <c r="G725" s="7" t="str">
        <f>IFERROR(__xludf.DUMMYFUNCTION("""COMPUTED_VALUE"""),"In-Person")</f>
        <v>In-Person</v>
      </c>
      <c r="H725" s="7" t="str">
        <f>IFERROR(__xludf.DUMMYFUNCTION("""COMPUTED_VALUE"""),"Hall 4/5")</f>
        <v>Hall 4/5</v>
      </c>
      <c r="I725" s="7" t="str">
        <f>IFERROR(__xludf.DUMMYFUNCTION("""COMPUTED_VALUE"""),"Session 7: IP-Posters")</f>
        <v>Session 7: IP-Posters</v>
      </c>
      <c r="J725" s="7" t="str">
        <f>IFERROR(__xludf.DUMMYFUNCTION("""COMPUTED_VALUE"""),"Findings Posters - In-Person 2")</f>
        <v>Findings Posters - In-Person 2</v>
      </c>
      <c r="K725" s="7"/>
      <c r="L725" s="8">
        <f>IFERROR(__xludf.DUMMYFUNCTION("""COMPUTED_VALUE"""),45867.0)</f>
        <v>45867</v>
      </c>
      <c r="M725" s="7" t="str">
        <f>IFERROR(__xludf.DUMMYFUNCTION("""COMPUTED_VALUE"""),"10:30-12:00")</f>
        <v>10:30-12:00</v>
      </c>
      <c r="N725" s="7"/>
    </row>
    <row r="726">
      <c r="A726" s="7" t="str">
        <f>IFERROR(__xludf.DUMMYFUNCTION("""COMPUTED_VALUE"""),"2524-FIND")</f>
        <v>2524-FIND</v>
      </c>
      <c r="B726" s="7" t="str">
        <f>IFERROR(__xludf.DUMMYFUNCTION("""COMPUTED_VALUE"""),"Training Turn-by-Turn Verifiers for Dialogue Tutoring Agents: The Curious Case of LLMs as Your Coding Tutors")</f>
        <v>Training Turn-by-Turn Verifiers for Dialogue Tutoring Agents: The Curious Case of LLMs as Your Coding Tutors</v>
      </c>
      <c r="C726" s="7" t="str">
        <f>IFERROR(__xludf.DUMMYFUNCTION("""COMPUTED_VALUE"""),"Intelligent tutoring agents powered by large language models (LLMs) have been increasingly explored to deliver personalized knowledge in areas such as language learning and science education. However, their capabilities in guiding users to solve complex r"&amp;"eal-world tasks remain underexplored. To address this limitation, in this work, we focus on coding tutoring, a challenging problem that requires tutors to proactively guide students towards completing predefined coding tasks. We propose a novel agent work"&amp;"flow, Trace-and-Verify (TRAVER), which combines knowledge tracing to estimate a student's knowledge state and turn-by-turn verification to ensure effective guidance toward task completion. We introduce DICT, an automatic evaluation protocol that assesses "&amp;"tutor agents using controlled student simulation and code generation tests. Extensive experiments reveal the challenges of coding tutoring and demonstrate that TRAVER achieves a significantly higher success rate. Although we use code tutoring as an exampl"&amp;"e in this paper, our approach can be extended beyond coding, providing valuable insights into advancing tutoring agents for human task learning.")</f>
        <v>Intelligent tutoring agents powered by large language models (LLMs) have been increasingly explored to deliver personalized knowledge in areas such as language learning and science education. However, their capabilities in guiding users to solve complex real-world tasks remain underexplored. To address this limitation, in this work, we focus on coding tutoring, a challenging problem that requires tutors to proactively guide students towards completing predefined coding tasks. We propose a novel agent workflow, Trace-and-Verify (TRAVER), which combines knowledge tracing to estimate a student's knowledge state and turn-by-turn verification to ensure effective guidance toward task completion. We introduce DICT, an automatic evaluation protocol that assesses tutor agents using controlled student simulation and code generation tests. Extensive experiments reveal the challenges of coding tutoring and demonstrate that TRAVER achieves a significantly higher success rate. Although we use code tutoring as an example in this paper, our approach can be extended beyond coding, providing valuable insights into advancing tutoring agents for human task learning.</v>
      </c>
      <c r="D726" s="7" t="str">
        <f>IFERROR(__xludf.DUMMYFUNCTION("""COMPUTED_VALUE"""),"Jian Wang")</f>
        <v>Jian Wang</v>
      </c>
      <c r="E726" s="7" t="str">
        <f>IFERROR(__xludf.DUMMYFUNCTION("""COMPUTED_VALUE"""),"Yes")</f>
        <v>Yes</v>
      </c>
      <c r="F726" s="7" t="str">
        <f>IFERROR(__xludf.DUMMYFUNCTION("""COMPUTED_VALUE"""),"IP-Poster")</f>
        <v>IP-Poster</v>
      </c>
      <c r="G726" s="7" t="str">
        <f>IFERROR(__xludf.DUMMYFUNCTION("""COMPUTED_VALUE"""),"In-Person")</f>
        <v>In-Person</v>
      </c>
      <c r="H726" s="7" t="str">
        <f>IFERROR(__xludf.DUMMYFUNCTION("""COMPUTED_VALUE"""),"Hall 4/5")</f>
        <v>Hall 4/5</v>
      </c>
      <c r="I726" s="7" t="str">
        <f>IFERROR(__xludf.DUMMYFUNCTION("""COMPUTED_VALUE"""),"Session 5 :IP-Posters Find ")</f>
        <v>Session 5 :IP-Posters Find </v>
      </c>
      <c r="J726" s="7" t="str">
        <f>IFERROR(__xludf.DUMMYFUNCTION("""COMPUTED_VALUE"""),"Findings Posters - In-Person 1")</f>
        <v>Findings Posters - In-Person 1</v>
      </c>
      <c r="K726" s="7"/>
      <c r="L726" s="8">
        <f>IFERROR(__xludf.DUMMYFUNCTION("""COMPUTED_VALUE"""),45866.0)</f>
        <v>45866</v>
      </c>
      <c r="M726" s="7" t="str">
        <f>IFERROR(__xludf.DUMMYFUNCTION("""COMPUTED_VALUE"""),"18:00-19:30")</f>
        <v>18:00-19:30</v>
      </c>
      <c r="N726" s="7"/>
    </row>
    <row r="727">
      <c r="A727" s="7" t="str">
        <f>IFERROR(__xludf.DUMMYFUNCTION("""COMPUTED_VALUE"""),"2527-FIND")</f>
        <v>2527-FIND</v>
      </c>
      <c r="B727" s="7" t="str">
        <f>IFERROR(__xludf.DUMMYFUNCTION("""COMPUTED_VALUE"""),"AIGuard: A Benchmark and Lightweight Detection for E-commerce AIGC Risks")</f>
        <v>AIGuard: A Benchmark and Lightweight Detection for E-commerce AIGC Risks</v>
      </c>
      <c r="C727" s="7" t="str">
        <f>IFERROR(__xludf.DUMMYFUNCTION("""COMPUTED_VALUE"""),"Recent advancements in AI-generated content (AIGC) have heightened concerns about harmful outputs, such as misinformation and malicious misuse.
Existing detection methods face two key limitations:
(1) lacking real-world AIGC scenarios and corresponding ri"&amp;"sk datasets, and
(2) both traditional and multimodal large language models~(MLLMs) struggle to detect risks in AIGC.
Towards this end, we introduce **AIGuard**, the first benchmark for AIGC risk detection in real-world e-commerce. It includes 253,420 imag"&amp;"e-text pairs (i.e., the risk content and risk description) across four critical categories: *abnormal body*, *violating physical laws*, *disharmonious background*, and *illegal message*.
To effectively detect these risks, we propose distilling text annota"&amp;"tions into dense soft prompts and identifying risk content through image soft prompt matching during inference.
Experiments on the benchmark show that this method achieves a 9.68% higher recall than leading multimodal models while using only 25% of the tr"&amp;"aining resources and improving inference speed by 37.8 times.
For further research, our benchmark and code are available at [https://anonymous.4open.science/r/aigc-dataset-anonymous](https://anonymous.4open.science/r/aigc-dataset-anonymous).")</f>
        <v>Recent advancements in AI-generated content (AIGC) have heightened concerns about harmful outputs, such as misinformation and malicious misuse.
Existing detection methods face two key limitations:
(1) lacking real-world AIGC scenarios and corresponding risk datasets, and
(2) both traditional and multimodal large language models~(MLLMs) struggle to detect risks in AIGC.
Towards this end, we introduce **AIGuard**, the first benchmark for AIGC risk detection in real-world e-commerce. It includes 253,420 image-text pairs (i.e., the risk content and risk description) across four critical categories: *abnormal body*, *violating physical laws*, *disharmonious background*, and *illegal message*.
To effectively detect these risks, we propose distilling text annotations into dense soft prompts and identifying risk content through image soft prompt matching during inference.
Experiments on the benchmark show that this method achieves a 9.68% higher recall than leading multimodal models while using only 25% of the training resources and improving inference speed by 37.8 times.
For further research, our benchmark and code are available at [https://anonymous.4open.science/r/aigc-dataset-anonymous](https://anonymous.4open.science/r/aigc-dataset-anonymous).</v>
      </c>
      <c r="D727" s="7" t="str">
        <f>IFERROR(__xludf.DUMMYFUNCTION("""COMPUTED_VALUE"""),"Wenhua Zhang")</f>
        <v>Wenhua Zhang</v>
      </c>
      <c r="E727" s="7" t="str">
        <f>IFERROR(__xludf.DUMMYFUNCTION("""COMPUTED_VALUE"""),"#N/A")</f>
        <v>#N/A</v>
      </c>
      <c r="F727" s="7" t="str">
        <f>IFERROR(__xludf.DUMMYFUNCTION("""COMPUTED_VALUE"""),"Not Pres. ")</f>
        <v>Not Pres. </v>
      </c>
      <c r="G727" s="7" t="str">
        <f>IFERROR(__xludf.DUMMYFUNCTION("""COMPUTED_VALUE"""),"NP Findings Not Presenting ")</f>
        <v>NP Findings Not Presenting </v>
      </c>
      <c r="H727" s="7"/>
      <c r="I727" s="7" t="str">
        <f>IFERROR(__xludf.DUMMYFUNCTION("""COMPUTED_VALUE"""),"NP-Find")</f>
        <v>NP-Find</v>
      </c>
      <c r="J727" s="7"/>
      <c r="K727" s="7"/>
      <c r="L727" s="8"/>
      <c r="M727" s="7"/>
      <c r="N727" s="7"/>
    </row>
    <row r="728">
      <c r="A728" s="7" t="str">
        <f>IFERROR(__xludf.DUMMYFUNCTION("""COMPUTED_VALUE"""),"2531-FIND")</f>
        <v>2531-FIND</v>
      </c>
      <c r="B728" s="7" t="str">
        <f>IFERROR(__xludf.DUMMYFUNCTION("""COMPUTED_VALUE"""),"A2ATS: Retrieval-Based KV Cache Reduction via Windowed Rotary Position Embedding and Query-Aware Vector Quantization")</f>
        <v>A2ATS: Retrieval-Based KV Cache Reduction via Windowed Rotary Position Embedding and Query-Aware Vector Quantization</v>
      </c>
      <c r="C728" s="7" t="str">
        <f>IFERROR(__xludf.DUMMYFUNCTION("""COMPUTED_VALUE"""),"Long context large language models (LLMs) pose significant challenges for efficient serving due to the large memory footprint and high access overhead of KV cache.Retrieval-based KV cache reduction methods can mitigate these challenges, typically by offlo"&amp;"ading the complete KV cache to CPU and retrieving necessary tokens on demand during inference.However, these methods still suffer from unsatisfactory accuracy degradation and extra retrieval overhead.To address these limitations, this paper proposes A2ATS"&amp;", a novel retrieval-based KV cache reduction method.A2ATS aims to obtain an accurate approximation of attention scores by applying the vector quantization technique to key states, thereby enabling efficient and precise retrieval of the top-K tokens.First,"&amp;" we propose Windowed Rotary Position Embedding, which decouples the positional dependency from query and key states after position embedding.Then, we propose query-aware vector quantization that optimizes the objective of attention score approximation dir"&amp;"ectly.Finally, we design the heterogeneous inference architecture for KV cache offloading, enabling long context serving with larger batch sizes.Experimental results demonstrate that A2ATS can achieve a lower performance degradation with similar or lower "&amp;"overhead compared to existing methods, thereby increasing long context serving throughput by up to 2.7 ×.")</f>
        <v>Long context large language models (LLMs) pose significant challenges for efficient serving due to the large memory footprint and high access overhead of KV cache.Retrieval-based KV cache reduction methods can mitigate these challenges, typically by offloading the complete KV cache to CPU and retrieving necessary tokens on demand during inference.However, these methods still suffer from unsatisfactory accuracy degradation and extra retrieval overhead.To address these limitations, this paper proposes A2ATS, a novel retrieval-based KV cache reduction method.A2ATS aims to obtain an accurate approximation of attention scores by applying the vector quantization technique to key states, thereby enabling efficient and precise retrieval of the top-K tokens.First, we propose Windowed Rotary Position Embedding, which decouples the positional dependency from query and key states after position embedding.Then, we propose query-aware vector quantization that optimizes the objective of attention score approximation directly.Finally, we design the heterogeneous inference architecture for KV cache offloading, enabling long context serving with larger batch sizes.Experimental results demonstrate that A2ATS can achieve a lower performance degradation with similar or lower overhead compared to existing methods, thereby increasing long context serving throughput by up to 2.7 ×.</v>
      </c>
      <c r="D728" s="7" t="str">
        <f>IFERROR(__xludf.DUMMYFUNCTION("""COMPUTED_VALUE"""),"NA")</f>
        <v>NA</v>
      </c>
      <c r="E728" s="7" t="str">
        <f>IFERROR(__xludf.DUMMYFUNCTION("""COMPUTED_VALUE"""),"#N/A")</f>
        <v>#N/A</v>
      </c>
      <c r="F728" s="7" t="str">
        <f>IFERROR(__xludf.DUMMYFUNCTION("""COMPUTED_VALUE"""),"Not Pres. ")</f>
        <v>Not Pres. </v>
      </c>
      <c r="G728" s="7" t="str">
        <f>IFERROR(__xludf.DUMMYFUNCTION("""COMPUTED_VALUE"""),"NP Findings Not Presenting ")</f>
        <v>NP Findings Not Presenting </v>
      </c>
      <c r="H728" s="7"/>
      <c r="I728" s="7" t="str">
        <f>IFERROR(__xludf.DUMMYFUNCTION("""COMPUTED_VALUE"""),"NP-Find")</f>
        <v>NP-Find</v>
      </c>
      <c r="J728" s="7"/>
      <c r="K728" s="7"/>
      <c r="L728" s="8"/>
      <c r="M728" s="7"/>
      <c r="N728" s="7"/>
    </row>
    <row r="729">
      <c r="A729" s="7" t="str">
        <f>IFERROR(__xludf.DUMMYFUNCTION("""COMPUTED_VALUE"""),"2533-FIND")</f>
        <v>2533-FIND</v>
      </c>
      <c r="B729" s="7" t="str">
        <f>IFERROR(__xludf.DUMMYFUNCTION("""COMPUTED_VALUE"""),"TransBench: Breaking Barriers for Transferable Graphical User Interface Agents in Dynamic Digital Environments")</f>
        <v>TransBench: Breaking Barriers for Transferable Graphical User Interface Agents in Dynamic Digital Environments</v>
      </c>
      <c r="C729" s="7" t="str">
        <f>IFERROR(__xludf.DUMMYFUNCTION("""COMPUTED_VALUE"""),"Graphical User Interface (GUI) agents, which autonomously operate on digital interfaces through natural language instructions, hold transformative potential for accessibility, automation, and user experience. A critical aspect of their functionality is gr"&amp;"ounding --- the ability to map linguistic intents to visual and structural interface elements. However, existing GUI agents often struggle to adapt to the dynamic and interconnected nature of real-world digital environments, where tasks frequently span mu"&amp;"ltiple platforms and applications while also being impacted by version updates. To address this, we introduce TransBench, the first benchmark designed to systematically evaluate and enhance the transferability of GUI agents across three key dimensions: cr"&amp;"oss-version transferability (adapting to version updates), cross-platform transferability (generalizing across platforms like iOS, Android, and Web), and cross-application transferability (handling tasks spanning functionally distinct apps). TransBench in"&amp;"cludes 15 app categories with diverse functionalities, capturing essential pages across versions and platforms to enable robust evaluation. Our experiments demonstrate significant improvements in grounding accuracy, showcasing the practical utility of GUI"&amp;" agents in dynamic, real-world environments. Our code and data will be publicly available at GitHub.")</f>
        <v>Graphical User Interface (GUI) agents, which autonomously operate on digital interfaces through natural language instructions, hold transformative potential for accessibility, automation, and user experience. A critical aspect of their functionality is grounding --- the ability to map linguistic intents to visual and structural interface elements. However, existing GUI agents often struggle to adapt to the dynamic and interconnected nature of real-world digital environments, where tasks frequently span multiple platforms and applications while also being impacted by version updates. To address this, we introduce TransBench, the first benchmark designed to systematically evaluate and enhance the transferability of GUI agents across three key dimensions: cross-version transferability (adapting to version updates), cross-platform transferability (generalizing across platforms like iOS, Android, and Web), and cross-application transferability (handling tasks spanning functionally distinct apps). TransBench includes 15 app categories with diverse functionalities, capturing essential pages across versions and platforms to enable robust evaluation. Our experiments demonstrate significant improvements in grounding accuracy, showcasing the practical utility of GUI agents in dynamic, real-world environments. Our code and data will be publicly available at GitHub.</v>
      </c>
      <c r="D729" s="7" t="str">
        <f>IFERROR(__xludf.DUMMYFUNCTION("""COMPUTED_VALUE"""),"None")</f>
        <v>None</v>
      </c>
      <c r="E729" s="7" t="str">
        <f>IFERROR(__xludf.DUMMYFUNCTION("""COMPUTED_VALUE"""),"#N/A")</f>
        <v>#N/A</v>
      </c>
      <c r="F729" s="7" t="str">
        <f>IFERROR(__xludf.DUMMYFUNCTION("""COMPUTED_VALUE"""),"Not Pres. ")</f>
        <v>Not Pres. </v>
      </c>
      <c r="G729" s="7" t="str">
        <f>IFERROR(__xludf.DUMMYFUNCTION("""COMPUTED_VALUE"""),"NP Findings Not Presenting ")</f>
        <v>NP Findings Not Presenting </v>
      </c>
      <c r="H729" s="7"/>
      <c r="I729" s="7" t="str">
        <f>IFERROR(__xludf.DUMMYFUNCTION("""COMPUTED_VALUE"""),"NP-Find")</f>
        <v>NP-Find</v>
      </c>
      <c r="J729" s="7"/>
      <c r="K729" s="7"/>
      <c r="L729" s="8"/>
      <c r="M729" s="7"/>
      <c r="N729" s="7"/>
    </row>
    <row r="730">
      <c r="A730" s="7" t="str">
        <f>IFERROR(__xludf.DUMMYFUNCTION("""COMPUTED_VALUE"""),"2544-FIND")</f>
        <v>2544-FIND</v>
      </c>
      <c r="B730" s="7" t="str">
        <f>IFERROR(__xludf.DUMMYFUNCTION("""COMPUTED_VALUE"""),"Order Matters: Investigate the Position Bias in Multi-constraint Instruction Following")</f>
        <v>Order Matters: Investigate the Position Bias in Multi-constraint Instruction Following</v>
      </c>
      <c r="C730" s="7" t="str">
        <f>IFERROR(__xludf.DUMMYFUNCTION("""COMPUTED_VALUE"""),"Real-world instructions with multiple constraints pose a significant challenge to existing large language models (LLMs). An observation is that the LLMs exhibit dramatic performance fluctuation when disturbing the order of the incorporated constraints. Ye"&amp;"t, none of the existing works has systematically investigated this position bias problem in the field of multi-constraint instruction following. To bridge this gap, we design a probing task where we quantitatively measure the difficulty distribution of th"&amp;"e constraints by a novel Difficulty Distribution Index (CDDI). Through the experimental results, we find that LLMs are more performant when presented with the constraints in a ``hard-to-easy'' order. This preference can be generalized to LLMs with differe"&amp;"nt architecture or different sizes of parameters. Additionally, we conduct an explanation study, providing an intuitive insight into the correlation between the LLM's attention and constraint orders. Our code and dataset are publicly available at https://"&amp;"github.com/meowpass/PBIF.")</f>
        <v>Real-world instructions with multiple constraints pose a significant challenge to existing large language models (LLMs). An observation is that the LLMs exhibit dramatic performance fluctuation when disturbing the order of the incorporated constraints. Yet, none of the existing works has systematically investigated this position bias problem in the field of multi-constraint instruction following. To bridge this gap, we design a probing task where we quantitatively measure the difficulty distribution of the constraints by a novel Difficulty Distribution Index (CDDI). Through the experimental results, we find that LLMs are more performant when presented with the constraints in a ``hard-to-easy'' order. This preference can be generalized to LLMs with different architecture or different sizes of parameters. Additionally, we conduct an explanation study, providing an intuitive insight into the correlation between the LLM's attention and constraint orders. Our code and dataset are publicly available at https://github.com/meowpass/PBIF.</v>
      </c>
      <c r="D730" s="7" t="str">
        <f>IFERROR(__xludf.DUMMYFUNCTION("""COMPUTED_VALUE"""),"Jiaqing Liang")</f>
        <v>Jiaqing Liang</v>
      </c>
      <c r="E730" s="7" t="str">
        <f>IFERROR(__xludf.DUMMYFUNCTION("""COMPUTED_VALUE"""),"Yes")</f>
        <v>Yes</v>
      </c>
      <c r="F730" s="7" t="str">
        <f>IFERROR(__xludf.DUMMYFUNCTION("""COMPUTED_VALUE"""),"IP-Poster")</f>
        <v>IP-Poster</v>
      </c>
      <c r="G730" s="7" t="str">
        <f>IFERROR(__xludf.DUMMYFUNCTION("""COMPUTED_VALUE"""),"In-Person")</f>
        <v>In-Person</v>
      </c>
      <c r="H730" s="7" t="str">
        <f>IFERROR(__xludf.DUMMYFUNCTION("""COMPUTED_VALUE"""),"Hall 4/5")</f>
        <v>Hall 4/5</v>
      </c>
      <c r="I730" s="7" t="str">
        <f>IFERROR(__xludf.DUMMYFUNCTION("""COMPUTED_VALUE"""),"Session 5 :IP-Posters Find ")</f>
        <v>Session 5 :IP-Posters Find </v>
      </c>
      <c r="J730" s="7" t="str">
        <f>IFERROR(__xludf.DUMMYFUNCTION("""COMPUTED_VALUE"""),"Findings Posters - In-Person 1")</f>
        <v>Findings Posters - In-Person 1</v>
      </c>
      <c r="K730" s="7"/>
      <c r="L730" s="8">
        <f>IFERROR(__xludf.DUMMYFUNCTION("""COMPUTED_VALUE"""),45866.0)</f>
        <v>45866</v>
      </c>
      <c r="M730" s="7" t="str">
        <f>IFERROR(__xludf.DUMMYFUNCTION("""COMPUTED_VALUE"""),"18:00-19:30")</f>
        <v>18:00-19:30</v>
      </c>
      <c r="N730" s="7"/>
    </row>
    <row r="731">
      <c r="A731" s="7" t="str">
        <f>IFERROR(__xludf.DUMMYFUNCTION("""COMPUTED_VALUE"""),"2546-FIND")</f>
        <v>2546-FIND</v>
      </c>
      <c r="B731" s="7" t="str">
        <f>IFERROR(__xludf.DUMMYFUNCTION("""COMPUTED_VALUE"""),"CoT-VTM: Visual-to-Music Generation with Chain-of-Thought Reasoning")</f>
        <v>CoT-VTM: Visual-to-Music Generation with Chain-of-Thought Reasoning</v>
      </c>
      <c r="C731" s="7" t="str">
        <f>IFERROR(__xludf.DUMMYFUNCTION("""COMPUTED_VALUE"""),"The application of visual-to-music generation (VTM) is rapidly growing. However, current VTM methods struggle with capturing the relationship between visuals and music in open-domain settings, mainly due to two challenges: the lack of large-scale, high-qu"&amp;"ality visual-music paired datasets and the absence of direct semantic correspondence between visuals and music. In this work, we propose CoT-VTM, a framework that distills Chain-of-Thought (CoT) reasoning to enable visual-to-music generation without paire"&amp;"d data, while efficiently producing music aligned with visual content in open-domain settings. We first bridge the gap between visual, music, and text data using appropriate foundation models. Next, we identify key elements of the visual-music relationshi"&amp;"p and design a CoT prompt for visual-to-music mapping. To fully distill the reasoning of CoT, we incorporate latent information from intermediate reasoning steps as supervisory signals alongside visual and music supervision. Finally, we design a two-stage"&amp;" mapping distillation training process: the first stage uses discriminative MLP modules, while the second uses a generative embedding diffusion model (EDM). Our model achieves optimal performance on both image-to-music and video-to-music tasks.")</f>
        <v>The application of visual-to-music generation (VTM) is rapidly growing. However, current VTM methods struggle with capturing the relationship between visuals and music in open-domain settings, mainly due to two challenges: the lack of large-scale, high-quality visual-music paired datasets and the absence of direct semantic correspondence between visuals and music. In this work, we propose CoT-VTM, a framework that distills Chain-of-Thought (CoT) reasoning to enable visual-to-music generation without paired data, while efficiently producing music aligned with visual content in open-domain settings. We first bridge the gap between visual, music, and text data using appropriate foundation models. Next, we identify key elements of the visual-music relationship and design a CoT prompt for visual-to-music mapping. To fully distill the reasoning of CoT, we incorporate latent information from intermediate reasoning steps as supervisory signals alongside visual and music supervision. Finally, we design a two-stage mapping distillation training process: the first stage uses discriminative MLP modules, while the second uses a generative embedding diffusion model (EDM). Our model achieves optimal performance on both image-to-music and video-to-music tasks.</v>
      </c>
      <c r="D731" s="7" t="str">
        <f>IFERROR(__xludf.DUMMYFUNCTION("""COMPUTED_VALUE"""),"I do not plan to present")</f>
        <v>I do not plan to present</v>
      </c>
      <c r="E731" s="7" t="str">
        <f>IFERROR(__xludf.DUMMYFUNCTION("""COMPUTED_VALUE"""),"#N/A")</f>
        <v>#N/A</v>
      </c>
      <c r="F731" s="7" t="str">
        <f>IFERROR(__xludf.DUMMYFUNCTION("""COMPUTED_VALUE"""),"Not Pres. ")</f>
        <v>Not Pres. </v>
      </c>
      <c r="G731" s="7" t="str">
        <f>IFERROR(__xludf.DUMMYFUNCTION("""COMPUTED_VALUE"""),"NP Findings Not Presenting ")</f>
        <v>NP Findings Not Presenting </v>
      </c>
      <c r="H731" s="7"/>
      <c r="I731" s="7" t="str">
        <f>IFERROR(__xludf.DUMMYFUNCTION("""COMPUTED_VALUE"""),"NP-Find")</f>
        <v>NP-Find</v>
      </c>
      <c r="J731" s="7"/>
      <c r="K731" s="7"/>
      <c r="L731" s="8"/>
      <c r="M731" s="7"/>
      <c r="N731" s="7"/>
    </row>
    <row r="732">
      <c r="A732" s="7" t="str">
        <f>IFERROR(__xludf.DUMMYFUNCTION("""COMPUTED_VALUE"""),"2548-FIND")</f>
        <v>2548-FIND</v>
      </c>
      <c r="B732" s="7" t="str">
        <f>IFERROR(__xludf.DUMMYFUNCTION("""COMPUTED_VALUE"""),"A Tale of Evaluating Factual Consistency: Case Study on Long Document Summarization Evaluation")</f>
        <v>A Tale of Evaluating Factual Consistency: Case Study on Long Document Summarization Evaluation</v>
      </c>
      <c r="C732" s="7" t="str">
        <f>IFERROR(__xludf.DUMMYFUNCTION("""COMPUTED_VALUE"""),"Ensuring factual consistency in summarization remains a challenge, especially for long-document evaluation. While automated, reference-free evaluation models are essential given the impracticality of large-scale human assessment for lengthy texts, challen"&amp;"ges persist in evaluating different systems on how to handle different summary granularities and evolving model generations. In this work, we conduct a systematic study on diverse factual-consistency evaluation systems across four long-document datasets, "&amp;"encompassing summaries generated by models from non-LLMs to proprietary LLMs. Our analysis reveals that fine-grained continuous scores can provide more reliable assessments of different evaluation systems' capabilities than binary classification. We also "&amp;"examine the relationship between sentence-level and summary-level model performance, highlighting its dependency on dataset characteristics. Moreover, our study reveals that advanced systems can obtain higher recall on error detection in older summaries, "&amp;"yet struggle with false-positives and fine-grained error detection. Our study provides insights into designing robust factuality evaluation systems, which are becoming more in demand as generative models continue to advance rapidly.")</f>
        <v>Ensuring factual consistency in summarization remains a challenge, especially for long-document evaluation. While automated, reference-free evaluation models are essential given the impracticality of large-scale human assessment for lengthy texts, challenges persist in evaluating different systems on how to handle different summary granularities and evolving model generations. In this work, we conduct a systematic study on diverse factual-consistency evaluation systems across four long-document datasets, encompassing summaries generated by models from non-LLMs to proprietary LLMs. Our analysis reveals that fine-grained continuous scores can provide more reliable assessments of different evaluation systems' capabilities than binary classification. We also examine the relationship between sentence-level and summary-level model performance, highlighting its dependency on dataset characteristics. Moreover, our study reveals that advanced systems can obtain higher recall on error detection in older summaries, yet struggle with false-positives and fine-grained error detection. Our study provides insights into designing robust factuality evaluation systems, which are becoming more in demand as generative models continue to advance rapidly.</v>
      </c>
      <c r="D732" s="7" t="str">
        <f>IFERROR(__xludf.DUMMYFUNCTION("""COMPUTED_VALUE"""),"Yang Zhong")</f>
        <v>Yang Zhong</v>
      </c>
      <c r="E732" s="7" t="str">
        <f>IFERROR(__xludf.DUMMYFUNCTION("""COMPUTED_VALUE"""),"Yes")</f>
        <v>Yes</v>
      </c>
      <c r="F732" s="7" t="str">
        <f>IFERROR(__xludf.DUMMYFUNCTION("""COMPUTED_VALUE"""),"IP-Poster")</f>
        <v>IP-Poster</v>
      </c>
      <c r="G732" s="7" t="str">
        <f>IFERROR(__xludf.DUMMYFUNCTION("""COMPUTED_VALUE"""),"In-Person")</f>
        <v>In-Person</v>
      </c>
      <c r="H732" s="7" t="str">
        <f>IFERROR(__xludf.DUMMYFUNCTION("""COMPUTED_VALUE"""),"Hall 4/5")</f>
        <v>Hall 4/5</v>
      </c>
      <c r="I732" s="7" t="str">
        <f>IFERROR(__xludf.DUMMYFUNCTION("""COMPUTED_VALUE"""),"Session 5 :IP-Posters Find ")</f>
        <v>Session 5 :IP-Posters Find </v>
      </c>
      <c r="J732" s="7" t="str">
        <f>IFERROR(__xludf.DUMMYFUNCTION("""COMPUTED_VALUE"""),"Findings Posters - In-Person 1")</f>
        <v>Findings Posters - In-Person 1</v>
      </c>
      <c r="K732" s="7"/>
      <c r="L732" s="8">
        <f>IFERROR(__xludf.DUMMYFUNCTION("""COMPUTED_VALUE"""),45866.0)</f>
        <v>45866</v>
      </c>
      <c r="M732" s="7" t="str">
        <f>IFERROR(__xludf.DUMMYFUNCTION("""COMPUTED_VALUE"""),"18:00-19:30")</f>
        <v>18:00-19:30</v>
      </c>
      <c r="N732" s="7"/>
    </row>
    <row r="733">
      <c r="A733" s="7" t="str">
        <f>IFERROR(__xludf.DUMMYFUNCTION("""COMPUTED_VALUE"""),"2549-FIND")</f>
        <v>2549-FIND</v>
      </c>
      <c r="B733" s="7" t="str">
        <f>IFERROR(__xludf.DUMMYFUNCTION("""COMPUTED_VALUE"""),"Evaluating Pretrained Causal Language Models for Synonymy")</f>
        <v>Evaluating Pretrained Causal Language Models for Synonymy</v>
      </c>
      <c r="C733" s="7" t="str">
        <f>IFERROR(__xludf.DUMMYFUNCTION("""COMPUTED_VALUE"""),"The scaling of causal language models in size and training data enabled them to tackle increasingly complex tasks. Despite the development of sophisticated tests to reveal their new capabilities, the underlying basis of these complex skills remains unclea"&amp;"r. We argue that complex skills might be explained using simpler ones, represented by linguistic concepts. As an initial step in exploring this hypothesis, we focus on the lexical-semantic concept of synonymy, laying the groundwork for research into its r"&amp;"elationship with more complex skills. We develop a comprehensive test suite to assess various aspects of synonymy under different conditions, and evaluate causal open-source models. We find that these models effectively recognize synonymy but struggle to "&amp;"generate synonyms when prompted with relevant context.")</f>
        <v>The scaling of causal language models in size and training data enabled them to tackle increasingly complex tasks. Despite the development of sophisticated tests to reveal their new capabilities, the underlying basis of these complex skills remains unclear. We argue that complex skills might be explained using simpler ones, represented by linguistic concepts. As an initial step in exploring this hypothesis, we focus on the lexical-semantic concept of synonymy, laying the groundwork for research into its relationship with more complex skills. We develop a comprehensive test suite to assess various aspects of synonymy under different conditions, and evaluate causal open-source models. We find that these models effectively recognize synonymy but struggle to generate synonyms when prompted with relevant context.</v>
      </c>
      <c r="D733" s="7" t="str">
        <f>IFERROR(__xludf.DUMMYFUNCTION("""COMPUTED_VALUE"""),"Ioana Ivan")</f>
        <v>Ioana Ivan</v>
      </c>
      <c r="E733" s="7" t="str">
        <f>IFERROR(__xludf.DUMMYFUNCTION("""COMPUTED_VALUE"""),"Yes")</f>
        <v>Yes</v>
      </c>
      <c r="F733" s="7" t="str">
        <f>IFERROR(__xludf.DUMMYFUNCTION("""COMPUTED_VALUE"""),"IP-Poster")</f>
        <v>IP-Poster</v>
      </c>
      <c r="G733" s="7" t="str">
        <f>IFERROR(__xludf.DUMMYFUNCTION("""COMPUTED_VALUE"""),"In-Person")</f>
        <v>In-Person</v>
      </c>
      <c r="H733" s="7" t="str">
        <f>IFERROR(__xludf.DUMMYFUNCTION("""COMPUTED_VALUE"""),"Hall 4/5")</f>
        <v>Hall 4/5</v>
      </c>
      <c r="I733" s="7" t="str">
        <f>IFERROR(__xludf.DUMMYFUNCTION("""COMPUTED_VALUE"""),"Session 5 :IP-Posters Find ")</f>
        <v>Session 5 :IP-Posters Find </v>
      </c>
      <c r="J733" s="7" t="str">
        <f>IFERROR(__xludf.DUMMYFUNCTION("""COMPUTED_VALUE"""),"Findings Posters - In-Person 1")</f>
        <v>Findings Posters - In-Person 1</v>
      </c>
      <c r="K733" s="7"/>
      <c r="L733" s="8">
        <f>IFERROR(__xludf.DUMMYFUNCTION("""COMPUTED_VALUE"""),45866.0)</f>
        <v>45866</v>
      </c>
      <c r="M733" s="7" t="str">
        <f>IFERROR(__xludf.DUMMYFUNCTION("""COMPUTED_VALUE"""),"18:00-19:30")</f>
        <v>18:00-19:30</v>
      </c>
      <c r="N733" s="7"/>
    </row>
    <row r="734">
      <c r="A734" s="7" t="str">
        <f>IFERROR(__xludf.DUMMYFUNCTION("""COMPUTED_VALUE"""),"2550-FIND")</f>
        <v>2550-FIND</v>
      </c>
      <c r="B734" s="7" t="str">
        <f>IFERROR(__xludf.DUMMYFUNCTION("""COMPUTED_VALUE"""),"MDIT-Bench: Evaluating the Dual-Implicit Toxicity in Large Multimodal Models")</f>
        <v>MDIT-Bench: Evaluating the Dual-Implicit Toxicity in Large Multimodal Models</v>
      </c>
      <c r="C734" s="7" t="str">
        <f>IFERROR(__xludf.DUMMYFUNCTION("""COMPUTED_VALUE"""),"The widespread use of Large Multimodal Models (LMMs) has raised concerns about model toxicity. However, current research mainly focuses on explicit toxicity, with less attention to some more implicit toxicity regarding prejudice and discrimination. To add"&amp;"ress this limitation, we introduce a subtler type of toxicity named dual-implicit toxicity and a novel toxicity benchmark termed MDIT-Bench: Multimodal Dual-Implicit Toxicity Benchmark. Specifically, we first create the MDIT-Dataset with dual-implicit tox"&amp;"icity using the proposed Multi-stage Human-in-loop In-context Generation method. Based on this dataset, we construct the MDIT-Bench, a benchmark for evaluating the sensitivity of models to dual-implicit toxicity, with 317,638 questions covering 12 categor"&amp;"ies, 23 subcategories, and 780 topics. MDIT-Bench includes three difficulty levels, and we propose a metric to measure the toxicity gap exhibited by the model across them. In the experiment, we conducted MDIT-Bench on 13 prominent LMMs, and the results sh"&amp;"ow that these LMMs cannot handle dual-implicit toxicity effectively. The model's performance drops significantly in hard level, revealing that these LMMs still contain a significant amount of hidden but activatable toxicity. The data will be released upon"&amp;" the paper's acceptance.")</f>
        <v>The widespread use of Large Multimodal Models (LMMs) has raised concerns about model toxicity. However, current research mainly focuses on explicit toxicity, with less attention to some more implicit toxicity regarding prejudice and discrimination. To address this limitation, we introduce a subtler type of toxicity named dual-implicit toxicity and a novel toxicity benchmark termed MDIT-Bench: Multimodal Dual-Implicit Toxicity Benchmark. Specifically, we first create the MDIT-Dataset with dual-implicit toxicity using the proposed Multi-stage Human-in-loop In-context Generation method. Based on this dataset, we construct the MDIT-Bench, a benchmark for evaluating the sensitivity of models to dual-implicit toxicity, with 317,638 questions covering 12 categories, 23 subcategories, and 780 topics. MDIT-Bench includes three difficulty levels, and we propose a metric to measure the toxicity gap exhibited by the model across them. In the experiment, we conducted MDIT-Bench on 13 prominent LMMs, and the results show that these LMMs cannot handle dual-implicit toxicity effectively. The model's performance drops significantly in hard level, revealing that these LMMs still contain a significant amount of hidden but activatable toxicity. The data will be released upon the paper's acceptance.</v>
      </c>
      <c r="D734" s="7" t="str">
        <f>IFERROR(__xludf.DUMMYFUNCTION("""COMPUTED_VALUE"""),"Shuhan Qi")</f>
        <v>Shuhan Qi</v>
      </c>
      <c r="E734" s="7" t="str">
        <f>IFERROR(__xludf.DUMMYFUNCTION("""COMPUTED_VALUE"""),"Yes")</f>
        <v>Yes</v>
      </c>
      <c r="F734" s="7" t="str">
        <f>IFERROR(__xludf.DUMMYFUNCTION("""COMPUTED_VALUE"""),"IP-Poster")</f>
        <v>IP-Poster</v>
      </c>
      <c r="G734" s="7" t="str">
        <f>IFERROR(__xludf.DUMMYFUNCTION("""COMPUTED_VALUE"""),"In-Person")</f>
        <v>In-Person</v>
      </c>
      <c r="H734" s="7" t="str">
        <f>IFERROR(__xludf.DUMMYFUNCTION("""COMPUTED_VALUE"""),"Hall 4/5")</f>
        <v>Hall 4/5</v>
      </c>
      <c r="I734" s="7" t="str">
        <f>IFERROR(__xludf.DUMMYFUNCTION("""COMPUTED_VALUE"""),"Session 7: IP-Posters")</f>
        <v>Session 7: IP-Posters</v>
      </c>
      <c r="J734" s="7" t="str">
        <f>IFERROR(__xludf.DUMMYFUNCTION("""COMPUTED_VALUE"""),"Findings Posters - In-Person 2")</f>
        <v>Findings Posters - In-Person 2</v>
      </c>
      <c r="K734" s="7"/>
      <c r="L734" s="8">
        <f>IFERROR(__xludf.DUMMYFUNCTION("""COMPUTED_VALUE"""),45867.0)</f>
        <v>45867</v>
      </c>
      <c r="M734" s="7" t="str">
        <f>IFERROR(__xludf.DUMMYFUNCTION("""COMPUTED_VALUE"""),"10:30-12:00")</f>
        <v>10:30-12:00</v>
      </c>
      <c r="N734" s="7"/>
    </row>
    <row r="735">
      <c r="A735" s="7" t="str">
        <f>IFERROR(__xludf.DUMMYFUNCTION("""COMPUTED_VALUE"""),"2551-FIND")</f>
        <v>2551-FIND</v>
      </c>
      <c r="B735" s="7" t="str">
        <f>IFERROR(__xludf.DUMMYFUNCTION("""COMPUTED_VALUE"""),"CoVE: Compressed Vocabulary Expansion Makes Better LLM-based Recommender Systems")</f>
        <v>CoVE: Compressed Vocabulary Expansion Makes Better LLM-based Recommender Systems</v>
      </c>
      <c r="C735" s="7" t="str">
        <f>IFERROR(__xludf.DUMMYFUNCTION("""COMPUTED_VALUE"""),"Recommender systems play a pivotal role in providing relevant content to users. With the rapid development of large language models (LLMs), researchers have begun utilizing LLMs to build more powerful recommender systems. However, existing approaches that"&amp;" focus on aligning LLMs with recommendation tasks do not fully leverage their sequential information processing capabilities, leading to suboptimal performance. 
In this paper, we propose a novel system called compressed vocabulary expansion (CoVE). In C"&amp;"oVE, each item is assigned a unique ID within the expanded vocabulary. Our framework effectively capitalizes on sequence understanding abilities of LLMs, significantly enhancing their performance on recommendation tasks. Additionally, we compress the embe"&amp;"dding layer, making CoVE practical for large-scale industrial applications. The effectiveness and performance of CoVE are demonstrated through comprehensive experiments on multiple recommendation datasets and comparisons with prior works. Our code can be "&amp;"found at \url{https://github.com/HaochenZhang717/CoVE-official-Repo}.")</f>
        <v>Recommender systems play a pivotal role in providing relevant content to users. With the rapid development of large language models (LLMs), researchers have begun utilizing LLMs to build more powerful recommender systems. However, existing approaches that focus on aligning LLMs with recommendation tasks do not fully leverage their sequential information processing capabilities, leading to suboptimal performance. 
In this paper, we propose a novel system called compressed vocabulary expansion (CoVE). In CoVE, each item is assigned a unique ID within the expanded vocabulary. Our framework effectively capitalizes on sequence understanding abilities of LLMs, significantly enhancing their performance on recommendation tasks. Additionally, we compress the embedding layer, making CoVE practical for large-scale industrial applications. The effectiveness and performance of CoVE are demonstrated through comprehensive experiments on multiple recommendation datasets and comparisons with prior works. Our code can be found at \url{https://github.com/HaochenZhang717/CoVE-official-Repo}.</v>
      </c>
      <c r="D735" s="7" t="str">
        <f>IFERROR(__xludf.DUMMYFUNCTION("""COMPUTED_VALUE"""),"N/A")</f>
        <v>N/A</v>
      </c>
      <c r="E735" s="7" t="str">
        <f>IFERROR(__xludf.DUMMYFUNCTION("""COMPUTED_VALUE"""),"#N/A")</f>
        <v>#N/A</v>
      </c>
      <c r="F735" s="7" t="str">
        <f>IFERROR(__xludf.DUMMYFUNCTION("""COMPUTED_VALUE"""),"Not Pres. ")</f>
        <v>Not Pres. </v>
      </c>
      <c r="G735" s="7" t="str">
        <f>IFERROR(__xludf.DUMMYFUNCTION("""COMPUTED_VALUE"""),"NP Findings Not Presenting ")</f>
        <v>NP Findings Not Presenting </v>
      </c>
      <c r="H735" s="7"/>
      <c r="I735" s="7" t="str">
        <f>IFERROR(__xludf.DUMMYFUNCTION("""COMPUTED_VALUE"""),"NP-Find")</f>
        <v>NP-Find</v>
      </c>
      <c r="J735" s="7"/>
      <c r="K735" s="7"/>
      <c r="L735" s="8"/>
      <c r="M735" s="7"/>
      <c r="N735" s="7"/>
    </row>
    <row r="736">
      <c r="A736" s="7" t="str">
        <f>IFERROR(__xludf.DUMMYFUNCTION("""COMPUTED_VALUE"""),"2555-FIND")</f>
        <v>2555-FIND</v>
      </c>
      <c r="B736" s="7" t="str">
        <f>IFERROR(__xludf.DUMMYFUNCTION("""COMPUTED_VALUE"""),"CtrlA: Adaptive Retrieval-Augmented Generation via Inherent Control")</f>
        <v>CtrlA: Adaptive Retrieval-Augmented Generation via Inherent Control</v>
      </c>
      <c r="C736" s="7" t="str">
        <f>IFERROR(__xludf.DUMMYFUNCTION("""COMPUTED_VALUE"""),"Retrieval-augmented generation (RAG) has emerged as a promising solution for mitigating hallucinations of large language models (LLMs) with retrieved external knowledge. Adaptive RAG enhances this approach by enabling dynamic retrieval during generation, "&amp;"activating retrieval only when the query exceeds LLM's internal knowledge. Existing methods primarily focus on detecting LLM's confidence via statistical uncertainty. Instead, we present the first attempts to solve adaptive RAG from a representation persp"&amp;"ective and develop an inherent control-based framework, termed CtrlA. Specifically, we extract the features that represent the honesty and confidence directions of LLM and adopt them to control LLM behavior and guide retrieval timing decisions. We also de"&amp;"sign a simple yet effective query formulation strategy to support adaptive retrieval. Experiments show that CtrlA is superior to existing adaptive RAG methods on a diverse set of tasks. Honesty steering can effectively make LLMs more honest and confidence"&amp;" monitoring is a promising indicator of retrieval trigger.")</f>
        <v>Retrieval-augmented generation (RAG) has emerged as a promising solution for mitigating hallucinations of large language models (LLMs) with retrieved external knowledge. Adaptive RAG enhances this approach by enabling dynamic retrieval during generation, activating retrieval only when the query exceeds LLM's internal knowledge. Existing methods primarily focus on detecting LLM's confidence via statistical uncertainty. Instead, we present the first attempts to solve adaptive RAG from a representation perspective and develop an inherent control-based framework, termed CtrlA. Specifically, we extract the features that represent the honesty and confidence directions of LLM and adopt them to control LLM behavior and guide retrieval timing decisions. We also design a simple yet effective query formulation strategy to support adaptive retrieval. Experiments show that CtrlA is superior to existing adaptive RAG methods on a diverse set of tasks. Honesty steering can effectively make LLMs more honest and confidence monitoring is a promising indicator of retrieval trigger.</v>
      </c>
      <c r="D736" s="7" t="str">
        <f>IFERROR(__xludf.DUMMYFUNCTION("""COMPUTED_VALUE"""),"Zhang Hao")</f>
        <v>Zhang Hao</v>
      </c>
      <c r="E736" s="7" t="str">
        <f>IFERROR(__xludf.DUMMYFUNCTION("""COMPUTED_VALUE"""),"#N/A")</f>
        <v>#N/A</v>
      </c>
      <c r="F736" s="7" t="str">
        <f>IFERROR(__xludf.DUMMYFUNCTION("""COMPUTED_VALUE"""),"Not Pres. ")</f>
        <v>Not Pres. </v>
      </c>
      <c r="G736" s="7" t="str">
        <f>IFERROR(__xludf.DUMMYFUNCTION("""COMPUTED_VALUE"""),"NP Findings Not Presenting ")</f>
        <v>NP Findings Not Presenting </v>
      </c>
      <c r="H736" s="7"/>
      <c r="I736" s="7" t="str">
        <f>IFERROR(__xludf.DUMMYFUNCTION("""COMPUTED_VALUE"""),"NP-Find")</f>
        <v>NP-Find</v>
      </c>
      <c r="J736" s="7"/>
      <c r="K736" s="7"/>
      <c r="L736" s="8"/>
      <c r="M736" s="7"/>
      <c r="N736" s="7"/>
    </row>
    <row r="737">
      <c r="A737" s="7" t="str">
        <f>IFERROR(__xludf.DUMMYFUNCTION("""COMPUTED_VALUE"""),"2557-FIND")</f>
        <v>2557-FIND</v>
      </c>
      <c r="B737" s="7" t="str">
        <f>IFERROR(__xludf.DUMMYFUNCTION("""COMPUTED_VALUE"""),"Maximum Score Routing For Mixture-of-Experts")</f>
        <v>Maximum Score Routing For Mixture-of-Experts</v>
      </c>
      <c r="C737" s="7" t="str">
        <f>IFERROR(__xludf.DUMMYFUNCTION("""COMPUTED_VALUE"""),"Routing networks in sparse activated mixture-of-experts dynamically allocate input tokens to top-k experts through differentiable sparse transformations, which can expand neural networks while maintaining computational efficiency. Traditional MoE networks"&amp;" use an expert capacity constraint to achieve GPU-friendly computing. However, when the token is routed to experts with saturated capacity, token dropping occurs, and the padding operation of underutilized experts leads to low hardware efficiency. Removin"&amp;"g the capacity constraint can also result in low computational efficiency and decreased load balancing. We propose **Maximum Score Routing (MaxScore)** in this work, a new MoE routing paradigm developed by modeling MoE routing as the minimum cost maximum "&amp;"flow problem and integrating a Soft-Topk operator. MaxScore retains the expert capacity constraint, and under the same FLOPs, compared to the constrained and unconstrained baselines, MaxScore exhibits lower training losses and higher evaluation scores.")</f>
        <v>Routing networks in sparse activated mixture-of-experts dynamically allocate input tokens to top-k experts through differentiable sparse transformations, which can expand neural networks while maintaining computational efficiency. Traditional MoE networks use an expert capacity constraint to achieve GPU-friendly computing. However, when the token is routed to experts with saturated capacity, token dropping occurs, and the padding operation of underutilized experts leads to low hardware efficiency. Removing the capacity constraint can also result in low computational efficiency and decreased load balancing. We propose **Maximum Score Routing (MaxScore)** in this work, a new MoE routing paradigm developed by modeling MoE routing as the minimum cost maximum flow problem and integrating a Soft-Topk operator. MaxScore retains the expert capacity constraint, and under the same FLOPs, compared to the constrained and unconstrained baselines, MaxScore exhibits lower training losses and higher evaluation scores.</v>
      </c>
      <c r="D737" s="7" t="str">
        <f>IFERROR(__xludf.DUMMYFUNCTION("""COMPUTED_VALUE"""),"Bowen Dong")</f>
        <v>Bowen Dong</v>
      </c>
      <c r="E737" s="7" t="str">
        <f>IFERROR(__xludf.DUMMYFUNCTION("""COMPUTED_VALUE"""),"Yes")</f>
        <v>Yes</v>
      </c>
      <c r="F737" s="7" t="str">
        <f>IFERROR(__xludf.DUMMYFUNCTION("""COMPUTED_VALUE"""),"IP-Poster")</f>
        <v>IP-Poster</v>
      </c>
      <c r="G737" s="7" t="str">
        <f>IFERROR(__xludf.DUMMYFUNCTION("""COMPUTED_VALUE"""),"In-Person")</f>
        <v>In-Person</v>
      </c>
      <c r="H737" s="7" t="str">
        <f>IFERROR(__xludf.DUMMYFUNCTION("""COMPUTED_VALUE"""),"Hall 4/5")</f>
        <v>Hall 4/5</v>
      </c>
      <c r="I737" s="7" t="str">
        <f>IFERROR(__xludf.DUMMYFUNCTION("""COMPUTED_VALUE"""),"Session 7: IP-Posters")</f>
        <v>Session 7: IP-Posters</v>
      </c>
      <c r="J737" s="7" t="str">
        <f>IFERROR(__xludf.DUMMYFUNCTION("""COMPUTED_VALUE"""),"Findings Posters - In-Person 2")</f>
        <v>Findings Posters - In-Person 2</v>
      </c>
      <c r="K737" s="7"/>
      <c r="L737" s="8">
        <f>IFERROR(__xludf.DUMMYFUNCTION("""COMPUTED_VALUE"""),45867.0)</f>
        <v>45867</v>
      </c>
      <c r="M737" s="7" t="str">
        <f>IFERROR(__xludf.DUMMYFUNCTION("""COMPUTED_VALUE"""),"10:30-12:00")</f>
        <v>10:30-12:00</v>
      </c>
      <c r="N737" s="7"/>
    </row>
    <row r="738">
      <c r="A738" s="7" t="str">
        <f>IFERROR(__xludf.DUMMYFUNCTION("""COMPUTED_VALUE"""),"2559-FIND")</f>
        <v>2559-FIND</v>
      </c>
      <c r="B738" s="7" t="str">
        <f>IFERROR(__xludf.DUMMYFUNCTION("""COMPUTED_VALUE"""),"Time Course MechInterp: Analyzing the Evolution of Components and Knowledge in Large Language Models")</f>
        <v>Time Course MechInterp: Analyzing the Evolution of Components and Knowledge in Large Language Models</v>
      </c>
      <c r="C738" s="7" t="str">
        <f>IFERROR(__xludf.DUMMYFUNCTION("""COMPUTED_VALUE"""),"Understanding how large language models (LLMs) acquire and store factual knowledge is crucial for enhancing their interpretability, reliability, and efficiency. In this work, we analyze the evolution of factual knowledge representation in the OLMo-7B mode"&amp;"l by tracking the roles of its Attention Heads and Feed Forward Networks (FFNs) over training. We classify these components into four roles—general, entity, relation-answer, and fact-answer specific—and examine their stability and transitions. Our results"&amp;" show that LLMs initially depend on broad, general-purpose components, which later specialize as training progresses. Once the model reliably predicts answers, some components are repurposed, suggesting an adaptive learning process. Notably, answer-specif"&amp;"ic attention heads display the highest turnover, whereas FFNs remain stable, continually refining stored knowledge. These insights offer a mechanistic view of knowledge formation in LLMs and have implications for model pruning, optimization, and transpare"&amp;"ncy.")</f>
        <v>Understanding how large language models (LLMs) acquire and store factual knowledge is crucial for enhancing their interpretability, reliability, and efficiency. In this work, we analyze the evolution of factual knowledge representation in the OLMo-7B model by tracking the roles of its Attention Heads and Feed Forward Networks (FFNs) over training. We classify these components into four roles—general, entity, relation-answer, and fact-answer specific—and examine their stability and transitions. Our results show that LLMs initially depend on broad, general-purpose components, which later specialize as training progresses. Once the model reliably predicts answers, some components are repurposed, suggesting an adaptive learning process. Notably, answer-specific attention heads display the highest turnover, whereas FFNs remain stable, continually refining stored knowledge. These insights offer a mechanistic view of knowledge formation in LLMs and have implications for model pruning, optimization, and transparency.</v>
      </c>
      <c r="D738" s="7" t="str">
        <f>IFERROR(__xludf.DUMMYFUNCTION("""COMPUTED_VALUE"""),"Ahmad Dawar Hakimi")</f>
        <v>Ahmad Dawar Hakimi</v>
      </c>
      <c r="E738" s="7" t="str">
        <f>IFERROR(__xludf.DUMMYFUNCTION("""COMPUTED_VALUE"""),"Yes")</f>
        <v>Yes</v>
      </c>
      <c r="F738" s="7" t="str">
        <f>IFERROR(__xludf.DUMMYFUNCTION("""COMPUTED_VALUE"""),"IP-Poster")</f>
        <v>IP-Poster</v>
      </c>
      <c r="G738" s="7" t="str">
        <f>IFERROR(__xludf.DUMMYFUNCTION("""COMPUTED_VALUE"""),"In-Person")</f>
        <v>In-Person</v>
      </c>
      <c r="H738" s="7" t="str">
        <f>IFERROR(__xludf.DUMMYFUNCTION("""COMPUTED_VALUE"""),"Hall 4/5")</f>
        <v>Hall 4/5</v>
      </c>
      <c r="I738" s="7" t="str">
        <f>IFERROR(__xludf.DUMMYFUNCTION("""COMPUTED_VALUE"""),"Session 5 :IP-Posters Find ")</f>
        <v>Session 5 :IP-Posters Find </v>
      </c>
      <c r="J738" s="7" t="str">
        <f>IFERROR(__xludf.DUMMYFUNCTION("""COMPUTED_VALUE"""),"Findings Posters - In-Person 1")</f>
        <v>Findings Posters - In-Person 1</v>
      </c>
      <c r="K738" s="7"/>
      <c r="L738" s="8">
        <f>IFERROR(__xludf.DUMMYFUNCTION("""COMPUTED_VALUE"""),45866.0)</f>
        <v>45866</v>
      </c>
      <c r="M738" s="7" t="str">
        <f>IFERROR(__xludf.DUMMYFUNCTION("""COMPUTED_VALUE"""),"18:00-19:30")</f>
        <v>18:00-19:30</v>
      </c>
      <c r="N738" s="7"/>
    </row>
    <row r="739">
      <c r="A739" s="7" t="str">
        <f>IFERROR(__xludf.DUMMYFUNCTION("""COMPUTED_VALUE"""),"2562-FIND")</f>
        <v>2562-FIND</v>
      </c>
      <c r="B739" s="7" t="str">
        <f>IFERROR(__xludf.DUMMYFUNCTION("""COMPUTED_VALUE"""),"Well Begun is Half Done: Low-resource Preference Alignment by Weak-to-Strong Decoding")</f>
        <v>Well Begun is Half Done: Low-resource Preference Alignment by Weak-to-Strong Decoding</v>
      </c>
      <c r="C739" s="7" t="str">
        <f>IFERROR(__xludf.DUMMYFUNCTION("""COMPUTED_VALUE"""),"LLM requires alignment with human preferences to avoid generating offensive, false, or meaningless content. Recently, low-resource methods for LLM alignment have been popular, while still facing challenges in obtaining both high-quality and aligned conten"&amp;"t. Motivated by the observation that the difficulty of generating aligned responses is concentrated at the beginning of decoding, we propose a novel framework, Weak-to-Strong Decoding (WSD), to enhance the alignment ability of base models by the guidance "&amp;"of a small aligned model. The small model first drafts well-aligned beginnings, followed by the large base model to continue the rest, controlled by a well-designed auto-switch mechanism. We also collect a new dataset, GenerAlign, to fine-tune a small-siz"&amp;"ed Pilot-3B as the draft model, which effectively enhances different base models under the WSD framework to outperform all baseline methods, while avoiding degradation on downstream tasks, termed as the alignment tax. Extensive experiments are further con"&amp;"ducted to examine the impact of different settings and time efficiency, as well as analyses on the intrinsic mechanisms of WSD in depth.")</f>
        <v>LLM requires alignment with human preferences to avoid generating offensive, false, or meaningless content. Recently, low-resource methods for LLM alignment have been popular, while still facing challenges in obtaining both high-quality and aligned content. Motivated by the observation that the difficulty of generating aligned responses is concentrated at the beginning of decoding, we propose a novel framework, Weak-to-Strong Decoding (WSD), to enhance the alignment ability of base models by the guidance of a small aligned model. The small model first drafts well-aligned beginnings, followed by the large base model to continue the rest, controlled by a well-designed auto-switch mechanism. We also collect a new dataset, GenerAlign, to fine-tune a small-sized Pilot-3B as the draft model, which effectively enhances different base models under the WSD framework to outperform all baseline methods, while avoiding degradation on downstream tasks, termed as the alignment tax. Extensive experiments are further conducted to examine the impact of different settings and time efficiency, as well as analyses on the intrinsic mechanisms of WSD in depth.</v>
      </c>
      <c r="D739" s="7" t="str">
        <f>IFERROR(__xludf.DUMMYFUNCTION("""COMPUTED_VALUE"""),"Feifan Song")</f>
        <v>Feifan Song</v>
      </c>
      <c r="E739" s="7" t="str">
        <f>IFERROR(__xludf.DUMMYFUNCTION("""COMPUTED_VALUE"""),"#N/A")</f>
        <v>#N/A</v>
      </c>
      <c r="F739" s="7" t="str">
        <f>IFERROR(__xludf.DUMMYFUNCTION("""COMPUTED_VALUE"""),"Not Pres. ")</f>
        <v>Not Pres. </v>
      </c>
      <c r="G739" s="7" t="str">
        <f>IFERROR(__xludf.DUMMYFUNCTION("""COMPUTED_VALUE"""),"NP Findings Not Presenting ")</f>
        <v>NP Findings Not Presenting </v>
      </c>
      <c r="H739" s="7"/>
      <c r="I739" s="7" t="str">
        <f>IFERROR(__xludf.DUMMYFUNCTION("""COMPUTED_VALUE"""),"NP-Find")</f>
        <v>NP-Find</v>
      </c>
      <c r="J739" s="7"/>
      <c r="K739" s="7"/>
      <c r="L739" s="8"/>
      <c r="M739" s="7"/>
      <c r="N739" s="7"/>
    </row>
    <row r="740">
      <c r="A740" s="7" t="str">
        <f>IFERROR(__xludf.DUMMYFUNCTION("""COMPUTED_VALUE"""),"2563-FIND")</f>
        <v>2563-FIND</v>
      </c>
      <c r="B740" s="7" t="str">
        <f>IFERROR(__xludf.DUMMYFUNCTION("""COMPUTED_VALUE"""),"Disentangling Text and Math in Word Problems: Evidence for the Bidimensional Structure of Large Language Models' Reasoning")</f>
        <v>Disentangling Text and Math in Word Problems: Evidence for the Bidimensional Structure of Large Language Models' Reasoning</v>
      </c>
      <c r="C740" s="7" t="str">
        <f>IFERROR(__xludf.DUMMYFUNCTION("""COMPUTED_VALUE"""),"Do LLMs process text and mathematics as a unified skill, or do these components rely on distinct underlying mechanisms? We investigate this question by disentangling the textual interpretation and mathematical solving steps in word problems drawn from Bra"&amp;"zil’s largest college entrance exam (ENEM) and GSM8K, a popular grade school-level benchmark. Using the symbolic solver SymPy, we transform word problems into equivalent purely mathematical representations, isolating equation formulation from textual comp"&amp;"rehension. Our extended benchmarks enable a structured analysis of LLM performance across these two dimensions. Through empirical evaluations, we find that small-scale LLMs struggle significantly more with text interpretation than with equation solving, w"&amp;"ith accuracy dropping by a factor of 2 to 7 when solving full word problems compared to their math-only counterparts. Exploratory factor analysis confirms a bidimensional structure in LLM reasoning, where models exhibit distinct proficiencies in textual a"&amp;"nd mathematical components, underscoring the need for targeted improvements in language comprehension. By analyzing the latent factors associated with each model, our findings provide a framework for researchers and practitioners to make informed choices "&amp;"when selecting models based on computational costs and the nature of their tasks.")</f>
        <v>Do LLMs process text and mathematics as a unified skill, or do these components rely on distinct underlying mechanisms? We investigate this question by disentangling the textual interpretation and mathematical solving steps in word problems drawn from Brazil’s largest college entrance exam (ENEM) and GSM8K, a popular grade school-level benchmark. Using the symbolic solver SymPy, we transform word problems into equivalent purely mathematical representations, isolating equation formulation from textual comprehension. Our extended benchmarks enable a structured analysis of LLM performance across these two dimensions. Through empirical evaluations, we find that small-scale LLMs struggle significantly more with text interpretation than with equation solving, with accuracy dropping by a factor of 2 to 7 when solving full word problems compared to their math-only counterparts. Exploratory factor analysis confirms a bidimensional structure in LLM reasoning, where models exhibit distinct proficiencies in textual and mathematical components, underscoring the need for targeted improvements in language comprehension. By analyzing the latent factors associated with each model, our findings provide a framework for researchers and practitioners to make informed choices when selecting models based on computational costs and the nature of their tasks.</v>
      </c>
      <c r="D740" s="7" t="str">
        <f>IFERROR(__xludf.DUMMYFUNCTION("""COMPUTED_VALUE"""),"Pedro Calais")</f>
        <v>Pedro Calais</v>
      </c>
      <c r="E740" s="7" t="str">
        <f>IFERROR(__xludf.DUMMYFUNCTION("""COMPUTED_VALUE"""),"Yes")</f>
        <v>Yes</v>
      </c>
      <c r="F740" s="7" t="str">
        <f>IFERROR(__xludf.DUMMYFUNCTION("""COMPUTED_VALUE"""),"IP-Poster")</f>
        <v>IP-Poster</v>
      </c>
      <c r="G740" s="7" t="str">
        <f>IFERROR(__xludf.DUMMYFUNCTION("""COMPUTED_VALUE"""),"In-Person")</f>
        <v>In-Person</v>
      </c>
      <c r="H740" s="7" t="str">
        <f>IFERROR(__xludf.DUMMYFUNCTION("""COMPUTED_VALUE"""),"Hall 4/5")</f>
        <v>Hall 4/5</v>
      </c>
      <c r="I740" s="7" t="str">
        <f>IFERROR(__xludf.DUMMYFUNCTION("""COMPUTED_VALUE"""),"Session 10: IP-Posters")</f>
        <v>Session 10: IP-Posters</v>
      </c>
      <c r="J740" s="7" t="str">
        <f>IFERROR(__xludf.DUMMYFUNCTION("""COMPUTED_VALUE"""),"Findings Posters - In-Person 3")</f>
        <v>Findings Posters - In-Person 3</v>
      </c>
      <c r="K740" s="7"/>
      <c r="L740" s="8">
        <f>IFERROR(__xludf.DUMMYFUNCTION("""COMPUTED_VALUE"""),45867.0)</f>
        <v>45867</v>
      </c>
      <c r="M740" s="7" t="str">
        <f>IFERROR(__xludf.DUMMYFUNCTION("""COMPUTED_VALUE"""),"16:00-17:30")</f>
        <v>16:00-17:30</v>
      </c>
      <c r="N740" s="7"/>
    </row>
    <row r="741">
      <c r="A741" s="7" t="str">
        <f>IFERROR(__xludf.DUMMYFUNCTION("""COMPUTED_VALUE"""),"2564-FIND")</f>
        <v>2564-FIND</v>
      </c>
      <c r="B741" s="7" t="str">
        <f>IFERROR(__xludf.DUMMYFUNCTION("""COMPUTED_VALUE"""),"Human-LLM Coevolution: Evidence from Academic Writing")</f>
        <v>Human-LLM Coevolution: Evidence from Academic Writing</v>
      </c>
      <c r="C741" s="7" t="str">
        <f>IFERROR(__xludf.DUMMYFUNCTION("""COMPUTED_VALUE"""),"With a statistical analysis of arXiv paper abstracts, we report a marked drop in the frequency of several words previously identified as overused by ChatGPT, such as ""delve"", starting soon after they were pointed out in early 2024. The frequency of cert"&amp;"ain other words favored by ChatGPT, such as ""significant"", has instead kept increasing. These phenomena suggest that some authors of academic papers have adapted their use of large language models (LLMs), for example, by selecting outputs or applying mo"&amp;"difications to the LLM-generated content. Such coevolution and cooperation of humans and LLMs thus introduce additional challenges to the detection of machine-generated text in real-world scenarios. Estimating the impact of LLMs on academic writing by exa"&amp;"mining word frequency remains feasible, and more attention should be paid to words that were already frequently employed, including those that have decreased in frequency due to LLMs' disfavor.")</f>
        <v>With a statistical analysis of arXiv paper abstracts, we report a marked drop in the frequency of several words previously identified as overused by ChatGPT, such as "delve", starting soon after they were pointed out in early 2024. The frequency of certain other words favored by ChatGPT, such as "significant", has instead kept increasing. These phenomena suggest that some authors of academic papers have adapted their use of large language models (LLMs), for example, by selecting outputs or applying modifications to the LLM-generated content. Such coevolution and cooperation of humans and LLMs thus introduce additional challenges to the detection of machine-generated text in real-world scenarios. Estimating the impact of LLMs on academic writing by examining word frequency remains feasible, and more attention should be paid to words that were already frequently employed, including those that have decreased in frequency due to LLMs' disfavor.</v>
      </c>
      <c r="D741" s="7" t="str">
        <f>IFERROR(__xludf.DUMMYFUNCTION("""COMPUTED_VALUE"""),"Mingmeng Geng")</f>
        <v>Mingmeng Geng</v>
      </c>
      <c r="E741" s="7" t="str">
        <f>IFERROR(__xludf.DUMMYFUNCTION("""COMPUTED_VALUE"""),"Yes")</f>
        <v>Yes</v>
      </c>
      <c r="F741" s="7" t="str">
        <f>IFERROR(__xludf.DUMMYFUNCTION("""COMPUTED_VALUE"""),"IP-Poster")</f>
        <v>IP-Poster</v>
      </c>
      <c r="G741" s="7" t="str">
        <f>IFERROR(__xludf.DUMMYFUNCTION("""COMPUTED_VALUE"""),"In-Person")</f>
        <v>In-Person</v>
      </c>
      <c r="H741" s="7" t="str">
        <f>IFERROR(__xludf.DUMMYFUNCTION("""COMPUTED_VALUE"""),"Hall 4/5")</f>
        <v>Hall 4/5</v>
      </c>
      <c r="I741" s="7" t="str">
        <f>IFERROR(__xludf.DUMMYFUNCTION("""COMPUTED_VALUE"""),"Session 5 :IP-Posters Find ")</f>
        <v>Session 5 :IP-Posters Find </v>
      </c>
      <c r="J741" s="7" t="str">
        <f>IFERROR(__xludf.DUMMYFUNCTION("""COMPUTED_VALUE"""),"Findings Posters - In-Person 1")</f>
        <v>Findings Posters - In-Person 1</v>
      </c>
      <c r="K741" s="7"/>
      <c r="L741" s="8">
        <f>IFERROR(__xludf.DUMMYFUNCTION("""COMPUTED_VALUE"""),45866.0)</f>
        <v>45866</v>
      </c>
      <c r="M741" s="7" t="str">
        <f>IFERROR(__xludf.DUMMYFUNCTION("""COMPUTED_VALUE"""),"18:00-19:30")</f>
        <v>18:00-19:30</v>
      </c>
      <c r="N741" s="7"/>
    </row>
    <row r="742">
      <c r="A742" s="7" t="str">
        <f>IFERROR(__xludf.DUMMYFUNCTION("""COMPUTED_VALUE"""),"2566-FIND")</f>
        <v>2566-FIND</v>
      </c>
      <c r="B742" s="7" t="str">
        <f>IFERROR(__xludf.DUMMYFUNCTION("""COMPUTED_VALUE"""),"Disentangled Multi-span Evolutionary Network against Temporal Knowledge Graph Reasoning")</f>
        <v>Disentangled Multi-span Evolutionary Network against Temporal Knowledge Graph Reasoning</v>
      </c>
      <c r="C742" s="7" t="str">
        <f>IFERROR(__xludf.DUMMYFUNCTION("""COMPUTED_VALUE"""),"Temporal Knowledge Graphs (TKGs) incorporate the temporal feature to express the transience of knowledge by describing when facts occur. TKG extrapolation aims to infer possible future facts based on known history, which has garnered significant attention"&amp;" in recent years. Some existing methods treat TKG as a sequence of independent subgraphs to model temporal evolution patterns, demonstrating impressive reasoning performance. However, they still have limitations: 1) In modeling subgraph semantic evolution"&amp;", they usually neglect the internal structural interactions between subgraphs, which are actually crucial for encoding TKGs. 2) They overlook the potential smooth features that do not lead to semantic changes, which should be distinguished from the semant"&amp;"ic evolution process. Therefore, we propose Disentangled Multi-span Evolutionary Network (DiMNet) for TKG reasoning. Specifically, we design a multi-span evolution strategy that captures local neighbor features while perceiving historical neighbor semanti"&amp;"c information, thus enabling internal interactions between subgraphs during the evolution process. To maximize the capture of semantic change patterns, we design a disentangle component that adaptively separates nodes' active and stable features, used to "&amp;"dynamically control the influence of historical semantics on future evolution. Extensive experiments demonstrate that DiMNet achieves substantial performance in TKG reasoning, outperforming the state-of-the-art up to 22.7% in MRR.")</f>
        <v>Temporal Knowledge Graphs (TKGs) incorporate the temporal feature to express the transience of knowledge by describing when facts occur. TKG extrapolation aims to infer possible future facts based on known history, which has garnered significant attention in recent years. Some existing methods treat TKG as a sequence of independent subgraphs to model temporal evolution patterns, demonstrating impressive reasoning performance. However, they still have limitations: 1) In modeling subgraph semantic evolution, they usually neglect the internal structural interactions between subgraphs, which are actually crucial for encoding TKGs. 2) They overlook the potential smooth features that do not lead to semantic changes, which should be distinguished from the semantic evolution process. Therefore, we propose Disentangled Multi-span Evolutionary Network (DiMNet) for TKG reasoning. Specifically, we design a multi-span evolution strategy that captures local neighbor features while perceiving historical neighbor semantic information, thus enabling internal interactions between subgraphs during the evolution process. To maximize the capture of semantic change patterns, we design a disentangle component that adaptively separates nodes' active and stable features, used to dynamically control the influence of historical semantics on future evolution. Extensive experiments demonstrate that DiMNet achieves substantial performance in TKG reasoning, outperforming the state-of-the-art up to 22.7% in MRR.</v>
      </c>
      <c r="D742" s="7" t="str">
        <f>IFERROR(__xludf.DUMMYFUNCTION("""COMPUTED_VALUE"""),"N/A")</f>
        <v>N/A</v>
      </c>
      <c r="E742" s="7" t="str">
        <f>IFERROR(__xludf.DUMMYFUNCTION("""COMPUTED_VALUE"""),"#N/A")</f>
        <v>#N/A</v>
      </c>
      <c r="F742" s="7" t="str">
        <f>IFERROR(__xludf.DUMMYFUNCTION("""COMPUTED_VALUE"""),"Not Pres. ")</f>
        <v>Not Pres. </v>
      </c>
      <c r="G742" s="7" t="str">
        <f>IFERROR(__xludf.DUMMYFUNCTION("""COMPUTED_VALUE"""),"NP Findings Not Presenting ")</f>
        <v>NP Findings Not Presenting </v>
      </c>
      <c r="H742" s="7"/>
      <c r="I742" s="7" t="str">
        <f>IFERROR(__xludf.DUMMYFUNCTION("""COMPUTED_VALUE"""),"NP-Find")</f>
        <v>NP-Find</v>
      </c>
      <c r="J742" s="7"/>
      <c r="K742" s="7"/>
      <c r="L742" s="8"/>
      <c r="M742" s="7"/>
      <c r="N742" s="7"/>
    </row>
    <row r="743">
      <c r="A743" s="7" t="str">
        <f>IFERROR(__xludf.DUMMYFUNCTION("""COMPUTED_VALUE"""),"2569-FIND")</f>
        <v>2569-FIND</v>
      </c>
      <c r="B743" s="7" t="str">
        <f>IFERROR(__xludf.DUMMYFUNCTION("""COMPUTED_VALUE"""),"GRAF: Graph Retrieval Augmented by Facts for Romanian Legal Multi-Choice Question Answering")</f>
        <v>GRAF: Graph Retrieval Augmented by Facts for Romanian Legal Multi-Choice Question Answering</v>
      </c>
      <c r="C743" s="7" t="str">
        <f>IFERROR(__xludf.DUMMYFUNCTION("""COMPUTED_VALUE"""),"Pre-trained language models have shown remarkable performances in recent years, setting a new paradigm for natural language processing (NLP) research. The legal domain has received some attention from the NLP community partly due to its textual nature. Qu"&amp;"estion-answering (QA) systems represent some of the tasks in this domain. This work explores the legal Multiple-Choice QA (MCQA) for a low-resource language, Romanian. The contribution of this work is multi-fold. We introduce JuRO, the first openly availa"&amp;"ble Romanian legal MCQA dataset, comprising 10,836 questions from three examinations. Along with this dataset, we introduce CROL, an organized corpus of laws with a total of 93 distinct documents with their modifications over 763 time spans, which we used"&amp;" for information retrieval techniques in this work. Additionally, we construct Law-RoG, the first graph of legal knowledge for the Romanian language derived from the corpus mentioned above. Lastly, we propose a novel approach for MCQA, namely Graph Retrie"&amp;"val Augmented by Facts (GRAF), which achieves competitive results with generally accepted state-of-the-art methods and even exceeds them in most settings.")</f>
        <v>Pre-trained language models have shown remarkable performances in recent years, setting a new paradigm for natural language processing (NLP) research. The legal domain has received some attention from the NLP community partly due to its textual nature. Question-answering (QA) systems represent some of the tasks in this domain. This work explores the legal Multiple-Choice QA (MCQA) for a low-resource language, Romanian. The contribution of this work is multi-fold. We introduce JuRO, the first openly available Romanian legal MCQA dataset, comprising 10,836 questions from three examinations. Along with this dataset, we introduce CROL, an organized corpus of laws with a total of 93 distinct documents with their modifications over 763 time spans, which we used for information retrieval techniques in this work. Additionally, we construct Law-RoG, the first graph of legal knowledge for the Romanian language derived from the corpus mentioned above. Lastly, we propose a novel approach for MCQA, namely Graph Retrieval Augmented by Facts (GRAF), which achieves competitive results with generally accepted state-of-the-art methods and even exceeds them in most settings.</v>
      </c>
      <c r="D743" s="7" t="str">
        <f>IFERROR(__xludf.DUMMYFUNCTION("""COMPUTED_VALUE"""),"Cristian-George Craciun")</f>
        <v>Cristian-George Craciun</v>
      </c>
      <c r="E743" s="7" t="str">
        <f>IFERROR(__xludf.DUMMYFUNCTION("""COMPUTED_VALUE"""),"Yes")</f>
        <v>Yes</v>
      </c>
      <c r="F743" s="7" t="str">
        <f>IFERROR(__xludf.DUMMYFUNCTION("""COMPUTED_VALUE"""),"IP-Poster")</f>
        <v>IP-Poster</v>
      </c>
      <c r="G743" s="7" t="str">
        <f>IFERROR(__xludf.DUMMYFUNCTION("""COMPUTED_VALUE"""),"In-Person")</f>
        <v>In-Person</v>
      </c>
      <c r="H743" s="7" t="str">
        <f>IFERROR(__xludf.DUMMYFUNCTION("""COMPUTED_VALUE"""),"Hall 4/5")</f>
        <v>Hall 4/5</v>
      </c>
      <c r="I743" s="7" t="str">
        <f>IFERROR(__xludf.DUMMYFUNCTION("""COMPUTED_VALUE"""),"Session 7: IP-Posters")</f>
        <v>Session 7: IP-Posters</v>
      </c>
      <c r="J743" s="7" t="str">
        <f>IFERROR(__xludf.DUMMYFUNCTION("""COMPUTED_VALUE"""),"Findings Posters - In-Person 2")</f>
        <v>Findings Posters - In-Person 2</v>
      </c>
      <c r="K743" s="7"/>
      <c r="L743" s="8">
        <f>IFERROR(__xludf.DUMMYFUNCTION("""COMPUTED_VALUE"""),45867.0)</f>
        <v>45867</v>
      </c>
      <c r="M743" s="7" t="str">
        <f>IFERROR(__xludf.DUMMYFUNCTION("""COMPUTED_VALUE"""),"10:30-12:00")</f>
        <v>10:30-12:00</v>
      </c>
      <c r="N743" s="7"/>
    </row>
    <row r="744">
      <c r="A744" s="7" t="str">
        <f>IFERROR(__xludf.DUMMYFUNCTION("""COMPUTED_VALUE"""),"2570-FIND")</f>
        <v>2570-FIND</v>
      </c>
      <c r="B744" s="7" t="str">
        <f>IFERROR(__xludf.DUMMYFUNCTION("""COMPUTED_VALUE"""),"Express 💬 What You See 👀: Can Multimodal LLMs Decode Visual Ciphers with Intuitive Semiosis Comprehension?")</f>
        <v>Express 💬 What You See 👀: Can Multimodal LLMs Decode Visual Ciphers with Intuitive Semiosis Comprehension?</v>
      </c>
      <c r="C744" s="7" t="str">
        <f>IFERROR(__xludf.DUMMYFUNCTION("""COMPUTED_VALUE"""),"Bridging the gap between visual and language remains a pivotal challenge for multimodal community. Traditional VQA benchmarks encounter modality gap and over-reliance on language priors, whereas human cognition excels at intuitive semiosis, associating ab"&amp;"stract visual symbols to linguistic semantics. Inspired by this neurocognitive mechanism, we focus on emojis, the visual cipher conveying abstract textual semantics. Specifically, we propose a novel task of generating abstract linguistics from emoji seque"&amp;"nce images, where such reasoning underpins critical application in cryptography, thus challenging MLLMs' reasoning of decoding complex semantics of visual ciphers. We introduce eWe-bench (Express What you SeE), assessing MLLMs' capability of intuitive sem"&amp;"iosis like human. Our data construction framework ensures high visual sensitivity and data quality, which can be extended to future data enhancement. Evaluation results on advanced MLLMs highlight critical deficiencies in visual intuitive symbolic reasoni"&amp;"ng. We believe our interesting insights for advancing visual semiosis in MLLMs will pave the way for cryptographic analysis and high-level intuitive cognition intelligence of MLLMs.")</f>
        <v>Bridging the gap between visual and language remains a pivotal challenge for multimodal community. Traditional VQA benchmarks encounter modality gap and over-reliance on language priors, whereas human cognition excels at intuitive semiosis, associating abstract visual symbols to linguistic semantics. Inspired by this neurocognitive mechanism, we focus on emojis, the visual cipher conveying abstract textual semantics. Specifically, we propose a novel task of generating abstract linguistics from emoji sequence images, where such reasoning underpins critical application in cryptography, thus challenging MLLMs' reasoning of decoding complex semantics of visual ciphers. We introduce eWe-bench (Express What you SeE), assessing MLLMs' capability of intuitive semiosis like human. Our data construction framework ensures high visual sensitivity and data quality, which can be extended to future data enhancement. Evaluation results on advanced MLLMs highlight critical deficiencies in visual intuitive symbolic reasoning. We believe our interesting insights for advancing visual semiosis in MLLMs will pave the way for cryptographic analysis and high-level intuitive cognition intelligence of MLLMs.</v>
      </c>
      <c r="D744" s="7" t="str">
        <f>IFERROR(__xludf.DUMMYFUNCTION("""COMPUTED_VALUE"""),"Jiayi Kuang")</f>
        <v>Jiayi Kuang</v>
      </c>
      <c r="E744" s="7" t="str">
        <f>IFERROR(__xludf.DUMMYFUNCTION("""COMPUTED_VALUE"""),"Yes")</f>
        <v>Yes</v>
      </c>
      <c r="F744" s="7" t="str">
        <f>IFERROR(__xludf.DUMMYFUNCTION("""COMPUTED_VALUE"""),"IP-Poster")</f>
        <v>IP-Poster</v>
      </c>
      <c r="G744" s="7" t="str">
        <f>IFERROR(__xludf.DUMMYFUNCTION("""COMPUTED_VALUE"""),"In-Person")</f>
        <v>In-Person</v>
      </c>
      <c r="H744" s="7" t="str">
        <f>IFERROR(__xludf.DUMMYFUNCTION("""COMPUTED_VALUE"""),"Hall 4/5")</f>
        <v>Hall 4/5</v>
      </c>
      <c r="I744" s="7" t="str">
        <f>IFERROR(__xludf.DUMMYFUNCTION("""COMPUTED_VALUE"""),"Session 7: IP-Posters")</f>
        <v>Session 7: IP-Posters</v>
      </c>
      <c r="J744" s="7" t="str">
        <f>IFERROR(__xludf.DUMMYFUNCTION("""COMPUTED_VALUE"""),"Findings Posters - In-Person 2")</f>
        <v>Findings Posters - In-Person 2</v>
      </c>
      <c r="K744" s="7"/>
      <c r="L744" s="8">
        <f>IFERROR(__xludf.DUMMYFUNCTION("""COMPUTED_VALUE"""),45867.0)</f>
        <v>45867</v>
      </c>
      <c r="M744" s="7" t="str">
        <f>IFERROR(__xludf.DUMMYFUNCTION("""COMPUTED_VALUE"""),"10:30-12:00")</f>
        <v>10:30-12:00</v>
      </c>
      <c r="N744" s="7"/>
    </row>
    <row r="745">
      <c r="A745" s="7" t="str">
        <f>IFERROR(__xludf.DUMMYFUNCTION("""COMPUTED_VALUE"""),"2577-FIND")</f>
        <v>2577-FIND</v>
      </c>
      <c r="B745" s="7" t="str">
        <f>IFERROR(__xludf.DUMMYFUNCTION("""COMPUTED_VALUE"""),"ConFit v2: Improving Resume-Job Matching using Hypothetical Resume Embedding and Runner-Up Hard-Negative Mining")</f>
        <v>ConFit v2: Improving Resume-Job Matching using Hypothetical Resume Embedding and Runner-Up Hard-Negative Mining</v>
      </c>
      <c r="C745" s="7" t="str">
        <f>IFERROR(__xludf.DUMMYFUNCTION("""COMPUTED_VALUE"""),"A reliable resume-job matching system helps a company recommend suitable candidates from a pool of resumes and helps a job seeker find relevant jobs from a list of job posts. However, since job seekers apply only to a few jobs, interaction labels in resum"&amp;"e-job datasets are sparse. We introduce ConFit v2, an improvement over ConFit to tackle this sparsity problem. We propose two techniques to enhance the encoder’s contrastive training process: augmenting job data with hypothetical reference resume generate"&amp;"d by a large language model; and creating high-quality hard negatives from unlabeled resume/job pairs using a novel hard-negative mining strategy. This method also simplifies the representation space of the encoder. We evaluate ConFit v2 on two real-world"&amp;" datasets and demonstrate that it outperforms ConFit and prior methods (including BM25 and OpenAI text-embedding-003), achieving an average absolute improvement of 13.8% in recall and 17.5% in nDCG across job-ranking and resume-ranking tasks.")</f>
        <v>A reliable resume-job matching system helps a company recommend suitable candidates from a pool of resumes and helps a job seeker find relevant jobs from a list of job posts. However, since job seekers apply only to a few jobs, interaction labels in resume-job datasets are sparse. We introduce ConFit v2, an improvement over ConFit to tackle this sparsity problem. We propose two techniques to enhance the encoder’s contrastive training process: augmenting job data with hypothetical reference resume generated by a large language model; and creating high-quality hard negatives from unlabeled resume/job pairs using a novel hard-negative mining strategy. This method also simplifies the representation space of the encoder. We evaluate ConFit v2 on two real-world datasets and demonstrate that it outperforms ConFit and prior methods (including BM25 and OpenAI text-embedding-003), achieving an average absolute improvement of 13.8% in recall and 17.5% in nDCG across job-ranking and resume-ranking tasks.</v>
      </c>
      <c r="D745" s="7" t="str">
        <f>IFERROR(__xludf.DUMMYFUNCTION("""COMPUTED_VALUE"""),"NA")</f>
        <v>NA</v>
      </c>
      <c r="E745" s="7" t="str">
        <f>IFERROR(__xludf.DUMMYFUNCTION("""COMPUTED_VALUE"""),"#N/A")</f>
        <v>#N/A</v>
      </c>
      <c r="F745" s="7" t="str">
        <f>IFERROR(__xludf.DUMMYFUNCTION("""COMPUTED_VALUE"""),"Not Pres. ")</f>
        <v>Not Pres. </v>
      </c>
      <c r="G745" s="7" t="str">
        <f>IFERROR(__xludf.DUMMYFUNCTION("""COMPUTED_VALUE"""),"NP Findings Not Presenting ")</f>
        <v>NP Findings Not Presenting </v>
      </c>
      <c r="H745" s="7"/>
      <c r="I745" s="7" t="str">
        <f>IFERROR(__xludf.DUMMYFUNCTION("""COMPUTED_VALUE"""),"NP-Find")</f>
        <v>NP-Find</v>
      </c>
      <c r="J745" s="7"/>
      <c r="K745" s="7"/>
      <c r="L745" s="8"/>
      <c r="M745" s="7"/>
      <c r="N745" s="7"/>
    </row>
    <row r="746">
      <c r="A746" s="7" t="str">
        <f>IFERROR(__xludf.DUMMYFUNCTION("""COMPUTED_VALUE"""),"2579-FIND")</f>
        <v>2579-FIND</v>
      </c>
      <c r="B746" s="7" t="str">
        <f>IFERROR(__xludf.DUMMYFUNCTION("""COMPUTED_VALUE"""),"Knowing Before Saying: LLM Representations Encode Information About Chain-of-Thought Success Before Completion")</f>
        <v>Knowing Before Saying: LLM Representations Encode Information About Chain-of-Thought Success Before Completion</v>
      </c>
      <c r="C746" s="7" t="str">
        <f>IFERROR(__xludf.DUMMYFUNCTION("""COMPUTED_VALUE"""),"We investigate whether the success of a zero-shot Chain-of-Thought (CoT) process can be predicted before completion. Our classifier, based on LLM representations, performs well even before a single token is generated, suggesting that crucial information a"&amp;"bout the reasoning process is already present in the initial steps representations. In contrast, a strong BERT-based baseline, which relies solely on the generated tokens, performs worse—likely because it depends on shallow linguistic cues rather than dee"&amp;"per reasoning dynamics. Surprisingly, using later reasoning steps does not always improve classification. When additional context is unhelpful, earlier representations resemble later ones more, suggesting LLMs encode key information early. This implies re"&amp;"asoning can often stop early without loss. To test this, we conduct early stopping experiments, showing that truncating CoT reasoning still improves performance over not using CoT at all, though a gap remains compared to full reasoning. However, approache"&amp;"s like supervised learning or reinforcement learning designed to shorten CoT chains could leverage our classifier’s guidance to identify when early stopping is effective. Our findings provide insights that may support such methods, helping to optimize CoT"&amp;"’s efficiency while preserving its benefits.")</f>
        <v>We investigate whether the success of a zero-shot Chain-of-Thought (CoT) process can be predicted before completion. Our classifier, based on LLM representations, performs well even before a single token is generated, suggesting that crucial information about the reasoning process is already present in the initial steps representations. In contrast, a strong BERT-based baseline, which relies solely on the generated tokens, performs worse—likely because it depends on shallow linguistic cues rather than deeper reasoning dynamics. Surprisingly, using later reasoning steps does not always improve classification. When additional context is unhelpful, earlier representations resemble later ones more, suggesting LLMs encode key information early. This implies reasoning can often stop early without loss. To test this, we conduct early stopping experiments, showing that truncating CoT reasoning still improves performance over not using CoT at all, though a gap remains compared to full reasoning. However, approaches like supervised learning or reinforcement learning designed to shorten CoT chains could leverage our classifier’s guidance to identify when early stopping is effective. Our findings provide insights that may support such methods, helping to optimize CoT’s efficiency while preserving its benefits.</v>
      </c>
      <c r="D746" s="7" t="str">
        <f>IFERROR(__xludf.DUMMYFUNCTION("""COMPUTED_VALUE"""),"Anum Afzal")</f>
        <v>Anum Afzal</v>
      </c>
      <c r="E746" s="7" t="str">
        <f>IFERROR(__xludf.DUMMYFUNCTION("""COMPUTED_VALUE"""),"Yes")</f>
        <v>Yes</v>
      </c>
      <c r="F746" s="7" t="str">
        <f>IFERROR(__xludf.DUMMYFUNCTION("""COMPUTED_VALUE"""),"IP-Poster")</f>
        <v>IP-Poster</v>
      </c>
      <c r="G746" s="7" t="str">
        <f>IFERROR(__xludf.DUMMYFUNCTION("""COMPUTED_VALUE"""),"In-Person")</f>
        <v>In-Person</v>
      </c>
      <c r="H746" s="7" t="str">
        <f>IFERROR(__xludf.DUMMYFUNCTION("""COMPUTED_VALUE"""),"Hall 4/5")</f>
        <v>Hall 4/5</v>
      </c>
      <c r="I746" s="7" t="str">
        <f>IFERROR(__xludf.DUMMYFUNCTION("""COMPUTED_VALUE"""),"Session 12: IP-Posters")</f>
        <v>Session 12: IP-Posters</v>
      </c>
      <c r="J746" s="7" t="str">
        <f>IFERROR(__xludf.DUMMYFUNCTION("""COMPUTED_VALUE"""),"Findings Posters - In-Person 1")</f>
        <v>Findings Posters - In-Person 1</v>
      </c>
      <c r="K746" s="7"/>
      <c r="L746" s="8">
        <f>IFERROR(__xludf.DUMMYFUNCTION("""COMPUTED_VALUE"""),45868.0)</f>
        <v>45868</v>
      </c>
      <c r="M746" s="7" t="str">
        <f>IFERROR(__xludf.DUMMYFUNCTION("""COMPUTED_VALUE"""),"11:00-12:30")</f>
        <v>11:00-12:30</v>
      </c>
      <c r="N746" s="7"/>
    </row>
    <row r="747">
      <c r="A747" s="7" t="str">
        <f>IFERROR(__xludf.DUMMYFUNCTION("""COMPUTED_VALUE"""),"2581-FIND")</f>
        <v>2581-FIND</v>
      </c>
      <c r="B747" s="7" t="str">
        <f>IFERROR(__xludf.DUMMYFUNCTION("""COMPUTED_VALUE"""),"Grounding Task Assistance with Multimodal Cues from a Single Demonstration")</f>
        <v>Grounding Task Assistance with Multimodal Cues from a Single Demonstration</v>
      </c>
      <c r="C747" s="7" t="str">
        <f>IFERROR(__xludf.DUMMYFUNCTION("""COMPUTED_VALUE"""),"A person's demonstration often serves as a key reference for others learning the same task. However, RGB video, the dominant medium for representing these demonstrations, often fails to capture fine-grained contextual cues such as intent, safety-critical "&amp;"environmental factors, and subtle preferences embedded in human behavior. This sensory gap fundamentally limits the ability of Vision Language Models (VLMs) to reason about why actions occur and how they should adapt to individual users. To address this, "&amp;"we introduce MICA (Multimodal Interactive Contextualized Assistance), a framework that improves conversational agents for task assistance by integrating eye gaze and speech cues. MICA segments demonstrations into meaningful subtasks, extracts keyframes, a"&amp;"nd generates contextualized captions to improve retrieval-augmented generation. Evaluations on questions derived from real-time chat-assisted task replication show that multimodal cues significantly improve response quality over frame-based retrieval. Not"&amp;"ably, gaze cues alone achieves 93% of speech performance, and their combination yields the highest accuracy. Task type determines the effectiveness of implicit (gaze) vs. explicit (speech) cues, underscoring the need for adaptable multimodal models. These"&amp;" results highlight the limitations of frame-based context and demonstrate the value of multimodal signals for real-world AI task assistance.")</f>
        <v>A person's demonstration often serves as a key reference for others learning the same task. However, RGB video, the dominant medium for representing these demonstrations, often fails to capture fine-grained contextual cues such as intent, safety-critical environmental factors, and subtle preferences embedded in human behavior. This sensory gap fundamentally limits the ability of Vision Language Models (VLMs) to reason about why actions occur and how they should adapt to individual users. To address this, we introduce MICA (Multimodal Interactive Contextualized Assistance), a framework that improves conversational agents for task assistance by integrating eye gaze and speech cues. MICA segments demonstrations into meaningful subtasks, extracts keyframes, and generates contextualized captions to improve retrieval-augmented generation. Evaluations on questions derived from real-time chat-assisted task replication show that multimodal cues significantly improve response quality over frame-based retrieval. Notably, gaze cues alone achieves 93% of speech performance, and their combination yields the highest accuracy. Task type determines the effectiveness of implicit (gaze) vs. explicit (speech) cues, underscoring the need for adaptable multimodal models. These results highlight the limitations of frame-based context and demonstrate the value of multimodal signals for real-world AI task assistance.</v>
      </c>
      <c r="D747" s="7" t="str">
        <f>IFERROR(__xludf.DUMMYFUNCTION("""COMPUTED_VALUE"""),"Gabriel Sarch")</f>
        <v>Gabriel Sarch</v>
      </c>
      <c r="E747" s="7" t="str">
        <f>IFERROR(__xludf.DUMMYFUNCTION("""COMPUTED_VALUE"""),"N/A")</f>
        <v>N/A</v>
      </c>
      <c r="F747" s="7" t="str">
        <f>IFERROR(__xludf.DUMMYFUNCTION("""COMPUTED_VALUE"""),"Not Pres. ")</f>
        <v>Not Pres. </v>
      </c>
      <c r="G747" s="7" t="str">
        <f>IFERROR(__xludf.DUMMYFUNCTION("""COMPUTED_VALUE"""),"NP Findings Not Presenting ")</f>
        <v>NP Findings Not Presenting </v>
      </c>
      <c r="H747" s="7"/>
      <c r="I747" s="7"/>
      <c r="J747" s="7"/>
      <c r="K747" s="7"/>
      <c r="L747" s="8"/>
      <c r="M747" s="7"/>
      <c r="N747" s="7"/>
    </row>
    <row r="748">
      <c r="A748" s="7" t="str">
        <f>IFERROR(__xludf.DUMMYFUNCTION("""COMPUTED_VALUE"""),"2584-FIND")</f>
        <v>2584-FIND</v>
      </c>
      <c r="B748" s="7" t="str">
        <f>IFERROR(__xludf.DUMMYFUNCTION("""COMPUTED_VALUE"""),"Awes, Laws, and Flaws From Today’s LLM Research")</f>
        <v>Awes, Laws, and Flaws From Today’s LLM Research</v>
      </c>
      <c r="C748" s="7" t="str">
        <f>IFERROR(__xludf.DUMMYFUNCTION("""COMPUTED_VALUE"""),"We perform a critical examination of the scientific methodology behind contemporary large language model (LLM) research. For this we assess over 2,000 research works released between 2020 and 2024 based on criteria typical of what is considered good resea"&amp;"rch (e.g. presence of statistical tests and reproducibility), and cross-validate it with arguments that are at the centre of controversy (e.g., claims of emergent behaviour). We find multiple trends, such as declines in ethics disclaimers, a rise of LLMs "&amp;"as evaluators, and an increase on claims of LLM reasoning abilities without leveraging human evaluation. We note that conference checklists are effective at curtailing some of these issues, but balancing velocity and rigour in research cannot solely rely "&amp;"on these. We tie all these findings to findings from recent meta-reviews and extend recommendations on how to address what does, does not, and should work in LLM research.")</f>
        <v>We perform a critical examination of the scientific methodology behind contemporary large language model (LLM) research. For this we assess over 2,000 research works released between 2020 and 2024 based on criteria typical of what is considered good research (e.g. presence of statistical tests and reproducibility), and cross-validate it with arguments that are at the centre of controversy (e.g., claims of emergent behaviour). We find multiple trends, such as declines in ethics disclaimers, a rise of LLMs as evaluators, and an increase on claims of LLM reasoning abilities without leveraging human evaluation. We note that conference checklists are effective at curtailing some of these issues, but balancing velocity and rigour in research cannot solely rely on these. We tie all these findings to findings from recent meta-reviews and extend recommendations on how to address what does, does not, and should work in LLM research.</v>
      </c>
      <c r="D748" s="7" t="str">
        <f>IFERROR(__xludf.DUMMYFUNCTION("""COMPUTED_VALUE"""),"Adrian de Wynter")</f>
        <v>Adrian de Wynter</v>
      </c>
      <c r="E748" s="7" t="str">
        <f>IFERROR(__xludf.DUMMYFUNCTION("""COMPUTED_VALUE"""),"Yes")</f>
        <v>Yes</v>
      </c>
      <c r="F748" s="7" t="str">
        <f>IFERROR(__xludf.DUMMYFUNCTION("""COMPUTED_VALUE"""),"IP-Poster")</f>
        <v>IP-Poster</v>
      </c>
      <c r="G748" s="7" t="str">
        <f>IFERROR(__xludf.DUMMYFUNCTION("""COMPUTED_VALUE"""),"In-Person")</f>
        <v>In-Person</v>
      </c>
      <c r="H748" s="7" t="str">
        <f>IFERROR(__xludf.DUMMYFUNCTION("""COMPUTED_VALUE"""),"Hall 4/5")</f>
        <v>Hall 4/5</v>
      </c>
      <c r="I748" s="7" t="str">
        <f>IFERROR(__xludf.DUMMYFUNCTION("""COMPUTED_VALUE"""),"Session 10: IP-Posters")</f>
        <v>Session 10: IP-Posters</v>
      </c>
      <c r="J748" s="7" t="str">
        <f>IFERROR(__xludf.DUMMYFUNCTION("""COMPUTED_VALUE"""),"Findings Posters - In-Person 3")</f>
        <v>Findings Posters - In-Person 3</v>
      </c>
      <c r="K748" s="7"/>
      <c r="L748" s="8">
        <f>IFERROR(__xludf.DUMMYFUNCTION("""COMPUTED_VALUE"""),45867.0)</f>
        <v>45867</v>
      </c>
      <c r="M748" s="7" t="str">
        <f>IFERROR(__xludf.DUMMYFUNCTION("""COMPUTED_VALUE"""),"16:00-17:30")</f>
        <v>16:00-17:30</v>
      </c>
      <c r="N748" s="7"/>
    </row>
    <row r="749">
      <c r="A749" s="7" t="str">
        <f>IFERROR(__xludf.DUMMYFUNCTION("""COMPUTED_VALUE"""),"2587-FIND")</f>
        <v>2587-FIND</v>
      </c>
      <c r="B749" s="7" t="str">
        <f>IFERROR(__xludf.DUMMYFUNCTION("""COMPUTED_VALUE"""),"Dual Debiasing for Noisy In-Context Learning for Text Generation")</f>
        <v>Dual Debiasing for Noisy In-Context Learning for Text Generation</v>
      </c>
      <c r="C749" s="7" t="str">
        <f>IFERROR(__xludf.DUMMYFUNCTION("""COMPUTED_VALUE"""),"In-context learning (ICL) relies heavily on high-quality demonstrations drawn from large annotated corpora. Existing methods often detect noisy annotations by ranking local perplexities, presuming that noisy samples yield higher perplexities than their cl"&amp;"ean counterparts. However, this assumption breaks down when the noise ratio is high and many demonstrations are flawed. We re-examine the perplexity-based paradigm for text generation under noisy annotations, highlighting two sources of bias in perplexity"&amp;": the annotation itself and the domain-specific knowledge inherent in large language models (LLMs). To overcome these biases, we introduce a dual-debiasing framework that uses synthesized neighbors to explicitly correct perplexity estimates, yielding a ro"&amp;"bust \emph{Sample Cleanliness Score}. This metric uncovers absolute sample cleanliness regardless of the corpus’s noise level. Extensive experiments demonstrate our method’s superior noise-detection capabilities and show that its final ICL performance is "&amp;"comparable to that of a fully clean demonstration corpus. Moreover, our approach remains robust even when noise ratios are extremely high.")</f>
        <v>In-context learning (ICL) relies heavily on high-quality demonstrations drawn from large annotated corpora. Existing methods often detect noisy annotations by ranking local perplexities, presuming that noisy samples yield higher perplexities than their clean counterparts. However, this assumption breaks down when the noise ratio is high and many demonstrations are flawed. We re-examine the perplexity-based paradigm for text generation under noisy annotations, highlighting two sources of bias in perplexity: the annotation itself and the domain-specific knowledge inherent in large language models (LLMs). To overcome these biases, we introduce a dual-debiasing framework that uses synthesized neighbors to explicitly correct perplexity estimates, yielding a robust \emph{Sample Cleanliness Score}. This metric uncovers absolute sample cleanliness regardless of the corpus’s noise level. Extensive experiments demonstrate our method’s superior noise-detection capabilities and show that its final ICL performance is comparable to that of a fully clean demonstration corpus. Moreover, our approach remains robust even when noise ratios are extremely high.</v>
      </c>
      <c r="D749" s="7" t="str">
        <f>IFERROR(__xludf.DUMMYFUNCTION("""COMPUTED_VALUE"""),"Siqi Liang")</f>
        <v>Siqi Liang</v>
      </c>
      <c r="E749" s="7" t="str">
        <f>IFERROR(__xludf.DUMMYFUNCTION("""COMPUTED_VALUE"""),"Yes")</f>
        <v>Yes</v>
      </c>
      <c r="F749" s="7" t="str">
        <f>IFERROR(__xludf.DUMMYFUNCTION("""COMPUTED_VALUE"""),"V-Presentation")</f>
        <v>V-Presentation</v>
      </c>
      <c r="G749" s="7" t="str">
        <f>IFERROR(__xludf.DUMMYFUNCTION("""COMPUTED_VALUE"""),"Virtual/Gather")</f>
        <v>Virtual/Gather</v>
      </c>
      <c r="H749" s="7" t="str">
        <f>IFERROR(__xludf.DUMMYFUNCTION("""COMPUTED_VALUE"""),"Gather")</f>
        <v>Gather</v>
      </c>
      <c r="I749" s="7" t="str">
        <f>IFERROR(__xludf.DUMMYFUNCTION("""COMPUTED_VALUE"""),"Session5: V-Gather Find")</f>
        <v>Session5: V-Gather Find</v>
      </c>
      <c r="J749" s="7" t="str">
        <f>IFERROR(__xludf.DUMMYFUNCTION("""COMPUTED_VALUE"""),"Findings Posters - Virtual")</f>
        <v>Findings Posters - Virtual</v>
      </c>
      <c r="K749" s="7"/>
      <c r="L749" s="8">
        <f>IFERROR(__xludf.DUMMYFUNCTION("""COMPUTED_VALUE"""),45866.0)</f>
        <v>45866</v>
      </c>
      <c r="M749" s="7" t="str">
        <f>IFERROR(__xludf.DUMMYFUNCTION("""COMPUTED_VALUE"""),"18:00-19:30")</f>
        <v>18:00-19:30</v>
      </c>
      <c r="N749" s="7"/>
    </row>
    <row r="750">
      <c r="A750" s="7" t="str">
        <f>IFERROR(__xludf.DUMMYFUNCTION("""COMPUTED_VALUE"""),"2588-FIND")</f>
        <v>2588-FIND</v>
      </c>
      <c r="B750" s="7" t="str">
        <f>IFERROR(__xludf.DUMMYFUNCTION("""COMPUTED_VALUE"""),"DRS: Deep Question Reformulation With Structured Output")</f>
        <v>DRS: Deep Question Reformulation With Structured Output</v>
      </c>
      <c r="C750" s="7" t="str">
        <f>IFERROR(__xludf.DUMMYFUNCTION("""COMPUTED_VALUE"""),"Question answering represents a core capability of large language models (LLMs). However, when individuals encounter unfamiliar knowledge in texts, they often formulate questions that the text itself cannot answer due to insufficient understanding of the "&amp;"underlying information. Recent studies reveal that while LLMs can detect unanswerable questions, they struggle to assist users in reformulating these questions. Even advanced models like GPT-3.5 demonstrate limited effectiveness in this regard. To address"&amp;" this limitation, we propose DRS: Deep Question Reformulation with Structured Output, a novel zero-shot method aimed at enhancing LLMs’ ability to assist users in reformulating questions to extract relevant information from new documents. DRS combines the"&amp;" strengths of LLMs with a DFS-based algorithm to iteratively explore potential entity combinations and constrain outputs using predefined entities. This structured approach significantly enhances the reformulation capabilities of LLMs. Comprehensive exper"&amp;"imental evaluations demonstrate that DRS improves the reformulation accuracy of GPT-3.5 from 23.03% to 70.42%, while also enhancing the performance of open-source models, such as Gemma2-9B, from 26.35% to 56.75%.")</f>
        <v>Question answering represents a core capability of large language models (LLMs). However, when individuals encounter unfamiliar knowledge in texts, they often formulate questions that the text itself cannot answer due to insufficient understanding of the underlying information. Recent studies reveal that while LLMs can detect unanswerable questions, they struggle to assist users in reformulating these questions. Even advanced models like GPT-3.5 demonstrate limited effectiveness in this regard. To address this limitation, we propose DRS: Deep Question Reformulation with Structured Output, a novel zero-shot method aimed at enhancing LLMs’ ability to assist users in reformulating questions to extract relevant information from new documents. DRS combines the strengths of LLMs with a DFS-based algorithm to iteratively explore potential entity combinations and constrain outputs using predefined entities. This structured approach significantly enhances the reformulation capabilities of LLMs. Comprehensive experimental evaluations demonstrate that DRS improves the reformulation accuracy of GPT-3.5 from 23.03% to 70.42%, while also enhancing the performance of open-source models, such as Gemma2-9B, from 26.35% to 56.75%.</v>
      </c>
      <c r="D750" s="7" t="str">
        <f>IFERROR(__xludf.DUMMYFUNCTION("""COMPUTED_VALUE"""),"NaN")</f>
        <v>NaN</v>
      </c>
      <c r="E750" s="7" t="str">
        <f>IFERROR(__xludf.DUMMYFUNCTION("""COMPUTED_VALUE"""),"Yes")</f>
        <v>Yes</v>
      </c>
      <c r="F750" s="7" t="str">
        <f>IFERROR(__xludf.DUMMYFUNCTION("""COMPUTED_VALUE"""),"Not Pres. ")</f>
        <v>Not Pres. </v>
      </c>
      <c r="G750" s="7" t="str">
        <f>IFERROR(__xludf.DUMMYFUNCTION("""COMPUTED_VALUE"""),"NP Findings Not Presenting ")</f>
        <v>NP Findings Not Presenting </v>
      </c>
      <c r="H750" s="7"/>
      <c r="I750" s="7"/>
      <c r="J750" s="7"/>
      <c r="K750" s="7"/>
      <c r="L750" s="8"/>
      <c r="M750" s="7"/>
      <c r="N750" s="7"/>
    </row>
    <row r="751">
      <c r="A751" s="7" t="str">
        <f>IFERROR(__xludf.DUMMYFUNCTION("""COMPUTED_VALUE"""),"2590-FIND")</f>
        <v>2590-FIND</v>
      </c>
      <c r="B751" s="7" t="str">
        <f>IFERROR(__xludf.DUMMYFUNCTION("""COMPUTED_VALUE"""),"A Step Towards Explainable Hate Speech Detection")</f>
        <v>A Step Towards Explainable Hate Speech Detection</v>
      </c>
      <c r="C751" s="7" t="str">
        <f>IFERROR(__xludf.DUMMYFUNCTION("""COMPUTED_VALUE"""),"Recent advancements in deep learning have significantly enhanced the efficiency and accuracy of natural language processing (NLP) tasks. However, these models often require substantial computational resources, which remains a major drawback. Reducing the "&amp;"complexity of deep learning architectures, and exploring simpler yet effective approaches can lead to cost-efficient NLP solutions. This is also a step towards explainable AI, i.e., uncovering how a particular task is carried out. For this analysis, we ch"&amp;"ose the task of hate speech detection. We address hate speech detection by introducing a model that employs a weighted sum of valence, arousal, and dominance (VAD) scores for classification. To determine the optimal weights and classification strategies, "&amp;"we analyze hate speech and non-hate speech words based on both their individual and summed VAD-values. Our experimental results demonstrate that this straightforward approach can compete with state-of-the-art neural network methods, including GPT-based mo"&amp;"dels, in detecting hate speech.")</f>
        <v>Recent advancements in deep learning have significantly enhanced the efficiency and accuracy of natural language processing (NLP) tasks. However, these models often require substantial computational resources, which remains a major drawback. Reducing the complexity of deep learning architectures, and exploring simpler yet effective approaches can lead to cost-efficient NLP solutions. This is also a step towards explainable AI, i.e., uncovering how a particular task is carried out. For this analysis, we chose the task of hate speech detection. We address hate speech detection by introducing a model that employs a weighted sum of valence, arousal, and dominance (VAD) scores for classification. To determine the optimal weights and classification strategies, we analyze hate speech and non-hate speech words based on both their individual and summed VAD-values. Our experimental results demonstrate that this straightforward approach can compete with state-of-the-art neural network methods, including GPT-based models, in detecting hate speech.</v>
      </c>
      <c r="D751" s="7" t="str">
        <f>IFERROR(__xludf.DUMMYFUNCTION("""COMPUTED_VALUE"""),"Happy Khairunnisa Sariyanto")</f>
        <v>Happy Khairunnisa Sariyanto</v>
      </c>
      <c r="E751" s="7" t="str">
        <f>IFERROR(__xludf.DUMMYFUNCTION("""COMPUTED_VALUE"""),"Yes")</f>
        <v>Yes</v>
      </c>
      <c r="F751" s="7" t="str">
        <f>IFERROR(__xludf.DUMMYFUNCTION("""COMPUTED_VALUE"""),"V-Presentation")</f>
        <v>V-Presentation</v>
      </c>
      <c r="G751" s="7" t="str">
        <f>IFERROR(__xludf.DUMMYFUNCTION("""COMPUTED_VALUE"""),"Virtual/Gather")</f>
        <v>Virtual/Gather</v>
      </c>
      <c r="H751" s="7" t="str">
        <f>IFERROR(__xludf.DUMMYFUNCTION("""COMPUTED_VALUE"""),"Gather")</f>
        <v>Gather</v>
      </c>
      <c r="I751" s="7" t="str">
        <f>IFERROR(__xludf.DUMMYFUNCTION("""COMPUTED_VALUE"""),"Session5: V-Gather Find")</f>
        <v>Session5: V-Gather Find</v>
      </c>
      <c r="J751" s="7" t="str">
        <f>IFERROR(__xludf.DUMMYFUNCTION("""COMPUTED_VALUE"""),"Findings Posters - Virtual")</f>
        <v>Findings Posters - Virtual</v>
      </c>
      <c r="K751" s="7"/>
      <c r="L751" s="8">
        <f>IFERROR(__xludf.DUMMYFUNCTION("""COMPUTED_VALUE"""),45866.0)</f>
        <v>45866</v>
      </c>
      <c r="M751" s="7" t="str">
        <f>IFERROR(__xludf.DUMMYFUNCTION("""COMPUTED_VALUE"""),"18:00-19:30")</f>
        <v>18:00-19:30</v>
      </c>
      <c r="N751" s="7"/>
    </row>
    <row r="752">
      <c r="A752" s="7" t="str">
        <f>IFERROR(__xludf.DUMMYFUNCTION("""COMPUTED_VALUE"""),"2596-FIND")</f>
        <v>2596-FIND</v>
      </c>
      <c r="B752" s="7" t="str">
        <f>IFERROR(__xludf.DUMMYFUNCTION("""COMPUTED_VALUE"""),"BioHopR: A Benchmark for Multi-Hop, Multi-Answer Reasoning in Biomedical Domain")</f>
        <v>BioHopR: A Benchmark for Multi-Hop, Multi-Answer Reasoning in Biomedical Domain</v>
      </c>
      <c r="C752" s="7" t="str">
        <f>IFERROR(__xludf.DUMMYFUNCTION("""COMPUTED_VALUE"""),"Biomedical reasoning often requires traversing interconnected relationships across entities such as drugs, diseases, and proteins. Despite the increasing prominence of large language models (LLMs), existing benchmarks lack the ability to evaluate multi-ho"&amp;"p reasoning in the biomedical domain, particularly for queries involving one-to-many and many-to-many relationships. This gap leaves the critical challenges of biomedical multi-hop reasoning underexplored. To address this, we introduce BioHopR, a novel be"&amp;"nchmark designed to evaluate multi-hop, multi-answer reasoning in structured biomedical knowledge graphs. Built from the comprehensive PrimeKG, BioHopR includes 1-hop and 2-hop reasoning tasks that reflect real-world biomedical complexities.
Evaluations "&amp;"of state-of-the-art models reveal that O3-mini, a proprietary reasoning-focused model, achieves 37.93% precision on 1-hop tasks and 14.57% on 2-hop tasks, outperforming proprietary models such as GPT4O and open-source biomedical models including HuatuoGPT"&amp;"-o1-70B and Llama-3.3-70B. However, all models exhibit significant declines in multi-hop performance, underscoring the challenges of resolving implicit reasoning steps in the biomedical domain. By addressing the lack of benchmarks for multi-hop reasoning "&amp;"in biomedical domain, BioHopR sets a new standard for evaluating reasoning capabilities and highlights critical gaps between proprietary and open-source models while paving the way for future advancements in biomedical LLMs. BioHopR is available at https:"&amp;"//huggingface.co/datasets/knowlab-research/BioHopR.")</f>
        <v>Biomedical reasoning often requires traversing interconnected relationships across entities such as drugs, diseases, and proteins. Despite the increasing prominence of large language models (LLMs), existing benchmarks lack the ability to evaluate multi-hop reasoning in the biomedical domain, particularly for queries involving one-to-many and many-to-many relationships. This gap leaves the critical challenges of biomedical multi-hop reasoning underexplored. To address this, we introduce BioHopR, a novel benchmark designed to evaluate multi-hop, multi-answer reasoning in structured biomedical knowledge graphs. Built from the comprehensive PrimeKG, BioHopR includes 1-hop and 2-hop reasoning tasks that reflect real-world biomedical complexities.
Evaluations of state-of-the-art models reveal that O3-mini, a proprietary reasoning-focused model, achieves 37.93% precision on 1-hop tasks and 14.57% on 2-hop tasks, outperforming proprietary models such as GPT4O and open-source biomedical models including HuatuoGPT-o1-70B and Llama-3.3-70B. However, all models exhibit significant declines in multi-hop performance, underscoring the challenges of resolving implicit reasoning steps in the biomedical domain. By addressing the lack of benchmarks for multi-hop reasoning in biomedical domain, BioHopR sets a new standard for evaluating reasoning capabilities and highlights critical gaps between proprietary and open-source models while paving the way for future advancements in biomedical LLMs. BioHopR is available at https://huggingface.co/datasets/knowlab-research/BioHopR.</v>
      </c>
      <c r="D752" s="7" t="str">
        <f>IFERROR(__xludf.DUMMYFUNCTION("""COMPUTED_VALUE"""),"Yunsoo Kim")</f>
        <v>Yunsoo Kim</v>
      </c>
      <c r="E752" s="7" t="str">
        <f>IFERROR(__xludf.DUMMYFUNCTION("""COMPUTED_VALUE"""),"Yes")</f>
        <v>Yes</v>
      </c>
      <c r="F752" s="7" t="str">
        <f>IFERROR(__xludf.DUMMYFUNCTION("""COMPUTED_VALUE"""),"IP-Poster")</f>
        <v>IP-Poster</v>
      </c>
      <c r="G752" s="7" t="str">
        <f>IFERROR(__xludf.DUMMYFUNCTION("""COMPUTED_VALUE"""),"In-Person")</f>
        <v>In-Person</v>
      </c>
      <c r="H752" s="7" t="str">
        <f>IFERROR(__xludf.DUMMYFUNCTION("""COMPUTED_VALUE"""),"Hall 4/5")</f>
        <v>Hall 4/5</v>
      </c>
      <c r="I752" s="7" t="str">
        <f>IFERROR(__xludf.DUMMYFUNCTION("""COMPUTED_VALUE"""),"Session 7: IP-Posters")</f>
        <v>Session 7: IP-Posters</v>
      </c>
      <c r="J752" s="7" t="str">
        <f>IFERROR(__xludf.DUMMYFUNCTION("""COMPUTED_VALUE"""),"Findings Posters - In-Person 2")</f>
        <v>Findings Posters - In-Person 2</v>
      </c>
      <c r="K752" s="7"/>
      <c r="L752" s="8">
        <f>IFERROR(__xludf.DUMMYFUNCTION("""COMPUTED_VALUE"""),45867.0)</f>
        <v>45867</v>
      </c>
      <c r="M752" s="7" t="str">
        <f>IFERROR(__xludf.DUMMYFUNCTION("""COMPUTED_VALUE"""),"10:30-12:00")</f>
        <v>10:30-12:00</v>
      </c>
      <c r="N752" s="7"/>
    </row>
    <row r="753">
      <c r="A753" s="7" t="str">
        <f>IFERROR(__xludf.DUMMYFUNCTION("""COMPUTED_VALUE"""),"2605-FIND")</f>
        <v>2605-FIND</v>
      </c>
      <c r="B753" s="7" t="str">
        <f>IFERROR(__xludf.DUMMYFUNCTION("""COMPUTED_VALUE"""),"PipeSpec: Breaking Stage Dependencies in Hierarchical LLM Decoding")</f>
        <v>PipeSpec: Breaking Stage Dependencies in Hierarchical LLM Decoding</v>
      </c>
      <c r="C753" s="7" t="str">
        <f>IFERROR(__xludf.DUMMYFUNCTION("""COMPUTED_VALUE"""),"Speculative decoding accelerates large language model inference by using smaller draft models to generate candidate tokens for parallel verification. However, current approaches are limited by sequential stage dependencies that prevent full hardware utili"&amp;"zation. We present PipeSpec, a framework that generalizes speculative decoding to use multiple models arranged in a hierarchical pipeline, enabling asynchronous execution with lightweight coordination for prediction verification and rollback. Our analytic"&amp;"al model characterizes token generation rates across pipeline stages and proves guaranteed throughput improvements over traditional decoding for any non-zero acceptance rate. We further derive closed-form expressions for steady-state verification probabil"&amp;"ities that explain the empirical benefits of pipeline depth. We validate PipeSpec across text summarization, mathematical reasoning, and code generation tasks using LLaMA 2 and 3 models, demonstrating that pipeline efficiency increases with model depth, p"&amp;"roviding a scalable approach to accelerating LLM inference on multi-device systems. Our code is available at https://github.com/BradMcDanel/PipeSpec.")</f>
        <v>Speculative decoding accelerates large language model inference by using smaller draft models to generate candidate tokens for parallel verification. However, current approaches are limited by sequential stage dependencies that prevent full hardware utilization. We present PipeSpec, a framework that generalizes speculative decoding to use multiple models arranged in a hierarchical pipeline, enabling asynchronous execution with lightweight coordination for prediction verification and rollback. Our analytical model characterizes token generation rates across pipeline stages and proves guaranteed throughput improvements over traditional decoding for any non-zero acceptance rate. We further derive closed-form expressions for steady-state verification probabilities that explain the empirical benefits of pipeline depth. We validate PipeSpec across text summarization, mathematical reasoning, and code generation tasks using LLaMA 2 and 3 models, demonstrating that pipeline efficiency increases with model depth, providing a scalable approach to accelerating LLM inference on multi-device systems. Our code is available at https://github.com/BradMcDanel/PipeSpec.</v>
      </c>
      <c r="D753" s="7" t="str">
        <f>IFERROR(__xludf.DUMMYFUNCTION("""COMPUTED_VALUE"""),"NA")</f>
        <v>NA</v>
      </c>
      <c r="E753" s="7" t="str">
        <f>IFERROR(__xludf.DUMMYFUNCTION("""COMPUTED_VALUE"""),"#N/A")</f>
        <v>#N/A</v>
      </c>
      <c r="F753" s="7" t="str">
        <f>IFERROR(__xludf.DUMMYFUNCTION("""COMPUTED_VALUE"""),"Not Pres. ")</f>
        <v>Not Pres. </v>
      </c>
      <c r="G753" s="7" t="str">
        <f>IFERROR(__xludf.DUMMYFUNCTION("""COMPUTED_VALUE"""),"NP Findings Not Presenting ")</f>
        <v>NP Findings Not Presenting </v>
      </c>
      <c r="H753" s="7"/>
      <c r="I753" s="7" t="str">
        <f>IFERROR(__xludf.DUMMYFUNCTION("""COMPUTED_VALUE"""),"NP-Find")</f>
        <v>NP-Find</v>
      </c>
      <c r="J753" s="7"/>
      <c r="K753" s="7"/>
      <c r="L753" s="8"/>
      <c r="M753" s="7"/>
      <c r="N753" s="7"/>
    </row>
    <row r="754">
      <c r="A754" s="7" t="str">
        <f>IFERROR(__xludf.DUMMYFUNCTION("""COMPUTED_VALUE"""),"2607-FIND")</f>
        <v>2607-FIND</v>
      </c>
      <c r="B754" s="7" t="str">
        <f>IFERROR(__xludf.DUMMYFUNCTION("""COMPUTED_VALUE"""),"LAM SIMULATOR: Advancing Data Generation for Large Action Models Trainings via Online Exploration and Feedback Simulation")</f>
        <v>LAM SIMULATOR: Advancing Data Generation for Large Action Models Trainings via Online Exploration and Feedback Simulation</v>
      </c>
      <c r="C754" s="7" t="str">
        <f>IFERROR(__xludf.DUMMYFUNCTION("""COMPUTED_VALUE"""),"Large Action Models (LAMs) for AI Agents offer incredible potential but face challenges due to the need for high-quality training data, especially for multi-steps tasks that involve planning, executing tool calls, and responding to feedback. To address th"&amp;"ese issues, we present LAM SIMULATOR, a comprehensive framework designed for online exploration of agentic tasks with high-quality feedback. Our framework features a dynamic task query generator, an extensive collection of tools, and an interactive enviro"&amp;"nment where Large Language Model (LLM) Agents can call tools and receive real-time feedback. This setup enables LLM Agents to explore and solve tasks independently and potentially come up with multiple approaches to tackle any given task. Generated data a"&amp;"re then used to create high-quality training datasets for LAMs.
Our research shows that LAM SIMULATOR enables LLM Agents to autonomously solve tasks while automating the creation of high-quality training data. Models trained with these self-generated dat"&amp;"asets demonstrated significant performance gains, showing up to a 49.3% improvement over their own baselines. This was especially evident in experiments conducted with the ToolBench and CRMArena environments. The process requires minimal human input durin"&amp;"g dataset creation, highlighting the LAM SIMULATOR's efficiency and effectiveness in speeding up AI agents' development.")</f>
        <v>Large Action Models (LAMs) for AI Agents offer incredible potential but face challenges due to the need for high-quality training data, especially for multi-steps tasks that involve planning, executing tool calls, and responding to feedback. To address these issues, we present LAM SIMULATOR, a comprehensive framework designed for online exploration of agentic tasks with high-quality feedback. Our framework features a dynamic task query generator, an extensive collection of tools, and an interactive environment where Large Language Model (LLM) Agents can call tools and receive real-time feedback. This setup enables LLM Agents to explore and solve tasks independently and potentially come up with multiple approaches to tackle any given task. Generated data are then used to create high-quality training datasets for LAMs.
Our research shows that LAM SIMULATOR enables LLM Agents to autonomously solve tasks while automating the creation of high-quality training data. Models trained with these self-generated datasets demonstrated significant performance gains, showing up to a 49.3% improvement over their own baselines. This was especially evident in experiments conducted with the ToolBench and CRMArena environments. The process requires minimal human input during dataset creation, highlighting the LAM SIMULATOR's efficiency and effectiveness in speeding up AI agents' development.</v>
      </c>
      <c r="D754" s="7" t="str">
        <f>IFERROR(__xludf.DUMMYFUNCTION("""COMPUTED_VALUE"""),"Thai Quoc Hoang")</f>
        <v>Thai Quoc Hoang</v>
      </c>
      <c r="E754" s="7" t="str">
        <f>IFERROR(__xludf.DUMMYFUNCTION("""COMPUTED_VALUE"""),"Yes")</f>
        <v>Yes</v>
      </c>
      <c r="F754" s="7" t="str">
        <f>IFERROR(__xludf.DUMMYFUNCTION("""COMPUTED_VALUE"""),"V-Presentation")</f>
        <v>V-Presentation</v>
      </c>
      <c r="G754" s="7" t="str">
        <f>IFERROR(__xludf.DUMMYFUNCTION("""COMPUTED_VALUE"""),"Virtual/Gather")</f>
        <v>Virtual/Gather</v>
      </c>
      <c r="H754" s="7" t="str">
        <f>IFERROR(__xludf.DUMMYFUNCTION("""COMPUTED_VALUE"""),"Gather")</f>
        <v>Gather</v>
      </c>
      <c r="I754" s="7" t="str">
        <f>IFERROR(__xludf.DUMMYFUNCTION("""COMPUTED_VALUE"""),"Session5: V-Gather Find")</f>
        <v>Session5: V-Gather Find</v>
      </c>
      <c r="J754" s="7" t="str">
        <f>IFERROR(__xludf.DUMMYFUNCTION("""COMPUTED_VALUE"""),"Findings Posters - Virtual")</f>
        <v>Findings Posters - Virtual</v>
      </c>
      <c r="K754" s="7"/>
      <c r="L754" s="8">
        <f>IFERROR(__xludf.DUMMYFUNCTION("""COMPUTED_VALUE"""),45866.0)</f>
        <v>45866</v>
      </c>
      <c r="M754" s="7" t="str">
        <f>IFERROR(__xludf.DUMMYFUNCTION("""COMPUTED_VALUE"""),"18:00-19:30")</f>
        <v>18:00-19:30</v>
      </c>
      <c r="N754" s="7"/>
    </row>
    <row r="755">
      <c r="A755" s="7" t="str">
        <f>IFERROR(__xludf.DUMMYFUNCTION("""COMPUTED_VALUE"""),"2609-FIND")</f>
        <v>2609-FIND</v>
      </c>
      <c r="B755" s="7" t="str">
        <f>IFERROR(__xludf.DUMMYFUNCTION("""COMPUTED_VALUE"""),"Rank, Chunk and Expand: Lineage-Oriented Reasoning for Taxonomy Expansion")</f>
        <v>Rank, Chunk and Expand: Lineage-Oriented Reasoning for Taxonomy Expansion</v>
      </c>
      <c r="C755" s="7" t="str">
        <f>IFERROR(__xludf.DUMMYFUNCTION("""COMPUTED_VALUE"""),"Taxonomies are hierarchical knowledge graphs crucial for recommendation systems, and web applications. As data grows, expanding taxonomies is essential, but existing methods face key challenges: (1) discriminative models struggle with representation limit"&amp;"s and generalization, while (2) generative methods either process all candidates at once, introducing noise and exceeding context limits, or discard relevant entities by selecting noisy candidates. We propose LORex (Lineage-Oriented Reasoning for Taxonomy"&amp;" Expansion), a plug-and-play framework that combines discriminative ranking and generative reasoning for efficient taxonomy expansion. Unlike prior methods, LORex ranks and chunks candidate terms into batches, filtering noise and iteratively refining sele"&amp;"ctions by reasoning candidates’ hierarchy to ensure contextual efficiency. Extensive experiments across four benchmarks and twelve baselines show that LORex improves accuracy by 12% and Wu &amp; Palmer similarity by 5% over state-of-the-art methods.")</f>
        <v>Taxonomies are hierarchical knowledge graphs crucial for recommendation systems, and web applications. As data grows, expanding taxonomies is essential, but existing methods face key challenges: (1) discriminative models struggle with representation limits and generalization, while (2) generative methods either process all candidates at once, introducing noise and exceeding context limits, or discard relevant entities by selecting noisy candidates. We propose LORex (Lineage-Oriented Reasoning for Taxonomy Expansion), a plug-and-play framework that combines discriminative ranking and generative reasoning for efficient taxonomy expansion. Unlike prior methods, LORex ranks and chunks candidate terms into batches, filtering noise and iteratively refining selections by reasoning candidates’ hierarchy to ensure contextual efficiency. Extensive experiments across four benchmarks and twelve baselines show that LORex improves accuracy by 12% and Wu &amp; Palmer similarity by 5% over state-of-the-art methods.</v>
      </c>
      <c r="D755" s="7" t="str">
        <f>IFERROR(__xludf.DUMMYFUNCTION("""COMPUTED_VALUE"""),"Sahil Mishra")</f>
        <v>Sahil Mishra</v>
      </c>
      <c r="E755" s="7" t="str">
        <f>IFERROR(__xludf.DUMMYFUNCTION("""COMPUTED_VALUE"""),"Yes")</f>
        <v>Yes</v>
      </c>
      <c r="F755" s="7" t="str">
        <f>IFERROR(__xludf.DUMMYFUNCTION("""COMPUTED_VALUE"""),"IP-Poster")</f>
        <v>IP-Poster</v>
      </c>
      <c r="G755" s="7" t="str">
        <f>IFERROR(__xludf.DUMMYFUNCTION("""COMPUTED_VALUE"""),"In-Person")</f>
        <v>In-Person</v>
      </c>
      <c r="H755" s="7" t="str">
        <f>IFERROR(__xludf.DUMMYFUNCTION("""COMPUTED_VALUE"""),"Hall 4/5")</f>
        <v>Hall 4/5</v>
      </c>
      <c r="I755" s="7" t="str">
        <f>IFERROR(__xludf.DUMMYFUNCTION("""COMPUTED_VALUE"""),"Session 5 :IP-Posters Find ")</f>
        <v>Session 5 :IP-Posters Find </v>
      </c>
      <c r="J755" s="7" t="str">
        <f>IFERROR(__xludf.DUMMYFUNCTION("""COMPUTED_VALUE"""),"Findings Posters - In-Person 1")</f>
        <v>Findings Posters - In-Person 1</v>
      </c>
      <c r="K755" s="7"/>
      <c r="L755" s="8">
        <f>IFERROR(__xludf.DUMMYFUNCTION("""COMPUTED_VALUE"""),45866.0)</f>
        <v>45866</v>
      </c>
      <c r="M755" s="7" t="str">
        <f>IFERROR(__xludf.DUMMYFUNCTION("""COMPUTED_VALUE"""),"18:00-19:30")</f>
        <v>18:00-19:30</v>
      </c>
      <c r="N755" s="7"/>
    </row>
    <row r="756">
      <c r="A756" s="7" t="str">
        <f>IFERROR(__xludf.DUMMYFUNCTION("""COMPUTED_VALUE"""),"2613-FIND")</f>
        <v>2613-FIND</v>
      </c>
      <c r="B756" s="7" t="str">
        <f>IFERROR(__xludf.DUMMYFUNCTION("""COMPUTED_VALUE"""),"Probing Subphonemes in Morphology Models")</f>
        <v>Probing Subphonemes in Morphology Models</v>
      </c>
      <c r="C756" s="7" t="str">
        <f>IFERROR(__xludf.DUMMYFUNCTION("""COMPUTED_VALUE"""),"Transformers have achieved state-of-the-art performance in morphological inflection tasks, yet their ability to generalize across languages and morphological rules remains limited. One possible explanation for this behavior can be the degree to which thes"&amp;"e models are able to capture implicit phenomena at the phonological and subphonemic levels. We introduce a language-agnostic probing method to investigate phonological feature encoding in transformers trained directly on phonemes, and perform it across se"&amp;"ven morphologically diverse languages. We show that phonological features which are local, such as final-obstruent devoicing in Turkish, are captured well in phoneme embeddings, whereas long-distance dependencies like vowel harmony are better represented "&amp;"in the transformer's encoder. Finally, we discuss how these findings inform empirical strategies for training morphological models, particularly regarding the role of subphonemic feature acquisition.")</f>
        <v>Transformers have achieved state-of-the-art performance in morphological inflection tasks, yet their ability to generalize across languages and morphological rules remains limited. One possible explanation for this behavior can be the degree to which these models are able to capture implicit phenomena at the phonological and subphonemic levels. We introduce a language-agnostic probing method to investigate phonological feature encoding in transformers trained directly on phonemes, and perform it across seven morphologically diverse languages. We show that phonological features which are local, such as final-obstruent devoicing in Turkish, are captured well in phoneme embeddings, whereas long-distance dependencies like vowel harmony are better represented in the transformer's encoder. Finally, we discuss how these findings inform empirical strategies for training morphological models, particularly regarding the role of subphonemic feature acquisition.</v>
      </c>
      <c r="D756" s="7" t="str">
        <f>IFERROR(__xludf.DUMMYFUNCTION("""COMPUTED_VALUE"""),"Gal Astrach")</f>
        <v>Gal Astrach</v>
      </c>
      <c r="E756" s="7" t="str">
        <f>IFERROR(__xludf.DUMMYFUNCTION("""COMPUTED_VALUE"""),"Yes")</f>
        <v>Yes</v>
      </c>
      <c r="F756" s="7" t="str">
        <f>IFERROR(__xludf.DUMMYFUNCTION("""COMPUTED_VALUE"""),"IP-Poster")</f>
        <v>IP-Poster</v>
      </c>
      <c r="G756" s="7" t="str">
        <f>IFERROR(__xludf.DUMMYFUNCTION("""COMPUTED_VALUE"""),"In-Person")</f>
        <v>In-Person</v>
      </c>
      <c r="H756" s="7" t="str">
        <f>IFERROR(__xludf.DUMMYFUNCTION("""COMPUTED_VALUE"""),"Hall 4/5")</f>
        <v>Hall 4/5</v>
      </c>
      <c r="I756" s="7" t="str">
        <f>IFERROR(__xludf.DUMMYFUNCTION("""COMPUTED_VALUE"""),"Session 5 :IP-Posters Find ")</f>
        <v>Session 5 :IP-Posters Find </v>
      </c>
      <c r="J756" s="7" t="str">
        <f>IFERROR(__xludf.DUMMYFUNCTION("""COMPUTED_VALUE"""),"Findings Posters - In-Person 1")</f>
        <v>Findings Posters - In-Person 1</v>
      </c>
      <c r="K756" s="7"/>
      <c r="L756" s="8">
        <f>IFERROR(__xludf.DUMMYFUNCTION("""COMPUTED_VALUE"""),45866.0)</f>
        <v>45866</v>
      </c>
      <c r="M756" s="7" t="str">
        <f>IFERROR(__xludf.DUMMYFUNCTION("""COMPUTED_VALUE"""),"18:00-19:30")</f>
        <v>18:00-19:30</v>
      </c>
      <c r="N756" s="7"/>
    </row>
    <row r="757">
      <c r="A757" s="7" t="str">
        <f>IFERROR(__xludf.DUMMYFUNCTION("""COMPUTED_VALUE"""),"2614-FIND")</f>
        <v>2614-FIND</v>
      </c>
      <c r="B757" s="7" t="str">
        <f>IFERROR(__xludf.DUMMYFUNCTION("""COMPUTED_VALUE"""),"Exploiting Instruction-Following Retrievers for Malicious Information Retrieval")</f>
        <v>Exploiting Instruction-Following Retrievers for Malicious Information Retrieval</v>
      </c>
      <c r="C757" s="7" t="str">
        <f>IFERROR(__xludf.DUMMYFUNCTION("""COMPUTED_VALUE"""),"While instruction-following retrievers have seen widespread adoption alongside LLMs in real-world applications, little work has investigated the safety risks surrounding their increasing search capabilities. In this work, we empirically study the ability "&amp;"of retrievers to fulfill malicious queries, both when used directly and when used in a retrieval augmented generation-based setup. Concretely, we investigate six leading retrievers, including NV-Embed and LLM2Vec, and find that given malicious requests, m"&amp;"ost retrievers can (for &gt;50% of queries) select relevant harmful passages. We further uncover an emerging risk with instruction-following retrievers, where highly relevant harmful information can be surfaced through fine-grained instructions. Finally, we "&amp;"show that even safety-aligned LLMs, such as Llama3, can produce harmful responses when provided with harmful retrieved passages in-context. In summary, our findings underscore the malicious misuse risks associated with increasing retriever capability.")</f>
        <v>While instruction-following retrievers have seen widespread adoption alongside LLMs in real-world applications, little work has investigated the safety risks surrounding their increasing search capabilities. In this work, we empirically study the ability of retrievers to fulfill malicious queries, both when used directly and when used in a retrieval augmented generation-based setup. Concretely, we investigate six leading retrievers, including NV-Embed and LLM2Vec, and find that given malicious requests, most retrievers can (for &gt;50% of queries) select relevant harmful passages. We further uncover an emerging risk with instruction-following retrievers, where highly relevant harmful information can be surfaced through fine-grained instructions. Finally, we show that even safety-aligned LLMs, such as Llama3, can produce harmful responses when provided with harmful retrieved passages in-context. In summary, our findings underscore the malicious misuse risks associated with increasing retriever capability.</v>
      </c>
      <c r="D757" s="7" t="str">
        <f>IFERROR(__xludf.DUMMYFUNCTION("""COMPUTED_VALUE"""),"Nicholas Meade")</f>
        <v>Nicholas Meade</v>
      </c>
      <c r="E757" s="7" t="str">
        <f>IFERROR(__xludf.DUMMYFUNCTION("""COMPUTED_VALUE"""),"Yes")</f>
        <v>Yes</v>
      </c>
      <c r="F757" s="7" t="str">
        <f>IFERROR(__xludf.DUMMYFUNCTION("""COMPUTED_VALUE"""),"IP-Poster")</f>
        <v>IP-Poster</v>
      </c>
      <c r="G757" s="7" t="str">
        <f>IFERROR(__xludf.DUMMYFUNCTION("""COMPUTED_VALUE"""),"In-Person")</f>
        <v>In-Person</v>
      </c>
      <c r="H757" s="7" t="str">
        <f>IFERROR(__xludf.DUMMYFUNCTION("""COMPUTED_VALUE"""),"Hall 4/5")</f>
        <v>Hall 4/5</v>
      </c>
      <c r="I757" s="7" t="str">
        <f>IFERROR(__xludf.DUMMYFUNCTION("""COMPUTED_VALUE"""),"Session 10: IP-Posters")</f>
        <v>Session 10: IP-Posters</v>
      </c>
      <c r="J757" s="7" t="str">
        <f>IFERROR(__xludf.DUMMYFUNCTION("""COMPUTED_VALUE"""),"Findings Posters - In-Person 3")</f>
        <v>Findings Posters - In-Person 3</v>
      </c>
      <c r="K757" s="7"/>
      <c r="L757" s="8">
        <f>IFERROR(__xludf.DUMMYFUNCTION("""COMPUTED_VALUE"""),45867.0)</f>
        <v>45867</v>
      </c>
      <c r="M757" s="7" t="str">
        <f>IFERROR(__xludf.DUMMYFUNCTION("""COMPUTED_VALUE"""),"16:00-17:30")</f>
        <v>16:00-17:30</v>
      </c>
      <c r="N757" s="7"/>
    </row>
    <row r="758">
      <c r="A758" s="7" t="str">
        <f>IFERROR(__xludf.DUMMYFUNCTION("""COMPUTED_VALUE"""),"2615-FIND")</f>
        <v>2615-FIND</v>
      </c>
      <c r="B758" s="7" t="str">
        <f>IFERROR(__xludf.DUMMYFUNCTION("""COMPUTED_VALUE"""),"Improving Causal Interventions in Amnesic Probing with Mean Projection")</f>
        <v>Improving Causal Interventions in Amnesic Probing with Mean Projection</v>
      </c>
      <c r="C758" s="7" t="str">
        <f>IFERROR(__xludf.DUMMYFUNCTION("""COMPUTED_VALUE"""),"Amnesic probing is a method that can be used to investigate whether specific linguistic information has impact on the behavior of a model. The idea is to identify and remove information. We can then test whether removing this information leads to differen"&amp;"t performance on a main task. If the information is relevant for the task, performance should drop. The difficulty in this approach is removing only the target information while leaving other information unchanged. It has been shown that Iterative Nullspa"&amp;"ce Projection (INLP), a commonly used removal method, introduces random modifications to the representations when removing the target information. We show that Mean Projection (MP) and LEACE, suggested alternatives, remove information in a more targeted w"&amp;"ay and increases the possibilities of obtaining behavioral explanations through Amnesic Probing.")</f>
        <v>Amnesic probing is a method that can be used to investigate whether specific linguistic information has impact on the behavior of a model. The idea is to identify and remove information. We can then test whether removing this information leads to different performance on a main task. If the information is relevant for the task, performance should drop. The difficulty in this approach is removing only the target information while leaving other information unchanged. It has been shown that Iterative Nullspace Projection (INLP), a commonly used removal method, introduces random modifications to the representations when removing the target information. We show that Mean Projection (MP) and LEACE, suggested alternatives, remove information in a more targeted way and increases the possibilities of obtaining behavioral explanations through Amnesic Probing.</v>
      </c>
      <c r="D758" s="7" t="str">
        <f>IFERROR(__xludf.DUMMYFUNCTION("""COMPUTED_VALUE"""),"Alicja Dobrzeniecka")</f>
        <v>Alicja Dobrzeniecka</v>
      </c>
      <c r="E758" s="7" t="str">
        <f>IFERROR(__xludf.DUMMYFUNCTION("""COMPUTED_VALUE"""),"Yes")</f>
        <v>Yes</v>
      </c>
      <c r="F758" s="7" t="str">
        <f>IFERROR(__xludf.DUMMYFUNCTION("""COMPUTED_VALUE"""),"IP-Poster")</f>
        <v>IP-Poster</v>
      </c>
      <c r="G758" s="7" t="str">
        <f>IFERROR(__xludf.DUMMYFUNCTION("""COMPUTED_VALUE"""),"In-Person")</f>
        <v>In-Person</v>
      </c>
      <c r="H758" s="7" t="str">
        <f>IFERROR(__xludf.DUMMYFUNCTION("""COMPUTED_VALUE"""),"Hall 4/5")</f>
        <v>Hall 4/5</v>
      </c>
      <c r="I758" s="7" t="str">
        <f>IFERROR(__xludf.DUMMYFUNCTION("""COMPUTED_VALUE"""),"Session 5 :IP-Posters Find ")</f>
        <v>Session 5 :IP-Posters Find </v>
      </c>
      <c r="J758" s="7" t="str">
        <f>IFERROR(__xludf.DUMMYFUNCTION("""COMPUTED_VALUE"""),"Findings Posters - In-Person 1")</f>
        <v>Findings Posters - In-Person 1</v>
      </c>
      <c r="K758" s="7"/>
      <c r="L758" s="8">
        <f>IFERROR(__xludf.DUMMYFUNCTION("""COMPUTED_VALUE"""),45866.0)</f>
        <v>45866</v>
      </c>
      <c r="M758" s="7" t="str">
        <f>IFERROR(__xludf.DUMMYFUNCTION("""COMPUTED_VALUE"""),"18:00-19:30")</f>
        <v>18:00-19:30</v>
      </c>
      <c r="N758" s="7"/>
    </row>
    <row r="759">
      <c r="A759" s="7" t="str">
        <f>IFERROR(__xludf.DUMMYFUNCTION("""COMPUTED_VALUE"""),"2617-FIND")</f>
        <v>2617-FIND</v>
      </c>
      <c r="B759" s="7" t="str">
        <f>IFERROR(__xludf.DUMMYFUNCTION("""COMPUTED_VALUE"""),"The Threat of PROMPTS in Large Language Models: A System and User  Prompt Perspective")</f>
        <v>The Threat of PROMPTS in Large Language Models: A System and User  Prompt Perspective</v>
      </c>
      <c r="C759" s="7" t="str">
        <f>IFERROR(__xludf.DUMMYFUNCTION("""COMPUTED_VALUE"""),"Prompts, especially high-quality ones, play an invaluable role in assisting large language models (LLMs) to accomplish various natural language processing tasks. However, carefully crafted prompts can also manipulate model behavior. Therefore, the securit"&amp;"y risks that ""prompts themselves face"" and those ""arising from harmful prompts"" cannot be overlooked and we define the Prompt Threat (PT) issues. In this paper, we review the latest attack methods related to prompt threats, focusing on prompt leakage "&amp;"attacks and prompt jailbreak attacks. Additionally, we summarize the experimental setups of these methods and explore the relationship between prompt threats and prompt injection attacks.")</f>
        <v>Prompts, especially high-quality ones, play an invaluable role in assisting large language models (LLMs) to accomplish various natural language processing tasks. However, carefully crafted prompts can also manipulate model behavior. Therefore, the security risks that "prompts themselves face" and those "arising from harmful prompts" cannot be overlooked and we define the Prompt Threat (PT) issues. In this paper, we review the latest attack methods related to prompt threats, focusing on prompt leakage attacks and prompt jailbreak attacks. Additionally, we summarize the experimental setups of these methods and explore the relationship between prompt threats and prompt injection attacks.</v>
      </c>
      <c r="D759" s="7" t="str">
        <f>IFERROR(__xludf.DUMMYFUNCTION("""COMPUTED_VALUE"""),"Zixuan Xia")</f>
        <v>Zixuan Xia</v>
      </c>
      <c r="E759" s="7" t="str">
        <f>IFERROR(__xludf.DUMMYFUNCTION("""COMPUTED_VALUE"""),"Yes")</f>
        <v>Yes</v>
      </c>
      <c r="F759" s="7" t="str">
        <f>IFERROR(__xludf.DUMMYFUNCTION("""COMPUTED_VALUE"""),"IP-Poster")</f>
        <v>IP-Poster</v>
      </c>
      <c r="G759" s="7" t="str">
        <f>IFERROR(__xludf.DUMMYFUNCTION("""COMPUTED_VALUE"""),"In-Person")</f>
        <v>In-Person</v>
      </c>
      <c r="H759" s="7" t="str">
        <f>IFERROR(__xludf.DUMMYFUNCTION("""COMPUTED_VALUE"""),"Hall 4/5")</f>
        <v>Hall 4/5</v>
      </c>
      <c r="I759" s="7" t="str">
        <f>IFERROR(__xludf.DUMMYFUNCTION("""COMPUTED_VALUE"""),"Session 7: IP-Posters")</f>
        <v>Session 7: IP-Posters</v>
      </c>
      <c r="J759" s="7" t="str">
        <f>IFERROR(__xludf.DUMMYFUNCTION("""COMPUTED_VALUE"""),"Findings Posters - In-Person 2")</f>
        <v>Findings Posters - In-Person 2</v>
      </c>
      <c r="K759" s="7"/>
      <c r="L759" s="8">
        <f>IFERROR(__xludf.DUMMYFUNCTION("""COMPUTED_VALUE"""),45867.0)</f>
        <v>45867</v>
      </c>
      <c r="M759" s="7" t="str">
        <f>IFERROR(__xludf.DUMMYFUNCTION("""COMPUTED_VALUE"""),"10:30-12:00")</f>
        <v>10:30-12:00</v>
      </c>
      <c r="N759" s="7"/>
    </row>
    <row r="760">
      <c r="A760" s="7" t="str">
        <f>IFERROR(__xludf.DUMMYFUNCTION("""COMPUTED_VALUE"""),"2619-FIND")</f>
        <v>2619-FIND</v>
      </c>
      <c r="B760" s="7" t="str">
        <f>IFERROR(__xludf.DUMMYFUNCTION("""COMPUTED_VALUE"""),"RoseRAG: Robust Retrieval-augmented Generation with Small-scale LLMs via Margin-aware Preference Optimization")</f>
        <v>RoseRAG: Robust Retrieval-augmented Generation with Small-scale LLMs via Margin-aware Preference Optimization</v>
      </c>
      <c r="C760" s="7" t="str">
        <f>IFERROR(__xludf.DUMMYFUNCTION("""COMPUTED_VALUE"""),"Large language models (LLMs) have achieved impressive performance but face high computational costs and latency, limiting their deployment in resource-constrained settings. In contrast, small-scale LLMs (SLMs) are more efficient yet struggle to capture ev"&amp;"olving real-world knowledge. Retrieval-augmented generation (RAG) helps by integrating external knowledge, but imperfect retrieval can introduce distracting noise that misleads SLMs. We propose RoseRAG, a robust RAG framework for SLMs via Margin-aware Pre"&amp;"ference Optimization. RoseRAG employs multi-turn prompting for detailed reasoning, rejection sampling for high-quality explanations, and contrastive preference selection to refine responses by maximizing the likelihood gap between preferred and non-prefer"&amp;"red outputs. By integrating these components into a margin-aware optimization process, RoseRAG robustly enhances the accuracy and reliability of SLMs for RAG applications. Extensive experiments on three open-domain question answering benchmarks indicate t"&amp;"hat our innovative RoseRAG surpasses state-of-the-art baselines significantly.")</f>
        <v>Large language models (LLMs) have achieved impressive performance but face high computational costs and latency, limiting their deployment in resource-constrained settings. In contrast, small-scale LLMs (SLMs) are more efficient yet struggle to capture evolving real-world knowledge. Retrieval-augmented generation (RAG) helps by integrating external knowledge, but imperfect retrieval can introduce distracting noise that misleads SLMs. We propose RoseRAG, a robust RAG framework for SLMs via Margin-aware Preference Optimization. RoseRAG employs multi-turn prompting for detailed reasoning, rejection sampling for high-quality explanations, and contrastive preference selection to refine responses by maximizing the likelihood gap between preferred and non-preferred outputs. By integrating these components into a margin-aware optimization process, RoseRAG robustly enhances the accuracy and reliability of SLMs for RAG applications. Extensive experiments on three open-domain question answering benchmarks indicate that our innovative RoseRAG surpasses state-of-the-art baselines significantly.</v>
      </c>
      <c r="D760" s="7" t="str">
        <f>IFERROR(__xludf.DUMMYFUNCTION("""COMPUTED_VALUE"""),"Tianci Liu")</f>
        <v>Tianci Liu</v>
      </c>
      <c r="E760" s="7" t="str">
        <f>IFERROR(__xludf.DUMMYFUNCTION("""COMPUTED_VALUE"""),"Yes")</f>
        <v>Yes</v>
      </c>
      <c r="F760" s="7" t="str">
        <f>IFERROR(__xludf.DUMMYFUNCTION("""COMPUTED_VALUE"""),"V-Presentation")</f>
        <v>V-Presentation</v>
      </c>
      <c r="G760" s="7" t="str">
        <f>IFERROR(__xludf.DUMMYFUNCTION("""COMPUTED_VALUE"""),"Virtual/Gather")</f>
        <v>Virtual/Gather</v>
      </c>
      <c r="H760" s="7" t="str">
        <f>IFERROR(__xludf.DUMMYFUNCTION("""COMPUTED_VALUE"""),"Gather")</f>
        <v>Gather</v>
      </c>
      <c r="I760" s="7" t="str">
        <f>IFERROR(__xludf.DUMMYFUNCTION("""COMPUTED_VALUE"""),"Session5: V-Gather Find")</f>
        <v>Session5: V-Gather Find</v>
      </c>
      <c r="J760" s="7" t="str">
        <f>IFERROR(__xludf.DUMMYFUNCTION("""COMPUTED_VALUE"""),"Findings Posters - Virtual")</f>
        <v>Findings Posters - Virtual</v>
      </c>
      <c r="K760" s="7"/>
      <c r="L760" s="8">
        <f>IFERROR(__xludf.DUMMYFUNCTION("""COMPUTED_VALUE"""),45866.0)</f>
        <v>45866</v>
      </c>
      <c r="M760" s="7" t="str">
        <f>IFERROR(__xludf.DUMMYFUNCTION("""COMPUTED_VALUE"""),"18:00-19:30")</f>
        <v>18:00-19:30</v>
      </c>
      <c r="N760" s="7"/>
    </row>
    <row r="761">
      <c r="A761" s="7" t="str">
        <f>IFERROR(__xludf.DUMMYFUNCTION("""COMPUTED_VALUE"""),"2621-FIND")</f>
        <v>2621-FIND</v>
      </c>
      <c r="B761" s="7" t="str">
        <f>IFERROR(__xludf.DUMMYFUNCTION("""COMPUTED_VALUE"""),"Instruction-Tuning LLMs for Event Extraction with Annotation Guidelines")</f>
        <v>Instruction-Tuning LLMs for Event Extraction with Annotation Guidelines</v>
      </c>
      <c r="C761" s="7" t="str">
        <f>IFERROR(__xludf.DUMMYFUNCTION("""COMPUTED_VALUE"""),"In this work, we study the effect of annotation guidelines--textual descriptions of event types and arguments, when instruction-tuning large language models for event extraction. We conducted a series of experiments with both human-provided and machine-ge"&amp;"nerated guidelines in both full- and low-data settings. Our results demonstrate the promise of annotation guidelines when there is a decent amount of training data and highlight its effectiveness in improving cross-schema generalization and low-frequency "&amp;"event-type performance.")</f>
        <v>In this work, we study the effect of annotation guidelines--textual descriptions of event types and arguments, when instruction-tuning large language models for event extraction. We conducted a series of experiments with both human-provided and machine-generated guidelines in both full- and low-data settings. Our results demonstrate the promise of annotation guidelines when there is a decent amount of training data and highlight its effectiveness in improving cross-schema generalization and low-frequency event-type performance.</v>
      </c>
      <c r="D761" s="7" t="str">
        <f>IFERROR(__xludf.DUMMYFUNCTION("""COMPUTED_VALUE"""),"Saurabh Srivastava")</f>
        <v>Saurabh Srivastava</v>
      </c>
      <c r="E761" s="7" t="str">
        <f>IFERROR(__xludf.DUMMYFUNCTION("""COMPUTED_VALUE"""),"#N/A")</f>
        <v>#N/A</v>
      </c>
      <c r="F761" s="7" t="str">
        <f>IFERROR(__xludf.DUMMYFUNCTION("""COMPUTED_VALUE"""),"Not Pres. ")</f>
        <v>Not Pres. </v>
      </c>
      <c r="G761" s="7" t="str">
        <f>IFERROR(__xludf.DUMMYFUNCTION("""COMPUTED_VALUE"""),"NP Findings Not Presenting ")</f>
        <v>NP Findings Not Presenting </v>
      </c>
      <c r="H761" s="7"/>
      <c r="I761" s="7" t="str">
        <f>IFERROR(__xludf.DUMMYFUNCTION("""COMPUTED_VALUE"""),"NP-Find")</f>
        <v>NP-Find</v>
      </c>
      <c r="J761" s="7"/>
      <c r="K761" s="7"/>
      <c r="L761" s="8"/>
      <c r="M761" s="7"/>
      <c r="N761" s="7"/>
    </row>
    <row r="762">
      <c r="A762" s="7" t="str">
        <f>IFERROR(__xludf.DUMMYFUNCTION("""COMPUTED_VALUE"""),"2628-FIND")</f>
        <v>2628-FIND</v>
      </c>
      <c r="B762" s="7" t="str">
        <f>IFERROR(__xludf.DUMMYFUNCTION("""COMPUTED_VALUE"""),"mRAKL: Multilingual Retrieval-Augmented Knowledge Graph Construction for Low-Resourced Languages")</f>
        <v>mRAKL: Multilingual Retrieval-Augmented Knowledge Graph Construction for Low-Resourced Languages</v>
      </c>
      <c r="C762" s="7" t="str">
        <f>IFERROR(__xludf.DUMMYFUNCTION("""COMPUTED_VALUE"""),"Knowledge Graphs represent real-world entities and the relationships between them. Multilingual Knowledge Graph Construction (mKGC) refers to the task of automatically constructing or predicting missing entities and links for knowledge graphs in a multili"&amp;"ngual setting. In this work, we reformulate the mKGC task as a Question Answering (QA) task and introduce mRAKL: a Retrieval-Augmented Generation (RAG) based system to perform mKGC. We achieve this by using the head entity and linking relation in a questi"&amp;"on, and having our model predict the tail entity as an answer. Our experiments focus primarily on two low-resourced languages: Tigrinya and Amharic. We experiment with using higher-resourced languages, Arabic and English, to utilize cross-lingual transfer"&amp;" for mKGC. With a BM25 retriever, we find that the RAG-based approach improves performance over a no-context setting. Further, our ablation studies show that with an idealized retrieval system, mRAKL improves accuracy by up to 4.92 and 8.79 percentage poi"&amp;"nts for Tigrinya and Amharic, respectively.")</f>
        <v>Knowledge Graphs represent real-world entities and the relationships between them. Multilingual Knowledge Graph Construction (mKGC) refers to the task of automatically constructing or predicting missing entities and links for knowledge graphs in a multilingual setting. In this work, we reformulate the mKGC task as a Question Answering (QA) task and introduce mRAKL: a Retrieval-Augmented Generation (RAG) based system to perform mKGC. We achieve this by using the head entity and linking relation in a question, and having our model predict the tail entity as an answer. Our experiments focus primarily on two low-resourced languages: Tigrinya and Amharic. We experiment with using higher-resourced languages, Arabic and English, to utilize cross-lingual transfer for mKGC. With a BM25 retriever, we find that the RAG-based approach improves performance over a no-context setting. Further, our ablation studies show that with an idealized retrieval system, mRAKL improves accuracy by up to 4.92 and 8.79 percentage points for Tigrinya and Amharic, respectively.</v>
      </c>
      <c r="D762" s="7" t="str">
        <f>IFERROR(__xludf.DUMMYFUNCTION("""COMPUTED_VALUE"""),"Hellina Hailu Nigatu")</f>
        <v>Hellina Hailu Nigatu</v>
      </c>
      <c r="E762" s="7" t="str">
        <f>IFERROR(__xludf.DUMMYFUNCTION("""COMPUTED_VALUE"""),"Yes")</f>
        <v>Yes</v>
      </c>
      <c r="F762" s="7" t="str">
        <f>IFERROR(__xludf.DUMMYFUNCTION("""COMPUTED_VALUE"""),"V-Presentation")</f>
        <v>V-Presentation</v>
      </c>
      <c r="G762" s="7" t="str">
        <f>IFERROR(__xludf.DUMMYFUNCTION("""COMPUTED_VALUE"""),"Virtual/Gather")</f>
        <v>Virtual/Gather</v>
      </c>
      <c r="H762" s="7" t="str">
        <f>IFERROR(__xludf.DUMMYFUNCTION("""COMPUTED_VALUE"""),"Gather")</f>
        <v>Gather</v>
      </c>
      <c r="I762" s="7" t="str">
        <f>IFERROR(__xludf.DUMMYFUNCTION("""COMPUTED_VALUE"""),"Session5: V-Gather Find")</f>
        <v>Session5: V-Gather Find</v>
      </c>
      <c r="J762" s="7" t="str">
        <f>IFERROR(__xludf.DUMMYFUNCTION("""COMPUTED_VALUE"""),"Findings Posters - Virtual")</f>
        <v>Findings Posters - Virtual</v>
      </c>
      <c r="K762" s="7"/>
      <c r="L762" s="8">
        <f>IFERROR(__xludf.DUMMYFUNCTION("""COMPUTED_VALUE"""),45866.0)</f>
        <v>45866</v>
      </c>
      <c r="M762" s="7" t="str">
        <f>IFERROR(__xludf.DUMMYFUNCTION("""COMPUTED_VALUE"""),"18:00-19:30")</f>
        <v>18:00-19:30</v>
      </c>
      <c r="N762" s="7"/>
    </row>
    <row r="763">
      <c r="A763" s="7" t="str">
        <f>IFERROR(__xludf.DUMMYFUNCTION("""COMPUTED_VALUE"""),"2633-FIND")</f>
        <v>2633-FIND</v>
      </c>
      <c r="B763" s="7" t="str">
        <f>IFERROR(__xludf.DUMMYFUNCTION("""COMPUTED_VALUE"""),"Mechanistic Interpretability of Emotion Inference in Large Language Models")</f>
        <v>Mechanistic Interpretability of Emotion Inference in Large Language Models</v>
      </c>
      <c r="C763" s="7" t="str">
        <f>IFERROR(__xludf.DUMMYFUNCTION("""COMPUTED_VALUE"""),"Large language models (LLMs) show promising capabilities in predicting human emotions from text. However, the mechanisms through which these models process emotional stimuli remain largely unexplored. Our study addresses this gap by investigating how auto"&amp;"regressive LLMs infer emotions, showing that emotion representations are functionally localized to specific regions in the model. Our evaluation includes diverse model families and sizes, and is supported by robustness checks. We then show that the identi"&amp;"fied representations are psychologically plausible by drawing on cognitive appraisal theory—a well-established psychological framework positing that emotions emerge from evaluations (appraisals) of environmental stimuli. By causally intervening on constru"&amp;"ed appraisal concepts, we steer the generation and show that the outputs align with theoretical and intuitive expectations. This work highlights a novel way to causally intervene and control emotion inference, potentially benefiting safety and alignment i"&amp;"n sensitive affective domains.")</f>
        <v>Large language models (LLMs) show promising capabilities in predicting human emotions from text. However, the mechanisms through which these models process emotional stimuli remain largely unexplored. Our study addresses this gap by investigating how autoregressive LLMs infer emotions, showing that emotion representations are functionally localized to specific regions in the model. Our evaluation includes diverse model families and sizes, and is supported by robustness checks. We then show that the identified representations are psychologically plausible by drawing on cognitive appraisal theory—a well-established psychological framework positing that emotions emerge from evaluations (appraisals) of environmental stimuli. By causally intervening on construed appraisal concepts, we steer the generation and show that the outputs align with theoretical and intuitive expectations. This work highlights a novel way to causally intervene and control emotion inference, potentially benefiting safety and alignment in sensitive affective domains.</v>
      </c>
      <c r="D763" s="7" t="str">
        <f>IFERROR(__xludf.DUMMYFUNCTION("""COMPUTED_VALUE"""),"Ala Nekouvaght Tak")</f>
        <v>Ala Nekouvaght Tak</v>
      </c>
      <c r="E763" s="7" t="str">
        <f>IFERROR(__xludf.DUMMYFUNCTION("""COMPUTED_VALUE"""),"Yes")</f>
        <v>Yes</v>
      </c>
      <c r="F763" s="7" t="str">
        <f>IFERROR(__xludf.DUMMYFUNCTION("""COMPUTED_VALUE"""),"IP-Poster")</f>
        <v>IP-Poster</v>
      </c>
      <c r="G763" s="7" t="str">
        <f>IFERROR(__xludf.DUMMYFUNCTION("""COMPUTED_VALUE"""),"In-Person")</f>
        <v>In-Person</v>
      </c>
      <c r="H763" s="7" t="str">
        <f>IFERROR(__xludf.DUMMYFUNCTION("""COMPUTED_VALUE"""),"Hall 4/5")</f>
        <v>Hall 4/5</v>
      </c>
      <c r="I763" s="7" t="str">
        <f>IFERROR(__xludf.DUMMYFUNCTION("""COMPUTED_VALUE"""),"Session 5 :IP-Posters Find ")</f>
        <v>Session 5 :IP-Posters Find </v>
      </c>
      <c r="J763" s="7" t="str">
        <f>IFERROR(__xludf.DUMMYFUNCTION("""COMPUTED_VALUE"""),"Findings Posters - In-Person 1")</f>
        <v>Findings Posters - In-Person 1</v>
      </c>
      <c r="K763" s="7"/>
      <c r="L763" s="8">
        <f>IFERROR(__xludf.DUMMYFUNCTION("""COMPUTED_VALUE"""),45866.0)</f>
        <v>45866</v>
      </c>
      <c r="M763" s="7" t="str">
        <f>IFERROR(__xludf.DUMMYFUNCTION("""COMPUTED_VALUE"""),"18:00-19:30")</f>
        <v>18:00-19:30</v>
      </c>
      <c r="N763" s="7"/>
    </row>
    <row r="764">
      <c r="A764" s="7" t="str">
        <f>IFERROR(__xludf.DUMMYFUNCTION("""COMPUTED_VALUE"""),"2635-FIND")</f>
        <v>2635-FIND</v>
      </c>
      <c r="B764" s="7" t="str">
        <f>IFERROR(__xludf.DUMMYFUNCTION("""COMPUTED_VALUE"""),"RL-Guider: Leveraging Historical Decisions and Feedback for Drug Editing with Large Language Models")</f>
        <v>RL-Guider: Leveraging Historical Decisions and Feedback for Drug Editing with Large Language Models</v>
      </c>
      <c r="C764" s="7" t="str">
        <f>IFERROR(__xludf.DUMMYFUNCTION("""COMPUTED_VALUE"""),"Recent success of large language models (LLMs) in diverse domains showcases their potential to revolutionize scientific fields, including drug editing. Traditional drug editing relies on iterative conversations with domain experts, refining the drug until"&amp;" the desired property is achieved. This interactive and iterative process mirrors the strengths of LLMs, making them well-suited for drug editing. *In existing works, LLMs edit each molecule independently without leveraging knowledge from past edits.* How"&amp;"ever, human experts develop intuition about effective modifications over time through historical experience; accumulating past knowledge is pivotal for human experts, and so it is for LLMs. *In this work, we propose RL-Guider---a reinforcement-learning-ag"&amp;"ent to provide suggestions to LLMs; it uses the rich information provided from evaluating editing results made by the LLM based on the recommendations to improve itself over time.* RL-Guider is the first work that leverages both the comprehensive ""world-"&amp;"level"" knowledge of LLMs and the knowledge accumulated from historical feedback. As a result, RL-Guider mitigates several shortcomings of existing approaches and demonstrates superior performance.")</f>
        <v>Recent success of large language models (LLMs) in diverse domains showcases their potential to revolutionize scientific fields, including drug editing. Traditional drug editing relies on iterative conversations with domain experts, refining the drug until the desired property is achieved. This interactive and iterative process mirrors the strengths of LLMs, making them well-suited for drug editing. *In existing works, LLMs edit each molecule independently without leveraging knowledge from past edits.* However, human experts develop intuition about effective modifications over time through historical experience; accumulating past knowledge is pivotal for human experts, and so it is for LLMs. *In this work, we propose RL-Guider---a reinforcement-learning-agent to provide suggestions to LLMs; it uses the rich information provided from evaluating editing results made by the LLM based on the recommendations to improve itself over time.* RL-Guider is the first work that leverages both the comprehensive "world-level" knowledge of LLMs and the knowledge accumulated from historical feedback. As a result, RL-Guider mitigates several shortcomings of existing approaches and demonstrates superior performance.</v>
      </c>
      <c r="D764" s="7" t="str">
        <f>IFERROR(__xludf.DUMMYFUNCTION("""COMPUTED_VALUE"""),"Xufeng Liu")</f>
        <v>Xufeng Liu</v>
      </c>
      <c r="E764" s="7" t="str">
        <f>IFERROR(__xludf.DUMMYFUNCTION("""COMPUTED_VALUE"""),"Yes")</f>
        <v>Yes</v>
      </c>
      <c r="F764" s="7" t="str">
        <f>IFERROR(__xludf.DUMMYFUNCTION("""COMPUTED_VALUE"""),"V-Presentation")</f>
        <v>V-Presentation</v>
      </c>
      <c r="G764" s="7" t="str">
        <f>IFERROR(__xludf.DUMMYFUNCTION("""COMPUTED_VALUE"""),"Virtual/Gather")</f>
        <v>Virtual/Gather</v>
      </c>
      <c r="H764" s="7" t="str">
        <f>IFERROR(__xludf.DUMMYFUNCTION("""COMPUTED_VALUE"""),"Gather")</f>
        <v>Gather</v>
      </c>
      <c r="I764" s="7" t="str">
        <f>IFERROR(__xludf.DUMMYFUNCTION("""COMPUTED_VALUE"""),"Session5: V-Gather Find")</f>
        <v>Session5: V-Gather Find</v>
      </c>
      <c r="J764" s="7" t="str">
        <f>IFERROR(__xludf.DUMMYFUNCTION("""COMPUTED_VALUE"""),"Findings Posters - Virtual")</f>
        <v>Findings Posters - Virtual</v>
      </c>
      <c r="K764" s="7"/>
      <c r="L764" s="8">
        <f>IFERROR(__xludf.DUMMYFUNCTION("""COMPUTED_VALUE"""),45866.0)</f>
        <v>45866</v>
      </c>
      <c r="M764" s="7" t="str">
        <f>IFERROR(__xludf.DUMMYFUNCTION("""COMPUTED_VALUE"""),"18:00-19:30")</f>
        <v>18:00-19:30</v>
      </c>
      <c r="N764" s="7"/>
    </row>
    <row r="765">
      <c r="A765" s="7" t="str">
        <f>IFERROR(__xludf.DUMMYFUNCTION("""COMPUTED_VALUE"""),"2636-FIND")</f>
        <v>2636-FIND</v>
      </c>
      <c r="B765" s="7" t="str">
        <f>IFERROR(__xludf.DUMMYFUNCTION("""COMPUTED_VALUE"""),"BriefMe: A Legal NLP Benchmark for Assisting with Legal Briefs")</f>
        <v>BriefMe: A Legal NLP Benchmark for Assisting with Legal Briefs</v>
      </c>
      <c r="C765" s="7" t="str">
        <f>IFERROR(__xludf.DUMMYFUNCTION("""COMPUTED_VALUE"""),"A core part of legal work which has been under-explored in Legal NLP is the writing and editing of legal briefs. Writing and editing briefs not only requires a thorough understanding of the law of a jurisdiction from judgments to statutes, but also the ab"&amp;"ility to make new arguments to try to expand the law in a new direction and make novel and creative arguments that are persuasive to judges. To capture and evaluate these legal skills in language models, we introduce BriefMe, a new dataset focused on lega"&amp;"l briefs. It contains three tasks for language models to assist legal professionals in writing briefs: argument summarization, argument completion, and case retrieval. In this work we describe the creation of these tasks, analyze these tasks, and show how"&amp;" current models perform. We see that current-generation large language models (LLMs) are already quite good at the summarization and completion tasks, even beating human-generated headings. We hope this dataset encourages more development in Legal NLP in "&amp;"ways that will specifically aid people in performing legal work.")</f>
        <v>A core part of legal work which has been under-explored in Legal NLP is the writing and editing of legal briefs. Writing and editing briefs not only requires a thorough understanding of the law of a jurisdiction from judgments to statutes, but also the ability to make new arguments to try to expand the law in a new direction and make novel and creative arguments that are persuasive to judges. To capture and evaluate these legal skills in language models, we introduce BriefMe, a new dataset focused on legal briefs. It contains three tasks for language models to assist legal professionals in writing briefs: argument summarization, argument completion, and case retrieval. In this work we describe the creation of these tasks, analyze these tasks, and show how current models perform. We see that current-generation large language models (LLMs) are already quite good at the summarization and completion tasks, even beating human-generated headings. We hope this dataset encourages more development in Legal NLP in ways that will specifically aid people in performing legal work.</v>
      </c>
      <c r="D765" s="7" t="str">
        <f>IFERROR(__xludf.DUMMYFUNCTION("""COMPUTED_VALUE"""),"Jesse Woo 
Ana Marasović")</f>
        <v>Jesse Woo 
Ana Marasović</v>
      </c>
      <c r="E765" s="7" t="str">
        <f>IFERROR(__xludf.DUMMYFUNCTION("""COMPUTED_VALUE"""),"Yes")</f>
        <v>Yes</v>
      </c>
      <c r="F765" s="7" t="str">
        <f>IFERROR(__xludf.DUMMYFUNCTION("""COMPUTED_VALUE"""),"IP-Poster")</f>
        <v>IP-Poster</v>
      </c>
      <c r="G765" s="7" t="str">
        <f>IFERROR(__xludf.DUMMYFUNCTION("""COMPUTED_VALUE"""),"In-Person")</f>
        <v>In-Person</v>
      </c>
      <c r="H765" s="7" t="str">
        <f>IFERROR(__xludf.DUMMYFUNCTION("""COMPUTED_VALUE"""),"Hall 4/5")</f>
        <v>Hall 4/5</v>
      </c>
      <c r="I765" s="7" t="str">
        <f>IFERROR(__xludf.DUMMYFUNCTION("""COMPUTED_VALUE"""),"Session 7: IP-Posters")</f>
        <v>Session 7: IP-Posters</v>
      </c>
      <c r="J765" s="7" t="str">
        <f>IFERROR(__xludf.DUMMYFUNCTION("""COMPUTED_VALUE"""),"Findings Posters - In-Person 2")</f>
        <v>Findings Posters - In-Person 2</v>
      </c>
      <c r="K765" s="7"/>
      <c r="L765" s="8">
        <f>IFERROR(__xludf.DUMMYFUNCTION("""COMPUTED_VALUE"""),45867.0)</f>
        <v>45867</v>
      </c>
      <c r="M765" s="7" t="str">
        <f>IFERROR(__xludf.DUMMYFUNCTION("""COMPUTED_VALUE"""),"10:30-12:00")</f>
        <v>10:30-12:00</v>
      </c>
      <c r="N765" s="7"/>
    </row>
    <row r="766">
      <c r="A766" s="7" t="str">
        <f>IFERROR(__xludf.DUMMYFUNCTION("""COMPUTED_VALUE"""),"2639-FIND")</f>
        <v>2639-FIND</v>
      </c>
      <c r="B766" s="7" t="str">
        <f>IFERROR(__xludf.DUMMYFUNCTION("""COMPUTED_VALUE"""),"I see what you mean: Co-Speech Gestures for Reference Resolution in Multimodal Dialogue")</f>
        <v>I see what you mean: Co-Speech Gestures for Reference Resolution in Multimodal Dialogue</v>
      </c>
      <c r="C766" s="7" t="str">
        <f>IFERROR(__xludf.DUMMYFUNCTION("""COMPUTED_VALUE"""),"In face-to-face interaction, we use multiple modalities, including speech and gestures, to communicate information and resolve references to objects. However, how representational co-speech gestures refer to objects remains understudied from a computation"&amp;"al perspective. In this work, we address this gap by introducing a multimodal reference resolution task centred on representational gestures, while simultaneously tackling the challenge of learning robust gesture embeddings. We propose a self-supervised p"&amp;"re-training approach to gesture representation learning that grounds body movements in spoken language. Our experiments show that the learned embeddings align with expert annotations and have significant predictive power. Moreover, reference resolution ac"&amp;"curacy further improves when (1) using multimodal gesture representations, even when speech is unavailable at inference time, and (2) leveraging dialogue history. Overall, our findings highlight the complementary roles of gesture and speech in reference r"&amp;"esolution, offering a step towards more naturalistic models of human-machine interaction.")</f>
        <v>In face-to-face interaction, we use multiple modalities, including speech and gestures, to communicate information and resolve references to objects. However, how representational co-speech gestures refer to objects remains understudied from a computational perspective. In this work, we address this gap by introducing a multimodal reference resolution task centred on representational gestures, while simultaneously tackling the challenge of learning robust gesture embeddings. We propose a self-supervised pre-training approach to gesture representation learning that grounds body movements in spoken language. Our experiments show that the learned embeddings align with expert annotations and have significant predictive power. Moreover, reference resolution accuracy further improves when (1) using multimodal gesture representations, even when speech is unavailable at inference time, and (2) leveraging dialogue history. Overall, our findings highlight the complementary roles of gesture and speech in reference resolution, offering a step towards more naturalistic models of human-machine interaction.</v>
      </c>
      <c r="D766" s="7" t="str">
        <f>IFERROR(__xludf.DUMMYFUNCTION("""COMPUTED_VALUE"""),"Esam Ghaleb")</f>
        <v>Esam Ghaleb</v>
      </c>
      <c r="E766" s="7" t="str">
        <f>IFERROR(__xludf.DUMMYFUNCTION("""COMPUTED_VALUE"""),"Yes")</f>
        <v>Yes</v>
      </c>
      <c r="F766" s="7" t="str">
        <f>IFERROR(__xludf.DUMMYFUNCTION("""COMPUTED_VALUE"""),"IP-Poster")</f>
        <v>IP-Poster</v>
      </c>
      <c r="G766" s="7" t="str">
        <f>IFERROR(__xludf.DUMMYFUNCTION("""COMPUTED_VALUE"""),"In-Person")</f>
        <v>In-Person</v>
      </c>
      <c r="H766" s="7" t="str">
        <f>IFERROR(__xludf.DUMMYFUNCTION("""COMPUTED_VALUE"""),"Hall 4/5")</f>
        <v>Hall 4/5</v>
      </c>
      <c r="I766" s="7" t="str">
        <f>IFERROR(__xludf.DUMMYFUNCTION("""COMPUTED_VALUE"""),"Session 5 :IP-Posters Find ")</f>
        <v>Session 5 :IP-Posters Find </v>
      </c>
      <c r="J766" s="7" t="str">
        <f>IFERROR(__xludf.DUMMYFUNCTION("""COMPUTED_VALUE"""),"Findings Posters - In-Person 1")</f>
        <v>Findings Posters - In-Person 1</v>
      </c>
      <c r="K766" s="7"/>
      <c r="L766" s="8">
        <f>IFERROR(__xludf.DUMMYFUNCTION("""COMPUTED_VALUE"""),45866.0)</f>
        <v>45866</v>
      </c>
      <c r="M766" s="7" t="str">
        <f>IFERROR(__xludf.DUMMYFUNCTION("""COMPUTED_VALUE"""),"18:00-19:30")</f>
        <v>18:00-19:30</v>
      </c>
      <c r="N766" s="7"/>
    </row>
    <row r="767">
      <c r="A767" s="7" t="str">
        <f>IFERROR(__xludf.DUMMYFUNCTION("""COMPUTED_VALUE"""),"2640-FIND")</f>
        <v>2640-FIND</v>
      </c>
      <c r="B767" s="7" t="str">
        <f>IFERROR(__xludf.DUMMYFUNCTION("""COMPUTED_VALUE"""),"World Knowledge Resolves Aspectual Ambiguity")</f>
        <v>World Knowledge Resolves Aspectual Ambiguity</v>
      </c>
      <c r="C767" s="7" t="str">
        <f>IFERROR(__xludf.DUMMYFUNCTION("""COMPUTED_VALUE"""),"Annotating event descriptions with their aspectual features is often seen as a pre-requisite to temporal reasoning. However, a recent study by Pruś et al. (2024) has shown that non-experts' intuitions on the aspectual class of English verb phrases can dif"&amp;"fer both from expert linguistic annotations and one another. They suggested that people tacitly conjuring their own contexts is what led them to disagreement between them. In this paper, we examine that suggestion by adding context to their examples and m"&amp;"irroring their experiment. Our result show that whilst the suggestion explains some of the disagreement, some examples yielded divided responses even with the additional context. We therefore suggest that individual's experience in the real world might sh"&amp;"ape how they interpret action descriptions. Finally, we show that outputs from GPT-4, despite to some degree capturing the aspectual class division, are not an accurate predictor of human answers.")</f>
        <v>Annotating event descriptions with their aspectual features is often seen as a pre-requisite to temporal reasoning. However, a recent study by Pruś et al. (2024) has shown that non-experts' intuitions on the aspectual class of English verb phrases can differ both from expert linguistic annotations and one another. They suggested that people tacitly conjuring their own contexts is what led them to disagreement between them. In this paper, we examine that suggestion by adding context to their examples and mirroring their experiment. Our result show that whilst the suggestion explains some of the disagreement, some examples yielded divided responses even with the additional context. We therefore suggest that individual's experience in the real world might shape how they interpret action descriptions. Finally, we show that outputs from GPT-4, despite to some degree capturing the aspectual class division, are not an accurate predictor of human answers.</v>
      </c>
      <c r="D767" s="7" t="str">
        <f>IFERROR(__xludf.DUMMYFUNCTION("""COMPUTED_VALUE"""),"Katarzyna Prus")</f>
        <v>Katarzyna Prus</v>
      </c>
      <c r="E767" s="7" t="str">
        <f>IFERROR(__xludf.DUMMYFUNCTION("""COMPUTED_VALUE"""),"Yes")</f>
        <v>Yes</v>
      </c>
      <c r="F767" s="7" t="str">
        <f>IFERROR(__xludf.DUMMYFUNCTION("""COMPUTED_VALUE"""),"IP-Poster")</f>
        <v>IP-Poster</v>
      </c>
      <c r="G767" s="7" t="str">
        <f>IFERROR(__xludf.DUMMYFUNCTION("""COMPUTED_VALUE"""),"In-Person")</f>
        <v>In-Person</v>
      </c>
      <c r="H767" s="7" t="str">
        <f>IFERROR(__xludf.DUMMYFUNCTION("""COMPUTED_VALUE"""),"Hall 4/5")</f>
        <v>Hall 4/5</v>
      </c>
      <c r="I767" s="7" t="str">
        <f>IFERROR(__xludf.DUMMYFUNCTION("""COMPUTED_VALUE"""),"Session 5 :IP-Posters Find ")</f>
        <v>Session 5 :IP-Posters Find </v>
      </c>
      <c r="J767" s="7" t="str">
        <f>IFERROR(__xludf.DUMMYFUNCTION("""COMPUTED_VALUE"""),"Findings Posters - In-Person 1")</f>
        <v>Findings Posters - In-Person 1</v>
      </c>
      <c r="K767" s="7"/>
      <c r="L767" s="8">
        <f>IFERROR(__xludf.DUMMYFUNCTION("""COMPUTED_VALUE"""),45866.0)</f>
        <v>45866</v>
      </c>
      <c r="M767" s="7" t="str">
        <f>IFERROR(__xludf.DUMMYFUNCTION("""COMPUTED_VALUE"""),"18:00-19:30")</f>
        <v>18:00-19:30</v>
      </c>
      <c r="N767" s="7"/>
    </row>
    <row r="768">
      <c r="A768" s="7" t="str">
        <f>IFERROR(__xludf.DUMMYFUNCTION("""COMPUTED_VALUE"""),"2647-FIND")</f>
        <v>2647-FIND</v>
      </c>
      <c r="B768" s="7" t="str">
        <f>IFERROR(__xludf.DUMMYFUNCTION("""COMPUTED_VALUE"""),"ACCESS DENIED INC: The First Benchmark Environment for Sensitivity Awareness")</f>
        <v>ACCESS DENIED INC: The First Benchmark Environment for Sensitivity Awareness</v>
      </c>
      <c r="C768" s="7" t="str">
        <f>IFERROR(__xludf.DUMMYFUNCTION("""COMPUTED_VALUE"""),"Large language models (LLMs) are increasingly becoming valuable to corporate data management due to their ability to process text from various document formats and facilitate user interactions through natural language queries. However, LLMs must consider "&amp;"the sensitivity of information when communicating with employees, especially given access restrictions. Simple filtering based on user clearance levels can pose both performance and privacy challenges. To address this, we propose the concept of sensitivit"&amp;"y awareness (SA), which enables LLMs to adhere to predefined access rights rules. In addition, we developed a benchmarking environment called ACCESS DENIED INC to evaluate SA. Our experimental findings reveal significant variations in model behavior, part"&amp;"icularly in managing unauthorized data requests while effectively addressing legitimate queries. This work establishes a foundation for benchmarking sensitivity-aware language models and provides insights to enhance privacy-centric AI systems in corporate"&amp;" environments.")</f>
        <v>Large language models (LLMs) are increasingly becoming valuable to corporate data management due to their ability to process text from various document formats and facilitate user interactions through natural language queries. However, LLMs must consider the sensitivity of information when communicating with employees, especially given access restrictions. Simple filtering based on user clearance levels can pose both performance and privacy challenges. To address this, we propose the concept of sensitivity awareness (SA), which enables LLMs to adhere to predefined access rights rules. In addition, we developed a benchmarking environment called ACCESS DENIED INC to evaluate SA. Our experimental findings reveal significant variations in model behavior, particularly in managing unauthorized data requests while effectively addressing legitimate queries. This work establishes a foundation for benchmarking sensitivity-aware language models and provides insights to enhance privacy-centric AI systems in corporate environments.</v>
      </c>
      <c r="D768" s="7" t="str">
        <f>IFERROR(__xludf.DUMMYFUNCTION("""COMPUTED_VALUE"""),"Dren Fazlija")</f>
        <v>Dren Fazlija</v>
      </c>
      <c r="E768" s="7" t="str">
        <f>IFERROR(__xludf.DUMMYFUNCTION("""COMPUTED_VALUE"""),"Yes")</f>
        <v>Yes</v>
      </c>
      <c r="F768" s="7" t="str">
        <f>IFERROR(__xludf.DUMMYFUNCTION("""COMPUTED_VALUE"""),"IP-Poster")</f>
        <v>IP-Poster</v>
      </c>
      <c r="G768" s="7" t="str">
        <f>IFERROR(__xludf.DUMMYFUNCTION("""COMPUTED_VALUE"""),"In-Person")</f>
        <v>In-Person</v>
      </c>
      <c r="H768" s="7" t="str">
        <f>IFERROR(__xludf.DUMMYFUNCTION("""COMPUTED_VALUE"""),"Hall 4/5")</f>
        <v>Hall 4/5</v>
      </c>
      <c r="I768" s="7" t="str">
        <f>IFERROR(__xludf.DUMMYFUNCTION("""COMPUTED_VALUE"""),"Session 7: IP-Posters")</f>
        <v>Session 7: IP-Posters</v>
      </c>
      <c r="J768" s="7" t="str">
        <f>IFERROR(__xludf.DUMMYFUNCTION("""COMPUTED_VALUE"""),"Findings Posters - In-Person 2")</f>
        <v>Findings Posters - In-Person 2</v>
      </c>
      <c r="K768" s="7"/>
      <c r="L768" s="8">
        <f>IFERROR(__xludf.DUMMYFUNCTION("""COMPUTED_VALUE"""),45867.0)</f>
        <v>45867</v>
      </c>
      <c r="M768" s="7" t="str">
        <f>IFERROR(__xludf.DUMMYFUNCTION("""COMPUTED_VALUE"""),"10:30-12:00")</f>
        <v>10:30-12:00</v>
      </c>
      <c r="N768" s="7"/>
    </row>
    <row r="769">
      <c r="A769" s="7" t="str">
        <f>IFERROR(__xludf.DUMMYFUNCTION("""COMPUTED_VALUE"""),"2654-FIND")</f>
        <v>2654-FIND</v>
      </c>
      <c r="B769" s="7" t="str">
        <f>IFERROR(__xludf.DUMMYFUNCTION("""COMPUTED_VALUE"""),"Spatial Coordinates as a Cell Language: A Multi-Sentence Framework for Imaging Mass Cytometry Analysis")</f>
        <v>Spatial Coordinates as a Cell Language: A Multi-Sentence Framework for Imaging Mass Cytometry Analysis</v>
      </c>
      <c r="C769" s="7" t="str">
        <f>IFERROR(__xludf.DUMMYFUNCTION("""COMPUTED_VALUE"""),"Image mass cytometry (IMC) enables high-dimensional spatial profiling by combining mass cytometry’s analytical power with spatial distributions of cell phenotypes. Recent studies leverage large language models (LLMs) to extract cell states by translating "&amp;"gene or protein expression into biological context. However, existing single-cell LLMs face two major challenges: (1) Integration of spatial information—they struggle to generalize spatial coordinates and effectively encode spatial context as text, and (2"&amp;") Treating each cell independently—they overlook cell-cell interactions, limiting their ability to capture biological relationships. To address these limitations, we propose Spatial2Sentence, a novel framework that integrates both single-cell expression a"&amp;"nd spatial information into natural language using a multi-sentence approach. Given an expression matrix and spatial coordinates, Spatial2Sentence constructs expression similarity and distance matrices, pairing spatially adjacent and expressionally simila"&amp;"r cells as positive pairs while using distant and dissimilar cells as negatives. These multi-sentence representations are processed by LLMs, enabling them to learn cellular interactions in both expression and spatial contexts. Equipped with multi-task lea"&amp;"rning, Spatial2Sentence outperforms existing single-cell LLMs on preprocessed IMC datasets for diabetes and brain tumors, improving cell-type classification by 5.98\% and clinical status prediction by 4.18\% on the diabetes dataset while enhancing interpr"&amp;"etability. The source code of Spatial2Sentence can be found here: \url{https://github.com/temp485/486.git}.")</f>
        <v>Image mass cytometry (IMC) enables high-dimensional spatial profiling by combining mass cytometry’s analytical power with spatial distributions of cell phenotypes. Recent studies leverage large language models (LLMs) to extract cell states by translating gene or protein expression into biological context. However, existing single-cell LLMs face two major challenges: (1) Integration of spatial information—they struggle to generalize spatial coordinates and effectively encode spatial context as text, and (2) Treating each cell independently—they overlook cell-cell interactions, limiting their ability to capture biological relationships. To address these limitations, we propose Spatial2Sentence, a novel framework that integrates both single-cell expression and spatial information into natural language using a multi-sentence approach. Given an expression matrix and spatial coordinates, Spatial2Sentence constructs expression similarity and distance matrices, pairing spatially adjacent and expressionally similar cells as positive pairs while using distant and dissimilar cells as negatives. These multi-sentence representations are processed by LLMs, enabling them to learn cellular interactions in both expression and spatial contexts. Equipped with multi-task learning, Spatial2Sentence outperforms existing single-cell LLMs on preprocessed IMC datasets for diabetes and brain tumors, improving cell-type classification by 5.98\% and clinical status prediction by 4.18\% on the diabetes dataset while enhancing interpretability. The source code of Spatial2Sentence can be found here: \url{https://github.com/temp485/486.git}.</v>
      </c>
      <c r="D769" s="7" t="str">
        <f>IFERROR(__xludf.DUMMYFUNCTION("""COMPUTED_VALUE"""),"N/A")</f>
        <v>N/A</v>
      </c>
      <c r="E769" s="7" t="str">
        <f>IFERROR(__xludf.DUMMYFUNCTION("""COMPUTED_VALUE"""),"#N/A")</f>
        <v>#N/A</v>
      </c>
      <c r="F769" s="7" t="str">
        <f>IFERROR(__xludf.DUMMYFUNCTION("""COMPUTED_VALUE"""),"Not Pres. ")</f>
        <v>Not Pres. </v>
      </c>
      <c r="G769" s="7" t="str">
        <f>IFERROR(__xludf.DUMMYFUNCTION("""COMPUTED_VALUE"""),"NP Findings Not Presenting ")</f>
        <v>NP Findings Not Presenting </v>
      </c>
      <c r="H769" s="7"/>
      <c r="I769" s="7" t="str">
        <f>IFERROR(__xludf.DUMMYFUNCTION("""COMPUTED_VALUE"""),"NP-Find")</f>
        <v>NP-Find</v>
      </c>
      <c r="J769" s="7"/>
      <c r="K769" s="7"/>
      <c r="L769" s="8"/>
      <c r="M769" s="7"/>
      <c r="N769" s="7"/>
    </row>
    <row r="770">
      <c r="A770" s="7" t="str">
        <f>IFERROR(__xludf.DUMMYFUNCTION("""COMPUTED_VALUE"""),"2656-FIND")</f>
        <v>2656-FIND</v>
      </c>
      <c r="B770" s="7" t="str">
        <f>IFERROR(__xludf.DUMMYFUNCTION("""COMPUTED_VALUE"""),"HumanEval Pro and MBPP Pro: Evaluating Large Language Models on Self-invoking Code Generation Task")</f>
        <v>HumanEval Pro and MBPP Pro: Evaluating Large Language Models on Self-invoking Code Generation Task</v>
      </c>
      <c r="C770" s="7" t="str">
        <f>IFERROR(__xludf.DUMMYFUNCTION("""COMPUTED_VALUE"""),"In this paper, we present HumanEval Pro and MBPP Pro, a series of benchmarks to evaluate LLMs on self-invoking code generation task. This task involves providing LLMs with a base problem alongside a related, more complex problem. The models must solve the"&amp;" base problem and leverage its solution to address the more complex one, thereby showcasing their capacity for progressive reasoning and problem-solving. This work features three key contributions. First, we propose a general recipe for generating more ch"&amp;"allenging versions of existing benchmarks. Second, from the analysis of experimental results over twenty large language models (LLM) on our benchmarks, we have two important observations: (i) Most LLMs excel in traditional code generation benchmarks like "&amp;"HumanEval and MBPP, but their performance declines on self-invoking tasks. For example, o1-mini achieves 96.2% pass@1 on HumanEval but only 76.2% on HumanEval Pro. (ii) On self-invoking code generation task, the instruction-tuned models demonstrate only m"&amp;"arginal improvements compared to the base models. Third, we disclose the types of failure modes that exist in our evaluation results. All these results underscore the need for further advancements in this area and provide a new prospective to future resea"&amp;"rch.")</f>
        <v>In this paper, we present HumanEval Pro and MBPP Pro, a series of benchmarks to evaluate LLMs on self-invoking code generation task. This task involves providing LLMs with a base problem alongside a related, more complex problem. The models must solve the base problem and leverage its solution to address the more complex one, thereby showcasing their capacity for progressive reasoning and problem-solving. This work features three key contributions. First, we propose a general recipe for generating more challenging versions of existing benchmarks. Second, from the analysis of experimental results over twenty large language models (LLM) on our benchmarks, we have two important observations: (i) Most LLMs excel in traditional code generation benchmarks like HumanEval and MBPP, but their performance declines on self-invoking tasks. For example, o1-mini achieves 96.2% pass@1 on HumanEval but only 76.2% on HumanEval Pro. (ii) On self-invoking code generation task, the instruction-tuned models demonstrate only marginal improvements compared to the base models. Third, we disclose the types of failure modes that exist in our evaluation results. All these results underscore the need for further advancements in this area and provide a new prospective to future research.</v>
      </c>
      <c r="D770" s="7" t="str">
        <f>IFERROR(__xludf.DUMMYFUNCTION("""COMPUTED_VALUE"""),"N/A")</f>
        <v>N/A</v>
      </c>
      <c r="E770" s="7" t="str">
        <f>IFERROR(__xludf.DUMMYFUNCTION("""COMPUTED_VALUE"""),"Yes")</f>
        <v>Yes</v>
      </c>
      <c r="F770" s="7" t="str">
        <f>IFERROR(__xludf.DUMMYFUNCTION("""COMPUTED_VALUE"""),"IP-Poster")</f>
        <v>IP-Poster</v>
      </c>
      <c r="G770" s="7" t="str">
        <f>IFERROR(__xludf.DUMMYFUNCTION("""COMPUTED_VALUE"""),"In-Person")</f>
        <v>In-Person</v>
      </c>
      <c r="H770" s="7" t="str">
        <f>IFERROR(__xludf.DUMMYFUNCTION("""COMPUTED_VALUE"""),"Hall 4/5")</f>
        <v>Hall 4/5</v>
      </c>
      <c r="I770" s="7" t="str">
        <f>IFERROR(__xludf.DUMMYFUNCTION("""COMPUTED_VALUE"""),"Session 7: IP-Posters")</f>
        <v>Session 7: IP-Posters</v>
      </c>
      <c r="J770" s="7" t="str">
        <f>IFERROR(__xludf.DUMMYFUNCTION("""COMPUTED_VALUE"""),"Findings Posters - In-Person 2")</f>
        <v>Findings Posters - In-Person 2</v>
      </c>
      <c r="K770" s="7"/>
      <c r="L770" s="8">
        <f>IFERROR(__xludf.DUMMYFUNCTION("""COMPUTED_VALUE"""),45867.0)</f>
        <v>45867</v>
      </c>
      <c r="M770" s="7" t="str">
        <f>IFERROR(__xludf.DUMMYFUNCTION("""COMPUTED_VALUE"""),"10:30-12:00")</f>
        <v>10:30-12:00</v>
      </c>
      <c r="N770" s="7"/>
    </row>
    <row r="771">
      <c r="A771" s="7" t="str">
        <f>IFERROR(__xludf.DUMMYFUNCTION("""COMPUTED_VALUE"""),"2658-FIND")</f>
        <v>2658-FIND</v>
      </c>
      <c r="B771" s="7" t="str">
        <f>IFERROR(__xludf.DUMMYFUNCTION("""COMPUTED_VALUE"""),"TCSinger 2: Customizable Multilingual Zero-shot Singing Voice Synthesis")</f>
        <v>TCSinger 2: Customizable Multilingual Zero-shot Singing Voice Synthesis</v>
      </c>
      <c r="C771" s="7" t="str">
        <f>IFERROR(__xludf.DUMMYFUNCTION("""COMPUTED_VALUE"""),"Customizable multilingual zero-shot singing voice synthesis (SVS) has various potential applications in music composition and short video dubbing. However, existing SVS models overly depend on phoneme and note boundary annotations, limiting their robustne"&amp;"ss in zero-shot scenarios and producing poor transitions between phonemes and notes. Moreover, they also lack effective multi-level style control via diverse prompts. To overcome these challenges, we introduce TCSinger 2, a multi-task multilingual zero-sh"&amp;"ot SVS model with style transfer and style control based on various prompts. TCSinger 2 mainly includes three key modules: 1) Blurred Boundary Content (BBC) Encoder, predicts duration, extends content embedding, and applies masking to the boundaries to en"&amp;"able smooth transitions. 2) Custom Audio Encoder, uses contrastive learning to extract aligned representations from singing, speech, and textual prompts. 3) Flow-based Custom Transformer, leverages Cus-MOE, with F0 supervision, enhancing both the synthesi"&amp;"s quality and style modeling of the generated singing voice. Experimental results show that TCSinger 2 outperforms baseline models in both subjective and objective metrics across multiple related tasks.")</f>
        <v>Customizable multilingual zero-shot singing voice synthesis (SVS) has various potential applications in music composition and short video dubbing. However, existing SVS models overly depend on phoneme and note boundary annotations, limiting their robustness in zero-shot scenarios and producing poor transitions between phonemes and notes. Moreover, they also lack effective multi-level style control via diverse prompts. To overcome these challenges, we introduce TCSinger 2, a multi-task multilingual zero-shot SVS model with style transfer and style control based on various prompts. TCSinger 2 mainly includes three key modules: 1) Blurred Boundary Content (BBC) Encoder, predicts duration, extends content embedding, and applies masking to the boundaries to enable smooth transitions. 2) Custom Audio Encoder, uses contrastive learning to extract aligned representations from singing, speech, and textual prompts. 3) Flow-based Custom Transformer, leverages Cus-MOE, with F0 supervision, enhancing both the synthesis quality and style modeling of the generated singing voice. Experimental results show that TCSinger 2 outperforms baseline models in both subjective and objective metrics across multiple related tasks.</v>
      </c>
      <c r="D771" s="7" t="str">
        <f>IFERROR(__xludf.DUMMYFUNCTION("""COMPUTED_VALUE"""),"Yu Zhang")</f>
        <v>Yu Zhang</v>
      </c>
      <c r="E771" s="7" t="str">
        <f>IFERROR(__xludf.DUMMYFUNCTION("""COMPUTED_VALUE"""),"#N/A")</f>
        <v>#N/A</v>
      </c>
      <c r="F771" s="7" t="str">
        <f>IFERROR(__xludf.DUMMYFUNCTION("""COMPUTED_VALUE"""),"Not Pres. ")</f>
        <v>Not Pres. </v>
      </c>
      <c r="G771" s="7" t="str">
        <f>IFERROR(__xludf.DUMMYFUNCTION("""COMPUTED_VALUE"""),"NP Findings Not Presenting ")</f>
        <v>NP Findings Not Presenting </v>
      </c>
      <c r="H771" s="7"/>
      <c r="I771" s="7" t="str">
        <f>IFERROR(__xludf.DUMMYFUNCTION("""COMPUTED_VALUE"""),"NP-Find")</f>
        <v>NP-Find</v>
      </c>
      <c r="J771" s="7"/>
      <c r="K771" s="7"/>
      <c r="L771" s="8"/>
      <c r="M771" s="7"/>
      <c r="N771" s="7"/>
    </row>
    <row r="772">
      <c r="A772" s="7" t="str">
        <f>IFERROR(__xludf.DUMMYFUNCTION("""COMPUTED_VALUE"""),"2665-FIND")</f>
        <v>2665-FIND</v>
      </c>
      <c r="B772" s="7" t="str">
        <f>IFERROR(__xludf.DUMMYFUNCTION("""COMPUTED_VALUE"""),"Compute Optimal Scaling of Skills: Knowledge vs Reasoning")</f>
        <v>Compute Optimal Scaling of Skills: Knowledge vs Reasoning</v>
      </c>
      <c r="C772" s="7" t="str">
        <f>IFERROR(__xludf.DUMMYFUNCTION("""COMPUTED_VALUE"""),"Scaling laws are a critical component of the LLM development pipeline, most famously as a way to forecast training decisions such as 'compute-optimally' trading-off parameter count and dataset size, alongside a more recent growing list of other crucial de"&amp;"cisions. In this work, we ask whether compute-optimal scaling behaviour can be skill-dependent. In particular, we examine knowledge and reasoning-based skills such as knowledge-based QA and code generation, and we answer this question in the affirmative: "&amp;"scaling laws are skill-dependent. Next, to understand whether skill-dependent scaling is an artefact of the pretraining datamix, we conduct an extensive ablation of different datamixes and find that, also when correcting for datamix differences, knowledge"&amp;" and code exhibit fundamental differences in scaling behaviour. We conclude with an analysis of how our findings relate to standard compute-optimal scaling using a validation set, and find that a misspecified validation set can impact compute-optimal para"&amp;"meter count by nearly 50%, depending on its skill composition.")</f>
        <v>Scaling laws are a critical component of the LLM development pipeline, most famously as a way to forecast training decisions such as 'compute-optimally' trading-off parameter count and dataset size, alongside a more recent growing list of other crucial decisions. In this work, we ask whether compute-optimal scaling behaviour can be skill-dependent. In particular, we examine knowledge and reasoning-based skills such as knowledge-based QA and code generation, and we answer this question in the affirmative: scaling laws are skill-dependent. Next, to understand whether skill-dependent scaling is an artefact of the pretraining datamix, we conduct an extensive ablation of different datamixes and find that, also when correcting for datamix differences, knowledge and code exhibit fundamental differences in scaling behaviour. We conclude with an analysis of how our findings relate to standard compute-optimal scaling using a validation set, and find that a misspecified validation set can impact compute-optimal parameter count by nearly 50%, depending on its skill composition.</v>
      </c>
      <c r="D772" s="7" t="str">
        <f>IFERROR(__xludf.DUMMYFUNCTION("""COMPUTED_VALUE"""),"Nicholas Roberts")</f>
        <v>Nicholas Roberts</v>
      </c>
      <c r="E772" s="7" t="str">
        <f>IFERROR(__xludf.DUMMYFUNCTION("""COMPUTED_VALUE"""),"Yes")</f>
        <v>Yes</v>
      </c>
      <c r="F772" s="7" t="str">
        <f>IFERROR(__xludf.DUMMYFUNCTION("""COMPUTED_VALUE"""),"IP-Poster")</f>
        <v>IP-Poster</v>
      </c>
      <c r="G772" s="7" t="str">
        <f>IFERROR(__xludf.DUMMYFUNCTION("""COMPUTED_VALUE"""),"In-Person")</f>
        <v>In-Person</v>
      </c>
      <c r="H772" s="7" t="str">
        <f>IFERROR(__xludf.DUMMYFUNCTION("""COMPUTED_VALUE"""),"Hall 4/5")</f>
        <v>Hall 4/5</v>
      </c>
      <c r="I772" s="7" t="str">
        <f>IFERROR(__xludf.DUMMYFUNCTION("""COMPUTED_VALUE"""),"Session 7: IP-Posters")</f>
        <v>Session 7: IP-Posters</v>
      </c>
      <c r="J772" s="7" t="str">
        <f>IFERROR(__xludf.DUMMYFUNCTION("""COMPUTED_VALUE"""),"Findings Posters - In-Person 2")</f>
        <v>Findings Posters - In-Person 2</v>
      </c>
      <c r="K772" s="7"/>
      <c r="L772" s="8">
        <f>IFERROR(__xludf.DUMMYFUNCTION("""COMPUTED_VALUE"""),45867.0)</f>
        <v>45867</v>
      </c>
      <c r="M772" s="7" t="str">
        <f>IFERROR(__xludf.DUMMYFUNCTION("""COMPUTED_VALUE"""),"10:30-12:00")</f>
        <v>10:30-12:00</v>
      </c>
      <c r="N772" s="7"/>
    </row>
    <row r="773">
      <c r="A773" s="7" t="str">
        <f>IFERROR(__xludf.DUMMYFUNCTION("""COMPUTED_VALUE"""),"2667-FIND")</f>
        <v>2667-FIND</v>
      </c>
      <c r="B773" s="7" t="str">
        <f>IFERROR(__xludf.DUMMYFUNCTION("""COMPUTED_VALUE"""),"PECAN: LLM-Guided Dynamic Progress Control with Attention-Guided Hierarchical Weighted Graph for Long-Document QA")</f>
        <v>PECAN: LLM-Guided Dynamic Progress Control with Attention-Guided Hierarchical Weighted Graph for Long-Document QA</v>
      </c>
      <c r="C773" s="7" t="str">
        <f>IFERROR(__xludf.DUMMYFUNCTION("""COMPUTED_VALUE"""),"Long-document QA presents challenges with large-scale text and long-distance dependencies. Recent advances in Large Language Models (LLMs) enable entire documents to be processed in a single pass. However, their computational cost is significantly high. R"&amp;"etrieval-Augmented Generation (RAG) methods split text into smaller chunks, but they often yield inferior results and may lose global context. Recent approaches that integrate LLMs into RAG via iterative summarization either underutilize LLM capabilities "&amp;"or still incur high computational costs. In this paper, we combine the high accuracy of LLMs with the efficiency of RAG and propose LLM-Guided Dynamic Progress Control with Attention-Based Hierarchical Weighted Graph (PECAN). Our method introduces two key"&amp;" improvements: (1) LLM-Guided Dynamic Progress Control: We leverage LLMs to dynamically control the retrieval process, adjusting the amount of retrieved information based on different queries to achieve a better balance of effectiveness and efficiency. (2"&amp;") Attention-Guided Retrieval: We propose a novel retrieval method that constructs a hierarchical graph where edges are derived by LLM attention weights. Experimental results demonstrate that PECAN achieves LLM-level performance while maintaining computati"&amp;"onal complexity comparable to that of RAG methods on two single-document and two multi-document QA datasets.")</f>
        <v>Long-document QA presents challenges with large-scale text and long-distance dependencies. Recent advances in Large Language Models (LLMs) enable entire documents to be processed in a single pass. However, their computational cost is significantly high. Retrieval-Augmented Generation (RAG) methods split text into smaller chunks, but they often yield inferior results and may lose global context. Recent approaches that integrate LLMs into RAG via iterative summarization either underutilize LLM capabilities or still incur high computational costs. In this paper, we combine the high accuracy of LLMs with the efficiency of RAG and propose LLM-Guided Dynamic Progress Control with Attention-Based Hierarchical Weighted Graph (PECAN). Our method introduces two key improvements: (1) LLM-Guided Dynamic Progress Control: We leverage LLMs to dynamically control the retrieval process, adjusting the amount of retrieved information based on different queries to achieve a better balance of effectiveness and efficiency. (2) Attention-Guided Retrieval: We propose a novel retrieval method that constructs a hierarchical graph where edges are derived by LLM attention weights. Experimental results demonstrate that PECAN achieves LLM-level performance while maintaining computational complexity comparable to that of RAG methods on two single-document and two multi-document QA datasets.</v>
      </c>
      <c r="D773" s="7" t="str">
        <f>IFERROR(__xludf.DUMMYFUNCTION("""COMPUTED_VALUE"""),"Xinyu Wang")</f>
        <v>Xinyu Wang</v>
      </c>
      <c r="E773" s="7" t="str">
        <f>IFERROR(__xludf.DUMMYFUNCTION("""COMPUTED_VALUE"""),"Yes")</f>
        <v>Yes</v>
      </c>
      <c r="F773" s="7" t="str">
        <f>IFERROR(__xludf.DUMMYFUNCTION("""COMPUTED_VALUE"""),"IP-Poster")</f>
        <v>IP-Poster</v>
      </c>
      <c r="G773" s="7" t="str">
        <f>IFERROR(__xludf.DUMMYFUNCTION("""COMPUTED_VALUE"""),"In-Person")</f>
        <v>In-Person</v>
      </c>
      <c r="H773" s="7" t="str">
        <f>IFERROR(__xludf.DUMMYFUNCTION("""COMPUTED_VALUE"""),"Hall 4/5")</f>
        <v>Hall 4/5</v>
      </c>
      <c r="I773" s="7" t="str">
        <f>IFERROR(__xludf.DUMMYFUNCTION("""COMPUTED_VALUE"""),"Session 7: IP-Posters")</f>
        <v>Session 7: IP-Posters</v>
      </c>
      <c r="J773" s="7" t="str">
        <f>IFERROR(__xludf.DUMMYFUNCTION("""COMPUTED_VALUE"""),"Findings Posters - In-Person 2")</f>
        <v>Findings Posters - In-Person 2</v>
      </c>
      <c r="K773" s="7"/>
      <c r="L773" s="8">
        <f>IFERROR(__xludf.DUMMYFUNCTION("""COMPUTED_VALUE"""),45867.0)</f>
        <v>45867</v>
      </c>
      <c r="M773" s="7" t="str">
        <f>IFERROR(__xludf.DUMMYFUNCTION("""COMPUTED_VALUE"""),"10:30-12:00")</f>
        <v>10:30-12:00</v>
      </c>
      <c r="N773" s="7"/>
    </row>
    <row r="774">
      <c r="A774" s="7" t="str">
        <f>IFERROR(__xludf.DUMMYFUNCTION("""COMPUTED_VALUE"""),"2668-FIND")</f>
        <v>2668-FIND</v>
      </c>
      <c r="B774" s="7" t="str">
        <f>IFERROR(__xludf.DUMMYFUNCTION("""COMPUTED_VALUE"""),"Lifelong Model Editing with Graph-Based External Memory")</f>
        <v>Lifelong Model Editing with Graph-Based External Memory</v>
      </c>
      <c r="C774" s="7" t="str">
        <f>IFERROR(__xludf.DUMMYFUNCTION("""COMPUTED_VALUE"""),"Large language models (LLMs) have revolutionized natural language processing, yet their practical utility is often limited by persistent issues of hallucinations and outdated parametric knowledge. Although post-training model editing offers a pathway for "&amp;"dynamic updates, existing methods frequently suffer from overfitting and catastrophic forgetting. To tackle these challenges, we propose a novel framework that leverages hyperbolic geometry and graph neural networks for precise and stable model edits. We "&amp;"introduce HYPE, (HYperbolic Parameter Editing), which comprises three key components: (i) Hyperbolic Graph Construction, which uses Poincaré embeddings to represent knowledge triples in hyperbolic space, preserving hierarchical relationships and preventin"&amp;"g unintended side effects by ensuring that edits to parent concepts do not inadvertently affect child concepts; (ii) Möbius-Transformed Updates, which apply hyperbolic addition to propagate edits while maintaining structural consistency within the hyperbo"&amp;"lic manifold, unlike conventional Euclidean updates that distort relational distances; and (iii) Dual Stabilization, which combines gradient masking and periodic GNN parameter resetting to prevent catastrophic forgetting by focusing updates on critical pa"&amp;"rameters and preserving long-term knowledge. Experiments on CounterFact, CounterFact+, and MQuAKE with GPT-J and GPT2-XL demonstrate that HYPE significantly enhances edit stability, factual accuracy, and multi-hop reasoning.")</f>
        <v>Large language models (LLMs) have revolutionized natural language processing, yet their practical utility is often limited by persistent issues of hallucinations and outdated parametric knowledge. Although post-training model editing offers a pathway for dynamic updates, existing methods frequently suffer from overfitting and catastrophic forgetting. To tackle these challenges, we propose a novel framework that leverages hyperbolic geometry and graph neural networks for precise and stable model edits. We introduce HYPE, (HYperbolic Parameter Editing), which comprises three key components: (i) Hyperbolic Graph Construction, which uses Poincaré embeddings to represent knowledge triples in hyperbolic space, preserving hierarchical relationships and preventing unintended side effects by ensuring that edits to parent concepts do not inadvertently affect child concepts; (ii) Möbius-Transformed Updates, which apply hyperbolic addition to propagate edits while maintaining structural consistency within the hyperbolic manifold, unlike conventional Euclidean updates that distort relational distances; and (iii) Dual Stabilization, which combines gradient masking and periodic GNN parameter resetting to prevent catastrophic forgetting by focusing updates on critical parameters and preserving long-term knowledge. Experiments on CounterFact, CounterFact+, and MQuAKE with GPT-J and GPT2-XL demonstrate that HYPE significantly enhances edit stability, factual accuracy, and multi-hop reasoning.</v>
      </c>
      <c r="D774" s="7" t="str">
        <f>IFERROR(__xludf.DUMMYFUNCTION("""COMPUTED_VALUE"""),"Yash Kumar Atri")</f>
        <v>Yash Kumar Atri</v>
      </c>
      <c r="E774" s="7" t="str">
        <f>IFERROR(__xludf.DUMMYFUNCTION("""COMPUTED_VALUE"""),"Yes")</f>
        <v>Yes</v>
      </c>
      <c r="F774" s="7" t="str">
        <f>IFERROR(__xludf.DUMMYFUNCTION("""COMPUTED_VALUE"""),"IP-Poster")</f>
        <v>IP-Poster</v>
      </c>
      <c r="G774" s="7" t="str">
        <f>IFERROR(__xludf.DUMMYFUNCTION("""COMPUTED_VALUE"""),"In-Person")</f>
        <v>In-Person</v>
      </c>
      <c r="H774" s="7" t="str">
        <f>IFERROR(__xludf.DUMMYFUNCTION("""COMPUTED_VALUE"""),"Hall 4/5")</f>
        <v>Hall 4/5</v>
      </c>
      <c r="I774" s="7" t="str">
        <f>IFERROR(__xludf.DUMMYFUNCTION("""COMPUTED_VALUE"""),"Session 7: IP-Posters")</f>
        <v>Session 7: IP-Posters</v>
      </c>
      <c r="J774" s="7" t="str">
        <f>IFERROR(__xludf.DUMMYFUNCTION("""COMPUTED_VALUE"""),"Findings Posters - In-Person 2")</f>
        <v>Findings Posters - In-Person 2</v>
      </c>
      <c r="K774" s="7"/>
      <c r="L774" s="8">
        <f>IFERROR(__xludf.DUMMYFUNCTION("""COMPUTED_VALUE"""),45867.0)</f>
        <v>45867</v>
      </c>
      <c r="M774" s="7" t="str">
        <f>IFERROR(__xludf.DUMMYFUNCTION("""COMPUTED_VALUE"""),"10:30-12:00")</f>
        <v>10:30-12:00</v>
      </c>
      <c r="N774" s="7"/>
    </row>
    <row r="775">
      <c r="A775" s="7" t="str">
        <f>IFERROR(__xludf.DUMMYFUNCTION("""COMPUTED_VALUE"""),"2670-FIND")</f>
        <v>2670-FIND</v>
      </c>
      <c r="B775" s="7" t="str">
        <f>IFERROR(__xludf.DUMMYFUNCTION("""COMPUTED_VALUE"""),"Multi-Sense Embeddings for Language Models and Knowledge Distillation")</f>
        <v>Multi-Sense Embeddings for Language Models and Knowledge Distillation</v>
      </c>
      <c r="C775" s="7" t="str">
        <f>IFERROR(__xludf.DUMMYFUNCTION("""COMPUTED_VALUE"""),"Transformer-based large language models (LLMs) rely on contextual embeddings which generate different (continuous) representations for the same token depending on its surrounding context. Nonetheless, words and tokens typically have a limited number of se"&amp;"nses (or meanings). We propose multi-sense embeddings as a drop-in replacement for each token in order to capture the range of their uses in a language. To construct a sense embedding dictionary, we apply a clustering algorithm to embeddings generated by "&amp;"an LLM and consider the cluster centers as representative sense embeddings. In addition, we propose a novel knowledge distillation method that leverages the sense dictionary to learn a smaller student model that mimics the senses from the much larger base"&amp;" LLM model, offering significant space and inference time savings, while maintaining competitive performance. Via thorough experiments on various benchmarks, we showcase the effectiveness of our sense embeddings and knowledge distillation approach.")</f>
        <v>Transformer-based large language models (LLMs) rely on contextual embeddings which generate different (continuous) representations for the same token depending on its surrounding context. Nonetheless, words and tokens typically have a limited number of senses (or meanings). We propose multi-sense embeddings as a drop-in replacement for each token in order to capture the range of their uses in a language. To construct a sense embedding dictionary, we apply a clustering algorithm to embeddings generated by an LLM and consider the cluster centers as representative sense embeddings. In addition, we propose a novel knowledge distillation method that leverages the sense dictionary to learn a smaller student model that mimics the senses from the much larger base LLM model, offering significant space and inference time savings, while maintaining competitive performance. Via thorough experiments on various benchmarks, we showcase the effectiveness of our sense embeddings and knowledge distillation approach.</v>
      </c>
      <c r="D775" s="7" t="str">
        <f>IFERROR(__xludf.DUMMYFUNCTION("""COMPUTED_VALUE"""),"Georgios Kollias")</f>
        <v>Georgios Kollias</v>
      </c>
      <c r="E775" s="7" t="str">
        <f>IFERROR(__xludf.DUMMYFUNCTION("""COMPUTED_VALUE"""),"Yes")</f>
        <v>Yes</v>
      </c>
      <c r="F775" s="7" t="str">
        <f>IFERROR(__xludf.DUMMYFUNCTION("""COMPUTED_VALUE"""),"IP-Poster")</f>
        <v>IP-Poster</v>
      </c>
      <c r="G775" s="7" t="str">
        <f>IFERROR(__xludf.DUMMYFUNCTION("""COMPUTED_VALUE"""),"In-Person")</f>
        <v>In-Person</v>
      </c>
      <c r="H775" s="7" t="str">
        <f>IFERROR(__xludf.DUMMYFUNCTION("""COMPUTED_VALUE"""),"Hall 4/5")</f>
        <v>Hall 4/5</v>
      </c>
      <c r="I775" s="7" t="str">
        <f>IFERROR(__xludf.DUMMYFUNCTION("""COMPUTED_VALUE"""),"Session 5 :IP-Posters Find ")</f>
        <v>Session 5 :IP-Posters Find </v>
      </c>
      <c r="J775" s="7" t="str">
        <f>IFERROR(__xludf.DUMMYFUNCTION("""COMPUTED_VALUE"""),"Findings Posters - In-Person 1")</f>
        <v>Findings Posters - In-Person 1</v>
      </c>
      <c r="K775" s="7"/>
      <c r="L775" s="8">
        <f>IFERROR(__xludf.DUMMYFUNCTION("""COMPUTED_VALUE"""),45866.0)</f>
        <v>45866</v>
      </c>
      <c r="M775" s="7" t="str">
        <f>IFERROR(__xludf.DUMMYFUNCTION("""COMPUTED_VALUE"""),"18:00-19:30")</f>
        <v>18:00-19:30</v>
      </c>
      <c r="N775" s="7"/>
    </row>
    <row r="776">
      <c r="A776" s="7" t="str">
        <f>IFERROR(__xludf.DUMMYFUNCTION("""COMPUTED_VALUE"""),"2672-FIND")</f>
        <v>2672-FIND</v>
      </c>
      <c r="B776" s="7" t="str">
        <f>IFERROR(__xludf.DUMMYFUNCTION("""COMPUTED_VALUE"""),"CodeScientist: End-to-End Semi-Automated Scientific Discovery with Code-based Experimentation")</f>
        <v>CodeScientist: End-to-End Semi-Automated Scientific Discovery with Code-based Experimentation</v>
      </c>
      <c r="C776" s="7" t="str">
        <f>IFERROR(__xludf.DUMMYFUNCTION("""COMPUTED_VALUE"""),"Despite the surge of interest in autonomous scientific discovery (ASD) of software artifacts (e.g., improved ML algorithms), current ASD systems face two key limitations: (1) they largely explore tweaks to existing codebases or similarly constrained desig"&amp;"n spaces, and (2) they produce large volumes of research artifacts (such as automatically generated papers and code) but largely do not validate the veracity of these discoveries. In this work we introduce CodeScientist, a novel ASD system that frames ide"&amp;"ation and experiment construction as a form of genetic search jointly over combinations of research articles and codeblocks defining common actions in a domain (like prompting a language model). We use this LLM-as-a-mutator paradigm to conduct hundreds of"&amp;" automated experiments on machine-generated ideas broadly in the domain of agents and virtual environments, with the system returning 18 discoveries, 7 of which were confirmed by a domain expert. Moreover, the discoveries span new tasks, agents, metrics, "&amp;"and data, suggesting a qualitative shift from benchmark optimization to broader discoveries.")</f>
        <v>Despite the surge of interest in autonomous scientific discovery (ASD) of software artifacts (e.g., improved ML algorithms), current ASD systems face two key limitations: (1) they largely explore tweaks to existing codebases or similarly constrained design spaces, and (2) they produce large volumes of research artifacts (such as automatically generated papers and code) but largely do not validate the veracity of these discoveries. In this work we introduce CodeScientist, a novel ASD system that frames ideation and experiment construction as a form of genetic search jointly over combinations of research articles and codeblocks defining common actions in a domain (like prompting a language model). We use this LLM-as-a-mutator paradigm to conduct hundreds of automated experiments on machine-generated ideas broadly in the domain of agents and virtual environments, with the system returning 18 discoveries, 7 of which were confirmed by a domain expert. Moreover, the discoveries span new tasks, agents, metrics, and data, suggesting a qualitative shift from benchmark optimization to broader discoveries.</v>
      </c>
      <c r="D776" s="7" t="str">
        <f>IFERROR(__xludf.DUMMYFUNCTION("""COMPUTED_VALUE"""),"Peter Jansen")</f>
        <v>Peter Jansen</v>
      </c>
      <c r="E776" s="7" t="str">
        <f>IFERROR(__xludf.DUMMYFUNCTION("""COMPUTED_VALUE"""),"#N/A")</f>
        <v>#N/A</v>
      </c>
      <c r="F776" s="7" t="str">
        <f>IFERROR(__xludf.DUMMYFUNCTION("""COMPUTED_VALUE"""),"Not Pres. ")</f>
        <v>Not Pres. </v>
      </c>
      <c r="G776" s="7" t="str">
        <f>IFERROR(__xludf.DUMMYFUNCTION("""COMPUTED_VALUE"""),"NP Findings Not Presenting ")</f>
        <v>NP Findings Not Presenting </v>
      </c>
      <c r="H776" s="7"/>
      <c r="I776" s="7" t="str">
        <f>IFERROR(__xludf.DUMMYFUNCTION("""COMPUTED_VALUE"""),"NP-Find")</f>
        <v>NP-Find</v>
      </c>
      <c r="J776" s="7"/>
      <c r="K776" s="7"/>
      <c r="L776" s="8"/>
      <c r="M776" s="7"/>
      <c r="N776" s="7"/>
    </row>
    <row r="777">
      <c r="A777" s="7" t="str">
        <f>IFERROR(__xludf.DUMMYFUNCTION("""COMPUTED_VALUE"""),"2681-FIND")</f>
        <v>2681-FIND</v>
      </c>
      <c r="B777" s="7" t="str">
        <f>IFERROR(__xludf.DUMMYFUNCTION("""COMPUTED_VALUE"""),"Beyond Factual Accuracy: Evaluating Coverage of Diverse Factual Information in Long-form Text Generation")</f>
        <v>Beyond Factual Accuracy: Evaluating Coverage of Diverse Factual Information in Long-form Text Generation</v>
      </c>
      <c r="C777" s="7" t="str">
        <f>IFERROR(__xludf.DUMMYFUNCTION("""COMPUTED_VALUE"""),"This paper presents ICAT, an evaluation framework for measuring coverage of diverse factual information in long-form text generation. ICAT breaks down a long output text into a list of atomic claims and not only verifies each claim through retrieval from "&amp;"a (reliable) knowledge source, but also computes the alignment between the atomic factual claims and various aspects expected to be presented in the output. We study three implementations of the ICAT framework, each with a different assumption on the avai"&amp;"lability of aspects and alignment method. By adopting data from the diversification task in the TREC Web Track and the ClueWeb corpus, we evaluate the ICAT framework. We demonstrate strong correlation with human judgments and provide comprehensive evaluat"&amp;"ion across multiple state-of-the-art LLMs. Our framework further offers interpretable and fine-grained analysis of diversity and coverage. Its modular design allows for easy adaptation to different domains and datasets, making it a valuable tool for evalu"&amp;"ating the qualitative aspects of long-form responses produced by LLMs.")</f>
        <v>This paper presents ICAT, an evaluation framework for measuring coverage of diverse factual information in long-form text generation. ICAT breaks down a long output text into a list of atomic claims and not only verifies each claim through retrieval from a (reliable) knowledge source, but also computes the alignment between the atomic factual claims and various aspects expected to be presented in the output. We study three implementations of the ICAT framework, each with a different assumption on the availability of aspects and alignment method. By adopting data from the diversification task in the TREC Web Track and the ClueWeb corpus, we evaluate the ICAT framework. We demonstrate strong correlation with human judgments and provide comprehensive evaluation across multiple state-of-the-art LLMs. Our framework further offers interpretable and fine-grained analysis of diversity and coverage. Its modular design allows for easy adaptation to different domains and datasets, making it a valuable tool for evaluating the qualitative aspects of long-form responses produced by LLMs.</v>
      </c>
      <c r="D777" s="7" t="str">
        <f>IFERROR(__xludf.DUMMYFUNCTION("""COMPUTED_VALUE"""),"Chris Samarinas")</f>
        <v>Chris Samarinas</v>
      </c>
      <c r="E777" s="7" t="str">
        <f>IFERROR(__xludf.DUMMYFUNCTION("""COMPUTED_VALUE"""),"#N/A")</f>
        <v>#N/A</v>
      </c>
      <c r="F777" s="7" t="str">
        <f>IFERROR(__xludf.DUMMYFUNCTION("""COMPUTED_VALUE"""),"Not Pres. ")</f>
        <v>Not Pres. </v>
      </c>
      <c r="G777" s="7" t="str">
        <f>IFERROR(__xludf.DUMMYFUNCTION("""COMPUTED_VALUE"""),"NP Findings Not Presenting ")</f>
        <v>NP Findings Not Presenting </v>
      </c>
      <c r="H777" s="7"/>
      <c r="I777" s="7" t="str">
        <f>IFERROR(__xludf.DUMMYFUNCTION("""COMPUTED_VALUE"""),"NP-Find")</f>
        <v>NP-Find</v>
      </c>
      <c r="J777" s="7"/>
      <c r="K777" s="7"/>
      <c r="L777" s="8"/>
      <c r="M777" s="7"/>
      <c r="N777" s="7"/>
    </row>
    <row r="778">
      <c r="A778" s="7" t="str">
        <f>IFERROR(__xludf.DUMMYFUNCTION("""COMPUTED_VALUE"""),"2682-FIND")</f>
        <v>2682-FIND</v>
      </c>
      <c r="B778" s="7" t="str">
        <f>IFERROR(__xludf.DUMMYFUNCTION("""COMPUTED_VALUE"""),"Continual Quantization-Aware Pre-Training: When to transition from 16-bit to 1.58-bit pre-training for BitNet language models?")</f>
        <v>Continual Quantization-Aware Pre-Training: When to transition from 16-bit to 1.58-bit pre-training for BitNet language models?</v>
      </c>
      <c r="C778" s="7" t="str">
        <f>IFERROR(__xludf.DUMMYFUNCTION("""COMPUTED_VALUE"""),"Large language models (LLMs) require immense resources for training and inference. Quantization, a technique that reduces the precision of model parameters, offers a promising solution for improving LLM efficiency and sustainability. While post-training q"&amp;"uantization methods typically achieve 4-8 bits per parameter, recent research suggests that training LLMs with 1.58 bits per weight parameter from scratch can maintain model accuracy while greatly reducing memory requirements and energy consumption at inf"&amp;"erence time. Here, we investigate a training strategy for quantization-aware pre-training, where the models are first trained with 16-bit precision and then transition into 1.58-bit quantization-aware training. Our results on 11 downstream tasks, show tha"&amp;"t this 16-to-1.58-bit training strategy is preferable over full 1.58-bit training and leaves models closer to those which have undergone 16-bit training. We further investigate the effects of retaining the optimizer state at the transition point and gradu"&amp;"ally phasing in quantization strength - finding that both techniques alleviate the magnitude of loss spikes, but also that these effects can be compensated through further training.")</f>
        <v>Large language models (LLMs) require immense resources for training and inference. Quantization, a technique that reduces the precision of model parameters, offers a promising solution for improving LLM efficiency and sustainability. While post-training quantization methods typically achieve 4-8 bits per parameter, recent research suggests that training LLMs with 1.58 bits per weight parameter from scratch can maintain model accuracy while greatly reducing memory requirements and energy consumption at inference time. Here, we investigate a training strategy for quantization-aware pre-training, where the models are first trained with 16-bit precision and then transition into 1.58-bit quantization-aware training. Our results on 11 downstream tasks, show that this 16-to-1.58-bit training strategy is preferable over full 1.58-bit training and leaves models closer to those which have undergone 16-bit training. We further investigate the effects of retaining the optimizer state at the transition point and gradually phasing in quantization strength - finding that both techniques alleviate the magnitude of loss spikes, but also that these effects can be compensated through further training.</v>
      </c>
      <c r="D778" s="7" t="str">
        <f>IFERROR(__xludf.DUMMYFUNCTION("""COMPUTED_VALUE"""),"Lukas Galke")</f>
        <v>Lukas Galke</v>
      </c>
      <c r="E778" s="7" t="str">
        <f>IFERROR(__xludf.DUMMYFUNCTION("""COMPUTED_VALUE"""),"Yes")</f>
        <v>Yes</v>
      </c>
      <c r="F778" s="7" t="str">
        <f>IFERROR(__xludf.DUMMYFUNCTION("""COMPUTED_VALUE"""),"IP-Poster")</f>
        <v>IP-Poster</v>
      </c>
      <c r="G778" s="7" t="str">
        <f>IFERROR(__xludf.DUMMYFUNCTION("""COMPUTED_VALUE"""),"In-Person")</f>
        <v>In-Person</v>
      </c>
      <c r="H778" s="7" t="str">
        <f>IFERROR(__xludf.DUMMYFUNCTION("""COMPUTED_VALUE"""),"Hall 4/5")</f>
        <v>Hall 4/5</v>
      </c>
      <c r="I778" s="7" t="str">
        <f>IFERROR(__xludf.DUMMYFUNCTION("""COMPUTED_VALUE"""),"Session 5 :IP-Posters Find ")</f>
        <v>Session 5 :IP-Posters Find </v>
      </c>
      <c r="J778" s="7" t="str">
        <f>IFERROR(__xludf.DUMMYFUNCTION("""COMPUTED_VALUE"""),"Findings Posters - In-Person 1")</f>
        <v>Findings Posters - In-Person 1</v>
      </c>
      <c r="K778" s="7"/>
      <c r="L778" s="8">
        <f>IFERROR(__xludf.DUMMYFUNCTION("""COMPUTED_VALUE"""),45866.0)</f>
        <v>45866</v>
      </c>
      <c r="M778" s="7" t="str">
        <f>IFERROR(__xludf.DUMMYFUNCTION("""COMPUTED_VALUE"""),"18:00-19:30")</f>
        <v>18:00-19:30</v>
      </c>
      <c r="N778" s="7"/>
    </row>
    <row r="779">
      <c r="A779" s="7" t="str">
        <f>IFERROR(__xludf.DUMMYFUNCTION("""COMPUTED_VALUE"""),"2683-FIND")</f>
        <v>2683-FIND</v>
      </c>
      <c r="B779" s="7" t="str">
        <f>IFERROR(__xludf.DUMMYFUNCTION("""COMPUTED_VALUE"""),"When Detection Fails: The Power of Fine-Tuned Models to Generate Human-Like Social Media Text")</f>
        <v>When Detection Fails: The Power of Fine-Tuned Models to Generate Human-Like Social Media Text</v>
      </c>
      <c r="C779" s="7" t="str">
        <f>IFERROR(__xludf.DUMMYFUNCTION("""COMPUTED_VALUE"""),"Detecting AI-generated text is a difficult problem to begin with; detecting AI-generated text on social media is made even more difficult due to the short text length and informal, idiosyncratic language of the internet. It is nonetheless important to tac"&amp;"kle this problem, as social media represents a significant attack vector in online influence campaigns, which may be bolstered through the use of mass-produced AI-generated posts supporting (or opposing) particular policies, decisions, or events. We appro"&amp;"ach this problem with the mindset and resources of a reasonably sophisticated threat actor, and create a dataset of 505,159 AI-generated social media posts from a combination of open-source, closed-source, and fine-tuned LLMs, covering 11 different contro"&amp;"versial topics. We show that while the posts can be detected under typical research assumptions about knowledge of and access to the generating models, under the more realistic assumption that an attacker will not release their fine-tuned model to the pub"&amp;"lic, detectability drops dramatically. This result is confirmed with a human study. Ablation experiments highlight the vulnerability of various detection algorithms to fine-tuned LLMs. This result has implications across all detection domains, since fine-"&amp;"tuning is a generally applicable and realistic LLM use case.")</f>
        <v>Detecting AI-generated text is a difficult problem to begin with; detecting AI-generated text on social media is made even more difficult due to the short text length and informal, idiosyncratic language of the internet. It is nonetheless important to tackle this problem, as social media represents a significant attack vector in online influence campaigns, which may be bolstered through the use of mass-produced AI-generated posts supporting (or opposing) particular policies, decisions, or events. We approach this problem with the mindset and resources of a reasonably sophisticated threat actor, and create a dataset of 505,159 AI-generated social media posts from a combination of open-source, closed-source, and fine-tuned LLMs, covering 11 different controversial topics. We show that while the posts can be detected under typical research assumptions about knowledge of and access to the generating models, under the more realistic assumption that an attacker will not release their fine-tuned model to the public, detectability drops dramatically. This result is confirmed with a human study. Ablation experiments highlight the vulnerability of various detection algorithms to fine-tuned LLMs. This result has implications across all detection domains, since fine-tuning is a generally applicable and realistic LLM use case.</v>
      </c>
      <c r="D779" s="7" t="str">
        <f>IFERROR(__xludf.DUMMYFUNCTION("""COMPUTED_VALUE"""),"Kathleen C. Fraser")</f>
        <v>Kathleen C. Fraser</v>
      </c>
      <c r="E779" s="7" t="str">
        <f>IFERROR(__xludf.DUMMYFUNCTION("""COMPUTED_VALUE"""),"Yes")</f>
        <v>Yes</v>
      </c>
      <c r="F779" s="7" t="str">
        <f>IFERROR(__xludf.DUMMYFUNCTION("""COMPUTED_VALUE"""),"IP-Poster")</f>
        <v>IP-Poster</v>
      </c>
      <c r="G779" s="7" t="str">
        <f>IFERROR(__xludf.DUMMYFUNCTION("""COMPUTED_VALUE"""),"In-Person")</f>
        <v>In-Person</v>
      </c>
      <c r="H779" s="7" t="str">
        <f>IFERROR(__xludf.DUMMYFUNCTION("""COMPUTED_VALUE"""),"Hall 4/5")</f>
        <v>Hall 4/5</v>
      </c>
      <c r="I779" s="7" t="str">
        <f>IFERROR(__xludf.DUMMYFUNCTION("""COMPUTED_VALUE"""),"Session 7: IP-Posters")</f>
        <v>Session 7: IP-Posters</v>
      </c>
      <c r="J779" s="7" t="str">
        <f>IFERROR(__xludf.DUMMYFUNCTION("""COMPUTED_VALUE"""),"Findings Posters - In-Person 2")</f>
        <v>Findings Posters - In-Person 2</v>
      </c>
      <c r="K779" s="7"/>
      <c r="L779" s="8">
        <f>IFERROR(__xludf.DUMMYFUNCTION("""COMPUTED_VALUE"""),45867.0)</f>
        <v>45867</v>
      </c>
      <c r="M779" s="7" t="str">
        <f>IFERROR(__xludf.DUMMYFUNCTION("""COMPUTED_VALUE"""),"10:30-12:00")</f>
        <v>10:30-12:00</v>
      </c>
      <c r="N779" s="7"/>
    </row>
    <row r="780">
      <c r="A780" s="7" t="str">
        <f>IFERROR(__xludf.DUMMYFUNCTION("""COMPUTED_VALUE"""),"2690-FIND")</f>
        <v>2690-FIND</v>
      </c>
      <c r="B780" s="7" t="str">
        <f>IFERROR(__xludf.DUMMYFUNCTION("""COMPUTED_VALUE"""),"Not quite Sherlock Holmes: Pretrained language models cannot reliably differentiate impossible from improbable events")</f>
        <v>Not quite Sherlock Holmes: Pretrained language models cannot reliably differentiate impossible from improbable events</v>
      </c>
      <c r="C780" s="7" t="str">
        <f>IFERROR(__xludf.DUMMYFUNCTION("""COMPUTED_VALUE"""),"Can language models reliably distinguish between impossible and merely improbable events? By teasing apart possibility, typicality, and contextual relatedness, we show that despite the results of previous work, language models' ability to do this is far f"&amp;"rom robust. In fact, under certain conditions, all models tested—including Llama 3, Gemma 2, and Mistral NeMo—perform at worse-than-chance level, assigning higher probabilities to impossible sentences such as 'the car was given a parking ticket by the bra"&amp;"ke' than to merely unlikely sentences such as 'the car was given a parking ticket by the explorer'.")</f>
        <v>Can language models reliably distinguish between impossible and merely improbable events? By teasing apart possibility, typicality, and contextual relatedness, we show that despite the results of previous work, language models' ability to do this is far from robust. In fact, under certain conditions, all models tested—including Llama 3, Gemma 2, and Mistral NeMo—perform at worse-than-chance level, assigning higher probabilities to impossible sentences such as 'the car was given a parking ticket by the brake' than to merely unlikely sentences such as 'the car was given a parking ticket by the explorer'.</v>
      </c>
      <c r="D780" s="7" t="str">
        <f>IFERROR(__xludf.DUMMYFUNCTION("""COMPUTED_VALUE"""),"James A. Michaelov")</f>
        <v>James A. Michaelov</v>
      </c>
      <c r="E780" s="7" t="str">
        <f>IFERROR(__xludf.DUMMYFUNCTION("""COMPUTED_VALUE"""),"#N/A")</f>
        <v>#N/A</v>
      </c>
      <c r="F780" s="7" t="str">
        <f>IFERROR(__xludf.DUMMYFUNCTION("""COMPUTED_VALUE"""),"Not Pres. ")</f>
        <v>Not Pres. </v>
      </c>
      <c r="G780" s="7" t="str">
        <f>IFERROR(__xludf.DUMMYFUNCTION("""COMPUTED_VALUE"""),"NP Findings Not Presenting ")</f>
        <v>NP Findings Not Presenting </v>
      </c>
      <c r="H780" s="7"/>
      <c r="I780" s="7" t="str">
        <f>IFERROR(__xludf.DUMMYFUNCTION("""COMPUTED_VALUE"""),"NP-Find")</f>
        <v>NP-Find</v>
      </c>
      <c r="J780" s="7"/>
      <c r="K780" s="7"/>
      <c r="L780" s="8"/>
      <c r="M780" s="7"/>
      <c r="N780" s="7"/>
    </row>
    <row r="781">
      <c r="A781" s="7" t="str">
        <f>IFERROR(__xludf.DUMMYFUNCTION("""COMPUTED_VALUE"""),"2691-FIND")</f>
        <v>2691-FIND</v>
      </c>
      <c r="B781" s="7" t="str">
        <f>IFERROR(__xludf.DUMMYFUNCTION("""COMPUTED_VALUE"""),"The Rotary Position Embedding May Cause Dimension Inefficiency in Attention Heads for Long-Distance Retrieval")</f>
        <v>The Rotary Position Embedding May Cause Dimension Inefficiency in Attention Heads for Long-Distance Retrieval</v>
      </c>
      <c r="C781" s="7" t="str">
        <f>IFERROR(__xludf.DUMMYFUNCTION("""COMPUTED_VALUE"""),"The Rotary Position Embedding (RoPE) is widely used in the attention heads of many large language models (LLM). It rotates dimensions in the query and the key vectors by different angles according to their positions in the input sequence. For long context"&amp;" modeling, the range of positions may vary a lot, and thus RoPE rotates some dimensions by a great range of angles. We hypothesize that the wide range of rotation angles may prevent LLMs from utilizing those dimensions. To validate this hypothesis, we pre"&amp;"sent a controlled experiment showing that applying RoPE causes low utility of certain dimensions. Our analyses on three LLMs also indicate that these dimensions do not help LLMs do long-context question answering.")</f>
        <v>The Rotary Position Embedding (RoPE) is widely used in the attention heads of many large language models (LLM). It rotates dimensions in the query and the key vectors by different angles according to their positions in the input sequence. For long context modeling, the range of positions may vary a lot, and thus RoPE rotates some dimensions by a great range of angles. We hypothesize that the wide range of rotation angles may prevent LLMs from utilizing those dimensions. To validate this hypothesis, we present a controlled experiment showing that applying RoPE causes low utility of certain dimensions. Our analyses on three LLMs also indicate that these dimensions do not help LLMs do long-context question answering.</v>
      </c>
      <c r="D781" s="7" t="str">
        <f>IFERROR(__xludf.DUMMYFUNCTION("""COMPUTED_VALUE"""),"Ting-Rui Chiang")</f>
        <v>Ting-Rui Chiang</v>
      </c>
      <c r="E781" s="7" t="str">
        <f>IFERROR(__xludf.DUMMYFUNCTION("""COMPUTED_VALUE"""),"N/A")</f>
        <v>N/A</v>
      </c>
      <c r="F781" s="7" t="str">
        <f>IFERROR(__xludf.DUMMYFUNCTION("""COMPUTED_VALUE"""),"Not Pres. ")</f>
        <v>Not Pres. </v>
      </c>
      <c r="G781" s="7" t="str">
        <f>IFERROR(__xludf.DUMMYFUNCTION("""COMPUTED_VALUE"""),"NP Findings Not Presenting ")</f>
        <v>NP Findings Not Presenting </v>
      </c>
      <c r="H781" s="7"/>
      <c r="I781" s="7"/>
      <c r="J781" s="7"/>
      <c r="K781" s="7"/>
      <c r="L781" s="8"/>
      <c r="M781" s="7"/>
      <c r="N781" s="7"/>
    </row>
    <row r="782">
      <c r="A782" s="7" t="str">
        <f>IFERROR(__xludf.DUMMYFUNCTION("""COMPUTED_VALUE"""),"2692-FIND")</f>
        <v>2692-FIND</v>
      </c>
      <c r="B782" s="7" t="str">
        <f>IFERROR(__xludf.DUMMYFUNCTION("""COMPUTED_VALUE"""),"IDEA: Enhancing the Rule Learning Ability of Large Language Model Agent through Induction, Deduction, and Abduction")</f>
        <v>IDEA: Enhancing the Rule Learning Ability of Large Language Model Agent through Induction, Deduction, and Abduction</v>
      </c>
      <c r="C782" s="7" t="str">
        <f>IFERROR(__xludf.DUMMYFUNCTION("""COMPUTED_VALUE"""),"While large language models (LLMs) have been thoroughly evaluated for deductive and inductive reasoning, their proficiency in holistic rule learning in interactive environments remains less explored. We introduce RULEARN, a novel benchmark to assess the r"&amp;"ule-learning abilities of LLM agents in interactive settings. In RULEARN, agents strategically interact with simulated environments to gather observations, discern patterns, and solve complex problems. To enhance the rule-learning capabilities for LLM age"&amp;"nts, we propose IDEA, a novel reasoning framework that integrates the process of **I**nduction, **De**duction, and **A**bduction. The IDEA agent generates initial hypotheses from limited observations through abduction, devises plans to validate these hypo"&amp;"theses or leverages them to solve problems via deduction, and refines previous hypotheses through induction, dynamically establishing and applying rules that mimic human rule-learning behaviors. Our evaluation of the IDEA framework, which involves five re"&amp;"presentative LLMs, demonstrates significant improvements over the baseline. Furthermore, our study with human participants reveals notable discrepancies in rule-learning behaviors between humans and LLMs. We believe our benchmark will serve as a valuable "&amp;"and challenging resource, and IDEA will provide crucial insights for the development of LLM agents capable of human-like rule learning in real-world scenarios. Our code and data have been released at: https://github.com/KaiyuHe998/RULEARN_IDEA.")</f>
        <v>While large language models (LLMs) have been thoroughly evaluated for deductive and inductive reasoning, their proficiency in holistic rule learning in interactive environments remains less explored. We introduce RULEARN, a novel benchmark to assess the rule-learning abilities of LLM agents in interactive settings. In RULEARN, agents strategically interact with simulated environments to gather observations, discern patterns, and solve complex problems. To enhance the rule-learning capabilities for LLM agents, we propose IDEA, a novel reasoning framework that integrates the process of **I**nduction, **De**duction, and **A**bduction. The IDEA agent generates initial hypotheses from limited observations through abduction, devises plans to validate these hypotheses or leverages them to solve problems via deduction, and refines previous hypotheses through induction, dynamically establishing and applying rules that mimic human rule-learning behaviors. Our evaluation of the IDEA framework, which involves five representative LLMs, demonstrates significant improvements over the baseline. Furthermore, our study with human participants reveals notable discrepancies in rule-learning behaviors between humans and LLMs. We believe our benchmark will serve as a valuable and challenging resource, and IDEA will provide crucial insights for the development of LLM agents capable of human-like rule learning in real-world scenarios. Our code and data have been released at: https://github.com/KaiyuHe998/RULEARN_IDEA.</v>
      </c>
      <c r="D782" s="7" t="str">
        <f>IFERROR(__xludf.DUMMYFUNCTION("""COMPUTED_VALUE"""),"Kaiyu He")</f>
        <v>Kaiyu He</v>
      </c>
      <c r="E782" s="7" t="str">
        <f>IFERROR(__xludf.DUMMYFUNCTION("""COMPUTED_VALUE"""),"Yes")</f>
        <v>Yes</v>
      </c>
      <c r="F782" s="7" t="str">
        <f>IFERROR(__xludf.DUMMYFUNCTION("""COMPUTED_VALUE"""),"V-Presentation")</f>
        <v>V-Presentation</v>
      </c>
      <c r="G782" s="7" t="str">
        <f>IFERROR(__xludf.DUMMYFUNCTION("""COMPUTED_VALUE"""),"Virtual/Gather")</f>
        <v>Virtual/Gather</v>
      </c>
      <c r="H782" s="7" t="str">
        <f>IFERROR(__xludf.DUMMYFUNCTION("""COMPUTED_VALUE"""),"Gather")</f>
        <v>Gather</v>
      </c>
      <c r="I782" s="7" t="str">
        <f>IFERROR(__xludf.DUMMYFUNCTION("""COMPUTED_VALUE"""),"Session5: V-Gather Find")</f>
        <v>Session5: V-Gather Find</v>
      </c>
      <c r="J782" s="7" t="str">
        <f>IFERROR(__xludf.DUMMYFUNCTION("""COMPUTED_VALUE"""),"Findings Posters - Virtual")</f>
        <v>Findings Posters - Virtual</v>
      </c>
      <c r="K782" s="7"/>
      <c r="L782" s="8">
        <f>IFERROR(__xludf.DUMMYFUNCTION("""COMPUTED_VALUE"""),45866.0)</f>
        <v>45866</v>
      </c>
      <c r="M782" s="7" t="str">
        <f>IFERROR(__xludf.DUMMYFUNCTION("""COMPUTED_VALUE"""),"18:00-19:30")</f>
        <v>18:00-19:30</v>
      </c>
      <c r="N782" s="7"/>
    </row>
    <row r="783">
      <c r="A783" s="7" t="str">
        <f>IFERROR(__xludf.DUMMYFUNCTION("""COMPUTED_VALUE"""),"2694-FIND")</f>
        <v>2694-FIND</v>
      </c>
      <c r="B783" s="7" t="str">
        <f>IFERROR(__xludf.DUMMYFUNCTION("""COMPUTED_VALUE"""),"EnigmaToM: Improve LLMs’ Theory-of-Mind Reasoning Capabilities with Neural Knowledge Base of Entity States")</f>
        <v>EnigmaToM: Improve LLMs’ Theory-of-Mind Reasoning Capabilities with Neural Knowledge Base of Entity States</v>
      </c>
      <c r="C783" s="7" t="str">
        <f>IFERROR(__xludf.DUMMYFUNCTION("""COMPUTED_VALUE"""),"Theory-of-mind (ToM), the ability to infer others’ perceptions and mental states, is fundamental to human interaction but remains a challenging task for Large Language Models (LLMs). While existing ToM reasoning methods show promise with reasoning via per"&amp;"ceptual perspective-taking, they often rely excessively on LLMs, reducing their efficiency and limiting their applicability to high-order ToM reasoning with complex events. To address these issues, we present EnigmaToM, a novel neuro-symbolic framework th"&amp;"at enhances ToM reasoning by integrating a Neural Knowledge Base of entity states (Enigma) for (1) a psychology-inspired iterative masking mechanism that facilitates accurate perspective-taking and (2) knowledge injection that elicits key entity informati"&amp;"on. Enigma generates structured representations of entity states, which construct spatial scene graphs—leveraging spatial information as an inductive bias—for belief tracking of various ToM orders and enhancing events with fine-grained entity state detail"&amp;"s. Experimental results on multiple benchmarks, including ToMi, HiToM, and FANToM, show that EnigmaToM significantly improves ToM reasoning across LLMs of varying sizes, particularly excelling in high-order reasoning scenarios.")</f>
        <v>Theory-of-mind (ToM), the ability to infer others’ perceptions and mental states, is fundamental to human interaction but remains a challenging task for Large Language Models (LLMs). While existing ToM reasoning methods show promise with reasoning via perceptual perspective-taking, they often rely excessively on LLMs, reducing their efficiency and limiting their applicability to high-order ToM reasoning with complex events. To address these issues, we present EnigmaToM, a novel neuro-symbolic framework that enhances ToM reasoning by integrating a Neural Knowledge Base of entity states (Enigma) for (1) a psychology-inspired iterative masking mechanism that facilitates accurate perspective-taking and (2) knowledge injection that elicits key entity information. Enigma generates structured representations of entity states, which construct spatial scene graphs—leveraging spatial information as an inductive bias—for belief tracking of various ToM orders and enhancing events with fine-grained entity state details. Experimental results on multiple benchmarks, including ToMi, HiToM, and FANToM, show that EnigmaToM significantly improves ToM reasoning across LLMs of varying sizes, particularly excelling in high-order reasoning scenarios.</v>
      </c>
      <c r="D783" s="7" t="str">
        <f>IFERROR(__xludf.DUMMYFUNCTION("""COMPUTED_VALUE"""),"Siya Qi
Hainiu Xu")</f>
        <v>Siya Qi
Hainiu Xu</v>
      </c>
      <c r="E783" s="7" t="str">
        <f>IFERROR(__xludf.DUMMYFUNCTION("""COMPUTED_VALUE"""),"Yes")</f>
        <v>Yes</v>
      </c>
      <c r="F783" s="7" t="str">
        <f>IFERROR(__xludf.DUMMYFUNCTION("""COMPUTED_VALUE"""),"IP-Poster")</f>
        <v>IP-Poster</v>
      </c>
      <c r="G783" s="7" t="str">
        <f>IFERROR(__xludf.DUMMYFUNCTION("""COMPUTED_VALUE"""),"In-Person")</f>
        <v>In-Person</v>
      </c>
      <c r="H783" s="7" t="str">
        <f>IFERROR(__xludf.DUMMYFUNCTION("""COMPUTED_VALUE"""),"Hall 4/5")</f>
        <v>Hall 4/5</v>
      </c>
      <c r="I783" s="7" t="str">
        <f>IFERROR(__xludf.DUMMYFUNCTION("""COMPUTED_VALUE"""),"Session 5 :IP-Posters Find ")</f>
        <v>Session 5 :IP-Posters Find </v>
      </c>
      <c r="J783" s="7" t="str">
        <f>IFERROR(__xludf.DUMMYFUNCTION("""COMPUTED_VALUE"""),"Findings Posters - In-Person 1")</f>
        <v>Findings Posters - In-Person 1</v>
      </c>
      <c r="K783" s="7"/>
      <c r="L783" s="8">
        <f>IFERROR(__xludf.DUMMYFUNCTION("""COMPUTED_VALUE"""),45866.0)</f>
        <v>45866</v>
      </c>
      <c r="M783" s="7" t="str">
        <f>IFERROR(__xludf.DUMMYFUNCTION("""COMPUTED_VALUE"""),"18:00-19:30")</f>
        <v>18:00-19:30</v>
      </c>
      <c r="N783" s="7"/>
    </row>
    <row r="784">
      <c r="A784" s="7" t="str">
        <f>IFERROR(__xludf.DUMMYFUNCTION("""COMPUTED_VALUE"""),"2695-FIND")</f>
        <v>2695-FIND</v>
      </c>
      <c r="B784" s="7" t="str">
        <f>IFERROR(__xludf.DUMMYFUNCTION("""COMPUTED_VALUE"""),"ReasonerRank: Redefining Language Model Evaluation with Ground-Truth-Free Ranking Frameworks")</f>
        <v>ReasonerRank: Redefining Language Model Evaluation with Ground-Truth-Free Ranking Frameworks</v>
      </c>
      <c r="C784" s="7" t="str">
        <f>IFERROR(__xludf.DUMMYFUNCTION("""COMPUTED_VALUE"""),"Large Language Models (LLMs) are increasingly adopted across real-world applications, yet traditional evaluations rely on expensive, domain-specific ground-truth labels that are often unavailable or infeasible. We introduce a ground-truth-free evaluation "&amp;"framework focused on reasoning consistency and instruction following, shifting the emphasis from correctness—which is elusive without labels—to transparent, coherent, evidence-based reasoning. Each model response must include a direct answer, a structured"&amp;" multi-step explanation, and supporting evidence, all assessed via semantic similarity and output adherence checks. We further propose TopK-ReRank, which refines rankings by constructing a consensus answer from the most reliable models, reducing ambiguity"&amp;" across diverse reasoning styles. Experiments show that our framework outperforms existing label-free methods, including majority voting, triplet ranking, and peer-review approaches, providing a more interpretable and efficient alternative for evaluating "&amp;"LLMs in the absence of ground-truth labels.")</f>
        <v>Large Language Models (LLMs) are increasingly adopted across real-world applications, yet traditional evaluations rely on expensive, domain-specific ground-truth labels that are often unavailable or infeasible. We introduce a ground-truth-free evaluation framework focused on reasoning consistency and instruction following, shifting the emphasis from correctness—which is elusive without labels—to transparent, coherent, evidence-based reasoning. Each model response must include a direct answer, a structured multi-step explanation, and supporting evidence, all assessed via semantic similarity and output adherence checks. We further propose TopK-ReRank, which refines rankings by constructing a consensus answer from the most reliable models, reducing ambiguity across diverse reasoning styles. Experiments show that our framework outperforms existing label-free methods, including majority voting, triplet ranking, and peer-review approaches, providing a more interpretable and efficient alternative for evaluating LLMs in the absence of ground-truth labels.</v>
      </c>
      <c r="D784" s="7" t="str">
        <f>IFERROR(__xludf.DUMMYFUNCTION("""COMPUTED_VALUE"""),"Jiamu Zhang")</f>
        <v>Jiamu Zhang</v>
      </c>
      <c r="E784" s="7" t="str">
        <f>IFERROR(__xludf.DUMMYFUNCTION("""COMPUTED_VALUE"""),"#N/A")</f>
        <v>#N/A</v>
      </c>
      <c r="F784" s="7" t="str">
        <f>IFERROR(__xludf.DUMMYFUNCTION("""COMPUTED_VALUE"""),"Not Pres. ")</f>
        <v>Not Pres. </v>
      </c>
      <c r="G784" s="7" t="str">
        <f>IFERROR(__xludf.DUMMYFUNCTION("""COMPUTED_VALUE"""),"NP Findings Not Presenting ")</f>
        <v>NP Findings Not Presenting </v>
      </c>
      <c r="H784" s="7"/>
      <c r="I784" s="7" t="str">
        <f>IFERROR(__xludf.DUMMYFUNCTION("""COMPUTED_VALUE"""),"NP-Find")</f>
        <v>NP-Find</v>
      </c>
      <c r="J784" s="7"/>
      <c r="K784" s="7"/>
      <c r="L784" s="8"/>
      <c r="M784" s="7"/>
      <c r="N784" s="7"/>
    </row>
    <row r="785">
      <c r="A785" s="7" t="str">
        <f>IFERROR(__xludf.DUMMYFUNCTION("""COMPUTED_VALUE"""),"2699-FIND")</f>
        <v>2699-FIND</v>
      </c>
      <c r="B785" s="7" t="str">
        <f>IFERROR(__xludf.DUMMYFUNCTION("""COMPUTED_VALUE"""),"HyGenar: An LLM-Driven Hybrid Genetic Algorithm for Few-Shot Grammar Generation")</f>
        <v>HyGenar: An LLM-Driven Hybrid Genetic Algorithm for Few-Shot Grammar Generation</v>
      </c>
      <c r="C785" s="7" t="str">
        <f>IFERROR(__xludf.DUMMYFUNCTION("""COMPUTED_VALUE"""),"Grammar plays a critical role in natural language processing and text/code generation by enabling the definition of syntax, the creation of parsers, and guiding structured outputs. Although large language models (LLMs) demonstrate impressive capabilities "&amp;"across domains, their ability to infer and generate grammars has not yet been thoroughly explored. In this paper, we aim to study and improve the ability of LLMs for few-shot grammar generation, where grammars are inferred from sets of a small number of p"&amp;"ositive and negative examples and generated in Backus-Naur Form. To explore this, we introduced a novel dataset comprising 540 structured grammar generation challenges, devised 6 metrics, and evaluated 8 various LLMs against it. Our findings reveal that e"&amp;"xisting LLMs perform sub-optimally in grammar generation. To address this, we propose an LLM-driven hybrid genetic algorithm, namely HyGenar, to optimize grammar generation. HyGenar achieves substantial improvements in both the syntactic and semantic corr"&amp;"ectness of generated grammars across LLMs.")</f>
        <v>Grammar plays a critical role in natural language processing and text/code generation by enabling the definition of syntax, the creation of parsers, and guiding structured outputs. Although large language models (LLMs) demonstrate impressive capabilities across domains, their ability to infer and generate grammars has not yet been thoroughly explored. In this paper, we aim to study and improve the ability of LLMs for few-shot grammar generation, where grammars are inferred from sets of a small number of positive and negative examples and generated in Backus-Naur Form. To explore this, we introduced a novel dataset comprising 540 structured grammar generation challenges, devised 6 metrics, and evaluated 8 various LLMs against it. Our findings reveal that existing LLMs perform sub-optimally in grammar generation. To address this, we propose an LLM-driven hybrid genetic algorithm, namely HyGenar, to optimize grammar generation. HyGenar achieves substantial improvements in both the syntactic and semantic correctness of generated grammars across LLMs.</v>
      </c>
      <c r="D785" s="7" t="str">
        <f>IFERROR(__xludf.DUMMYFUNCTION("""COMPUTED_VALUE"""),"Weizhi Tang")</f>
        <v>Weizhi Tang</v>
      </c>
      <c r="E785" s="7" t="str">
        <f>IFERROR(__xludf.DUMMYFUNCTION("""COMPUTED_VALUE"""),"Yes")</f>
        <v>Yes</v>
      </c>
      <c r="F785" s="7" t="str">
        <f>IFERROR(__xludf.DUMMYFUNCTION("""COMPUTED_VALUE"""),"IP-Poster")</f>
        <v>IP-Poster</v>
      </c>
      <c r="G785" s="7" t="str">
        <f>IFERROR(__xludf.DUMMYFUNCTION("""COMPUTED_VALUE"""),"In-Person")</f>
        <v>In-Person</v>
      </c>
      <c r="H785" s="7" t="str">
        <f>IFERROR(__xludf.DUMMYFUNCTION("""COMPUTED_VALUE"""),"Hall 4/5")</f>
        <v>Hall 4/5</v>
      </c>
      <c r="I785" s="7" t="str">
        <f>IFERROR(__xludf.DUMMYFUNCTION("""COMPUTED_VALUE"""),"Session 5 :IP-Posters Find ")</f>
        <v>Session 5 :IP-Posters Find </v>
      </c>
      <c r="J785" s="7" t="str">
        <f>IFERROR(__xludf.DUMMYFUNCTION("""COMPUTED_VALUE"""),"Findings Posters - In-Person 1")</f>
        <v>Findings Posters - In-Person 1</v>
      </c>
      <c r="K785" s="7"/>
      <c r="L785" s="8">
        <f>IFERROR(__xludf.DUMMYFUNCTION("""COMPUTED_VALUE"""),45866.0)</f>
        <v>45866</v>
      </c>
      <c r="M785" s="7" t="str">
        <f>IFERROR(__xludf.DUMMYFUNCTION("""COMPUTED_VALUE"""),"18:00-19:30")</f>
        <v>18:00-19:30</v>
      </c>
      <c r="N785" s="7"/>
    </row>
    <row r="786">
      <c r="A786" s="7" t="str">
        <f>IFERROR(__xludf.DUMMYFUNCTION("""COMPUTED_VALUE"""),"2700-FIND")</f>
        <v>2700-FIND</v>
      </c>
      <c r="B786" s="7" t="str">
        <f>IFERROR(__xludf.DUMMYFUNCTION("""COMPUTED_VALUE"""),"Can Large Language Models Understand Argument Schemes?")</f>
        <v>Can Large Language Models Understand Argument Schemes?</v>
      </c>
      <c r="C786" s="7" t="str">
        <f>IFERROR(__xludf.DUMMYFUNCTION("""COMPUTED_VALUE"""),"Argument schemes represent stereotypical patterns of reasoning that occur in everyday arguments. However, despite their usefulness, argument scheme classification, that is classifying natural language arguments according to the schemes they are instances "&amp;"of, is an under-explored task in NLP. In this paper we present a systematic evaluation of large language models (LLMs) for classifying argument schemes based on Walton’s taxonomy. We experiment with seven LLMs in zero-shot, few-shot, and chain-of-thought "&amp;"prompting, and explore two strategies to enhance task instructions: employing formal definitions and LLM-generated descriptions. Our analysis on both manually annotated and automatically generated arguments, including enthymemes, indicates that while larg"&amp;"er models exhibit satisfactory performance in identifying argument schemes, challenges remain for smaller models. Our work offers the first comprehensive assessment of LLMs in identifying argument schemes, and provides insights for advancing reasoning cap"&amp;"abilities in computational argumentation.")</f>
        <v>Argument schemes represent stereotypical patterns of reasoning that occur in everyday arguments. However, despite their usefulness, argument scheme classification, that is classifying natural language arguments according to the schemes they are instances of, is an under-explored task in NLP. In this paper we present a systematic evaluation of large language models (LLMs) for classifying argument schemes based on Walton’s taxonomy. We experiment with seven LLMs in zero-shot, few-shot, and chain-of-thought prompting, and explore two strategies to enhance task instructions: employing formal definitions and LLM-generated descriptions. Our analysis on both manually annotated and automatically generated arguments, including enthymemes, indicates that while larger models exhibit satisfactory performance in identifying argument schemes, challenges remain for smaller models. Our work offers the first comprehensive assessment of LLMs in identifying argument schemes, and provides insights for advancing reasoning capabilities in computational argumentation.</v>
      </c>
      <c r="D786" s="7" t="str">
        <f>IFERROR(__xludf.DUMMYFUNCTION("""COMPUTED_VALUE"""),"Elfia Bezou-Vrakatseli")</f>
        <v>Elfia Bezou-Vrakatseli</v>
      </c>
      <c r="E786" s="7" t="str">
        <f>IFERROR(__xludf.DUMMYFUNCTION("""COMPUTED_VALUE"""),"Yes")</f>
        <v>Yes</v>
      </c>
      <c r="F786" s="7" t="str">
        <f>IFERROR(__xludf.DUMMYFUNCTION("""COMPUTED_VALUE"""),"IP-Poster")</f>
        <v>IP-Poster</v>
      </c>
      <c r="G786" s="7" t="str">
        <f>IFERROR(__xludf.DUMMYFUNCTION("""COMPUTED_VALUE"""),"In-Person")</f>
        <v>In-Person</v>
      </c>
      <c r="H786" s="7" t="str">
        <f>IFERROR(__xludf.DUMMYFUNCTION("""COMPUTED_VALUE"""),"Hall 4/5")</f>
        <v>Hall 4/5</v>
      </c>
      <c r="I786" s="7" t="str">
        <f>IFERROR(__xludf.DUMMYFUNCTION("""COMPUTED_VALUE"""),"Session 5 :IP-Posters Find ")</f>
        <v>Session 5 :IP-Posters Find </v>
      </c>
      <c r="J786" s="7" t="str">
        <f>IFERROR(__xludf.DUMMYFUNCTION("""COMPUTED_VALUE"""),"Findings Posters - In-Person 1")</f>
        <v>Findings Posters - In-Person 1</v>
      </c>
      <c r="K786" s="7"/>
      <c r="L786" s="8">
        <f>IFERROR(__xludf.DUMMYFUNCTION("""COMPUTED_VALUE"""),45866.0)</f>
        <v>45866</v>
      </c>
      <c r="M786" s="7" t="str">
        <f>IFERROR(__xludf.DUMMYFUNCTION("""COMPUTED_VALUE"""),"18:00-19:30")</f>
        <v>18:00-19:30</v>
      </c>
      <c r="N786" s="7"/>
    </row>
    <row r="787">
      <c r="A787" s="7" t="str">
        <f>IFERROR(__xludf.DUMMYFUNCTION("""COMPUTED_VALUE"""),"2707-FIND")</f>
        <v>2707-FIND</v>
      </c>
      <c r="B787" s="7" t="str">
        <f>IFERROR(__xludf.DUMMYFUNCTION("""COMPUTED_VALUE"""),"MMInA: Benchmarking Multihop Multimodal Internet Agents")</f>
        <v>MMInA: Benchmarking Multihop Multimodal Internet Agents</v>
      </c>
      <c r="C787" s="7" t="str">
        <f>IFERROR(__xludf.DUMMYFUNCTION("""COMPUTED_VALUE"""),"Autonomous embodied agents live on an Internet of multimedia websites. Can they hop around multimodal websites to complete complex user tasks? Existing benchmarks fail to assess them in a realistic, evolving environment for their embodiment across website"&amp;"s. To answer this question, we present MMInA, a multihop and multimodal benchmark to evaluate the embodied agents for compositional Internet tasks, with several appealing properties: ***1) Evolving real-world multimodal websites.*** Our benchmark uniquely"&amp;" operates on evolving real-world websites, ensuring a high degree of realism and applicability to natural user tasks. Our data includes 1,050 human-written tasks covering various domains such as shopping and travel, with each task requiring the agent to e"&amp;"xtract multimodal information from web pages as observations autonomously. ***2) Multihop web browsing.*** Our dataset features naturally compositional tasks that require information from or actions on multiple websites to solve, to assess long-range reas"&amp;"oning capabilities on web tasks. ***3) Holistic evaluation.*** We propose a novel protocol for evaluating an agent's progress in completing multihop tasks. We experiment with both standalone (multimodal) language models and heuristic-based web agents. Ext"&amp;"ensive experiments demonstrate that while long-chain multihop web tasks are easy for humans, they remain challenging for state-of-the-art web agents. We identify that agents are more likely to fail on the early hops when solving tasks of more hops, which "&amp;"results in lower task success rates. To address this issue, we propose a simple memory augmentation approach replaying past action trajectories to reflect. Our method significantly improves the performance of both the single-hop and multihop web browsing "&amp;"abilities.")</f>
        <v>Autonomous embodied agents live on an Internet of multimedia websites. Can they hop around multimodal websites to complete complex user tasks? Existing benchmarks fail to assess them in a realistic, evolving environment for their embodiment across websites. To answer this question, we present MMInA, a multihop and multimodal benchmark to evaluate the embodied agents for compositional Internet tasks, with several appealing properties: ***1) Evolving real-world multimodal websites.*** Our benchmark uniquely operates on evolving real-world websites, ensuring a high degree of realism and applicability to natural user tasks. Our data includes 1,050 human-written tasks covering various domains such as shopping and travel, with each task requiring the agent to extract multimodal information from web pages as observations autonomously. ***2) Multihop web browsing.*** Our dataset features naturally compositional tasks that require information from or actions on multiple websites to solve, to assess long-range reasoning capabilities on web tasks. ***3) Holistic evaluation.*** We propose a novel protocol for evaluating an agent's progress in completing multihop tasks. We experiment with both standalone (multimodal) language models and heuristic-based web agents. Extensive experiments demonstrate that while long-chain multihop web tasks are easy for humans, they remain challenging for state-of-the-art web agents. We identify that agents are more likely to fail on the early hops when solving tasks of more hops, which results in lower task success rates. To address this issue, we propose a simple memory augmentation approach replaying past action trajectories to reflect. Our method significantly improves the performance of both the single-hop and multihop web browsing abilities.</v>
      </c>
      <c r="D787" s="7" t="str">
        <f>IFERROR(__xludf.DUMMYFUNCTION("""COMPUTED_VALUE"""),"Shulin Tian")</f>
        <v>Shulin Tian</v>
      </c>
      <c r="E787" s="7" t="str">
        <f>IFERROR(__xludf.DUMMYFUNCTION("""COMPUTED_VALUE"""),"Yes")</f>
        <v>Yes</v>
      </c>
      <c r="F787" s="7" t="str">
        <f>IFERROR(__xludf.DUMMYFUNCTION("""COMPUTED_VALUE"""),"IP-Poster")</f>
        <v>IP-Poster</v>
      </c>
      <c r="G787" s="7" t="str">
        <f>IFERROR(__xludf.DUMMYFUNCTION("""COMPUTED_VALUE"""),"In-Person")</f>
        <v>In-Person</v>
      </c>
      <c r="H787" s="7" t="str">
        <f>IFERROR(__xludf.DUMMYFUNCTION("""COMPUTED_VALUE"""),"Hall 4/5")</f>
        <v>Hall 4/5</v>
      </c>
      <c r="I787" s="7" t="str">
        <f>IFERROR(__xludf.DUMMYFUNCTION("""COMPUTED_VALUE"""),"Session 5 :IP-Posters Find ")</f>
        <v>Session 5 :IP-Posters Find </v>
      </c>
      <c r="J787" s="7" t="str">
        <f>IFERROR(__xludf.DUMMYFUNCTION("""COMPUTED_VALUE"""),"Findings Posters - In-Person 1")</f>
        <v>Findings Posters - In-Person 1</v>
      </c>
      <c r="K787" s="7"/>
      <c r="L787" s="8">
        <f>IFERROR(__xludf.DUMMYFUNCTION("""COMPUTED_VALUE"""),45866.0)</f>
        <v>45866</v>
      </c>
      <c r="M787" s="7" t="str">
        <f>IFERROR(__xludf.DUMMYFUNCTION("""COMPUTED_VALUE"""),"18:00-19:30")</f>
        <v>18:00-19:30</v>
      </c>
      <c r="N787" s="7"/>
    </row>
    <row r="788">
      <c r="A788" s="7" t="str">
        <f>IFERROR(__xludf.DUMMYFUNCTION("""COMPUTED_VALUE"""),"2716-FIND")</f>
        <v>2716-FIND</v>
      </c>
      <c r="B788" s="7" t="str">
        <f>IFERROR(__xludf.DUMMYFUNCTION("""COMPUTED_VALUE"""),"ThinkGuard: Deliberative Slow Thinking Leads to Cautious Guardrails")</f>
        <v>ThinkGuard: Deliberative Slow Thinking Leads to Cautious Guardrails</v>
      </c>
      <c r="C788" s="7" t="str">
        <f>IFERROR(__xludf.DUMMYFUNCTION("""COMPUTED_VALUE"""),"Ensuring the safety of large language models (LLMs) is critical as they are deployed in real-world applications. Existing guardrails rely on rule-based filtering or single-pass classification, limiting their ability to handle nuanced safety violations. To"&amp;" address this, we propose ThinkGuard, a critique-augmented guardrail model that distills knowledge from high-capacity LLMs by generating structured critiques alongside safety labels. Fine-tuned on critique-augmented data, the captured deliberative thinkin"&amp;"g ability drastically enhances the guardrail's cautiousness and interpretability. Evaluated on multiple safety benchmarks, ThinkGuard achieves the highest average F1 and AUPRC, outperforming all baselines. Compared to LLaMA Guard 3, ThinkGuard improves ac"&amp;"curacy by 16.1% and macro F1 by 27.0%. Moreover, it surpasses label-only fine-tuned models, confirming that structured critiques enhance both classification precision and nuanced safety reasoning while maintaining computational efficiency.")</f>
        <v>Ensuring the safety of large language models (LLMs) is critical as they are deployed in real-world applications. Existing guardrails rely on rule-based filtering or single-pass classification, limiting their ability to handle nuanced safety violations. To address this, we propose ThinkGuard, a critique-augmented guardrail model that distills knowledge from high-capacity LLMs by generating structured critiques alongside safety labels. Fine-tuned on critique-augmented data, the captured deliberative thinking ability drastically enhances the guardrail's cautiousness and interpretability. Evaluated on multiple safety benchmarks, ThinkGuard achieves the highest average F1 and AUPRC, outperforming all baselines. Compared to LLaMA Guard 3, ThinkGuard improves accuracy by 16.1% and macro F1 by 27.0%. Moreover, it surpasses label-only fine-tuned models, confirming that structured critiques enhance both classification precision and nuanced safety reasoning while maintaining computational efficiency.</v>
      </c>
      <c r="D788" s="7" t="str">
        <f>IFERROR(__xludf.DUMMYFUNCTION("""COMPUTED_VALUE"""),"Xiaofei Wen")</f>
        <v>Xiaofei Wen</v>
      </c>
      <c r="E788" s="7" t="str">
        <f>IFERROR(__xludf.DUMMYFUNCTION("""COMPUTED_VALUE"""),"Yes")</f>
        <v>Yes</v>
      </c>
      <c r="F788" s="7" t="str">
        <f>IFERROR(__xludf.DUMMYFUNCTION("""COMPUTED_VALUE"""),"V-Presentation")</f>
        <v>V-Presentation</v>
      </c>
      <c r="G788" s="7" t="str">
        <f>IFERROR(__xludf.DUMMYFUNCTION("""COMPUTED_VALUE"""),"Virtual/Gather")</f>
        <v>Virtual/Gather</v>
      </c>
      <c r="H788" s="7" t="str">
        <f>IFERROR(__xludf.DUMMYFUNCTION("""COMPUTED_VALUE"""),"Gather")</f>
        <v>Gather</v>
      </c>
      <c r="I788" s="7" t="str">
        <f>IFERROR(__xludf.DUMMYFUNCTION("""COMPUTED_VALUE"""),"Session5: V-Gather Find")</f>
        <v>Session5: V-Gather Find</v>
      </c>
      <c r="J788" s="7" t="str">
        <f>IFERROR(__xludf.DUMMYFUNCTION("""COMPUTED_VALUE"""),"Findings Posters - Virtual")</f>
        <v>Findings Posters - Virtual</v>
      </c>
      <c r="K788" s="7"/>
      <c r="L788" s="8">
        <f>IFERROR(__xludf.DUMMYFUNCTION("""COMPUTED_VALUE"""),45866.0)</f>
        <v>45866</v>
      </c>
      <c r="M788" s="7" t="str">
        <f>IFERROR(__xludf.DUMMYFUNCTION("""COMPUTED_VALUE"""),"18:00-19:30")</f>
        <v>18:00-19:30</v>
      </c>
      <c r="N788" s="7"/>
    </row>
    <row r="789">
      <c r="A789" s="7" t="str">
        <f>IFERROR(__xludf.DUMMYFUNCTION("""COMPUTED_VALUE"""),"2721-FIND")</f>
        <v>2721-FIND</v>
      </c>
      <c r="B789" s="7" t="str">
        <f>IFERROR(__xludf.DUMMYFUNCTION("""COMPUTED_VALUE"""),"Neutralizing Bias in LLM Reasoning using Entailment Graphs")</f>
        <v>Neutralizing Bias in LLM Reasoning using Entailment Graphs</v>
      </c>
      <c r="C789" s="7" t="str">
        <f>IFERROR(__xludf.DUMMYFUNCTION("""COMPUTED_VALUE"""),"LLMs are often claimed to be capable of Natural Language Inference (NLI), which is widely regarded as a cornerstone of more complex forms of reasoning. However, recent works show that LLMs still suffer from hallucinations in NLI due to attestation bias, w"&amp;"here LLMs overly rely on propositional memory to build shortcuts. To solve the issue, we design an unsupervised framework to construct counterfactual reasoning data and fine-tune LLMs to reduce attestation bias. To measure bias reduction, we build bias-ad"&amp;"versarial variants of NLI datasets with randomly replaced predicates in premises while keeping hypotheses unchanged. Extensive evaluations show that our framework can significantly reduce hallucinations from attestation bias. Then, we further evaluate LLM"&amp;"s fine-tuned with our framework on original NLI datasets and their bias-neutralized versions, where original entities are replaced with randomly sampled ones. Extensive results show that our framework consistently improves inferential performance on both "&amp;"original and bias-neutralized NLI datasets.")</f>
        <v>LLMs are often claimed to be capable of Natural Language Inference (NLI), which is widely regarded as a cornerstone of more complex forms of reasoning. However, recent works show that LLMs still suffer from hallucinations in NLI due to attestation bias, where LLMs overly rely on propositional memory to build shortcuts. To solve the issue, we design an unsupervised framework to construct counterfactual reasoning data and fine-tune LLMs to reduce attestation bias. To measure bias reduction, we build bias-adversarial variants of NLI datasets with randomly replaced predicates in premises while keeping hypotheses unchanged. Extensive evaluations show that our framework can significantly reduce hallucinations from attestation bias. Then, we further evaluate LLMs fine-tuned with our framework on original NLI datasets and their bias-neutralized versions, where original entities are replaced with randomly sampled ones. Extensive results show that our framework consistently improves inferential performance on both original and bias-neutralized NLI datasets.</v>
      </c>
      <c r="D789" s="7" t="str">
        <f>IFERROR(__xludf.DUMMYFUNCTION("""COMPUTED_VALUE"""),"Liang Cheng")</f>
        <v>Liang Cheng</v>
      </c>
      <c r="E789" s="7" t="str">
        <f>IFERROR(__xludf.DUMMYFUNCTION("""COMPUTED_VALUE"""),"Yes")</f>
        <v>Yes</v>
      </c>
      <c r="F789" s="7" t="str">
        <f>IFERROR(__xludf.DUMMYFUNCTION("""COMPUTED_VALUE"""),"IP-Poster")</f>
        <v>IP-Poster</v>
      </c>
      <c r="G789" s="7" t="str">
        <f>IFERROR(__xludf.DUMMYFUNCTION("""COMPUTED_VALUE"""),"In-Person")</f>
        <v>In-Person</v>
      </c>
      <c r="H789" s="7" t="str">
        <f>IFERROR(__xludf.DUMMYFUNCTION("""COMPUTED_VALUE"""),"Hall 4/5")</f>
        <v>Hall 4/5</v>
      </c>
      <c r="I789" s="7" t="str">
        <f>IFERROR(__xludf.DUMMYFUNCTION("""COMPUTED_VALUE"""),"Session 5 :IP-Posters Find ")</f>
        <v>Session 5 :IP-Posters Find </v>
      </c>
      <c r="J789" s="7" t="str">
        <f>IFERROR(__xludf.DUMMYFUNCTION("""COMPUTED_VALUE"""),"Findings Posters - In-Person 1")</f>
        <v>Findings Posters - In-Person 1</v>
      </c>
      <c r="K789" s="7"/>
      <c r="L789" s="8">
        <f>IFERROR(__xludf.DUMMYFUNCTION("""COMPUTED_VALUE"""),45866.0)</f>
        <v>45866</v>
      </c>
      <c r="M789" s="7" t="str">
        <f>IFERROR(__xludf.DUMMYFUNCTION("""COMPUTED_VALUE"""),"18:00-19:30")</f>
        <v>18:00-19:30</v>
      </c>
      <c r="N789" s="7"/>
    </row>
    <row r="790">
      <c r="A790" s="7" t="str">
        <f>IFERROR(__xludf.DUMMYFUNCTION("""COMPUTED_VALUE"""),"2724-FIND")</f>
        <v>2724-FIND</v>
      </c>
      <c r="B790" s="7" t="str">
        <f>IFERROR(__xludf.DUMMYFUNCTION("""COMPUTED_VALUE"""),"Dynamic Steering With Episodic Memory For Large Language Models")</f>
        <v>Dynamic Steering With Episodic Memory For Large Language Models</v>
      </c>
      <c r="C790" s="7" t="str">
        <f>IFERROR(__xludf.DUMMYFUNCTION("""COMPUTED_VALUE"""),"Large Language Models (LLMs) exhibit emergent in-context learning (ICL) capabilities, allowing them to adapt to unseen tasks based on example demonstrations. Traditional ICL embeds examples within the prompt, while activation steering, uses a vector deriv"&amp;"ed from examples to guide the latent states of LLMs toward desired behaviors. However, traditional ICL is difficult to control quantitatively and consumes valuable context space. Existing activation steering methods apply a single sentence-level steering "&amp;"vector uniformly across all tokens, ignoring LLMs' token-wise, auto-regressive nature. This coarse control can lead to inconsistencies and suboptimal adjustments during generation. To address this problem, we introduce Dynamic Steering with Episodic Memor"&amp;"y (DSEM), a novel training-free framework that aligns LLMs to given demonstrations by steering at the token level conditioned on the input query. DSEM employs a key-value memory to store associations between generated tokens and steering vectors. During i"&amp;"nference, it uses a nearest-neighbor mechanism to dynamically compute steering vectors for each token chunk, enabling more precise and adaptive guidance. Our method surpasses strong baselines across diverse alignment tasks - including safety, style transf"&amp;"er, and role-playing - demonstrating improved alignment as demonstration size scales.")</f>
        <v>Large Language Models (LLMs) exhibit emergent in-context learning (ICL) capabilities, allowing them to adapt to unseen tasks based on example demonstrations. Traditional ICL embeds examples within the prompt, while activation steering, uses a vector derived from examples to guide the latent states of LLMs toward desired behaviors. However, traditional ICL is difficult to control quantitatively and consumes valuable context space. Existing activation steering methods apply a single sentence-level steering vector uniformly across all tokens, ignoring LLMs' token-wise, auto-regressive nature. This coarse control can lead to inconsistencies and suboptimal adjustments during generation. To address this problem, we introduce Dynamic Steering with Episodic Memory (DSEM), a novel training-free framework that aligns LLMs to given demonstrations by steering at the token level conditioned on the input query. DSEM employs a key-value memory to store associations between generated tokens and steering vectors. During inference, it uses a nearest-neighbor mechanism to dynamically compute steering vectors for each token chunk, enabling more precise and adaptive guidance. Our method surpasses strong baselines across diverse alignment tasks - including safety, style transfer, and role-playing - demonstrating improved alignment as demonstration size scales.</v>
      </c>
      <c r="D790" s="7" t="str">
        <f>IFERROR(__xludf.DUMMYFUNCTION("""COMPUTED_VALUE"""),"Van Dai Do")</f>
        <v>Van Dai Do</v>
      </c>
      <c r="E790" s="7" t="str">
        <f>IFERROR(__xludf.DUMMYFUNCTION("""COMPUTED_VALUE"""),"Yes")</f>
        <v>Yes</v>
      </c>
      <c r="F790" s="7" t="str">
        <f>IFERROR(__xludf.DUMMYFUNCTION("""COMPUTED_VALUE"""),"V-Presentation")</f>
        <v>V-Presentation</v>
      </c>
      <c r="G790" s="7" t="str">
        <f>IFERROR(__xludf.DUMMYFUNCTION("""COMPUTED_VALUE"""),"Virtual/Gather")</f>
        <v>Virtual/Gather</v>
      </c>
      <c r="H790" s="7" t="str">
        <f>IFERROR(__xludf.DUMMYFUNCTION("""COMPUTED_VALUE"""),"Gather")</f>
        <v>Gather</v>
      </c>
      <c r="I790" s="7" t="str">
        <f>IFERROR(__xludf.DUMMYFUNCTION("""COMPUTED_VALUE"""),"Session5: V-Gather Find")</f>
        <v>Session5: V-Gather Find</v>
      </c>
      <c r="J790" s="7" t="str">
        <f>IFERROR(__xludf.DUMMYFUNCTION("""COMPUTED_VALUE"""),"Findings Posters - Virtual")</f>
        <v>Findings Posters - Virtual</v>
      </c>
      <c r="K790" s="7"/>
      <c r="L790" s="8">
        <f>IFERROR(__xludf.DUMMYFUNCTION("""COMPUTED_VALUE"""),45866.0)</f>
        <v>45866</v>
      </c>
      <c r="M790" s="7" t="str">
        <f>IFERROR(__xludf.DUMMYFUNCTION("""COMPUTED_VALUE"""),"18:00-19:30")</f>
        <v>18:00-19:30</v>
      </c>
      <c r="N790" s="7"/>
    </row>
    <row r="791">
      <c r="A791" s="7" t="str">
        <f>IFERROR(__xludf.DUMMYFUNCTION("""COMPUTED_VALUE"""),"2726-FIND")</f>
        <v>2726-FIND</v>
      </c>
      <c r="B791" s="7" t="str">
        <f>IFERROR(__xludf.DUMMYFUNCTION("""COMPUTED_VALUE"""),"Eeyore: Realistic Depression Simulation via Expert-in-the-Loop Supervised and Preference Optimization")</f>
        <v>Eeyore: Realistic Depression Simulation via Expert-in-the-Loop Supervised and Preference Optimization</v>
      </c>
      <c r="C791" s="7" t="str">
        <f>IFERROR(__xludf.DUMMYFUNCTION("""COMPUTED_VALUE"""),"Large Language Models (LLMs) have been previously explored for mental healthcare training and therapy client simulation, but they still fall short in authentically capturing diverse client traits and psychological conditions. We introduce \textbf{Eeyore},"&amp;" an 8B model optimized for realistic depression simulation through a structured alignment framework, incorporating expert input at every stage. First, we systematically curate real-world depression-related conversations, extracting depressive traits to gu"&amp;"ide data filtering and psychological profile construction, and use this dataset to instruction-tune Eeyore for profile adherence. Next, to further enhance realism, Eeyore undergoes iterative preference optimization---first leveraging model-generated prefe"&amp;"rences and then calibrating with a small set of expert-annotated preferences. Throughout the entire pipeline, we actively collaborate with domain experts, developing interactive interfaces to validate trait extraction and iteratively refine structured psy"&amp;"chological profiles for clinically meaningful role-play customization. Despite its smaller model size, the Eeyore depression simulation outperforms GPT-4o with SOTA prompting strategies, both in linguistic authenticity and profile adherence.")</f>
        <v>Large Language Models (LLMs) have been previously explored for mental healthcare training and therapy client simulation, but they still fall short in authentically capturing diverse client traits and psychological conditions. We introduce \textbf{Eeyore}, an 8B model optimized for realistic depression simulation through a structured alignment framework, incorporating expert input at every stage. First, we systematically curate real-world depression-related conversations, extracting depressive traits to guide data filtering and psychological profile construction, and use this dataset to instruction-tune Eeyore for profile adherence. Next, to further enhance realism, Eeyore undergoes iterative preference optimization---first leveraging model-generated preferences and then calibrating with a small set of expert-annotated preferences. Throughout the entire pipeline, we actively collaborate with domain experts, developing interactive interfaces to validate trait extraction and iteratively refine structured psychological profiles for clinically meaningful role-play customization. Despite its smaller model size, the Eeyore depression simulation outperforms GPT-4o with SOTA prompting strategies, both in linguistic authenticity and profile adherence.</v>
      </c>
      <c r="D791" s="7" t="str">
        <f>IFERROR(__xludf.DUMMYFUNCTION("""COMPUTED_VALUE"""),"Siyang Liu")</f>
        <v>Siyang Liu</v>
      </c>
      <c r="E791" s="7" t="str">
        <f>IFERROR(__xludf.DUMMYFUNCTION("""COMPUTED_VALUE"""),"Yes")</f>
        <v>Yes</v>
      </c>
      <c r="F791" s="7" t="str">
        <f>IFERROR(__xludf.DUMMYFUNCTION("""COMPUTED_VALUE"""),"IP-Poster")</f>
        <v>IP-Poster</v>
      </c>
      <c r="G791" s="7" t="str">
        <f>IFERROR(__xludf.DUMMYFUNCTION("""COMPUTED_VALUE"""),"In-Person")</f>
        <v>In-Person</v>
      </c>
      <c r="H791" s="7" t="str">
        <f>IFERROR(__xludf.DUMMYFUNCTION("""COMPUTED_VALUE"""),"Hall 4/5")</f>
        <v>Hall 4/5</v>
      </c>
      <c r="I791" s="7" t="str">
        <f>IFERROR(__xludf.DUMMYFUNCTION("""COMPUTED_VALUE"""),"Session 5 :IP-Posters Find ")</f>
        <v>Session 5 :IP-Posters Find </v>
      </c>
      <c r="J791" s="7" t="str">
        <f>IFERROR(__xludf.DUMMYFUNCTION("""COMPUTED_VALUE"""),"Findings Posters - In-Person 1")</f>
        <v>Findings Posters - In-Person 1</v>
      </c>
      <c r="K791" s="7"/>
      <c r="L791" s="8">
        <f>IFERROR(__xludf.DUMMYFUNCTION("""COMPUTED_VALUE"""),45866.0)</f>
        <v>45866</v>
      </c>
      <c r="M791" s="7" t="str">
        <f>IFERROR(__xludf.DUMMYFUNCTION("""COMPUTED_VALUE"""),"18:00-19:30")</f>
        <v>18:00-19:30</v>
      </c>
      <c r="N791" s="7"/>
    </row>
    <row r="792">
      <c r="A792" s="7" t="str">
        <f>IFERROR(__xludf.DUMMYFUNCTION("""COMPUTED_VALUE"""),"2729-FIND")</f>
        <v>2729-FIND</v>
      </c>
      <c r="B792" s="7" t="str">
        <f>IFERROR(__xludf.DUMMYFUNCTION("""COMPUTED_VALUE"""),"Lost in Translation: Benchmarking Commercial Machine Translation Models for Dyslexic-Style Text")</f>
        <v>Lost in Translation: Benchmarking Commercial Machine Translation Models for Dyslexic-Style Text</v>
      </c>
      <c r="C792" s="7" t="str">
        <f>IFERROR(__xludf.DUMMYFUNCTION("""COMPUTED_VALUE"""),"Dyslexia can affect writing, leading to unique patterns such as letter and homophone swapping. As a result, text produced by people with dyslexia often differs from the text typically used to train natural language process (NLP) models, raising concerns a"&amp;"bout their effectiveness for dyslexic users. This paper examines the fairness of four commercial machine translation (MT) systems toward dyslexic text through a systematic audit using both synthetically generated dyslexic text and real writing from indivi"&amp;"duals with dyslexia. By programmatically introducing various dyslexic-style errors into the WMT dataset, we present insights on how dyslexia biases manifest in MT systems as the text becomes more dyslexic, especially with real-word errors. Our results she"&amp;"d light on the NLP biases affecting people with dyslexia -- a population often rely on NLP tools as assistive technologies, highlighting the needs for more diverse data and user representation in the development of foundational NLP models.")</f>
        <v>Dyslexia can affect writing, leading to unique patterns such as letter and homophone swapping. As a result, text produced by people with dyslexia often differs from the text typically used to train natural language process (NLP) models, raising concerns about their effectiveness for dyslexic users. This paper examines the fairness of four commercial machine translation (MT) systems toward dyslexic text through a systematic audit using both synthetically generated dyslexic text and real writing from individuals with dyslexia. By programmatically introducing various dyslexic-style errors into the WMT dataset, we present insights on how dyslexia biases manifest in MT systems as the text becomes more dyslexic, especially with real-word errors. Our results shed light on the NLP biases affecting people with dyslexia -- a population often rely on NLP tools as assistive technologies, highlighting the needs for more diverse data and user representation in the development of foundational NLP models.</v>
      </c>
      <c r="D792" s="7" t="str">
        <f>IFERROR(__xludf.DUMMYFUNCTION("""COMPUTED_VALUE"""),"N/A")</f>
        <v>N/A</v>
      </c>
      <c r="E792" s="7" t="str">
        <f>IFERROR(__xludf.DUMMYFUNCTION("""COMPUTED_VALUE"""),"#N/A")</f>
        <v>#N/A</v>
      </c>
      <c r="F792" s="7" t="str">
        <f>IFERROR(__xludf.DUMMYFUNCTION("""COMPUTED_VALUE"""),"Not Pres. ")</f>
        <v>Not Pres. </v>
      </c>
      <c r="G792" s="7" t="str">
        <f>IFERROR(__xludf.DUMMYFUNCTION("""COMPUTED_VALUE"""),"NP Findings Not Presenting ")</f>
        <v>NP Findings Not Presenting </v>
      </c>
      <c r="H792" s="7"/>
      <c r="I792" s="7" t="str">
        <f>IFERROR(__xludf.DUMMYFUNCTION("""COMPUTED_VALUE"""),"NP-Find")</f>
        <v>NP-Find</v>
      </c>
      <c r="J792" s="7"/>
      <c r="K792" s="7"/>
      <c r="L792" s="8"/>
      <c r="M792" s="7"/>
      <c r="N792" s="7"/>
    </row>
    <row r="793">
      <c r="A793" s="7" t="str">
        <f>IFERROR(__xludf.DUMMYFUNCTION("""COMPUTED_VALUE"""),"2730-FIND")</f>
        <v>2730-FIND</v>
      </c>
      <c r="B793" s="7" t="str">
        <f>IFERROR(__xludf.DUMMYFUNCTION("""COMPUTED_VALUE"""),"Divide-Verify-Refine: Can LLMs Self-align with Complex Instructions?")</f>
        <v>Divide-Verify-Refine: Can LLMs Self-align with Complex Instructions?</v>
      </c>
      <c r="C793" s="7" t="str">
        <f>IFERROR(__xludf.DUMMYFUNCTION("""COMPUTED_VALUE"""),"Recent studies show LLMs struggle with complex instructions involving multiple constraints (e.g., length, format, sentiment). Existing research enhances open-source LLMs using closed-source guidance (e.g., GPT-4), but this heavily relies on generated data"&amp;" quality. An alternative is leveraging LLMs' self-correction to refine responses for better constraint adherence. However, this is limited by the feedback quality, as we found LLMs cannot generate reliable feedback or detect errors. Moreover, the self-cor"&amp;"rection effectiveness relies on few-shot examples illustrating response modifications. As constraints in complex instructions are diverse, manually crafting such examples for each constraint type can be labor-intensive and sub-optimal. To address these tw"&amp;"o challenges, we propose the Divide-Verify-Refine (DVR) framework with three steps: (1) Divide complex instructions into single constraints and prepare appropriate tools; (2) Verify responses using tools that provide rigorous check and textual guidance (e"&amp;".g., Python scripts for format checks or pre-trained classifiers for content analysis); (3) Refine: To maximize refinement effectiveness, we propose dynamic few-shot prompting, where a refinement repository collects successful refinements, and these examp"&amp;"les are selectively retrieved for future refinements. Recognizing the lack of complexity in existing datasets, we create a new dataset of complex instructions. DVR doubles Llama3.1-8B's constraint adherence and triples Mistral-7B's performance.")</f>
        <v>Recent studies show LLMs struggle with complex instructions involving multiple constraints (e.g., length, format, sentiment). Existing research enhances open-source LLMs using closed-source guidance (e.g., GPT-4), but this heavily relies on generated data quality. An alternative is leveraging LLMs' self-correction to refine responses for better constraint adherence. However, this is limited by the feedback quality, as we found LLMs cannot generate reliable feedback or detect errors. Moreover, the self-correction effectiveness relies on few-shot examples illustrating response modifications. As constraints in complex instructions are diverse, manually crafting such examples for each constraint type can be labor-intensive and sub-optimal. To address these two challenges, we propose the Divide-Verify-Refine (DVR) framework with three steps: (1) Divide complex instructions into single constraints and prepare appropriate tools; (2) Verify responses using tools that provide rigorous check and textual guidance (e.g., Python scripts for format checks or pre-trained classifiers for content analysis); (3) Refine: To maximize refinement effectiveness, we propose dynamic few-shot prompting, where a refinement repository collects successful refinements, and these examples are selectively retrieved for future refinements. Recognizing the lack of complexity in existing datasets, we create a new dataset of complex instructions. DVR doubles Llama3.1-8B's constraint adherence and triples Mistral-7B's performance.</v>
      </c>
      <c r="D793" s="7" t="str">
        <f>IFERROR(__xludf.DUMMYFUNCTION("""COMPUTED_VALUE"""),"Xianren Zhang")</f>
        <v>Xianren Zhang</v>
      </c>
      <c r="E793" s="7" t="str">
        <f>IFERROR(__xludf.DUMMYFUNCTION("""COMPUTED_VALUE"""),"N/A")</f>
        <v>N/A</v>
      </c>
      <c r="F793" s="7" t="str">
        <f>IFERROR(__xludf.DUMMYFUNCTION("""COMPUTED_VALUE"""),"Not Pres. ")</f>
        <v>Not Pres. </v>
      </c>
      <c r="G793" s="7" t="str">
        <f>IFERROR(__xludf.DUMMYFUNCTION("""COMPUTED_VALUE"""),"NP Findings Not Presenting ")</f>
        <v>NP Findings Not Presenting </v>
      </c>
      <c r="H793" s="7"/>
      <c r="I793" s="7"/>
      <c r="J793" s="7"/>
      <c r="K793" s="7"/>
      <c r="L793" s="8"/>
      <c r="M793" s="7"/>
      <c r="N793" s="7"/>
    </row>
    <row r="794">
      <c r="A794" s="7" t="str">
        <f>IFERROR(__xludf.DUMMYFUNCTION("""COMPUTED_VALUE"""),"2731-FIND")</f>
        <v>2731-FIND</v>
      </c>
      <c r="B794" s="7" t="str">
        <f>IFERROR(__xludf.DUMMYFUNCTION("""COMPUTED_VALUE"""),"LlamaPIE: Proactive In-Ear Conversation Assistants")</f>
        <v>LlamaPIE: Proactive In-Ear Conversation Assistants</v>
      </c>
      <c r="C794" s="7" t="str">
        <f>IFERROR(__xludf.DUMMYFUNCTION("""COMPUTED_VALUE"""),"We introduce LlamaPIE, the first real-time proactive assistant designed to enhance human conversations through discreet, concise guidance delivered via hearable devices. Unlike traditional language models that require explicit user invocation, this assist"&amp;"ant operates in the background, anticipating user needs without interrupting conversations. We address several challenges, including determining when to respond, crafting concise responses that enhance conversations, leveraging knowledge of the user for c"&amp;"ontext-aware assistance, and real-time, on-device processing. To achieve this, we construct a semi-synthetic dialogue dataset and propose a two-model pipeline: a small model that decides when to respond and a larger model that generates the response. We e"&amp;"valuate our approach on real-world datasets, demonstrating its effectiveness in providing helpful, unobtrusive assistance. User studies with our assistant, implemented on Apple Silicon M2 hardware, show a strong preference for the proactive assistant over"&amp;" both a baseline with no assistance and a reactive model, highlighting the potential of LlamaPIE to enhance live conversations.")</f>
        <v>We introduce LlamaPIE, the first real-time proactive assistant designed to enhance human conversations through discreet, concise guidance delivered via hearable devices. Unlike traditional language models that require explicit user invocation, this assistant operates in the background, anticipating user needs without interrupting conversations. We address several challenges, including determining when to respond, crafting concise responses that enhance conversations, leveraging knowledge of the user for context-aware assistance, and real-time, on-device processing. To achieve this, we construct a semi-synthetic dialogue dataset and propose a two-model pipeline: a small model that decides when to respond and a larger model that generates the response. We evaluate our approach on real-world datasets, demonstrating its effectiveness in providing helpful, unobtrusive assistance. User studies with our assistant, implemented on Apple Silicon M2 hardware, show a strong preference for the proactive assistant over both a baseline with no assistance and a reactive model, highlighting the potential of LlamaPIE to enhance live conversations.</v>
      </c>
      <c r="D794" s="7" t="str">
        <f>IFERROR(__xludf.DUMMYFUNCTION("""COMPUTED_VALUE"""),"Nicholas Batchelder")</f>
        <v>Nicholas Batchelder</v>
      </c>
      <c r="E794" s="7" t="str">
        <f>IFERROR(__xludf.DUMMYFUNCTION("""COMPUTED_VALUE"""),"Yes")</f>
        <v>Yes</v>
      </c>
      <c r="F794" s="7" t="str">
        <f>IFERROR(__xludf.DUMMYFUNCTION("""COMPUTED_VALUE"""),"IP-Poster")</f>
        <v>IP-Poster</v>
      </c>
      <c r="G794" s="7" t="str">
        <f>IFERROR(__xludf.DUMMYFUNCTION("""COMPUTED_VALUE"""),"In-Person")</f>
        <v>In-Person</v>
      </c>
      <c r="H794" s="7" t="str">
        <f>IFERROR(__xludf.DUMMYFUNCTION("""COMPUTED_VALUE"""),"Hall 4/5")</f>
        <v>Hall 4/5</v>
      </c>
      <c r="I794" s="7" t="str">
        <f>IFERROR(__xludf.DUMMYFUNCTION("""COMPUTED_VALUE"""),"Session 10: IP-Posters")</f>
        <v>Session 10: IP-Posters</v>
      </c>
      <c r="J794" s="7" t="str">
        <f>IFERROR(__xludf.DUMMYFUNCTION("""COMPUTED_VALUE"""),"Findings Posters - In-Person 3")</f>
        <v>Findings Posters - In-Person 3</v>
      </c>
      <c r="K794" s="7"/>
      <c r="L794" s="8">
        <f>IFERROR(__xludf.DUMMYFUNCTION("""COMPUTED_VALUE"""),45867.0)</f>
        <v>45867</v>
      </c>
      <c r="M794" s="7" t="str">
        <f>IFERROR(__xludf.DUMMYFUNCTION("""COMPUTED_VALUE"""),"16:00-17:30")</f>
        <v>16:00-17:30</v>
      </c>
      <c r="N794" s="7"/>
    </row>
    <row r="795">
      <c r="A795" s="7" t="str">
        <f>IFERROR(__xludf.DUMMYFUNCTION("""COMPUTED_VALUE"""),"2733-FIND")</f>
        <v>2733-FIND</v>
      </c>
      <c r="B795" s="7" t="str">
        <f>IFERROR(__xludf.DUMMYFUNCTION("""COMPUTED_VALUE"""),"Task-Oriented Automatic Fact-Checking with Frame-Semantics")</f>
        <v>Task-Oriented Automatic Fact-Checking with Frame-Semantics</v>
      </c>
      <c r="C795" s="7" t="str">
        <f>IFERROR(__xludf.DUMMYFUNCTION("""COMPUTED_VALUE"""),"We propose a novel paradigm for automatic fact-checking that leverages frame semantics to enhance the structured understanding of claims and guide the process of fact-checking them. To support this, we introduce a pilot dataset of real-world claims extrac"&amp;"ted from PolitiFact, specifically annotated for large-scale structured data. This dataset underpins two case studies: the first investigates voting-related claims using the Vote semantic frame, while the second explores various semantic frames based on da"&amp;"ta sources from the Organisation for Economic Co-operation and Development (OECD). Our findings demonstrate the effectiveness of frame semantics in improving evidence retrieval and explainability for fact-checking. Finally, we conducted a survey of frames"&amp;" evoked in fact-checked claims, identifying high-impact frames to guide future work in this direction.")</f>
        <v>We propose a novel paradigm for automatic fact-checking that leverages frame semantics to enhance the structured understanding of claims and guide the process of fact-checking them. To support this, we introduce a pilot dataset of real-world claims extracted from PolitiFact, specifically annotated for large-scale structured data. This dataset underpins two case studies: the first investigates voting-related claims using the Vote semantic frame, while the second explores various semantic frames based on data sources from the Organisation for Economic Co-operation and Development (OECD). Our findings demonstrate the effectiveness of frame semantics in improving evidence retrieval and explainability for fact-checking. Finally, we conducted a survey of frames evoked in fact-checked claims, identifying high-impact frames to guide future work in this direction.</v>
      </c>
      <c r="D795" s="7" t="str">
        <f>IFERROR(__xludf.DUMMYFUNCTION("""COMPUTED_VALUE"""),"Jacob Devasier")</f>
        <v>Jacob Devasier</v>
      </c>
      <c r="E795" s="7" t="str">
        <f>IFERROR(__xludf.DUMMYFUNCTION("""COMPUTED_VALUE"""),"Yes")</f>
        <v>Yes</v>
      </c>
      <c r="F795" s="7" t="str">
        <f>IFERROR(__xludf.DUMMYFUNCTION("""COMPUTED_VALUE"""),"IP-Poster")</f>
        <v>IP-Poster</v>
      </c>
      <c r="G795" s="7" t="str">
        <f>IFERROR(__xludf.DUMMYFUNCTION("""COMPUTED_VALUE"""),"In-Person")</f>
        <v>In-Person</v>
      </c>
      <c r="H795" s="7" t="str">
        <f>IFERROR(__xludf.DUMMYFUNCTION("""COMPUTED_VALUE"""),"Hall 4/5")</f>
        <v>Hall 4/5</v>
      </c>
      <c r="I795" s="7" t="str">
        <f>IFERROR(__xludf.DUMMYFUNCTION("""COMPUTED_VALUE"""),"Session 5 :IP-Posters Find ")</f>
        <v>Session 5 :IP-Posters Find </v>
      </c>
      <c r="J795" s="7" t="str">
        <f>IFERROR(__xludf.DUMMYFUNCTION("""COMPUTED_VALUE"""),"Findings Posters - In-Person 1")</f>
        <v>Findings Posters - In-Person 1</v>
      </c>
      <c r="K795" s="7"/>
      <c r="L795" s="8">
        <f>IFERROR(__xludf.DUMMYFUNCTION("""COMPUTED_VALUE"""),45866.0)</f>
        <v>45866</v>
      </c>
      <c r="M795" s="7" t="str">
        <f>IFERROR(__xludf.DUMMYFUNCTION("""COMPUTED_VALUE"""),"18:00-19:30")</f>
        <v>18:00-19:30</v>
      </c>
      <c r="N795" s="7"/>
    </row>
    <row r="796">
      <c r="A796" s="7" t="str">
        <f>IFERROR(__xludf.DUMMYFUNCTION("""COMPUTED_VALUE"""),"2734-FIND")</f>
        <v>2734-FIND</v>
      </c>
      <c r="B796" s="7" t="str">
        <f>IFERROR(__xludf.DUMMYFUNCTION("""COMPUTED_VALUE"""),"Craw4LLM: Efficient Web Crawling for LLM Pretraining")</f>
        <v>Craw4LLM: Efficient Web Crawling for LLM Pretraining</v>
      </c>
      <c r="C796" s="7" t="str">
        <f>IFERROR(__xludf.DUMMYFUNCTION("""COMPUTED_VALUE"""),"Web crawl is a main source of large language models' (LLMs) pretraining data, but the majority of crawled web pages are discarded in pretraining due to low data quality. This paper presents Craw4LLM, an efficient web crawling method that explores the web "&amp;"graph based on the preference of LLM pretraining. Specifically, it leverages the influence of a webpage in LLM pretraining as the priority score of the web crawler's scheduler, replacing the standard graph connectivity based priority. Our experiments on a"&amp;" web graph containing 900 million webpages from a commercial search engine's index demonstrate the efficiency of Craw4LLM in obtaining high-quality pretraining data. With just 21% URLs crawled, LLMs pretrained on Craw4LLM data reach the same downstream pe"&amp;"rformances of previous crawls, significantly reducing the crawling waste and alleviating the burdens on websites. We will make our code publicly available.")</f>
        <v>Web crawl is a main source of large language models' (LLMs) pretraining data, but the majority of crawled web pages are discarded in pretraining due to low data quality. This paper presents Craw4LLM, an efficient web crawling method that explores the web graph based on the preference of LLM pretraining. Specifically, it leverages the influence of a webpage in LLM pretraining as the priority score of the web crawler's scheduler, replacing the standard graph connectivity based priority. Our experiments on a web graph containing 900 million webpages from a commercial search engine's index demonstrate the efficiency of Craw4LLM in obtaining high-quality pretraining data. With just 21% URLs crawled, LLMs pretrained on Craw4LLM data reach the same downstream performances of previous crawls, significantly reducing the crawling waste and alleviating the burdens on websites. We will make our code publicly available.</v>
      </c>
      <c r="D796" s="7" t="str">
        <f>IFERROR(__xludf.DUMMYFUNCTION("""COMPUTED_VALUE"""),"Shi Yu")</f>
        <v>Shi Yu</v>
      </c>
      <c r="E796" s="7" t="str">
        <f>IFERROR(__xludf.DUMMYFUNCTION("""COMPUTED_VALUE"""),"Yes")</f>
        <v>Yes</v>
      </c>
      <c r="F796" s="7" t="str">
        <f>IFERROR(__xludf.DUMMYFUNCTION("""COMPUTED_VALUE"""),"V-Presentation")</f>
        <v>V-Presentation</v>
      </c>
      <c r="G796" s="7" t="str">
        <f>IFERROR(__xludf.DUMMYFUNCTION("""COMPUTED_VALUE"""),"Virtual/Gather")</f>
        <v>Virtual/Gather</v>
      </c>
      <c r="H796" s="7" t="str">
        <f>IFERROR(__xludf.DUMMYFUNCTION("""COMPUTED_VALUE"""),"Gather")</f>
        <v>Gather</v>
      </c>
      <c r="I796" s="7" t="str">
        <f>IFERROR(__xludf.DUMMYFUNCTION("""COMPUTED_VALUE"""),"Session5: V-Gather Find")</f>
        <v>Session5: V-Gather Find</v>
      </c>
      <c r="J796" s="7" t="str">
        <f>IFERROR(__xludf.DUMMYFUNCTION("""COMPUTED_VALUE"""),"Findings Posters - Virtual")</f>
        <v>Findings Posters - Virtual</v>
      </c>
      <c r="K796" s="7"/>
      <c r="L796" s="8">
        <f>IFERROR(__xludf.DUMMYFUNCTION("""COMPUTED_VALUE"""),45866.0)</f>
        <v>45866</v>
      </c>
      <c r="M796" s="7" t="str">
        <f>IFERROR(__xludf.DUMMYFUNCTION("""COMPUTED_VALUE"""),"18:00-19:30")</f>
        <v>18:00-19:30</v>
      </c>
      <c r="N796" s="7"/>
    </row>
    <row r="797">
      <c r="A797" s="7" t="str">
        <f>IFERROR(__xludf.DUMMYFUNCTION("""COMPUTED_VALUE"""),"2736-FIND")</f>
        <v>2736-FIND</v>
      </c>
      <c r="B797" s="7" t="str">
        <f>IFERROR(__xludf.DUMMYFUNCTION("""COMPUTED_VALUE"""),"Be Cautious When Merging Unfamiliar LLMs: A Phishing Model Capable of Stealing Privacy")</f>
        <v>Be Cautious When Merging Unfamiliar LLMs: A Phishing Model Capable of Stealing Privacy</v>
      </c>
      <c r="C797" s="7" t="str">
        <f>IFERROR(__xludf.DUMMYFUNCTION("""COMPUTED_VALUE"""),"Model merging is a widespread technology in large language models (LLMs) that integrates multiple task-specific LLMs into a unified one, enabling the merged model to inherit the specialized capabilities of these LLMs. Most task-specific LLMs are sourced f"&amp;"rom open-source communities and have not undergone rigorous auditing, potentially imposing risks in model merging. This paper highlights an overlooked privacy risk: *an unsafe model could compromise the privacy of other LLMs involved in the model merging*"&amp;". Specifically, we propose *PhiMM*, a privacy attack approach that trains a phishing model capable of stealing privacy using a crafted privacy phishing instruction dataset. Furthermore, we introduce a novel model cloaking method that mimics a specialized "&amp;"capability to conceal attack intent, luring users into merging the phishing model. Once victims merge the phishing model, the attacker can extract personally identifiable information (PII) or infer membership information (MI) by querying the merged model "&amp;"with the phishing instruction. Experimental results show that merging a phishing model increases the risk of privacy breaches. Compared to the results before merging, PII leakage increased by 3.9\% and MI leakage increased by 17.4\% on average. We release"&amp;" the code of *PhiMM* through an anonymous link.")</f>
        <v>Model merging is a widespread technology in large language models (LLMs) that integrates multiple task-specific LLMs into a unified one, enabling the merged model to inherit the specialized capabilities of these LLMs. Most task-specific LLMs are sourced from open-source communities and have not undergone rigorous auditing, potentially imposing risks in model merging. This paper highlights an overlooked privacy risk: *an unsafe model could compromise the privacy of other LLMs involved in the model merging*. Specifically, we propose *PhiMM*, a privacy attack approach that trains a phishing model capable of stealing privacy using a crafted privacy phishing instruction dataset. Furthermore, we introduce a novel model cloaking method that mimics a specialized capability to conceal attack intent, luring users into merging the phishing model. Once victims merge the phishing model, the attacker can extract personally identifiable information (PII) or infer membership information (MI) by querying the merged model with the phishing instruction. Experimental results show that merging a phishing model increases the risk of privacy breaches. Compared to the results before merging, PII leakage increased by 3.9\% and MI leakage increased by 17.4\% on average. We release the code of *PhiMM* through an anonymous link.</v>
      </c>
      <c r="D797" s="7" t="str">
        <f>IFERROR(__xludf.DUMMYFUNCTION("""COMPUTED_VALUE"""),"Zhenyuan Guo")</f>
        <v>Zhenyuan Guo</v>
      </c>
      <c r="E797" s="7" t="str">
        <f>IFERROR(__xludf.DUMMYFUNCTION("""COMPUTED_VALUE"""),"#N/A")</f>
        <v>#N/A</v>
      </c>
      <c r="F797" s="7" t="str">
        <f>IFERROR(__xludf.DUMMYFUNCTION("""COMPUTED_VALUE"""),"Not Pres. ")</f>
        <v>Not Pres. </v>
      </c>
      <c r="G797" s="7" t="str">
        <f>IFERROR(__xludf.DUMMYFUNCTION("""COMPUTED_VALUE"""),"NP Findings Not Presenting ")</f>
        <v>NP Findings Not Presenting </v>
      </c>
      <c r="H797" s="7"/>
      <c r="I797" s="7" t="str">
        <f>IFERROR(__xludf.DUMMYFUNCTION("""COMPUTED_VALUE"""),"NP-Find")</f>
        <v>NP-Find</v>
      </c>
      <c r="J797" s="7"/>
      <c r="K797" s="7"/>
      <c r="L797" s="8"/>
      <c r="M797" s="7"/>
      <c r="N797" s="7"/>
    </row>
    <row r="798">
      <c r="A798" s="7" t="str">
        <f>IFERROR(__xludf.DUMMYFUNCTION("""COMPUTED_VALUE"""),"2740-FIND")</f>
        <v>2740-FIND</v>
      </c>
      <c r="B798" s="7" t="str">
        <f>IFERROR(__xludf.DUMMYFUNCTION("""COMPUTED_VALUE"""),"Understand User Opinions of Large Language Models via LLM-Powered In-the-Moment User Experience Interviews")</f>
        <v>Understand User Opinions of Large Language Models via LLM-Powered In-the-Moment User Experience Interviews</v>
      </c>
      <c r="C798" s="7" t="str">
        <f>IFERROR(__xludf.DUMMYFUNCTION("""COMPUTED_VALUE"""),"Which large language model (LLM) is better? Every evaluation tells a story, but what do users really think about current LLMs? This paper presents CLUE, an LLM-powered interviewer that conducts in-the-moment user experience interviews, right after users i"&amp;"nteracted with LLMs, and automatically gathers insights about user opinions from massive interview logs. We conduct a study with thousands of users to understand user opinions on mainstream LLMs, recruiting users to first chat with a target LLM and then i"&amp;"nterviewed by CLUE. Our experiments demonstrate that CLUE captures interesting user opinions, for example, the bipolar views on the displayed reasoning process of DeepSeek-R1 and demands for information freshness and multi-modality. Our collected chat-and"&amp;"-interview logs will be released.")</f>
        <v>Which large language model (LLM) is better? Every evaluation tells a story, but what do users really think about current LLMs? This paper presents CLUE, an LLM-powered interviewer that conducts in-the-moment user experience interviews, right after users interacted with LLMs, and automatically gathers insights about user opinions from massive interview logs. We conduct a study with thousands of users to understand user opinions on mainstream LLMs, recruiting users to first chat with a target LLM and then interviewed by CLUE. Our experiments demonstrate that CLUE captures interesting user opinions, for example, the bipolar views on the displayed reasoning process of DeepSeek-R1 and demands for information freshness and multi-modality. Our collected chat-and-interview logs will be released.</v>
      </c>
      <c r="D798" s="7" t="str">
        <f>IFERROR(__xludf.DUMMYFUNCTION("""COMPUTED_VALUE"""),"Tevin Wang")</f>
        <v>Tevin Wang</v>
      </c>
      <c r="E798" s="7" t="str">
        <f>IFERROR(__xludf.DUMMYFUNCTION("""COMPUTED_VALUE"""),"Yes")</f>
        <v>Yes</v>
      </c>
      <c r="F798" s="7" t="str">
        <f>IFERROR(__xludf.DUMMYFUNCTION("""COMPUTED_VALUE"""),"IP-Poster")</f>
        <v>IP-Poster</v>
      </c>
      <c r="G798" s="7" t="str">
        <f>IFERROR(__xludf.DUMMYFUNCTION("""COMPUTED_VALUE"""),"In-Person")</f>
        <v>In-Person</v>
      </c>
      <c r="H798" s="7" t="str">
        <f>IFERROR(__xludf.DUMMYFUNCTION("""COMPUTED_VALUE"""),"Hall 4/5")</f>
        <v>Hall 4/5</v>
      </c>
      <c r="I798" s="7" t="str">
        <f>IFERROR(__xludf.DUMMYFUNCTION("""COMPUTED_VALUE"""),"Session 5 :IP-Posters Find ")</f>
        <v>Session 5 :IP-Posters Find </v>
      </c>
      <c r="J798" s="7" t="str">
        <f>IFERROR(__xludf.DUMMYFUNCTION("""COMPUTED_VALUE"""),"Findings Posters - In-Person 1")</f>
        <v>Findings Posters - In-Person 1</v>
      </c>
      <c r="K798" s="7"/>
      <c r="L798" s="8">
        <f>IFERROR(__xludf.DUMMYFUNCTION("""COMPUTED_VALUE"""),45866.0)</f>
        <v>45866</v>
      </c>
      <c r="M798" s="7" t="str">
        <f>IFERROR(__xludf.DUMMYFUNCTION("""COMPUTED_VALUE"""),"18:00-19:30")</f>
        <v>18:00-19:30</v>
      </c>
      <c r="N798" s="7"/>
    </row>
    <row r="799">
      <c r="A799" s="7" t="str">
        <f>IFERROR(__xludf.DUMMYFUNCTION("""COMPUTED_VALUE"""),"2751-FIND")</f>
        <v>2751-FIND</v>
      </c>
      <c r="B799" s="7" t="str">
        <f>IFERROR(__xludf.DUMMYFUNCTION("""COMPUTED_VALUE"""),"HiCOT: Improving Neural Topic Models via Optimal Transport and Contrastive Learning")</f>
        <v>HiCOT: Improving Neural Topic Models via Optimal Transport and Contrastive Learning</v>
      </c>
      <c r="C799" s="7" t="str">
        <f>IFERROR(__xludf.DUMMYFUNCTION("""COMPUTED_VALUE"""),"Recent advances in neural topic models (NTMs) have improved topic quality but still face challenges: weak document-topic alignment, high inference costs due to large pretrained language models (PLMs), and limited modeling of hierarchical topic structures."&amp;" To address these issues, we introduce HiCOT (Hierarchical Clustering and Contrastive Learning with Optimal Transport for Neural Topic Modeling), a novel framework that enhances topic coherence and efficiency. HiCOT integrates Optimal Transport to refine "&amp;"document-topic relationships using compact PLM-based embeddings, captures semantic structure of the documents. Additionally, it employs hierarchical clustering combine with contrastive learning to disentangle topic-word and topic-topic relationships, ensu"&amp;"ring clearer structure and better coherence. Experimental results on multiple benchmark datasets demonstrate HiCOT's superior effectiveness over existing NTMs in topic coherence, topic performance, representation quality, and computational efficiency.")</f>
        <v>Recent advances in neural topic models (NTMs) have improved topic quality but still face challenges: weak document-topic alignment, high inference costs due to large pretrained language models (PLMs), and limited modeling of hierarchical topic structures. To address these issues, we introduce HiCOT (Hierarchical Clustering and Contrastive Learning with Optimal Transport for Neural Topic Modeling), a novel framework that enhances topic coherence and efficiency. HiCOT integrates Optimal Transport to refine document-topic relationships using compact PLM-based embeddings, captures semantic structure of the documents. Additionally, it employs hierarchical clustering combine with contrastive learning to disentangle topic-word and topic-topic relationships, ensuring clearer structure and better coherence. Experimental results on multiple benchmark datasets demonstrate HiCOT's superior effectiveness over existing NTMs in topic coherence, topic performance, representation quality, and computational efficiency.</v>
      </c>
      <c r="D799" s="7" t="str">
        <f>IFERROR(__xludf.DUMMYFUNCTION("""COMPUTED_VALUE"""),"Thien Huu Nguyen")</f>
        <v>Thien Huu Nguyen</v>
      </c>
      <c r="E799" s="7" t="str">
        <f>IFERROR(__xludf.DUMMYFUNCTION("""COMPUTED_VALUE"""),"#N/A")</f>
        <v>#N/A</v>
      </c>
      <c r="F799" s="7" t="str">
        <f>IFERROR(__xludf.DUMMYFUNCTION("""COMPUTED_VALUE"""),"Not Pres. ")</f>
        <v>Not Pres. </v>
      </c>
      <c r="G799" s="7" t="str">
        <f>IFERROR(__xludf.DUMMYFUNCTION("""COMPUTED_VALUE"""),"NP Findings Not Presenting ")</f>
        <v>NP Findings Not Presenting </v>
      </c>
      <c r="H799" s="7"/>
      <c r="I799" s="7" t="str">
        <f>IFERROR(__xludf.DUMMYFUNCTION("""COMPUTED_VALUE"""),"NP-Find")</f>
        <v>NP-Find</v>
      </c>
      <c r="J799" s="7"/>
      <c r="K799" s="7"/>
      <c r="L799" s="8"/>
      <c r="M799" s="7"/>
      <c r="N799" s="7"/>
    </row>
    <row r="800">
      <c r="A800" s="7" t="str">
        <f>IFERROR(__xludf.DUMMYFUNCTION("""COMPUTED_VALUE"""),"2755-FIND")</f>
        <v>2755-FIND</v>
      </c>
      <c r="B800" s="7" t="str">
        <f>IFERROR(__xludf.DUMMYFUNCTION("""COMPUTED_VALUE"""),"FLAG-TRADER: Fusion LLM-Agent with Gradient-based Reinforcement Learning for Financial Trading")</f>
        <v>FLAG-TRADER: Fusion LLM-Agent with Gradient-based Reinforcement Learning for Financial Trading</v>
      </c>
      <c r="C800" s="7" t="str">
        <f>IFERROR(__xludf.DUMMYFUNCTION("""COMPUTED_VALUE"""),"Large language models (LLMs) fine-tuned on multimodal financial data have demonstrated impressive reasoning capabilities in various financial tasks. However, they often struggle with multi-step, goal-oriented scenarios in interactive financial markets, su"&amp;"ch as trading, where complex agentic approaches are required to improve decision-making. To address this, we propose \textsc{FLAG-Trader}, a unified architecture integrating linguistic processing (via LLMs) with gradient-driven reinforcement learning (RL)"&amp;" policy optimization, in which a partially fine-tuned LLM acts as the policy network, leveraging pre-trained knowledge while adapting to the financial domain through parameter-efficient fine-tuning. Through policy gradient optimization driven by trading r"&amp;"ewards, our framework not only enhances LLM performance in trading but also improves results on other financial-domain tasks. We present extensive empirical evidence to validate these enhancements.")</f>
        <v>Large language models (LLMs) fine-tuned on multimodal financial data have demonstrated impressive reasoning capabilities in various financial tasks. However, they often struggle with multi-step, goal-oriented scenarios in interactive financial markets, such as trading, where complex agentic approaches are required to improve decision-making. To address this, we propose \textsc{FLAG-Trader}, a unified architecture integrating linguistic processing (via LLMs) with gradient-driven reinforcement learning (RL) policy optimization, in which a partially fine-tuned LLM acts as the policy network, leveraging pre-trained knowledge while adapting to the financial domain through parameter-efficient fine-tuning. Through policy gradient optimization driven by trading rewards, our framework not only enhances LLM performance in trading but also improves results on other financial-domain tasks. We present extensive empirical evidence to validate these enhancements.</v>
      </c>
      <c r="D800" s="7" t="str">
        <f>IFERROR(__xludf.DUMMYFUNCTION("""COMPUTED_VALUE"""),"NA")</f>
        <v>NA</v>
      </c>
      <c r="E800" s="7" t="str">
        <f>IFERROR(__xludf.DUMMYFUNCTION("""COMPUTED_VALUE"""),"Yes")</f>
        <v>Yes</v>
      </c>
      <c r="F800" s="7" t="str">
        <f>IFERROR(__xludf.DUMMYFUNCTION("""COMPUTED_VALUE"""),"Not Pres. ")</f>
        <v>Not Pres. </v>
      </c>
      <c r="G800" s="7" t="str">
        <f>IFERROR(__xludf.DUMMYFUNCTION("""COMPUTED_VALUE"""),"NP Findings Not Presenting ")</f>
        <v>NP Findings Not Presenting </v>
      </c>
      <c r="H800" s="7"/>
      <c r="I800" s="7"/>
      <c r="J800" s="7"/>
      <c r="K800" s="7"/>
      <c r="L800" s="8"/>
      <c r="M800" s="7"/>
      <c r="N800" s="7"/>
    </row>
    <row r="801">
      <c r="A801" s="7" t="str">
        <f>IFERROR(__xludf.DUMMYFUNCTION("""COMPUTED_VALUE"""),"2758-FIND")</f>
        <v>2758-FIND</v>
      </c>
      <c r="B801" s="7" t="str">
        <f>IFERROR(__xludf.DUMMYFUNCTION("""COMPUTED_VALUE"""),"The Silent Saboteur: Imperceptible Adversarial Attacks against Black-Box Retrieval-Augmented Generation Systems")</f>
        <v>The Silent Saboteur: Imperceptible Adversarial Attacks against Black-Box Retrieval-Augmented Generation Systems</v>
      </c>
      <c r="C801" s="7" t="str">
        <f>IFERROR(__xludf.DUMMYFUNCTION("""COMPUTED_VALUE"""),"We explore adversarial attacks against retrieval-augmented generation (RAG) systems to identify their vulnerabilities. We focus on generating human-imperceptible adversarial examples and introduce a novel imperceptible retrieve-to-generate attack against "&amp;"RAG. This task aims to find imperceptible perturbations that retrieve a target document, originally excluded from the initial top-k candidate set, in order to influence the final answer generation. To address this task, we propose ReGENT, a reinforcement "&amp;"learning-based framework that tracks interactions between the attacker and the target RAG and continuously refines attack strategies based on relevance-generation-naturalness rewards. Experiments on newly constructed factual and non-factual question-answe"&amp;"ring benchmarks demonstrate that ReGENT significantly outperforms existing attack methods in misleading RAG systems with small imperceptible text perturbations.")</f>
        <v>We explore adversarial attacks against retrieval-augmented generation (RAG) systems to identify their vulnerabilities. We focus on generating human-imperceptible adversarial examples and introduce a novel imperceptible retrieve-to-generate attack against RAG. This task aims to find imperceptible perturbations that retrieve a target document, originally excluded from the initial top-k candidate set, in order to influence the final answer generation. To address this task, we propose ReGENT, a reinforcement learning-based framework that tracks interactions between the attacker and the target RAG and continuously refines attack strategies based on relevance-generation-naturalness rewards. Experiments on newly constructed factual and non-factual question-answering benchmarks demonstrate that ReGENT significantly outperforms existing attack methods in misleading RAG systems with small imperceptible text perturbations.</v>
      </c>
      <c r="D801" s="7" t="str">
        <f>IFERROR(__xludf.DUMMYFUNCTION("""COMPUTED_VALUE"""),"we do not plan to present")</f>
        <v>we do not plan to present</v>
      </c>
      <c r="E801" s="7" t="str">
        <f>IFERROR(__xludf.DUMMYFUNCTION("""COMPUTED_VALUE"""),"#N/A")</f>
        <v>#N/A</v>
      </c>
      <c r="F801" s="7" t="str">
        <f>IFERROR(__xludf.DUMMYFUNCTION("""COMPUTED_VALUE"""),"Not Pres. ")</f>
        <v>Not Pres. </v>
      </c>
      <c r="G801" s="7" t="str">
        <f>IFERROR(__xludf.DUMMYFUNCTION("""COMPUTED_VALUE"""),"NP Findings Not Presenting ")</f>
        <v>NP Findings Not Presenting </v>
      </c>
      <c r="H801" s="7"/>
      <c r="I801" s="7" t="str">
        <f>IFERROR(__xludf.DUMMYFUNCTION("""COMPUTED_VALUE"""),"NP-Find")</f>
        <v>NP-Find</v>
      </c>
      <c r="J801" s="7"/>
      <c r="K801" s="7"/>
      <c r="L801" s="8"/>
      <c r="M801" s="7"/>
      <c r="N801" s="7"/>
    </row>
    <row r="802">
      <c r="A802" s="7" t="str">
        <f>IFERROR(__xludf.DUMMYFUNCTION("""COMPUTED_VALUE"""),"2764-FIND")</f>
        <v>2764-FIND</v>
      </c>
      <c r="B802" s="7" t="str">
        <f>IFERROR(__xludf.DUMMYFUNCTION("""COMPUTED_VALUE"""),"CROSSAGENTIE: Cross-Type and Cross-Task Multi-Agent LLM Collaboration for Zero-Shot Information Extraction")</f>
        <v>CROSSAGENTIE: Cross-Type and Cross-Task Multi-Agent LLM Collaboration for Zero-Shot Information Extraction</v>
      </c>
      <c r="C802" s="7" t="str">
        <f>IFERROR(__xludf.DUMMYFUNCTION("""COMPUTED_VALUE"""),"Large language models (LLMs) excel in generating unstructured text. However, they struggle with producing structured output while maintaining accuracy in zero-shot information extraction (IE), such as named entity recognition (NER) and relation extraction"&amp;" (RE). To address these challenges, we propose CROSSAGENTIE, a multi-agent framework that enhances zero-shot IE through multi-agent LLM collaboration. CROSSAGENTIE refines LLM predictions iteratively through two mechanisms: intra-group cross-type debate, "&amp;"which resolves entity-label conflicts through context-based evidence and confidence aggregation, and inter-group cross-task debate, where NER and RE mutually refine outputs via bidirectional feedback. Furthermore, we introduce template fine-tuning, distil"&amp;"ling high-confidence multi-agent outputs into a single model, significantly reducing inference cost while preserving accuracy. Experiments across five NER and five RE datasets show that CROSSAGENTIE significantly outperforms state-of-the-art zero-shot bas"&amp;"elines by a large margin. CROSSAGENTIE effectively addresses LLMs limitations in structured prediction with an effective and efficient approach for zero-shot information extraction.")</f>
        <v>Large language models (LLMs) excel in generating unstructured text. However, they struggle with producing structured output while maintaining accuracy in zero-shot information extraction (IE), such as named entity recognition (NER) and relation extraction (RE). To address these challenges, we propose CROSSAGENTIE, a multi-agent framework that enhances zero-shot IE through multi-agent LLM collaboration. CROSSAGENTIE refines LLM predictions iteratively through two mechanisms: intra-group cross-type debate, which resolves entity-label conflicts through context-based evidence and confidence aggregation, and inter-group cross-task debate, where NER and RE mutually refine outputs via bidirectional feedback. Furthermore, we introduce template fine-tuning, distilling high-confidence multi-agent outputs into a single model, significantly reducing inference cost while preserving accuracy. Experiments across five NER and five RE datasets show that CROSSAGENTIE significantly outperforms state-of-the-art zero-shot baselines by a large margin. CROSSAGENTIE effectively addresses LLMs limitations in structured prediction with an effective and efficient approach for zero-shot information extraction.</v>
      </c>
      <c r="D802" s="7" t="str">
        <f>IFERROR(__xludf.DUMMYFUNCTION("""COMPUTED_VALUE"""),"Meng Lu")</f>
        <v>Meng Lu</v>
      </c>
      <c r="E802" s="7" t="str">
        <f>IFERROR(__xludf.DUMMYFUNCTION("""COMPUTED_VALUE"""),"Yes")</f>
        <v>Yes</v>
      </c>
      <c r="F802" s="7" t="str">
        <f>IFERROR(__xludf.DUMMYFUNCTION("""COMPUTED_VALUE"""),"V-Presentation")</f>
        <v>V-Presentation</v>
      </c>
      <c r="G802" s="7" t="str">
        <f>IFERROR(__xludf.DUMMYFUNCTION("""COMPUTED_VALUE"""),"Virtual/Gather")</f>
        <v>Virtual/Gather</v>
      </c>
      <c r="H802" s="7" t="str">
        <f>IFERROR(__xludf.DUMMYFUNCTION("""COMPUTED_VALUE"""),"Gather")</f>
        <v>Gather</v>
      </c>
      <c r="I802" s="7" t="str">
        <f>IFERROR(__xludf.DUMMYFUNCTION("""COMPUTED_VALUE"""),"Session5: V-Gather Find")</f>
        <v>Session5: V-Gather Find</v>
      </c>
      <c r="J802" s="7" t="str">
        <f>IFERROR(__xludf.DUMMYFUNCTION("""COMPUTED_VALUE"""),"Findings Posters - Virtual")</f>
        <v>Findings Posters - Virtual</v>
      </c>
      <c r="K802" s="7"/>
      <c r="L802" s="8">
        <f>IFERROR(__xludf.DUMMYFUNCTION("""COMPUTED_VALUE"""),45866.0)</f>
        <v>45866</v>
      </c>
      <c r="M802" s="7" t="str">
        <f>IFERROR(__xludf.DUMMYFUNCTION("""COMPUTED_VALUE"""),"18:00-19:30")</f>
        <v>18:00-19:30</v>
      </c>
      <c r="N802" s="7"/>
    </row>
    <row r="803">
      <c r="A803" s="7" t="str">
        <f>IFERROR(__xludf.DUMMYFUNCTION("""COMPUTED_VALUE"""),"2774-FIND")</f>
        <v>2774-FIND</v>
      </c>
      <c r="B803" s="7" t="str">
        <f>IFERROR(__xludf.DUMMYFUNCTION("""COMPUTED_VALUE"""),"Decoupling Memories, Muting Neurons: Towards Practical Machine Unlearning for Large Language Models")</f>
        <v>Decoupling Memories, Muting Neurons: Towards Practical Machine Unlearning for Large Language Models</v>
      </c>
      <c r="C803" s="7" t="str">
        <f>IFERROR(__xludf.DUMMYFUNCTION("""COMPUTED_VALUE"""),"Machine Unlearning (MU) has emerged as a promising solution for removing the influence of data that an owner wishes to unlearn from Large Language Models (LLMs). However, existing MU methods, which require tuning the entire model parameters on the unlearn"&amp;"ed data with random labels or perturbed gradients, significantly degrade model utility, especially given the difficulty of accessing the original training data. This presents a key challenge: how can we achieve MU using only the unlearned data while prese"&amp;"rving model utility?
In this paper, we propose NeuMuter, a simple but effective MU method that eliminates the influence of unlearned data from LLMs by modulating  the outputs of merely 1% of the neurons in the feed-forward network (FFN) modules within the"&amp;" Transformer blocks, minimizing disruption to the model’s performance. We design a trainable masking scheme  that decouples the memorization of different training data within the neurons of LLMs, allowing us to precisely identify and modify neurons associ"&amp;"ated with the unlearned data. Through comprehensive evaluations on two benchmarks across four different LLMs, we demonstrate that modifying the outputs of  a few fraction of the total neurons can effectively achieve MU while preserving the model’s utility"&amp;" across downstream tasks.")</f>
        <v>Machine Unlearning (MU) has emerged as a promising solution for removing the influence of data that an owner wishes to unlearn from Large Language Models (LLMs). However, existing MU methods, which require tuning the entire model parameters on the unlearned data with random labels or perturbed gradients, significantly degrade model utility, especially given the difficulty of accessing the original training data. This presents a key challenge: how can we achieve MU using only the unlearned data while preserving model utility?
In this paper, we propose NeuMuter, a simple but effective MU method that eliminates the influence of unlearned data from LLMs by modulating  the outputs of merely 1% of the neurons in the feed-forward network (FFN) modules within the Transformer blocks, minimizing disruption to the model’s performance. We design a trainable masking scheme  that decouples the memorization of different training data within the neurons of LLMs, allowing us to precisely identify and modify neurons associated with the unlearned data. Through comprehensive evaluations on two benchmarks across four different LLMs, we demonstrate that modifying the outputs of  a few fraction of the total neurons can effectively achieve MU while preserving the model’s utility across downstream tasks.</v>
      </c>
      <c r="D803" s="7" t="str">
        <f>IFERROR(__xludf.DUMMYFUNCTION("""COMPUTED_VALUE"""),"NA")</f>
        <v>NA</v>
      </c>
      <c r="E803" s="7" t="str">
        <f>IFERROR(__xludf.DUMMYFUNCTION("""COMPUTED_VALUE"""),"#N/A")</f>
        <v>#N/A</v>
      </c>
      <c r="F803" s="7" t="str">
        <f>IFERROR(__xludf.DUMMYFUNCTION("""COMPUTED_VALUE"""),"Not Pres. ")</f>
        <v>Not Pres. </v>
      </c>
      <c r="G803" s="7" t="str">
        <f>IFERROR(__xludf.DUMMYFUNCTION("""COMPUTED_VALUE"""),"NP Findings Not Presenting ")</f>
        <v>NP Findings Not Presenting </v>
      </c>
      <c r="H803" s="7"/>
      <c r="I803" s="7" t="str">
        <f>IFERROR(__xludf.DUMMYFUNCTION("""COMPUTED_VALUE"""),"NP-Find")</f>
        <v>NP-Find</v>
      </c>
      <c r="J803" s="7"/>
      <c r="K803" s="7"/>
      <c r="L803" s="8"/>
      <c r="M803" s="7"/>
      <c r="N803" s="7"/>
    </row>
    <row r="804">
      <c r="A804" s="7" t="str">
        <f>IFERROR(__xludf.DUMMYFUNCTION("""COMPUTED_VALUE"""),"2786-FIND")</f>
        <v>2786-FIND</v>
      </c>
      <c r="B804" s="7" t="str">
        <f>IFERROR(__xludf.DUMMYFUNCTION("""COMPUTED_VALUE"""),"Assimilation and Accommodation: Task-Adaptive Hierarchical Abstraction for Solving Web Tasks")</f>
        <v>Assimilation and Accommodation: Task-Adaptive Hierarchical Abstraction for Solving Web Tasks</v>
      </c>
      <c r="C804" s="7" t="str">
        <f>IFERROR(__xludf.DUMMYFUNCTION("""COMPUTED_VALUE"""),"Web tasks, which involve processing data from online resources, challenge agents to generalize beyond fixed knowledge to unseen task contexts. Learning from experience, the ability to derive reusable patterns from past tasks, is crucial for improving gene"&amp;"ralization. However, existing methods focus on summarizing workflows, i.e., common sub-routines, which may introduce excessive low-level details that distract models. Additionally, the absence of task-specific objectives can lead to inconsistencies betwee"&amp;"n workflows and future task queries, hindering reasoning performance. This paper seeks to mitigate these issues by proposing A2, a framework that derives task-adaptive hierarchical abstraction to enhance web task reasoning. Our approach first extracts gen"&amp;"eral-purpose semantic abstraction from past task-solution pairs. Combined with the next task query, this abstraction forms a task-adaptive episodic abstraction that guides subsequent reasoning. Experiments show that A2 achieves superior performance with c"&amp;"ompetitive cost-efficiency, improving success rates by 0.7% on Mind2web and 4.6% on Webarena.")</f>
        <v>Web tasks, which involve processing data from online resources, challenge agents to generalize beyond fixed knowledge to unseen task contexts. Learning from experience, the ability to derive reusable patterns from past tasks, is crucial for improving generalization. However, existing methods focus on summarizing workflows, i.e., common sub-routines, which may introduce excessive low-level details that distract models. Additionally, the absence of task-specific objectives can lead to inconsistencies between workflows and future task queries, hindering reasoning performance. This paper seeks to mitigate these issues by proposing A2, a framework that derives task-adaptive hierarchical abstraction to enhance web task reasoning. Our approach first extracts general-purpose semantic abstraction from past task-solution pairs. Combined with the next task query, this abstraction forms a task-adaptive episodic abstraction that guides subsequent reasoning. Experiments show that A2 achieves superior performance with competitive cost-efficiency, improving success rates by 0.7% on Mind2web and 4.6% on Webarena.</v>
      </c>
      <c r="D804" s="7" t="str">
        <f>IFERROR(__xludf.DUMMYFUNCTION("""COMPUTED_VALUE"""),"Xinyu Pang")</f>
        <v>Xinyu Pang</v>
      </c>
      <c r="E804" s="7" t="str">
        <f>IFERROR(__xludf.DUMMYFUNCTION("""COMPUTED_VALUE"""),"#N/A")</f>
        <v>#N/A</v>
      </c>
      <c r="F804" s="7" t="str">
        <f>IFERROR(__xludf.DUMMYFUNCTION("""COMPUTED_VALUE"""),"Not Pres. ")</f>
        <v>Not Pres. </v>
      </c>
      <c r="G804" s="7" t="str">
        <f>IFERROR(__xludf.DUMMYFUNCTION("""COMPUTED_VALUE"""),"NP Findings Not Presenting ")</f>
        <v>NP Findings Not Presenting </v>
      </c>
      <c r="H804" s="7"/>
      <c r="I804" s="7" t="str">
        <f>IFERROR(__xludf.DUMMYFUNCTION("""COMPUTED_VALUE"""),"NP-Find")</f>
        <v>NP-Find</v>
      </c>
      <c r="J804" s="7"/>
      <c r="K804" s="7"/>
      <c r="L804" s="8"/>
      <c r="M804" s="7"/>
      <c r="N804" s="7"/>
    </row>
    <row r="805">
      <c r="A805" s="7" t="str">
        <f>IFERROR(__xludf.DUMMYFUNCTION("""COMPUTED_VALUE"""),"2787-FIND")</f>
        <v>2787-FIND</v>
      </c>
      <c r="B805" s="7" t="str">
        <f>IFERROR(__xludf.DUMMYFUNCTION("""COMPUTED_VALUE"""),"SafeLawBench: Towards Safe Alignment of Large Language Models")</f>
        <v>SafeLawBench: Towards Safe Alignment of Large Language Models</v>
      </c>
      <c r="C805" s="7" t="str">
        <f>IFERROR(__xludf.DUMMYFUNCTION("""COMPUTED_VALUE"""),"With the growing prevalence of large language models (LLMs), the safety of LLMs has raised significant concerns. However, evaluating their safety is still lack of definitive standards due to the subjective nature of current safety benchmarks. To address t"&amp;"his gap, we conducted the first exploration of LLMs safety evaluation from a legal perspective by proposing the SafeLawBench benchmark. The SafeLawBench categorizes safety risks into three levels based on legal standards, providing a systematic and compre"&amp;"hensive framework for evaluation. It comprises 24,860 multi-choice questions and 1,107 open-domain question-answering (QA) tasks. Our evaluation encompassed 17 LLMs using both zero-shot and few-shot prompting, highlighting the advantages of closed-source "&amp;"models over open-source ones. We also evaluated the safety-related reasoning stability of the LLMs and their refusal behavior. Additionally, we found that a majority voting mechanism can enhance model performance. Notably, even leading SOTA models like GP"&amp;"T-4o and Claude-3.5-Sonnet have not exceeded 80.3% performance, while the average performance of 17 LLMs remains at 67% on SafeLawBench. We urge the community to prioritize research on the safety of LLMs.")</f>
        <v>With the growing prevalence of large language models (LLMs), the safety of LLMs has raised significant concerns. However, evaluating their safety is still lack of definitive standards due to the subjective nature of current safety benchmarks. To address this gap, we conducted the first exploration of LLMs safety evaluation from a legal perspective by proposing the SafeLawBench benchmark. The SafeLawBench categorizes safety risks into three levels based on legal standards, providing a systematic and comprehensive framework for evaluation. It comprises 24,860 multi-choice questions and 1,107 open-domain question-answering (QA) tasks. Our evaluation encompassed 17 LLMs using both zero-shot and few-shot prompting, highlighting the advantages of closed-source models over open-source ones. We also evaluated the safety-related reasoning stability of the LLMs and their refusal behavior. Additionally, we found that a majority voting mechanism can enhance model performance. Notably, even leading SOTA models like GPT-4o and Claude-3.5-Sonnet have not exceeded 80.3% performance, while the average performance of 17 LLMs remains at 67% on SafeLawBench. We urge the community to prioritize research on the safety of LLMs.</v>
      </c>
      <c r="D805" s="7" t="str">
        <f>IFERROR(__xludf.DUMMYFUNCTION("""COMPUTED_VALUE"""),"Chuxue Cao")</f>
        <v>Chuxue Cao</v>
      </c>
      <c r="E805" s="7" t="str">
        <f>IFERROR(__xludf.DUMMYFUNCTION("""COMPUTED_VALUE"""),"Yes")</f>
        <v>Yes</v>
      </c>
      <c r="F805" s="7" t="str">
        <f>IFERROR(__xludf.DUMMYFUNCTION("""COMPUTED_VALUE"""),"IP-Poster")</f>
        <v>IP-Poster</v>
      </c>
      <c r="G805" s="7" t="str">
        <f>IFERROR(__xludf.DUMMYFUNCTION("""COMPUTED_VALUE"""),"In-Person")</f>
        <v>In-Person</v>
      </c>
      <c r="H805" s="7" t="str">
        <f>IFERROR(__xludf.DUMMYFUNCTION("""COMPUTED_VALUE"""),"Hall 4/5")</f>
        <v>Hall 4/5</v>
      </c>
      <c r="I805" s="7" t="str">
        <f>IFERROR(__xludf.DUMMYFUNCTION("""COMPUTED_VALUE"""),"Session 7: IP-Posters")</f>
        <v>Session 7: IP-Posters</v>
      </c>
      <c r="J805" s="7" t="str">
        <f>IFERROR(__xludf.DUMMYFUNCTION("""COMPUTED_VALUE"""),"Findings Posters - In-Person 2")</f>
        <v>Findings Posters - In-Person 2</v>
      </c>
      <c r="K805" s="7"/>
      <c r="L805" s="8">
        <f>IFERROR(__xludf.DUMMYFUNCTION("""COMPUTED_VALUE"""),45867.0)</f>
        <v>45867</v>
      </c>
      <c r="M805" s="7" t="str">
        <f>IFERROR(__xludf.DUMMYFUNCTION("""COMPUTED_VALUE"""),"10:30-12:00")</f>
        <v>10:30-12:00</v>
      </c>
      <c r="N805" s="7"/>
    </row>
    <row r="806">
      <c r="A806" s="7" t="str">
        <f>IFERROR(__xludf.DUMMYFUNCTION("""COMPUTED_VALUE"""),"2788-FIND")</f>
        <v>2788-FIND</v>
      </c>
      <c r="B806" s="7" t="str">
        <f>IFERROR(__xludf.DUMMYFUNCTION("""COMPUTED_VALUE"""),"3DM: Distill, Dynamic Drop, and Merge for Debiasing Multi-modal Large Language Models")</f>
        <v>3DM: Distill, Dynamic Drop, and Merge for Debiasing Multi-modal Large Language Models</v>
      </c>
      <c r="C806" s="7" t="str">
        <f>IFERROR(__xludf.DUMMYFUNCTION("""COMPUTED_VALUE"""),"The rapid advancement of Multi-modal Language Models (MLLMs) has significantly enhanced performance in multimodal tasks, yet these models often exhibit inherent biases that compromise their reliability and fairness. Traditional debiasing methods face a tr"&amp;"ade-off between the need for extensive labeled datasets and high computational costs. Model merging, which efficiently combines multiple models into a single one, offers a promising alternative but its usage is limited to MLLMs with the same architecture."&amp;" We propose 3DM, a novel framework integrating Distill, Dynamic Drop, and Merge to address these challenges. 3DM employs knowledge distillation to harmonize models with divergent architectures and introduces a dynamic dropping strategy that assigns parame"&amp;"ter-specific drop rates based on their contributions to bias and overall performance. This approach preserves critical weights while mitigating biases, as validated on the MMSD2.0 sarcasm detection dataset. Our key contributions include architecture-agnos"&amp;"tic merging, dynamic dropping, and the introduction of the Bias Ratio (BR) metric for systematic bias assessment. Empirical results demonstrate that 3DM outperforms existing methods in balancing debiasing and enhancing the overall performance, offering a "&amp;"practical and scalable solution for deploying fair and efficient MLLMs in real-world applications.")</f>
        <v>The rapid advancement of Multi-modal Language Models (MLLMs) has significantly enhanced performance in multimodal tasks, yet these models often exhibit inherent biases that compromise their reliability and fairness. Traditional debiasing methods face a trade-off between the need for extensive labeled datasets and high computational costs. Model merging, which efficiently combines multiple models into a single one, offers a promising alternative but its usage is limited to MLLMs with the same architecture. We propose 3DM, a novel framework integrating Distill, Dynamic Drop, and Merge to address these challenges. 3DM employs knowledge distillation to harmonize models with divergent architectures and introduces a dynamic dropping strategy that assigns parameter-specific drop rates based on their contributions to bias and overall performance. This approach preserves critical weights while mitigating biases, as validated on the MMSD2.0 sarcasm detection dataset. Our key contributions include architecture-agnostic merging, dynamic dropping, and the introduction of the Bias Ratio (BR) metric for systematic bias assessment. Empirical results demonstrate that 3DM outperforms existing methods in balancing debiasing and enhancing the overall performance, offering a practical and scalable solution for deploying fair and efficient MLLMs in real-world applications.</v>
      </c>
      <c r="D806" s="7" t="str">
        <f>IFERROR(__xludf.DUMMYFUNCTION("""COMPUTED_VALUE"""),"Zhaoxi Zhang")</f>
        <v>Zhaoxi Zhang</v>
      </c>
      <c r="E806" s="7" t="str">
        <f>IFERROR(__xludf.DUMMYFUNCTION("""COMPUTED_VALUE"""),"#N/A")</f>
        <v>#N/A</v>
      </c>
      <c r="F806" s="7" t="str">
        <f>IFERROR(__xludf.DUMMYFUNCTION("""COMPUTED_VALUE"""),"Not Pres. ")</f>
        <v>Not Pres. </v>
      </c>
      <c r="G806" s="7" t="str">
        <f>IFERROR(__xludf.DUMMYFUNCTION("""COMPUTED_VALUE"""),"NP Findings Not Presenting ")</f>
        <v>NP Findings Not Presenting </v>
      </c>
      <c r="H806" s="7"/>
      <c r="I806" s="7" t="str">
        <f>IFERROR(__xludf.DUMMYFUNCTION("""COMPUTED_VALUE"""),"NP-Find")</f>
        <v>NP-Find</v>
      </c>
      <c r="J806" s="7"/>
      <c r="K806" s="7"/>
      <c r="L806" s="8"/>
      <c r="M806" s="7"/>
      <c r="N806" s="7"/>
    </row>
    <row r="807">
      <c r="A807" s="7" t="str">
        <f>IFERROR(__xludf.DUMMYFUNCTION("""COMPUTED_VALUE"""),"2794-FIND")</f>
        <v>2794-FIND</v>
      </c>
      <c r="B807" s="7" t="str">
        <f>IFERROR(__xludf.DUMMYFUNCTION("""COMPUTED_VALUE"""),"CausalAbstain: Enhancing Multilingual LLMs with Causal Reasoning for Trustworthy Abstention")</f>
        <v>CausalAbstain: Enhancing Multilingual LLMs with Causal Reasoning for Trustworthy Abstention</v>
      </c>
      <c r="C807" s="7" t="str">
        <f>IFERROR(__xludf.DUMMYFUNCTION("""COMPUTED_VALUE"""),"Large Language Models (LLMs) often exhibit knowledge disparities across languages. Encouraging LLMs to abstain when faced with knowledge gaps is a promising strategy to reduce hallucinations in multilingual settings. Current abstention strategies for mult"&amp;"ilingual scenarios primarily rely on generating feedback in various languages using LLMs and performing self-reflection. However, these methods can be adversely impacted by inaccuracies and biases in the generated feedback. To address this, from a causal "&amp;"perspective, we introduce CausalAbstain, a method that helps LLMs determine whether to utilize multiple generated feedback responses and how to identify the most useful ones. Extensive experiments demonstrate that CausalAbstain effectively selects helpful"&amp;" feedback and enhances abstention decisions with interpretability in both native language (Casual-native) and multilingual (Causal-multi) settings, outperforming strong baselines on two benchmark datasets covering encyclopedic and commonsense knowledge QA"&amp;" tasks.")</f>
        <v>Large Language Models (LLMs) often exhibit knowledge disparities across languages. Encouraging LLMs to abstain when faced with knowledge gaps is a promising strategy to reduce hallucinations in multilingual settings. Current abstention strategies for multilingual scenarios primarily rely on generating feedback in various languages using LLMs and performing self-reflection. However, these methods can be adversely impacted by inaccuracies and biases in the generated feedback. To address this, from a causal perspective, we introduce CausalAbstain, a method that helps LLMs determine whether to utilize multiple generated feedback responses and how to identify the most useful ones. Extensive experiments demonstrate that CausalAbstain effectively selects helpful feedback and enhances abstention decisions with interpretability in both native language (Casual-native) and multilingual (Causal-multi) settings, outperforming strong baselines on two benchmark datasets covering encyclopedic and commonsense knowledge QA tasks.</v>
      </c>
      <c r="D807" s="7" t="str">
        <f>IFERROR(__xludf.DUMMYFUNCTION("""COMPUTED_VALUE"""),"Yuxi SUN")</f>
        <v>Yuxi SUN</v>
      </c>
      <c r="E807" s="7" t="str">
        <f>IFERROR(__xludf.DUMMYFUNCTION("""COMPUTED_VALUE"""),"Yes")</f>
        <v>Yes</v>
      </c>
      <c r="F807" s="7" t="str">
        <f>IFERROR(__xludf.DUMMYFUNCTION("""COMPUTED_VALUE"""),"V-Presentation")</f>
        <v>V-Presentation</v>
      </c>
      <c r="G807" s="7" t="str">
        <f>IFERROR(__xludf.DUMMYFUNCTION("""COMPUTED_VALUE"""),"Virtual/Gather")</f>
        <v>Virtual/Gather</v>
      </c>
      <c r="H807" s="7" t="str">
        <f>IFERROR(__xludf.DUMMYFUNCTION("""COMPUTED_VALUE"""),"Gather")</f>
        <v>Gather</v>
      </c>
      <c r="I807" s="7" t="str">
        <f>IFERROR(__xludf.DUMMYFUNCTION("""COMPUTED_VALUE"""),"Session5: V-Gather Find")</f>
        <v>Session5: V-Gather Find</v>
      </c>
      <c r="J807" s="7" t="str">
        <f>IFERROR(__xludf.DUMMYFUNCTION("""COMPUTED_VALUE"""),"Findings Posters - Virtual")</f>
        <v>Findings Posters - Virtual</v>
      </c>
      <c r="K807" s="7"/>
      <c r="L807" s="8">
        <f>IFERROR(__xludf.DUMMYFUNCTION("""COMPUTED_VALUE"""),45866.0)</f>
        <v>45866</v>
      </c>
      <c r="M807" s="7" t="str">
        <f>IFERROR(__xludf.DUMMYFUNCTION("""COMPUTED_VALUE"""),"18:00-19:30")</f>
        <v>18:00-19:30</v>
      </c>
      <c r="N807" s="7"/>
    </row>
    <row r="808">
      <c r="A808" s="7" t="str">
        <f>IFERROR(__xludf.DUMMYFUNCTION("""COMPUTED_VALUE"""),"2801-FIND")</f>
        <v>2801-FIND</v>
      </c>
      <c r="B808" s="7" t="str">
        <f>IFERROR(__xludf.DUMMYFUNCTION("""COMPUTED_VALUE"""),"CapArena: Benchmarking and Analyzing Detailed Image Captioning in the LLM Era")</f>
        <v>CapArena: Benchmarking and Analyzing Detailed Image Captioning in the LLM Era</v>
      </c>
      <c r="C808" s="7" t="str">
        <f>IFERROR(__xludf.DUMMYFUNCTION("""COMPUTED_VALUE"""),"Image captioning has been a longstanding challenge in vision-language research. With the rise of LLMs, modern Vision-Language Models (VLMs) generate detailed and comprehensive image descriptions. However, benchmarking the quality of such captions remains "&amp;"unresolved. This paper addresses two key questions: (1) How well do VLMs actually perform on image captioning, particularly compared to humans? We built CapArena, a platform with over 6000 pairwise caption battles and high-quality human preference votes. "&amp;"Our Arena-style evaluation marks a milestone, showing that leading models like GPT-4o achieve or even surpass human performance, while most open-source models lag behind. (2) Can automated metrics reliably assess caption quality? Using human annotations f"&amp;"rom CapArena, we evaluate traditional and recent captioning metrics, as well as VLM-as-a-Judge. Our analysis reveals that while some metrics (e.g., METEOR) show high caption-level agreement with humans, their systematic biases lead to inconsistencies in m"&amp;"odel ranking. In contrast, VLM-as-a-Judge demonstrates robust discernment at both the caption and model levels. Building on these insights, we release CapArena-Auto, an accurate and efficient automated benchmark for detailed captioning, achieving 93.4% co"&amp;"rrelation with human rankings at just $4 per test. All data and evaluation resources have been open-sourced.")</f>
        <v>Image captioning has been a longstanding challenge in vision-language research. With the rise of LLMs, modern Vision-Language Models (VLMs) generate detailed and comprehensive image descriptions. However, benchmarking the quality of such captions remains unresolved. This paper addresses two key questions: (1) How well do VLMs actually perform on image captioning, particularly compared to humans? We built CapArena, a platform with over 6000 pairwise caption battles and high-quality human preference votes. Our Arena-style evaluation marks a milestone, showing that leading models like GPT-4o achieve or even surpass human performance, while most open-source models lag behind. (2) Can automated metrics reliably assess caption quality? Using human annotations from CapArena, we evaluate traditional and recent captioning metrics, as well as VLM-as-a-Judge. Our analysis reveals that while some metrics (e.g., METEOR) show high caption-level agreement with humans, their systematic biases lead to inconsistencies in model ranking. In contrast, VLM-as-a-Judge demonstrates robust discernment at both the caption and model levels. Building on these insights, we release CapArena-Auto, an accurate and efficient automated benchmark for detailed captioning, achieving 93.4% correlation with human rankings at just $4 per test. All data and evaluation resources have been open-sourced.</v>
      </c>
      <c r="D808" s="7" t="str">
        <f>IFERROR(__xludf.DUMMYFUNCTION("""COMPUTED_VALUE"""),"Kanzhi Cheng")</f>
        <v>Kanzhi Cheng</v>
      </c>
      <c r="E808" s="7" t="str">
        <f>IFERROR(__xludf.DUMMYFUNCTION("""COMPUTED_VALUE"""),"Yes")</f>
        <v>Yes</v>
      </c>
      <c r="F808" s="7" t="str">
        <f>IFERROR(__xludf.DUMMYFUNCTION("""COMPUTED_VALUE"""),"IP-Poster")</f>
        <v>IP-Poster</v>
      </c>
      <c r="G808" s="7" t="str">
        <f>IFERROR(__xludf.DUMMYFUNCTION("""COMPUTED_VALUE"""),"In-Person")</f>
        <v>In-Person</v>
      </c>
      <c r="H808" s="7" t="str">
        <f>IFERROR(__xludf.DUMMYFUNCTION("""COMPUTED_VALUE"""),"Hall 4/5")</f>
        <v>Hall 4/5</v>
      </c>
      <c r="I808" s="7" t="str">
        <f>IFERROR(__xludf.DUMMYFUNCTION("""COMPUTED_VALUE"""),"Session 5 :IP-Posters Find ")</f>
        <v>Session 5 :IP-Posters Find </v>
      </c>
      <c r="J808" s="7" t="str">
        <f>IFERROR(__xludf.DUMMYFUNCTION("""COMPUTED_VALUE"""),"Findings Posters - In-Person 1")</f>
        <v>Findings Posters - In-Person 1</v>
      </c>
      <c r="K808" s="7"/>
      <c r="L808" s="8">
        <f>IFERROR(__xludf.DUMMYFUNCTION("""COMPUTED_VALUE"""),45866.0)</f>
        <v>45866</v>
      </c>
      <c r="M808" s="7" t="str">
        <f>IFERROR(__xludf.DUMMYFUNCTION("""COMPUTED_VALUE"""),"18:00-19:30")</f>
        <v>18:00-19:30</v>
      </c>
      <c r="N808" s="7"/>
    </row>
    <row r="809">
      <c r="A809" s="7" t="str">
        <f>IFERROR(__xludf.DUMMYFUNCTION("""COMPUTED_VALUE"""),"2807-FIND")</f>
        <v>2807-FIND</v>
      </c>
      <c r="B809" s="7" t="str">
        <f>IFERROR(__xludf.DUMMYFUNCTION("""COMPUTED_VALUE"""),"LLM-Empowered Class Imbalanced Graph Prompt Learning for Online Drug Trafficking Detection")</f>
        <v>LLM-Empowered Class Imbalanced Graph Prompt Learning for Online Drug Trafficking Detection</v>
      </c>
      <c r="C809" s="7" t="str">
        <f>IFERROR(__xludf.DUMMYFUNCTION("""COMPUTED_VALUE"""),"As the market for illicit drugs remains extremely profitable, major online platforms have become direct-to-consumer intermediaries for illicit drug trafficking participants. These online activities raise significant social concerns that require immediate "&amp;"actions. Existing approaches to combat this challenge are generally impractical due to the scarcity of labeled samples and imbalance of classes in real-world applications. To this end, we propose a novel Large Language Model-empowered Heterogeneous Graph "&amp;"Prompt Learning framework for illicit Drug Trafficking detection, called LLM-HetGDT that leverages LLM to facilitate heterogeneous graph neural networks (HGNNs) to effectively identify minority classes, i.e., drug trafficking participants, in the class-im"&amp;"balanced scenarios. Specifically, we first pre-train HGNN over a contrastive pretext task to capture the inherent node and structure information over an unlabeled drug trafficking heterogeneous graph (HG). Afterward, to alleviate the class-imbalanced issu"&amp;"e, we leverage LLMs to augment the HG by generating high-quality synthetic user nodes in the minority classes. Then, we fine-tune the soft prompts on the augmented HG to capture the important information in the minority classes for the downstream drug tra"&amp;"fficking detection task. To comprehensively study online illicit drug trafficking activities, we collect a new HG dataset over Twitter, called Twitter-HetDrug. Extensive experiments on this dataset demonstrate the effectiveness, efficiency, and applicabil"&amp;"ity of our proposed method by comparing it with state-of-the-art baseline methods. Our source code is available at https://github.com/GraphResearcher/LLM-HetGDT.")</f>
        <v>As the market for illicit drugs remains extremely profitable, major online platforms have become direct-to-consumer intermediaries for illicit drug trafficking participants. These online activities raise significant social concerns that require immediate actions. Existing approaches to combat this challenge are generally impractical due to the scarcity of labeled samples and imbalance of classes in real-world applications. To this end, we propose a novel Large Language Model-empowered Heterogeneous Graph Prompt Learning framework for illicit Drug Trafficking detection, called LLM-HetGDT that leverages LLM to facilitate heterogeneous graph neural networks (HGNNs) to effectively identify minority classes, i.e., drug trafficking participants, in the class-imbalanced scenarios. Specifically, we first pre-train HGNN over a contrastive pretext task to capture the inherent node and structure information over an unlabeled drug trafficking heterogeneous graph (HG). Afterward, to alleviate the class-imbalanced issue, we leverage LLMs to augment the HG by generating high-quality synthetic user nodes in the minority classes. Then, we fine-tune the soft prompts on the augmented HG to capture the important information in the minority classes for the downstream drug trafficking detection task. To comprehensively study online illicit drug trafficking activities, we collect a new HG dataset over Twitter, called Twitter-HetDrug. Extensive experiments on this dataset demonstrate the effectiveness, efficiency, and applicability of our proposed method by comparing it with state-of-the-art baseline methods. Our source code is available at https://github.com/GraphResearcher/LLM-HetGDT.</v>
      </c>
      <c r="D809" s="7" t="str">
        <f>IFERROR(__xludf.DUMMYFUNCTION("""COMPUTED_VALUE"""),"N/A")</f>
        <v>N/A</v>
      </c>
      <c r="E809" s="7" t="str">
        <f>IFERROR(__xludf.DUMMYFUNCTION("""COMPUTED_VALUE"""),"#N/A")</f>
        <v>#N/A</v>
      </c>
      <c r="F809" s="7" t="str">
        <f>IFERROR(__xludf.DUMMYFUNCTION("""COMPUTED_VALUE"""),"Not Pres. ")</f>
        <v>Not Pres. </v>
      </c>
      <c r="G809" s="7" t="str">
        <f>IFERROR(__xludf.DUMMYFUNCTION("""COMPUTED_VALUE"""),"NP Findings Not Presenting ")</f>
        <v>NP Findings Not Presenting </v>
      </c>
      <c r="H809" s="7"/>
      <c r="I809" s="7" t="str">
        <f>IFERROR(__xludf.DUMMYFUNCTION("""COMPUTED_VALUE"""),"NP-Find")</f>
        <v>NP-Find</v>
      </c>
      <c r="J809" s="7"/>
      <c r="K809" s="7"/>
      <c r="L809" s="8"/>
      <c r="M809" s="7"/>
      <c r="N809" s="7"/>
    </row>
    <row r="810">
      <c r="A810" s="7" t="str">
        <f>IFERROR(__xludf.DUMMYFUNCTION("""COMPUTED_VALUE"""),"2809-FIND")</f>
        <v>2809-FIND</v>
      </c>
      <c r="B810" s="7" t="str">
        <f>IFERROR(__xludf.DUMMYFUNCTION("""COMPUTED_VALUE"""),"CoLA: Collaborative Low-Rank Adaptation")</f>
        <v>CoLA: Collaborative Low-Rank Adaptation</v>
      </c>
      <c r="C810" s="7" t="str">
        <f>IFERROR(__xludf.DUMMYFUNCTION("""COMPUTED_VALUE"""),"The scaling law of Large Language Models (LLMs) reveals a power-law relationship, showing diminishing return on performance as model scale increases. While training LLMs from scratch is resource-intensive, fine-tuning a pre-trained model for specific task"&amp;"s has become a practical alternative. Full fine-tuning (FFT) achieves strong performance; however, it is computationally expensive and inefficient. Parameter-efficient fine-tuning (PEFT) methods, like LoRA, have been proposed to address these challenges b"&amp;"y freezing the pre-trained model and adding lightweight task-specific modules. LoRA, in particular, has proven effective, but its application to multi-task scenarios is limited by interference between tasks. Recent approaches, such as Mixture-of-Experts ("&amp;"MOE) and asymmetric LoRA, have aimed to mitigate these issues but still struggle with sample scarcity and noise interference due to their fixed structure. In response, we propose CoLA, a more flexible LoRA architecture with an efficient initialization sch"&amp;"eme, which introduces three collaborative strategies to enhance performance by better utilizing the quantitative relationships between matrices A and B. Our experiments demonstrate the effectiveness and robustness of CoLA, outperforming existing PEFT meth"&amp;"ods, especially in low-sample scenarios. Our data and code are fully publicly available: https://github.com/zyy-2001/CoLA.")</f>
        <v>The scaling law of Large Language Models (LLMs) reveals a power-law relationship, showing diminishing return on performance as model scale increases. While training LLMs from scratch is resource-intensive, fine-tuning a pre-trained model for specific tasks has become a practical alternative. Full fine-tuning (FFT) achieves strong performance; however, it is computationally expensive and inefficient. Parameter-efficient fine-tuning (PEFT) methods, like LoRA, have been proposed to address these challenges by freezing the pre-trained model and adding lightweight task-specific modules. LoRA, in particular, has proven effective, but its application to multi-task scenarios is limited by interference between tasks. Recent approaches, such as Mixture-of-Experts (MOE) and asymmetric LoRA, have aimed to mitigate these issues but still struggle with sample scarcity and noise interference due to their fixed structure. In response, we propose CoLA, a more flexible LoRA architecture with an efficient initialization scheme, which introduces three collaborative strategies to enhance performance by better utilizing the quantitative relationships between matrices A and B. Our experiments demonstrate the effectiveness and robustness of CoLA, outperforming existing PEFT methods, especially in low-sample scenarios. Our data and code are fully publicly available: https://github.com/zyy-2001/CoLA.</v>
      </c>
      <c r="D810" s="7" t="str">
        <f>IFERROR(__xludf.DUMMYFUNCTION("""COMPUTED_VALUE"""),"N/A")</f>
        <v>N/A</v>
      </c>
      <c r="E810" s="7" t="str">
        <f>IFERROR(__xludf.DUMMYFUNCTION("""COMPUTED_VALUE"""),"#N/A")</f>
        <v>#N/A</v>
      </c>
      <c r="F810" s="7" t="str">
        <f>IFERROR(__xludf.DUMMYFUNCTION("""COMPUTED_VALUE"""),"Not Pres. ")</f>
        <v>Not Pres. </v>
      </c>
      <c r="G810" s="7" t="str">
        <f>IFERROR(__xludf.DUMMYFUNCTION("""COMPUTED_VALUE"""),"NP Findings Not Presenting ")</f>
        <v>NP Findings Not Presenting </v>
      </c>
      <c r="H810" s="7"/>
      <c r="I810" s="7" t="str">
        <f>IFERROR(__xludf.DUMMYFUNCTION("""COMPUTED_VALUE"""),"NP-Find")</f>
        <v>NP-Find</v>
      </c>
      <c r="J810" s="7"/>
      <c r="K810" s="7"/>
      <c r="L810" s="8"/>
      <c r="M810" s="7"/>
      <c r="N810" s="7"/>
    </row>
    <row r="811">
      <c r="A811" s="7" t="str">
        <f>IFERROR(__xludf.DUMMYFUNCTION("""COMPUTED_VALUE"""),"2812-FIND")</f>
        <v>2812-FIND</v>
      </c>
      <c r="B811" s="7" t="str">
        <f>IFERROR(__xludf.DUMMYFUNCTION("""COMPUTED_VALUE"""),"GLiM: Integrating Graph Transformer and LLM for Document-Level Biomedical Relation Extraction with Incomplete Labeling")</f>
        <v>GLiM: Integrating Graph Transformer and LLM for Document-Level Biomedical Relation Extraction with Incomplete Labeling</v>
      </c>
      <c r="C811" s="7" t="str">
        <f>IFERROR(__xludf.DUMMYFUNCTION("""COMPUTED_VALUE"""),"Document-level relation extraction (DocRE) identifies relations between entities across an entire document. However, as the number and complexity of entities and entity-pair relations grow, the problem space expands quadratically, causing incomplete annot"&amp;"ations and frequent false negatives, especially in biomedical datasets due to high construction costs. This leads to low recall in real-world scenarios. To address this, we propose GLiM, a novel framework that reduces the problem space using a graph-enhan"&amp;"ced Transformer-based model and leverages large language models (LLMs) for reasoning. GLiM employs a cascaded approach: first, a graph-enhanced Transformer processes entity-pair relations with finer granularity by dynamically adjusting the graph size base"&amp;"d on the number of entities; then, LLM inference handles challenging cases. Experiments show that GLiM boosts average  recall and F1 scores by +6.34 and +4.41, respectively, outperforming state-of-the-art models on biomedical benchmarks. These results dem"&amp;"onstrate the effectiveness of combining graph-enhanced Transformers with LLM inference for biomedical DocRE. Code will be released at https://github.com/HaoFang10/GLiM.")</f>
        <v>Document-level relation extraction (DocRE) identifies relations between entities across an entire document. However, as the number and complexity of entities and entity-pair relations grow, the problem space expands quadratically, causing incomplete annotations and frequent false negatives, especially in biomedical datasets due to high construction costs. This leads to low recall in real-world scenarios. To address this, we propose GLiM, a novel framework that reduces the problem space using a graph-enhanced Transformer-based model and leverages large language models (LLMs) for reasoning. GLiM employs a cascaded approach: first, a graph-enhanced Transformer processes entity-pair relations with finer granularity by dynamically adjusting the graph size based on the number of entities; then, LLM inference handles challenging cases. Experiments show that GLiM boosts average  recall and F1 scores by +6.34 and +4.41, respectively, outperforming state-of-the-art models on biomedical benchmarks. These results demonstrate the effectiveness of combining graph-enhanced Transformers with LLM inference for biomedical DocRE. Code will be released at https://github.com/HaoFang10/GLiM.</v>
      </c>
      <c r="D811" s="7" t="str">
        <f>IFERROR(__xludf.DUMMYFUNCTION("""COMPUTED_VALUE"""),"Hao Fang")</f>
        <v>Hao Fang</v>
      </c>
      <c r="E811" s="7" t="str">
        <f>IFERROR(__xludf.DUMMYFUNCTION("""COMPUTED_VALUE"""),"#N/A")</f>
        <v>#N/A</v>
      </c>
      <c r="F811" s="7" t="str">
        <f>IFERROR(__xludf.DUMMYFUNCTION("""COMPUTED_VALUE"""),"Not Pres. ")</f>
        <v>Not Pres. </v>
      </c>
      <c r="G811" s="7" t="str">
        <f>IFERROR(__xludf.DUMMYFUNCTION("""COMPUTED_VALUE"""),"NP Findings Not Presenting ")</f>
        <v>NP Findings Not Presenting </v>
      </c>
      <c r="H811" s="7"/>
      <c r="I811" s="7" t="str">
        <f>IFERROR(__xludf.DUMMYFUNCTION("""COMPUTED_VALUE"""),"NP-Find")</f>
        <v>NP-Find</v>
      </c>
      <c r="J811" s="7"/>
      <c r="K811" s="7"/>
      <c r="L811" s="8"/>
      <c r="M811" s="7"/>
      <c r="N811" s="7"/>
    </row>
    <row r="812">
      <c r="A812" s="7" t="str">
        <f>IFERROR(__xludf.DUMMYFUNCTION("""COMPUTED_VALUE"""),"2816-FIND")</f>
        <v>2816-FIND</v>
      </c>
      <c r="B812" s="7" t="str">
        <f>IFERROR(__xludf.DUMMYFUNCTION("""COMPUTED_VALUE"""),"AnalyticKWS: Towards Exemplar-Free Analytic Class Incremental Learning for Small-footprint Keyword Spotting")</f>
        <v>AnalyticKWS: Towards Exemplar-Free Analytic Class Incremental Learning for Small-footprint Keyword Spotting</v>
      </c>
      <c r="C812" s="7" t="str">
        <f>IFERROR(__xludf.DUMMYFUNCTION("""COMPUTED_VALUE"""),"Keyword spotting (KWS) offers a vital mechanism to identify spoken commands in voice-enabled systems, where user demands often shift, requiring models to learn new keywords continually over time. However, a major problem is catastrophic forgetting, where "&amp;"models lose their ability to recognize earlier keywords. Although several continual learning methods have proven their usefulness for reducing forgetting, most existing approaches depend on storing and revisiting old data to combat catastrophic forgetting"&amp;". Though effective, these methods face two practical challenges: 1) privacy risks from keeping user data and 2) large memory and time consumption that limit deployment on small devices. To address these issues, we propose an exemplar-free Analytic Continu"&amp;"al Learning (AnalyticKWS) method that updates model parameters without revisiting earlier data. Inspired by efficient learning principles, AnalyticKWS computes a closed-form analytical solution for model updates and requires only a single epoch of adaptat"&amp;"ion for incoming keywords. AnalyticKWS demands fewer computational resources by avoiding gradient-based updates and does not store old data. By eliminating the need for back-propagation during incremental learning, the model remains lightweight and effici"&amp;"ent. As a result, AnalyticKWS meets the challenges mentioned earlier and suits resource-limited settings well. Extensive experiments on various datasets and settings show that AnalyticKWS consistently outperforms existing continual learning methods.")</f>
        <v>Keyword spotting (KWS) offers a vital mechanism to identify spoken commands in voice-enabled systems, where user demands often shift, requiring models to learn new keywords continually over time. However, a major problem is catastrophic forgetting, where models lose their ability to recognize earlier keywords. Although several continual learning methods have proven their usefulness for reducing forgetting, most existing approaches depend on storing and revisiting old data to combat catastrophic forgetting. Though effective, these methods face two practical challenges: 1) privacy risks from keeping user data and 2) large memory and time consumption that limit deployment on small devices. To address these issues, we propose an exemplar-free Analytic Continual Learning (AnalyticKWS) method that updates model parameters without revisiting earlier data. Inspired by efficient learning principles, AnalyticKWS computes a closed-form analytical solution for model updates and requires only a single epoch of adaptation for incoming keywords. AnalyticKWS demands fewer computational resources by avoiding gradient-based updates and does not store old data. By eliminating the need for back-propagation during incremental learning, the model remains lightweight and efficient. As a result, AnalyticKWS meets the challenges mentioned earlier and suits resource-limited settings well. Extensive experiments on various datasets and settings show that AnalyticKWS consistently outperforms existing continual learning methods.</v>
      </c>
      <c r="D812" s="7" t="str">
        <f>IFERROR(__xludf.DUMMYFUNCTION("""COMPUTED_VALUE"""),"Huiping Zhuang")</f>
        <v>Huiping Zhuang</v>
      </c>
      <c r="E812" s="7" t="str">
        <f>IFERROR(__xludf.DUMMYFUNCTION("""COMPUTED_VALUE"""),"#N/A")</f>
        <v>#N/A</v>
      </c>
      <c r="F812" s="7" t="str">
        <f>IFERROR(__xludf.DUMMYFUNCTION("""COMPUTED_VALUE"""),"Not Pres. ")</f>
        <v>Not Pres. </v>
      </c>
      <c r="G812" s="7" t="str">
        <f>IFERROR(__xludf.DUMMYFUNCTION("""COMPUTED_VALUE"""),"NP Findings Not Presenting ")</f>
        <v>NP Findings Not Presenting </v>
      </c>
      <c r="H812" s="7"/>
      <c r="I812" s="7" t="str">
        <f>IFERROR(__xludf.DUMMYFUNCTION("""COMPUTED_VALUE"""),"NP-Find")</f>
        <v>NP-Find</v>
      </c>
      <c r="J812" s="7"/>
      <c r="K812" s="7"/>
      <c r="L812" s="8"/>
      <c r="M812" s="7"/>
      <c r="N812" s="7"/>
    </row>
    <row r="813">
      <c r="A813" s="7" t="str">
        <f>IFERROR(__xludf.DUMMYFUNCTION("""COMPUTED_VALUE"""),"2818-FIND")</f>
        <v>2818-FIND</v>
      </c>
      <c r="B813" s="7" t="str">
        <f>IFERROR(__xludf.DUMMYFUNCTION("""COMPUTED_VALUE"""),"Sleepless Nights, Sugary Days: Creating Synthetic Users with Health Conditions for Realistic Coaching Agent Interactions")</f>
        <v>Sleepless Nights, Sugary Days: Creating Synthetic Users with Health Conditions for Realistic Coaching Agent Interactions</v>
      </c>
      <c r="C813" s="7" t="str">
        <f>IFERROR(__xludf.DUMMYFUNCTION("""COMPUTED_VALUE"""),"We present an end-to-end framework for generating synthetic users for evaluating interactive agents designed to encourage positive behavior changes, such as in health and lifestyle coaching. The synthetic users are grounded in health and lifestyle conditi"&amp;"ons, specifically sleep and diabetes management in this study, to ensure realistic interactions with the health coaching agent. Synthetic users are created in two stages: first, structured data are generated grounded in real-world health and lifestyle fac"&amp;"tors in addition to basic demographics and behavioral attributes; second, full profiles of the synthetic users are developed conditioned on the structured data. Interactions between synthetic users and the coaching agent are simulated using generative age"&amp;"nt-based models such as Concordia, or directly by prompting a language model. Using two independently-developed agents for sleep and diabetes coaching as case studies, the validity of this framework is demonstrated by analyzing the coaching agent's unders"&amp;"tanding of the synthetic users' needs and challenges. Finally, through multiple blinded evaluations of user-coach interactions by human experts, we demonstrate that our synthetic users with health and behavioral attributes more accurately portray real hum"&amp;"an users with the same attributes, compared to generic synthetic users not grounded in such attributes. The proposed framework lays the foundation for efficient development of conversational agents through extensive, realistic, and grounded simulated inte"&amp;"ractions.")</f>
        <v>We present an end-to-end framework for generating synthetic users for evaluating interactive agents designed to encourage positive behavior changes, such as in health and lifestyle coaching. The synthetic users are grounded in health and lifestyle conditions, specifically sleep and diabetes management in this study, to ensure realistic interactions with the health coaching agent. Synthetic users are created in two stages: first, structured data are generated grounded in real-world health and lifestyle factors in addition to basic demographics and behavioral attributes; second, full profiles of the synthetic users are developed conditioned on the structured data. Interactions between synthetic users and the coaching agent are simulated using generative agent-based models such as Concordia, or directly by prompting a language model. Using two independently-developed agents for sleep and diabetes coaching as case studies, the validity of this framework is demonstrated by analyzing the coaching agent's understanding of the synthetic users' needs and challenges. Finally, through multiple blinded evaluations of user-coach interactions by human experts, we demonstrate that our synthetic users with health and behavioral attributes more accurately portray real human users with the same attributes, compared to generic synthetic users not grounded in such attributes. The proposed framework lays the foundation for efficient development of conversational agents through extensive, realistic, and grounded simulated interactions.</v>
      </c>
      <c r="D813" s="7" t="str">
        <f>IFERROR(__xludf.DUMMYFUNCTION("""COMPUTED_VALUE"""),"Taedong Yun")</f>
        <v>Taedong Yun</v>
      </c>
      <c r="E813" s="7" t="str">
        <f>IFERROR(__xludf.DUMMYFUNCTION("""COMPUTED_VALUE"""),"Yes")</f>
        <v>Yes</v>
      </c>
      <c r="F813" s="7" t="str">
        <f>IFERROR(__xludf.DUMMYFUNCTION("""COMPUTED_VALUE"""),"IP-Poster")</f>
        <v>IP-Poster</v>
      </c>
      <c r="G813" s="7" t="str">
        <f>IFERROR(__xludf.DUMMYFUNCTION("""COMPUTED_VALUE"""),"In-Person")</f>
        <v>In-Person</v>
      </c>
      <c r="H813" s="7" t="str">
        <f>IFERROR(__xludf.DUMMYFUNCTION("""COMPUTED_VALUE"""),"Hall 4/5")</f>
        <v>Hall 4/5</v>
      </c>
      <c r="I813" s="7" t="str">
        <f>IFERROR(__xludf.DUMMYFUNCTION("""COMPUTED_VALUE"""),"Session 5 :IP-Posters Find ")</f>
        <v>Session 5 :IP-Posters Find </v>
      </c>
      <c r="J813" s="7" t="str">
        <f>IFERROR(__xludf.DUMMYFUNCTION("""COMPUTED_VALUE"""),"Findings Posters - In-Person 1")</f>
        <v>Findings Posters - In-Person 1</v>
      </c>
      <c r="K813" s="7"/>
      <c r="L813" s="8">
        <f>IFERROR(__xludf.DUMMYFUNCTION("""COMPUTED_VALUE"""),45866.0)</f>
        <v>45866</v>
      </c>
      <c r="M813" s="7" t="str">
        <f>IFERROR(__xludf.DUMMYFUNCTION("""COMPUTED_VALUE"""),"18:00-19:30")</f>
        <v>18:00-19:30</v>
      </c>
      <c r="N813" s="7"/>
    </row>
    <row r="814">
      <c r="A814" s="7" t="str">
        <f>IFERROR(__xludf.DUMMYFUNCTION("""COMPUTED_VALUE"""),"2819-FIND")</f>
        <v>2819-FIND</v>
      </c>
      <c r="B814" s="7" t="str">
        <f>IFERROR(__xludf.DUMMYFUNCTION("""COMPUTED_VALUE"""),"Imagine to Hear: Auditory Knowledge Generation can be an Effective Assistant for Language Models")</f>
        <v>Imagine to Hear: Auditory Knowledge Generation can be an Effective Assistant for Language Models</v>
      </c>
      <c r="C814" s="7" t="str">
        <f>IFERROR(__xludf.DUMMYFUNCTION("""COMPUTED_VALUE"""),"Language models pretrained on text-only corpora often struggle with tasks that require auditory commonsense knowledge.
Previous work addresses this problem by augmenting the language model to retrieve knowledge from external audio databases.
This approach"&amp;" has several limitations, such as the potential lack of relevant audio in databases and the high costs associated with constructing the databases. To address these issues, we propose Imagine to Hear, a novel approach that dynamically generates auditory kn"&amp;"owledge using generative models. Our framework detects multiple audio-related textual spans from the given prompt and generates corresponding auditory knowledge. We develop several mechanisms to efficiently process multiple auditory knowledge, including a"&amp;" CLAP-based rejection sampler and a language-audio fusion module. Our experiments show that our method achieves state-of-the-art performance on AuditoryBench without relying on external databases, highlighting the effectiveness of our generation-based app"&amp;"roach.")</f>
        <v>Language models pretrained on text-only corpora often struggle with tasks that require auditory commonsense knowledge.
Previous work addresses this problem by augmenting the language model to retrieve knowledge from external audio databases.
This approach has several limitations, such as the potential lack of relevant audio in databases and the high costs associated with constructing the databases. To address these issues, we propose Imagine to Hear, a novel approach that dynamically generates auditory knowledge using generative models. Our framework detects multiple audio-related textual spans from the given prompt and generates corresponding auditory knowledge. We develop several mechanisms to efficiently process multiple auditory knowledge, including a CLAP-based rejection sampler and a language-audio fusion module. Our experiments show that our method achieves state-of-the-art performance on AuditoryBench without relying on external databases, highlighting the effectiveness of our generation-based approach.</v>
      </c>
      <c r="D814" s="7" t="str">
        <f>IFERROR(__xludf.DUMMYFUNCTION("""COMPUTED_VALUE"""),"Hyunjong Ok")</f>
        <v>Hyunjong Ok</v>
      </c>
      <c r="E814" s="7" t="str">
        <f>IFERROR(__xludf.DUMMYFUNCTION("""COMPUTED_VALUE"""),"Yes")</f>
        <v>Yes</v>
      </c>
      <c r="F814" s="7" t="str">
        <f>IFERROR(__xludf.DUMMYFUNCTION("""COMPUTED_VALUE"""),"IP-Poster")</f>
        <v>IP-Poster</v>
      </c>
      <c r="G814" s="7" t="str">
        <f>IFERROR(__xludf.DUMMYFUNCTION("""COMPUTED_VALUE"""),"In-Person")</f>
        <v>In-Person</v>
      </c>
      <c r="H814" s="7" t="str">
        <f>IFERROR(__xludf.DUMMYFUNCTION("""COMPUTED_VALUE"""),"Hall 4/5")</f>
        <v>Hall 4/5</v>
      </c>
      <c r="I814" s="7" t="str">
        <f>IFERROR(__xludf.DUMMYFUNCTION("""COMPUTED_VALUE"""),"Session 5 :IP-Posters Find ")</f>
        <v>Session 5 :IP-Posters Find </v>
      </c>
      <c r="J814" s="7" t="str">
        <f>IFERROR(__xludf.DUMMYFUNCTION("""COMPUTED_VALUE"""),"Findings Posters - In-Person 1")</f>
        <v>Findings Posters - In-Person 1</v>
      </c>
      <c r="K814" s="7"/>
      <c r="L814" s="8">
        <f>IFERROR(__xludf.DUMMYFUNCTION("""COMPUTED_VALUE"""),45866.0)</f>
        <v>45866</v>
      </c>
      <c r="M814" s="7" t="str">
        <f>IFERROR(__xludf.DUMMYFUNCTION("""COMPUTED_VALUE"""),"18:00-19:30")</f>
        <v>18:00-19:30</v>
      </c>
      <c r="N814" s="7"/>
    </row>
    <row r="815">
      <c r="A815" s="7" t="str">
        <f>IFERROR(__xludf.DUMMYFUNCTION("""COMPUTED_VALUE"""),"2820-FIND")</f>
        <v>2820-FIND</v>
      </c>
      <c r="B815" s="7" t="str">
        <f>IFERROR(__xludf.DUMMYFUNCTION("""COMPUTED_VALUE"""),"SafeEraser: Enhancing Safety in Multimodal Large Language Models through Multimodal Machine Unlearning")</f>
        <v>SafeEraser: Enhancing Safety in Multimodal Large Language Models through Multimodal Machine Unlearning</v>
      </c>
      <c r="C815" s="7" t="str">
        <f>IFERROR(__xludf.DUMMYFUNCTION("""COMPUTED_VALUE"""),"As Multimodal Large Language Models (MLLMs) develop, their potential security issues have become increasingly prominent. **Machine Unlearning (MU)**, as an effective strategy for forgetting specific knowledge in training data, has been widely used in priv"&amp;"acy protection. However, *MU for safety in MLLM has yet to be fully explored*. To address this issue, we propose \dataset, a safety unlearning benchmark for MLLMs, consisting of 3,000 images and 28.8K VQA pairs. We comprehensively evaluate unlearning meth"&amp;"ods from two perspectives: **_forget quality_** and **_model utility_**. Our findings show that existing MU methods struggle to maintain model performance while implementing the forget operation and often suffer from **_over-forgetting_**. 
Hence, we int"&amp;"roduce **Prompt Decouple (PD) Loss** to alleviate over-forgetting through decouple prompt during unlearning process. To quantitatively measure over-forgetting mitigated by PD Loss, we propose a new metric called **Safe Answer Refusal Rate (SARR)**. Experi"&amp;"mental results demonstrate that combining PD Loss with existing unlearning methods can effectively prevent over-forgetting and achieve a decrease of 79.5% in the SARR metric of LLaVA-7B and LLaVA-13B, while maintaining forget quality and model utility. Ou"&amp;"r code and dataset will be released upon acceptance.
 **Warning: This paper contains examples of harmful language and images, and reader discretion is recommended.**")</f>
        <v>As Multimodal Large Language Models (MLLMs) develop, their potential security issues have become increasingly prominent. **Machine Unlearning (MU)**, as an effective strategy for forgetting specific knowledge in training data, has been widely used in privacy protection. However, *MU for safety in MLLM has yet to be fully explored*. To address this issue, we propose \dataset, a safety unlearning benchmark for MLLMs, consisting of 3,000 images and 28.8K VQA pairs. We comprehensively evaluate unlearning methods from two perspectives: **_forget quality_** and **_model utility_**. Our findings show that existing MU methods struggle to maintain model performance while implementing the forget operation and often suffer from **_over-forgetting_**. 
Hence, we introduce **Prompt Decouple (PD) Loss** to alleviate over-forgetting through decouple prompt during unlearning process. To quantitatively measure over-forgetting mitigated by PD Loss, we propose a new metric called **Safe Answer Refusal Rate (SARR)**. Experimental results demonstrate that combining PD Loss with existing unlearning methods can effectively prevent over-forgetting and achieve a decrease of 79.5% in the SARR metric of LLaVA-7B and LLaVA-13B, while maintaining forget quality and model utility. Our code and dataset will be released upon acceptance.
 **Warning: This paper contains examples of harmful language and images, and reader discretion is recommended.**</v>
      </c>
      <c r="D815" s="7" t="str">
        <f>IFERROR(__xludf.DUMMYFUNCTION("""COMPUTED_VALUE"""),"Junkai Chen")</f>
        <v>Junkai Chen</v>
      </c>
      <c r="E815" s="7" t="str">
        <f>IFERROR(__xludf.DUMMYFUNCTION("""COMPUTED_VALUE"""),"N/A")</f>
        <v>N/A</v>
      </c>
      <c r="F815" s="7" t="str">
        <f>IFERROR(__xludf.DUMMYFUNCTION("""COMPUTED_VALUE"""),"Not Pres. ")</f>
        <v>Not Pres. </v>
      </c>
      <c r="G815" s="7" t="str">
        <f>IFERROR(__xludf.DUMMYFUNCTION("""COMPUTED_VALUE"""),"NP Findings Not Presenting ")</f>
        <v>NP Findings Not Presenting </v>
      </c>
      <c r="H815" s="7"/>
      <c r="I815" s="7"/>
      <c r="J815" s="7"/>
      <c r="K815" s="7"/>
      <c r="L815" s="8"/>
      <c r="M815" s="7"/>
      <c r="N815" s="7"/>
    </row>
    <row r="816">
      <c r="A816" s="7" t="str">
        <f>IFERROR(__xludf.DUMMYFUNCTION("""COMPUTED_VALUE"""),"2823-FIND")</f>
        <v>2823-FIND</v>
      </c>
      <c r="B816" s="7" t="str">
        <f>IFERROR(__xludf.DUMMYFUNCTION("""COMPUTED_VALUE"""),"Prediction-Augmented Generation for Automatic Diagnosis Tasks")</f>
        <v>Prediction-Augmented Generation for Automatic Diagnosis Tasks</v>
      </c>
      <c r="C816" s="7" t="str">
        <f>IFERROR(__xludf.DUMMYFUNCTION("""COMPUTED_VALUE"""),"Most Large language models (LLMs) adopt an autoregressive architecture, predicting the next word token based on the preceding context. While this approach is robust for language generation tasks such as writing and summarization, it has limitations for hi"&amp;"gh-level reasoning tasks, such as prediction and decision-making. To overcome these limitations, we introduce a new method called Prediction-Augmented Generation (PAG). PAG can improve the generation quality and predictive accuracy of large language model"&amp;"s in inference-driven tasks by integrating task-specific predictive models as external tools, enabling more structured and precise reasoning. Moreover, our method does not simply copy the inferences of a predictive model, but improves the inference result"&amp;"s with knowledge from the large language model to create better predictions. We comprehensively evaluate our proposed method on diverse datasets for automatic diagnosis tasks requiring extensive domain knowledge and advanced reasoning.")</f>
        <v>Most Large language models (LLMs) adopt an autoregressive architecture, predicting the next word token based on the preceding context. While this approach is robust for language generation tasks such as writing and summarization, it has limitations for high-level reasoning tasks, such as prediction and decision-making. To overcome these limitations, we introduce a new method called Prediction-Augmented Generation (PAG). PAG can improve the generation quality and predictive accuracy of large language models in inference-driven tasks by integrating task-specific predictive models as external tools, enabling more structured and precise reasoning. Moreover, our method does not simply copy the inferences of a predictive model, but improves the inference results with knowledge from the large language model to create better predictions. We comprehensively evaluate our proposed method on diverse datasets for automatic diagnosis tasks requiring extensive domain knowledge and advanced reasoning.</v>
      </c>
      <c r="D816" s="7" t="str">
        <f>IFERROR(__xludf.DUMMYFUNCTION("""COMPUTED_VALUE"""),"Chan-Yang Ju")</f>
        <v>Chan-Yang Ju</v>
      </c>
      <c r="E816" s="7" t="str">
        <f>IFERROR(__xludf.DUMMYFUNCTION("""COMPUTED_VALUE"""),"Yes")</f>
        <v>Yes</v>
      </c>
      <c r="F816" s="7" t="str">
        <f>IFERROR(__xludf.DUMMYFUNCTION("""COMPUTED_VALUE"""),"IP-Poster")</f>
        <v>IP-Poster</v>
      </c>
      <c r="G816" s="7" t="str">
        <f>IFERROR(__xludf.DUMMYFUNCTION("""COMPUTED_VALUE"""),"In-Person")</f>
        <v>In-Person</v>
      </c>
      <c r="H816" s="7" t="str">
        <f>IFERROR(__xludf.DUMMYFUNCTION("""COMPUTED_VALUE"""),"Hall 4/5")</f>
        <v>Hall 4/5</v>
      </c>
      <c r="I816" s="7" t="str">
        <f>IFERROR(__xludf.DUMMYFUNCTION("""COMPUTED_VALUE"""),"Session 7: IP-Posters")</f>
        <v>Session 7: IP-Posters</v>
      </c>
      <c r="J816" s="7" t="str">
        <f>IFERROR(__xludf.DUMMYFUNCTION("""COMPUTED_VALUE"""),"Findings Posters - In-Person 2")</f>
        <v>Findings Posters - In-Person 2</v>
      </c>
      <c r="K816" s="7"/>
      <c r="L816" s="8">
        <f>IFERROR(__xludf.DUMMYFUNCTION("""COMPUTED_VALUE"""),45867.0)</f>
        <v>45867</v>
      </c>
      <c r="M816" s="7" t="str">
        <f>IFERROR(__xludf.DUMMYFUNCTION("""COMPUTED_VALUE"""),"10:30-12:00")</f>
        <v>10:30-12:00</v>
      </c>
      <c r="N816" s="7"/>
    </row>
    <row r="817">
      <c r="A817" s="7" t="str">
        <f>IFERROR(__xludf.DUMMYFUNCTION("""COMPUTED_VALUE"""),"2833-FIND")</f>
        <v>2833-FIND</v>
      </c>
      <c r="B817" s="7" t="str">
        <f>IFERROR(__xludf.DUMMYFUNCTION("""COMPUTED_VALUE"""),"FedLEKE: Federated Locate-then-Edit Knowledge Editing for Multi-Client Collaboration")</f>
        <v>FedLEKE: Federated Locate-then-Edit Knowledge Editing for Multi-Client Collaboration</v>
      </c>
      <c r="C817" s="7" t="str">
        <f>IFERROR(__xludf.DUMMYFUNCTION("""COMPUTED_VALUE"""),"Locate-then-Edit Knowledge Editing (LEKE) is a key technique for updating large language models (LLMs) without full retraining. However, existing methods assume a single-user setting and become inefficient in real-world multi-client scenarios, where decen"&amp;"tralized organizations (e.g., hospitals, financial institutions) independently update overlapping knowledge, leading to redundant mediator knowledge vector (MKV) computations and privacy concerns.To address these challenges, we introduce Federated Locate-"&amp;"then-Edit Knowledge Editing (FedLEKE), a novel task that enables multiple clients to collaboratively perform LEKE while preserving privacy and reducing computational overhead. To achieve this, we propose FedEdit, a two-stage framework that optimizes MKV s"&amp;"election and reuse.In the first stage, clients locally apply LEKE and upload the computed MKVs. In the second stage, rather than relying solely on server-based MKV sharing, FedLEKE allows clients retrieve relevant MKVs based on cosine similarity, enabling"&amp;" knowledge re-edit and minimizing redundant computations.Experimental results on two benchmark datasets demonstrate that FedEdit retains over 96% of the performance of non-federated LEKE while significantly outperforming a FedAvg-based baseline by approxi"&amp;"mately twofold. Besides, we find that MEMIT performs more consistently than PMET in the FedLEKE task with our FedEdit framework. Our code is available at https://github.com/zongkaiz/FedLEKE.")</f>
        <v>Locate-then-Edit Knowledge Editing (LEKE) is a key technique for updating large language models (LLMs) without full retraining. However, existing methods assume a single-user setting and become inefficient in real-world multi-client scenarios, where decentralized organizations (e.g., hospitals, financial institutions) independently update overlapping knowledge, leading to redundant mediator knowledge vector (MKV) computations and privacy concerns.To address these challenges, we introduce Federated Locate-then-Edit Knowledge Editing (FedLEKE), a novel task that enables multiple clients to collaboratively perform LEKE while preserving privacy and reducing computational overhead. To achieve this, we propose FedEdit, a two-stage framework that optimizes MKV selection and reuse.In the first stage, clients locally apply LEKE and upload the computed MKVs. In the second stage, rather than relying solely on server-based MKV sharing, FedLEKE allows clients retrieve relevant MKVs based on cosine similarity, enabling knowledge re-edit and minimizing redundant computations.Experimental results on two benchmark datasets demonstrate that FedEdit retains over 96% of the performance of non-federated LEKE while significantly outperforming a FedAvg-based baseline by approximately twofold. Besides, we find that MEMIT performs more consistently than PMET in the FedLEKE task with our FedEdit framework. Our code is available at https://github.com/zongkaiz/FedLEKE.</v>
      </c>
      <c r="D817" s="7" t="str">
        <f>IFERROR(__xludf.DUMMYFUNCTION("""COMPUTED_VALUE"""),"N/A")</f>
        <v>N/A</v>
      </c>
      <c r="E817" s="7" t="str">
        <f>IFERROR(__xludf.DUMMYFUNCTION("""COMPUTED_VALUE"""),"#N/A")</f>
        <v>#N/A</v>
      </c>
      <c r="F817" s="7" t="str">
        <f>IFERROR(__xludf.DUMMYFUNCTION("""COMPUTED_VALUE"""),"Not Pres. ")</f>
        <v>Not Pres. </v>
      </c>
      <c r="G817" s="7" t="str">
        <f>IFERROR(__xludf.DUMMYFUNCTION("""COMPUTED_VALUE"""),"NP Findings Not Presenting ")</f>
        <v>NP Findings Not Presenting </v>
      </c>
      <c r="H817" s="7"/>
      <c r="I817" s="7" t="str">
        <f>IFERROR(__xludf.DUMMYFUNCTION("""COMPUTED_VALUE"""),"NP-Find")</f>
        <v>NP-Find</v>
      </c>
      <c r="J817" s="7"/>
      <c r="K817" s="7"/>
      <c r="L817" s="8"/>
      <c r="M817" s="7"/>
      <c r="N817" s="7"/>
    </row>
    <row r="818">
      <c r="A818" s="7" t="str">
        <f>IFERROR(__xludf.DUMMYFUNCTION("""COMPUTED_VALUE"""),"2834-FIND")</f>
        <v>2834-FIND</v>
      </c>
      <c r="B818" s="7" t="str">
        <f>IFERROR(__xludf.DUMMYFUNCTION("""COMPUTED_VALUE"""),"DiSCo: Device-Server Collaborative LLM-based Text Streaming Services")</f>
        <v>DiSCo: Device-Server Collaborative LLM-based Text Streaming Services</v>
      </c>
      <c r="C818" s="7" t="str">
        <f>IFERROR(__xludf.DUMMYFUNCTION("""COMPUTED_VALUE"""),"The rapid rise of large language models (LLMs) in text streaming services has introduced significant cost and Quality of Experience (QoE) challenges in serving millions of daily requests, especially in meeting Time-To-First-Token (TTFT) and Time-Between-T"&amp;"oken (TBT) requirements for real-time interactions. Our real-world measurements show that both server-based and on-device deployments struggle to meet diverse QoE demands: server deployments face high costs and last-hop issues (e.g., Internet latency and "&amp;"dynamics), while on-device LLM inference is constrained by resources.
We introduce \disco{}, a device-server cooperative scheduler designed to optimize users' QoE by adaptively routing requests and migrating response generation between endpoints whil"&amp;"e maintaining cost constraints. \disco{} employs cost-aware scheduling, leveraging the predictable speed of on-device LLM inference with the flexible capacity of server-based inference to dispatch requests on the fly, while introducing a token-level migra"&amp;"tion mechanism to ensure consistent token delivery during migration. Evaluations on real-world workloads---including commercial services like OpenAI GPT and DeepSeek, and open-source deployments such as LLaMA3---show that \disco{} can improve users' QoE b"&amp;"y reducing tail TTFT (11-52\%) and mean TTFT (6-78\%) across different model-device configurations, while dramatically reducing serving costs by up to 84\% through its migration mechanism while maintaining comparable QoE levels.")</f>
        <v>The rapid rise of large language models (LLMs) in text streaming services has introduced significant cost and Quality of Experience (QoE) challenges in serving millions of daily requests, especially in meeting Time-To-First-Token (TTFT) and Time-Between-Token (TBT) requirements for real-time interactions. Our real-world measurements show that both server-based and on-device deployments struggle to meet diverse QoE demands: server deployments face high costs and last-hop issues (e.g., Internet latency and dynamics), while on-device LLM inference is constrained by resources.
We introduce \disco{}, a device-server cooperative scheduler designed to optimize users' QoE by adaptively routing requests and migrating response generation between endpoints while maintaining cost constraints. \disco{} employs cost-aware scheduling, leveraging the predictable speed of on-device LLM inference with the flexible capacity of server-based inference to dispatch requests on the fly, while introducing a token-level migration mechanism to ensure consistent token delivery during migration. Evaluations on real-world workloads---including commercial services like OpenAI GPT and DeepSeek, and open-source deployments such as LLaMA3---show that \disco{} can improve users' QoE by reducing tail TTFT (11-52\%) and mean TTFT (6-78\%) across different model-device configurations, while dramatically reducing serving costs by up to 84\% through its migration mechanism while maintaining comparable QoE levels.</v>
      </c>
      <c r="D818" s="7" t="str">
        <f>IFERROR(__xludf.DUMMYFUNCTION("""COMPUTED_VALUE"""),"N/A")</f>
        <v>N/A</v>
      </c>
      <c r="E818" s="7" t="str">
        <f>IFERROR(__xludf.DUMMYFUNCTION("""COMPUTED_VALUE"""),"#N/A")</f>
        <v>#N/A</v>
      </c>
      <c r="F818" s="7" t="str">
        <f>IFERROR(__xludf.DUMMYFUNCTION("""COMPUTED_VALUE"""),"Not Pres. ")</f>
        <v>Not Pres. </v>
      </c>
      <c r="G818" s="7" t="str">
        <f>IFERROR(__xludf.DUMMYFUNCTION("""COMPUTED_VALUE"""),"NP Findings Not Presenting ")</f>
        <v>NP Findings Not Presenting </v>
      </c>
      <c r="H818" s="7"/>
      <c r="I818" s="7" t="str">
        <f>IFERROR(__xludf.DUMMYFUNCTION("""COMPUTED_VALUE"""),"NP-Find")</f>
        <v>NP-Find</v>
      </c>
      <c r="J818" s="7"/>
      <c r="K818" s="7"/>
      <c r="L818" s="8"/>
      <c r="M818" s="7"/>
      <c r="N818" s="7"/>
    </row>
    <row r="819">
      <c r="A819" s="7" t="str">
        <f>IFERROR(__xludf.DUMMYFUNCTION("""COMPUTED_VALUE"""),"2843-FIND")</f>
        <v>2843-FIND</v>
      </c>
      <c r="B819" s="7" t="str">
        <f>IFERROR(__xludf.DUMMYFUNCTION("""COMPUTED_VALUE"""),"Customizing In-context Learning for Dynamic Interest Adaption in LLM-based Recommendation")</f>
        <v>Customizing In-context Learning for Dynamic Interest Adaption in LLM-based Recommendation</v>
      </c>
      <c r="C819" s="7" t="str">
        <f>IFERROR(__xludf.DUMMYFUNCTION("""COMPUTED_VALUE"""),"Frequently updating Large Language Model (LLM)-based recommender systems to adapt to dynamic user interests—as done for traditional ones—is impractical due to high training costs, even with acceleration methods. This work explores the possibility of adapt"&amp;"ing the model to dynamic user interests without any model-level updates via In-context Learning (ICL), which enables adaptation through few-shot examples within input prompts. While using recent user interactions as ICL demonstrations offers a potential s"&amp;"olution for dynamic interest adaptation, existing LLM-based recommenders face critical limitations: recommendation-specific tuning often diminishes the model's in-context learning ability, and the original LLM's ICL lacks task-specific optimization for re"&amp;"commendations. To bridge this gap, we introduce RecICL, a framework that establishes recommendation-oriented in-context learning by structuring recent user interactions and current inputs into ICL formats. RecICL achieves dual objectives: (1) preserving f"&amp;"undamental ICL capabilities during recommendation adaptation and (2) dynamically capturing user preference evolution through the most recent interactions. Extensive experiments across multiple benchmarks demonstrate RecICL's superior performance, achievin"&amp;"g better results without model updates. Our implementation is publicly available at \url{https://anonymous.4open.science/r/RecICL-8003}.")</f>
        <v>Frequently updating Large Language Model (LLM)-based recommender systems to adapt to dynamic user interests—as done for traditional ones—is impractical due to high training costs, even with acceleration methods. This work explores the possibility of adapting the model to dynamic user interests without any model-level updates via In-context Learning (ICL), which enables adaptation through few-shot examples within input prompts. While using recent user interactions as ICL demonstrations offers a potential solution for dynamic interest adaptation, existing LLM-based recommenders face critical limitations: recommendation-specific tuning often diminishes the model's in-context learning ability, and the original LLM's ICL lacks task-specific optimization for recommendations. To bridge this gap, we introduce RecICL, a framework that establishes recommendation-oriented in-context learning by structuring recent user interactions and current inputs into ICL formats. RecICL achieves dual objectives: (1) preserving fundamental ICL capabilities during recommendation adaptation and (2) dynamically capturing user preference evolution through the most recent interactions. Extensive experiments across multiple benchmarks demonstrate RecICL's superior performance, achieving better results without model updates. Our implementation is publicly available at \url{https://anonymous.4open.science/r/RecICL-8003}.</v>
      </c>
      <c r="D819" s="7" t="str">
        <f>IFERROR(__xludf.DUMMYFUNCTION("""COMPUTED_VALUE"""),"Keqin Bao")</f>
        <v>Keqin Bao</v>
      </c>
      <c r="E819" s="7" t="str">
        <f>IFERROR(__xludf.DUMMYFUNCTION("""COMPUTED_VALUE"""),"Yes")</f>
        <v>Yes</v>
      </c>
      <c r="F819" s="7" t="str">
        <f>IFERROR(__xludf.DUMMYFUNCTION("""COMPUTED_VALUE"""),"IP-Poster")</f>
        <v>IP-Poster</v>
      </c>
      <c r="G819" s="7" t="str">
        <f>IFERROR(__xludf.DUMMYFUNCTION("""COMPUTED_VALUE"""),"In-Person")</f>
        <v>In-Person</v>
      </c>
      <c r="H819" s="7" t="str">
        <f>IFERROR(__xludf.DUMMYFUNCTION("""COMPUTED_VALUE"""),"Hall 4/5")</f>
        <v>Hall 4/5</v>
      </c>
      <c r="I819" s="7" t="str">
        <f>IFERROR(__xludf.DUMMYFUNCTION("""COMPUTED_VALUE"""),"Session 5 :IP-Posters Find ")</f>
        <v>Session 5 :IP-Posters Find </v>
      </c>
      <c r="J819" s="7" t="str">
        <f>IFERROR(__xludf.DUMMYFUNCTION("""COMPUTED_VALUE"""),"Findings Posters - In-Person 1")</f>
        <v>Findings Posters - In-Person 1</v>
      </c>
      <c r="K819" s="7"/>
      <c r="L819" s="8">
        <f>IFERROR(__xludf.DUMMYFUNCTION("""COMPUTED_VALUE"""),45866.0)</f>
        <v>45866</v>
      </c>
      <c r="M819" s="7" t="str">
        <f>IFERROR(__xludf.DUMMYFUNCTION("""COMPUTED_VALUE"""),"18:00-19:30")</f>
        <v>18:00-19:30</v>
      </c>
      <c r="N819" s="7"/>
    </row>
    <row r="820">
      <c r="A820" s="7" t="str">
        <f>IFERROR(__xludf.DUMMYFUNCTION("""COMPUTED_VALUE"""),"2847-FIND")</f>
        <v>2847-FIND</v>
      </c>
      <c r="B820" s="7" t="str">
        <f>IFERROR(__xludf.DUMMYFUNCTION("""COMPUTED_VALUE"""),"Robust Data Watermarking in Language Models by Injecting Fictitious Knowledge")</f>
        <v>Robust Data Watermarking in Language Models by Injecting Fictitious Knowledge</v>
      </c>
      <c r="C820" s="7" t="str">
        <f>IFERROR(__xludf.DUMMYFUNCTION("""COMPUTED_VALUE"""),"Data watermarking in language models injects traceable signals, such as specific token sequences or stylistic patterns, into copyrighted text, allowing copyright holders to track and verify training data ownership. Previous data watermarking techniques pr"&amp;"imarily focus on effective memorization after pretraining, while overlooking challenges that arise in other stages of the LLM pipeline, such as the risk of watermark filtering during data preprocessing, or potential forgetting through post-training, or ve"&amp;"rification difficulties due to API-only access. We propose a novel data watermarking approach that injects coherent and plausible yet fictitious knowledge into training data using generated passages describing a fictitious entity and its associated attrib"&amp;"utes. Our watermarks are designed to be memorized by the LLM through seamlessly integrating in its training data, making them harder to detect lexically during preprocessing. We demonstrate that our watermarks can be effectively memorized by LLMs, and tha"&amp;"t increasing our watermarks' density, length, and diversity of attributes strengthens their memorization. We further show that our watermarks remain robust throughout LLM development, maintaining their effectiveness after continual pretraining and supervi"&amp;"sed finetuning. Finally, we show that our data watermarks can be evaluated even under API-only access via question answering.")</f>
        <v>Data watermarking in language models injects traceable signals, such as specific token sequences or stylistic patterns, into copyrighted text, allowing copyright holders to track and verify training data ownership. Previous data watermarking techniques primarily focus on effective memorization after pretraining, while overlooking challenges that arise in other stages of the LLM pipeline, such as the risk of watermark filtering during data preprocessing, or potential forgetting through post-training, or verification difficulties due to API-only access. We propose a novel data watermarking approach that injects coherent and plausible yet fictitious knowledge into training data using generated passages describing a fictitious entity and its associated attributes. Our watermarks are designed to be memorized by the LLM through seamlessly integrating in its training data, making them harder to detect lexically during preprocessing. We demonstrate that our watermarks can be effectively memorized by LLMs, and that increasing our watermarks' density, length, and diversity of attributes strengthens their memorization. We further show that our watermarks remain robust throughout LLM development, maintaining their effectiveness after continual pretraining and supervised finetuning. Finally, we show that our data watermarks can be evaluated even under API-only access via question answering.</v>
      </c>
      <c r="D820" s="7" t="str">
        <f>IFERROR(__xludf.DUMMYFUNCTION("""COMPUTED_VALUE"""),"Xinyue Cui")</f>
        <v>Xinyue Cui</v>
      </c>
      <c r="E820" s="7" t="str">
        <f>IFERROR(__xludf.DUMMYFUNCTION("""COMPUTED_VALUE"""),"Yes")</f>
        <v>Yes</v>
      </c>
      <c r="F820" s="7" t="str">
        <f>IFERROR(__xludf.DUMMYFUNCTION("""COMPUTED_VALUE"""),"IP-Poster")</f>
        <v>IP-Poster</v>
      </c>
      <c r="G820" s="7" t="str">
        <f>IFERROR(__xludf.DUMMYFUNCTION("""COMPUTED_VALUE"""),"In-Person")</f>
        <v>In-Person</v>
      </c>
      <c r="H820" s="7" t="str">
        <f>IFERROR(__xludf.DUMMYFUNCTION("""COMPUTED_VALUE"""),"Hall 4/5")</f>
        <v>Hall 4/5</v>
      </c>
      <c r="I820" s="7" t="str">
        <f>IFERROR(__xludf.DUMMYFUNCTION("""COMPUTED_VALUE"""),"Session 7: IP-Posters")</f>
        <v>Session 7: IP-Posters</v>
      </c>
      <c r="J820" s="7" t="str">
        <f>IFERROR(__xludf.DUMMYFUNCTION("""COMPUTED_VALUE"""),"Findings Posters - In-Person 2")</f>
        <v>Findings Posters - In-Person 2</v>
      </c>
      <c r="K820" s="7"/>
      <c r="L820" s="8">
        <f>IFERROR(__xludf.DUMMYFUNCTION("""COMPUTED_VALUE"""),45867.0)</f>
        <v>45867</v>
      </c>
      <c r="M820" s="7" t="str">
        <f>IFERROR(__xludf.DUMMYFUNCTION("""COMPUTED_VALUE"""),"10:30-12:00")</f>
        <v>10:30-12:00</v>
      </c>
      <c r="N820" s="7"/>
    </row>
    <row r="821">
      <c r="A821" s="7" t="str">
        <f>IFERROR(__xludf.DUMMYFUNCTION("""COMPUTED_VALUE"""),"2848-FIND")</f>
        <v>2848-FIND</v>
      </c>
      <c r="B821" s="7" t="str">
        <f>IFERROR(__xludf.DUMMYFUNCTION("""COMPUTED_VALUE"""),"LLM-Enhanced Query Generation and Retrieval Preservation for Task-Oriented Dialogue")</f>
        <v>LLM-Enhanced Query Generation and Retrieval Preservation for Task-Oriented Dialogue</v>
      </c>
      <c r="C821" s="7" t="str">
        <f>IFERROR(__xludf.DUMMYFUNCTION("""COMPUTED_VALUE"""),"Knowledge retrieval and response generation are fundamental to task-oriented dialogue systems. However, dialogue context frequently contains noisy or irrelevant information, leading to sub-optimal result in knowledge retrieval. One possible approach to re"&amp;"trieving knowledge is to manually annotate standard queries for each dialogue. Yet, this approach is hindered by the challenge of data scarcity, as human annotation is costly. To solve the challenge, we propose an LLM-enhanced model of query-guided knowle"&amp;"dge retrieval for task-oriented dialogue. It generates high-quality queries for knowledge retrieval in task-oriented dialogue solely using low-resource annotated queries. To strengthen the performance correlation between response generation and knowledge "&amp;"retrieval, we propose a retrieval preservation mechanism by further selecting the most relevant knowledge from retrieved top-K records and explicitly incorporating these as prompts to guide a generator in response generation. Experiments on three standard"&amp;" benchmarks demonstrate that our model and mechanism outperform previous state-of-the-art by 3.26% on average with two widely used evaluation metrics.")</f>
        <v>Knowledge retrieval and response generation are fundamental to task-oriented dialogue systems. However, dialogue context frequently contains noisy or irrelevant information, leading to sub-optimal result in knowledge retrieval. One possible approach to retrieving knowledge is to manually annotate standard queries for each dialogue. Yet, this approach is hindered by the challenge of data scarcity, as human annotation is costly. To solve the challenge, we propose an LLM-enhanced model of query-guided knowledge retrieval for task-oriented dialogue. It generates high-quality queries for knowledge retrieval in task-oriented dialogue solely using low-resource annotated queries. To strengthen the performance correlation between response generation and knowledge retrieval, we propose a retrieval preservation mechanism by further selecting the most relevant knowledge from retrieved top-K records and explicitly incorporating these as prompts to guide a generator in response generation. Experiments on three standard benchmarks demonstrate that our model and mechanism outperform previous state-of-the-art by 3.26% on average with two widely used evaluation metrics.</v>
      </c>
      <c r="D821" s="7" t="str">
        <f>IFERROR(__xludf.DUMMYFUNCTION("""COMPUTED_VALUE"""),"N/A")</f>
        <v>N/A</v>
      </c>
      <c r="E821" s="7" t="str">
        <f>IFERROR(__xludf.DUMMYFUNCTION("""COMPUTED_VALUE"""),"#N/A")</f>
        <v>#N/A</v>
      </c>
      <c r="F821" s="7" t="str">
        <f>IFERROR(__xludf.DUMMYFUNCTION("""COMPUTED_VALUE"""),"Not Pres. ")</f>
        <v>Not Pres. </v>
      </c>
      <c r="G821" s="7" t="str">
        <f>IFERROR(__xludf.DUMMYFUNCTION("""COMPUTED_VALUE"""),"NP Findings Not Presenting ")</f>
        <v>NP Findings Not Presenting </v>
      </c>
      <c r="H821" s="7"/>
      <c r="I821" s="7" t="str">
        <f>IFERROR(__xludf.DUMMYFUNCTION("""COMPUTED_VALUE"""),"NP-Find")</f>
        <v>NP-Find</v>
      </c>
      <c r="J821" s="7"/>
      <c r="K821" s="7"/>
      <c r="L821" s="8"/>
      <c r="M821" s="7"/>
      <c r="N821" s="7"/>
    </row>
    <row r="822">
      <c r="A822" s="7" t="str">
        <f>IFERROR(__xludf.DUMMYFUNCTION("""COMPUTED_VALUE"""),"2849-FIND")</f>
        <v>2849-FIND</v>
      </c>
      <c r="B822" s="7" t="str">
        <f>IFERROR(__xludf.DUMMYFUNCTION("""COMPUTED_VALUE"""),"ClozeMath: Improving Mathematical Reasoning in Language Models by Learning to Fill Equations")</f>
        <v>ClozeMath: Improving Mathematical Reasoning in Language Models by Learning to Fill Equations</v>
      </c>
      <c r="C822" s="7" t="str">
        <f>IFERROR(__xludf.DUMMYFUNCTION("""COMPUTED_VALUE"""),"The capabilities of large language models (LLMs) have been enhanced by training on data that reflects human thought processes, such as the Chain-of-Thought format. However, evidence suggests that the conventional scheme of next-word prediction may not ful"&amp;"ly capture how humans learn to think. Inspired by how humans generalize mathematical reasoning, we propose a new approach named ClozeMath to fine-tune LLMs for mathematical reasoning. Our ClozeMath involves a text-infilling task that predicts masked equat"&amp;"ions from a given solution, analogical to cloze exercises used in human learning. Experiments on GSM8K, MATH, and GSM-Symbolic show that ClozeMath surpasses the strong baseline Masked Thought in both performance and robustness. Additionally, we conduct an"&amp;" ablation study to examine how different architectures and implementations impact its effectiveness.")</f>
        <v>The capabilities of large language models (LLMs) have been enhanced by training on data that reflects human thought processes, such as the Chain-of-Thought format. However, evidence suggests that the conventional scheme of next-word prediction may not fully capture how humans learn to think. Inspired by how humans generalize mathematical reasoning, we propose a new approach named ClozeMath to fine-tune LLMs for mathematical reasoning. Our ClozeMath involves a text-infilling task that predicts masked equations from a given solution, analogical to cloze exercises used in human learning. Experiments on GSM8K, MATH, and GSM-Symbolic show that ClozeMath surpasses the strong baseline Masked Thought in both performance and robustness. Additionally, we conduct an ablation study to examine how different architectures and implementations impact its effectiveness.</v>
      </c>
      <c r="D822" s="7" t="str">
        <f>IFERROR(__xludf.DUMMYFUNCTION("""COMPUTED_VALUE"""),"I do not plan to present")</f>
        <v>I do not plan to present</v>
      </c>
      <c r="E822" s="7" t="str">
        <f>IFERROR(__xludf.DUMMYFUNCTION("""COMPUTED_VALUE"""),"#N/A")</f>
        <v>#N/A</v>
      </c>
      <c r="F822" s="7" t="str">
        <f>IFERROR(__xludf.DUMMYFUNCTION("""COMPUTED_VALUE"""),"Not Pres. ")</f>
        <v>Not Pres. </v>
      </c>
      <c r="G822" s="7" t="str">
        <f>IFERROR(__xludf.DUMMYFUNCTION("""COMPUTED_VALUE"""),"NP Findings Not Presenting ")</f>
        <v>NP Findings Not Presenting </v>
      </c>
      <c r="H822" s="7"/>
      <c r="I822" s="7" t="str">
        <f>IFERROR(__xludf.DUMMYFUNCTION("""COMPUTED_VALUE"""),"NP-Find")</f>
        <v>NP-Find</v>
      </c>
      <c r="J822" s="7"/>
      <c r="K822" s="7"/>
      <c r="L822" s="8"/>
      <c r="M822" s="7"/>
      <c r="N822" s="7"/>
    </row>
    <row r="823">
      <c r="A823" s="7" t="str">
        <f>IFERROR(__xludf.DUMMYFUNCTION("""COMPUTED_VALUE"""),"2852-FIND")</f>
        <v>2852-FIND</v>
      </c>
      <c r="B823" s="7" t="str">
        <f>IFERROR(__xludf.DUMMYFUNCTION("""COMPUTED_VALUE"""),"Low-Entropy Watermark Detection via Bayes’ Rule Derived Detector")</f>
        <v>Low-Entropy Watermark Detection via Bayes’ Rule Derived Detector</v>
      </c>
      <c r="C823" s="7" t="str">
        <f>IFERROR(__xludf.DUMMYFUNCTION("""COMPUTED_VALUE"""),"Text watermarking, which modify tokens to embed watermark, has proven effective in detecting machine-generated texts. Yet its application to low-entropy texts like code and mathematics presents significant challenges. A fair number of tokens in these text"&amp;"s are hardly modifiable without changing the intended meaning, causing statistical measures to falsely indicate the absence of a watermark. Existing research addresses this issue by rely mainly on a limited number of high-entropy tokens, which are conside"&amp;"red flexible for modification, and accurately reflecting watermarks. However, their detection accuracy remains suboptimal, as they neglect strong watermark evidences embedded in low entropy tokens modified through watermarking. To overcome this limitation"&amp;", we introduce Bayes’ Rule derived Watermark Detector (BRWD), which exploit watermark information from every token, by leveraging the posterior probability of watermark’s presence. We theoretically prove the optimality of our method in terms of detection "&amp;"accuracy, and demonstrate its superiority across various datasets, models, and watermark injection strategies. Notably, our method achieves up to 50% and 70% relative improvements in detection accuracy over the best baselines in code generation and math p"&amp;"roblem-solving tasks, respectively. Our code is available at https://github.com/cczslp/BRWD.")</f>
        <v>Text watermarking, which modify tokens to embed watermark, has proven effective in detecting machine-generated texts. Yet its application to low-entropy texts like code and mathematics presents significant challenges. A fair number of tokens in these texts are hardly modifiable without changing the intended meaning, causing statistical measures to falsely indicate the absence of a watermark. Existing research addresses this issue by rely mainly on a limited number of high-entropy tokens, which are considered flexible for modification, and accurately reflecting watermarks. However, their detection accuracy remains suboptimal, as they neglect strong watermark evidences embedded in low entropy tokens modified through watermarking. To overcome this limitation, we introduce Bayes’ Rule derived Watermark Detector (BRWD), which exploit watermark information from every token, by leveraging the posterior probability of watermark’s presence. We theoretically prove the optimality of our method in terms of detection accuracy, and demonstrate its superiority across various datasets, models, and watermark injection strategies. Notably, our method achieves up to 50% and 70% relative improvements in detection accuracy over the best baselines in code generation and math problem-solving tasks, respectively. Our code is available at https://github.com/cczslp/BRWD.</v>
      </c>
      <c r="D823" s="7" t="str">
        <f>IFERROR(__xludf.DUMMYFUNCTION("""COMPUTED_VALUE"""),"Du Su")</f>
        <v>Du Su</v>
      </c>
      <c r="E823" s="7" t="str">
        <f>IFERROR(__xludf.DUMMYFUNCTION("""COMPUTED_VALUE"""),"Yes")</f>
        <v>Yes</v>
      </c>
      <c r="F823" s="7" t="str">
        <f>IFERROR(__xludf.DUMMYFUNCTION("""COMPUTED_VALUE"""),"IP-Poster")</f>
        <v>IP-Poster</v>
      </c>
      <c r="G823" s="7" t="str">
        <f>IFERROR(__xludf.DUMMYFUNCTION("""COMPUTED_VALUE"""),"In-Person")</f>
        <v>In-Person</v>
      </c>
      <c r="H823" s="7" t="str">
        <f>IFERROR(__xludf.DUMMYFUNCTION("""COMPUTED_VALUE"""),"Hall 4/5")</f>
        <v>Hall 4/5</v>
      </c>
      <c r="I823" s="7" t="str">
        <f>IFERROR(__xludf.DUMMYFUNCTION("""COMPUTED_VALUE"""),"Session 7: IP-Posters")</f>
        <v>Session 7: IP-Posters</v>
      </c>
      <c r="J823" s="7" t="str">
        <f>IFERROR(__xludf.DUMMYFUNCTION("""COMPUTED_VALUE"""),"Findings Posters - In-Person 2")</f>
        <v>Findings Posters - In-Person 2</v>
      </c>
      <c r="K823" s="7"/>
      <c r="L823" s="8">
        <f>IFERROR(__xludf.DUMMYFUNCTION("""COMPUTED_VALUE"""),45867.0)</f>
        <v>45867</v>
      </c>
      <c r="M823" s="7" t="str">
        <f>IFERROR(__xludf.DUMMYFUNCTION("""COMPUTED_VALUE"""),"10:30-12:00")</f>
        <v>10:30-12:00</v>
      </c>
      <c r="N823" s="7"/>
    </row>
    <row r="824">
      <c r="A824" s="7" t="str">
        <f>IFERROR(__xludf.DUMMYFUNCTION("""COMPUTED_VALUE"""),"2858-FIND")</f>
        <v>2858-FIND</v>
      </c>
      <c r="B824" s="7" t="str">
        <f>IFERROR(__xludf.DUMMYFUNCTION("""COMPUTED_VALUE"""),"CoD, Towards an Interpretable Medical Agent using Chain of Diagnosis")</f>
        <v>CoD, Towards an Interpretable Medical Agent using Chain of Diagnosis</v>
      </c>
      <c r="C824" s="7" t="str">
        <f>IFERROR(__xludf.DUMMYFUNCTION("""COMPUTED_VALUE"""),"The field of AI healthcare has undergone a significant transformation with the advent of large language models (LLMs), yet the challenges of interpretability within these models remain largely unaddressed. This study introduces **Chain-of-Diagnosis (CoD)*"&amp;"* to enhance the interpretability of medical automatic diagnosis. CoD transforms the diagnostic process into a diagnostic chain that mirrors a physician’s thought process, providing a transparent reasoning pathway. Additionally, CoD outputs the disease co"&amp;"nfidence distribution to ensure transparency in decision-making. This interpretability makes model diagnostics controllable and aids in identifying critical symptoms for inquiry through the entropy reduction of confidences. With CoD, we developed **Diagno"&amp;"sisGPT**, capable of diagnosing 9,604 diseases for validating CoD. Experimental results demonstrate that DiagnosisGPT outperforms other LLMs on automatic diagnostic tasks across three real-world benchmarks. Moreover, DiagnosisGPT provides interpretability"&amp;" while ensuring controllability in diagnostic rigor.")</f>
        <v>The field of AI healthcare has undergone a significant transformation with the advent of large language models (LLMs), yet the challenges of interpretability within these models remain largely unaddressed. This study introduces **Chain-of-Diagnosis (CoD)** to enhance the interpretability of medical automatic diagnosis. CoD transforms the diagnostic process into a diagnostic chain that mirrors a physician’s thought process, providing a transparent reasoning pathway. Additionally, CoD outputs the disease confidence distribution to ensure transparency in decision-making. This interpretability makes model diagnostics controllable and aids in identifying critical symptoms for inquiry through the entropy reduction of confidences. With CoD, we developed **DiagnosisGPT**, capable of diagnosing 9,604 diseases for validating CoD. Experimental results demonstrate that DiagnosisGPT outperforms other LLMs on automatic diagnostic tasks across three real-world benchmarks. Moreover, DiagnosisGPT provides interpretability while ensuring controllability in diagnostic rigor.</v>
      </c>
      <c r="D824" s="7" t="str">
        <f>IFERROR(__xludf.DUMMYFUNCTION("""COMPUTED_VALUE"""),"Junying Chen")</f>
        <v>Junying Chen</v>
      </c>
      <c r="E824" s="7" t="str">
        <f>IFERROR(__xludf.DUMMYFUNCTION("""COMPUTED_VALUE"""),"Yes")</f>
        <v>Yes</v>
      </c>
      <c r="F824" s="7" t="str">
        <f>IFERROR(__xludf.DUMMYFUNCTION("""COMPUTED_VALUE"""),"IP-Poster")</f>
        <v>IP-Poster</v>
      </c>
      <c r="G824" s="7" t="str">
        <f>IFERROR(__xludf.DUMMYFUNCTION("""COMPUTED_VALUE"""),"In-Person")</f>
        <v>In-Person</v>
      </c>
      <c r="H824" s="7" t="str">
        <f>IFERROR(__xludf.DUMMYFUNCTION("""COMPUTED_VALUE"""),"Hall 4/5")</f>
        <v>Hall 4/5</v>
      </c>
      <c r="I824" s="7" t="str">
        <f>IFERROR(__xludf.DUMMYFUNCTION("""COMPUTED_VALUE"""),"Session 5 :IP-Posters Find ")</f>
        <v>Session 5 :IP-Posters Find </v>
      </c>
      <c r="J824" s="7" t="str">
        <f>IFERROR(__xludf.DUMMYFUNCTION("""COMPUTED_VALUE"""),"Findings Posters - In-Person 1")</f>
        <v>Findings Posters - In-Person 1</v>
      </c>
      <c r="K824" s="7"/>
      <c r="L824" s="8">
        <f>IFERROR(__xludf.DUMMYFUNCTION("""COMPUTED_VALUE"""),45866.0)</f>
        <v>45866</v>
      </c>
      <c r="M824" s="7" t="str">
        <f>IFERROR(__xludf.DUMMYFUNCTION("""COMPUTED_VALUE"""),"18:00-19:30")</f>
        <v>18:00-19:30</v>
      </c>
      <c r="N824" s="7"/>
    </row>
    <row r="825">
      <c r="A825" s="7" t="str">
        <f>IFERROR(__xludf.DUMMYFUNCTION("""COMPUTED_VALUE"""),"2865-FIND")</f>
        <v>2865-FIND</v>
      </c>
      <c r="B825" s="7" t="str">
        <f>IFERROR(__xludf.DUMMYFUNCTION("""COMPUTED_VALUE"""),"DaNet: Dual-Aware Enhanced Alignment Network for Multimodal Aspect-Based Sentiment Analysis")</f>
        <v>DaNet: Dual-Aware Enhanced Alignment Network for Multimodal Aspect-Based Sentiment Analysis</v>
      </c>
      <c r="C825" s="7" t="str">
        <f>IFERROR(__xludf.DUMMYFUNCTION("""COMPUTED_VALUE"""),"Multimodal Aspect-Based Sentiment Analysis (MABSA) aims to extract aspect-sentiment pairs from text and image data. While significant progress has been made in image-aspect alignment, due to the subtlety and complexity of language expressions, there are n"&amp;"ot always explicit aspect words in the language to align with images. Existing methods typically assume a direct alignment between images and aspects, matching the entire image with a corresponding aspect. This rough alignment of images and aspects introd"&amp;"uces noise. To address the above issues, this paper proposes a Dual-Aware Enhanced Alignment Network (DaNet) designed for fine-grained multimodal aspect-image alignment and denoising. Specifically, we first introduce a Multimodal Denoising Encoder (MDE) t"&amp;"hat jointly image and text to guide the compression and denoising of visual sequences. And then, aspect-aware and sentiment-aware networks are constructed to jointly enhance fine-grained alignment and denoising of text-image information. To better align i"&amp;"mplicit aspects, an Implicit Aspect Opinion Generation (IAOG) pretraining is designed under the guidance of large language model. Extensive experiments across three MABSA subtasks demonstrate that DaNet outperforms existing methods. Code will be available"&amp;" at https://github.com/***/DaNet.")</f>
        <v>Multimodal Aspect-Based Sentiment Analysis (MABSA) aims to extract aspect-sentiment pairs from text and image data. While significant progress has been made in image-aspect alignment, due to the subtlety and complexity of language expressions, there are not always explicit aspect words in the language to align with images. Existing methods typically assume a direct alignment between images and aspects, matching the entire image with a corresponding aspect. This rough alignment of images and aspects introduces noise. To address the above issues, this paper proposes a Dual-Aware Enhanced Alignment Network (DaNet) designed for fine-grained multimodal aspect-image alignment and denoising. Specifically, we first introduce a Multimodal Denoising Encoder (MDE) that jointly image and text to guide the compression and denoising of visual sequences. And then, aspect-aware and sentiment-aware networks are constructed to jointly enhance fine-grained alignment and denoising of text-image information. To better align implicit aspects, an Implicit Aspect Opinion Generation (IAOG) pretraining is designed under the guidance of large language model. Extensive experiments across three MABSA subtasks demonstrate that DaNet outperforms existing methods. Code will be available at https://github.com/***/DaNet.</v>
      </c>
      <c r="D825" s="7" t="str">
        <f>IFERROR(__xludf.DUMMYFUNCTION("""COMPUTED_VALUE"""),"Aoqiang Zhu")</f>
        <v>Aoqiang Zhu</v>
      </c>
      <c r="E825" s="7" t="str">
        <f>IFERROR(__xludf.DUMMYFUNCTION("""COMPUTED_VALUE"""),"#N/A")</f>
        <v>#N/A</v>
      </c>
      <c r="F825" s="7" t="str">
        <f>IFERROR(__xludf.DUMMYFUNCTION("""COMPUTED_VALUE"""),"Not Pres. ")</f>
        <v>Not Pres. </v>
      </c>
      <c r="G825" s="7" t="str">
        <f>IFERROR(__xludf.DUMMYFUNCTION("""COMPUTED_VALUE"""),"NP Findings Not Presenting ")</f>
        <v>NP Findings Not Presenting </v>
      </c>
      <c r="H825" s="7"/>
      <c r="I825" s="7" t="str">
        <f>IFERROR(__xludf.DUMMYFUNCTION("""COMPUTED_VALUE"""),"NP-Find")</f>
        <v>NP-Find</v>
      </c>
      <c r="J825" s="7"/>
      <c r="K825" s="7"/>
      <c r="L825" s="8"/>
      <c r="M825" s="7"/>
      <c r="N825" s="7"/>
    </row>
    <row r="826">
      <c r="A826" s="7" t="str">
        <f>IFERROR(__xludf.DUMMYFUNCTION("""COMPUTED_VALUE"""),"2870-FIND")</f>
        <v>2870-FIND</v>
      </c>
      <c r="B826" s="7" t="str">
        <f>IFERROR(__xludf.DUMMYFUNCTION("""COMPUTED_VALUE"""),"Exploring Multimodal Challenges in Toxic Chinese Detection: Taxonomy, Benchmark, and Findings")</f>
        <v>Exploring Multimodal Challenges in Toxic Chinese Detection: Taxonomy, Benchmark, and Findings</v>
      </c>
      <c r="C826" s="7" t="str">
        <f>IFERROR(__xludf.DUMMYFUNCTION("""COMPUTED_VALUE"""),"Detecting toxic content using language models is important but challenging. While large language models (LLMs) have demonstrated strong performance in understanding Chinese, recent studies show that simple character substitutions in toxic Chinese text can"&amp;" easily confuse the state-of-the-art (SOTA) LLMs. In this paper, we highlight the multimodal nature of Chinese language as a key challenge for deploying LLMs in toxic Chinese detection. First, we propose a taxonomy of 3 perturbation strategies and 8 speci"&amp;"fic approaches in toxic Chinese content. Then, we curate a dataset based on this taxonomy, and benchmark 9 SOTA LLMs (from both the US and China) to assess if they can detect perturbed toxic Chinese text. Additionally, we explore cost-effective enhancemen"&amp;"t solutions like in-context learning (ICL) and supervised fine-tuning (SFT). Our results reveal two important findings. (1) LLMs are less capable of detecting perturbed multimodal Chinese toxic contents. (2) ICL or SFT with a small number of perturbed exa"&amp;"mples may cause the LLMs ""overcorrect'': misidentify many normal Chinese contents as toxic.")</f>
        <v>Detecting toxic content using language models is important but challenging. While large language models (LLMs) have demonstrated strong performance in understanding Chinese, recent studies show that simple character substitutions in toxic Chinese text can easily confuse the state-of-the-art (SOTA) LLMs. In this paper, we highlight the multimodal nature of Chinese language as a key challenge for deploying LLMs in toxic Chinese detection. First, we propose a taxonomy of 3 perturbation strategies and 8 specific approaches in toxic Chinese content. Then, we curate a dataset based on this taxonomy, and benchmark 9 SOTA LLMs (from both the US and China) to assess if they can detect perturbed toxic Chinese text. Additionally, we explore cost-effective enhancement solutions like in-context learning (ICL) and supervised fine-tuning (SFT). Our results reveal two important findings. (1) LLMs are less capable of detecting perturbed multimodal Chinese toxic contents. (2) ICL or SFT with a small number of perturbed examples may cause the LLMs "overcorrect'': misidentify many normal Chinese contents as toxic.</v>
      </c>
      <c r="D826" s="7" t="str">
        <f>IFERROR(__xludf.DUMMYFUNCTION("""COMPUTED_VALUE"""),"Shujian YANG")</f>
        <v>Shujian YANG</v>
      </c>
      <c r="E826" s="7" t="str">
        <f>IFERROR(__xludf.DUMMYFUNCTION("""COMPUTED_VALUE"""),"Yes")</f>
        <v>Yes</v>
      </c>
      <c r="F826" s="7" t="str">
        <f>IFERROR(__xludf.DUMMYFUNCTION("""COMPUTED_VALUE"""),"IP-Poster")</f>
        <v>IP-Poster</v>
      </c>
      <c r="G826" s="7" t="str">
        <f>IFERROR(__xludf.DUMMYFUNCTION("""COMPUTED_VALUE"""),"In-Person")</f>
        <v>In-Person</v>
      </c>
      <c r="H826" s="7" t="str">
        <f>IFERROR(__xludf.DUMMYFUNCTION("""COMPUTED_VALUE"""),"Hall 4/5")</f>
        <v>Hall 4/5</v>
      </c>
      <c r="I826" s="7" t="str">
        <f>IFERROR(__xludf.DUMMYFUNCTION("""COMPUTED_VALUE"""),"Session 10: IP-Posters")</f>
        <v>Session 10: IP-Posters</v>
      </c>
      <c r="J826" s="7" t="str">
        <f>IFERROR(__xludf.DUMMYFUNCTION("""COMPUTED_VALUE"""),"Findings Posters - In-Person 3")</f>
        <v>Findings Posters - In-Person 3</v>
      </c>
      <c r="K826" s="7"/>
      <c r="L826" s="8">
        <f>IFERROR(__xludf.DUMMYFUNCTION("""COMPUTED_VALUE"""),45867.0)</f>
        <v>45867</v>
      </c>
      <c r="M826" s="7" t="str">
        <f>IFERROR(__xludf.DUMMYFUNCTION("""COMPUTED_VALUE"""),"16:00-17:30")</f>
        <v>16:00-17:30</v>
      </c>
      <c r="N826" s="7"/>
    </row>
    <row r="827">
      <c r="A827" s="7" t="str">
        <f>IFERROR(__xludf.DUMMYFUNCTION("""COMPUTED_VALUE"""),"2872-FIND")</f>
        <v>2872-FIND</v>
      </c>
      <c r="B827" s="7" t="str">
        <f>IFERROR(__xludf.DUMMYFUNCTION("""COMPUTED_VALUE"""),"LDIR: Low-Dimensional Dense and Interpretable Text Embeddings with Relative Representations")</f>
        <v>LDIR: Low-Dimensional Dense and Interpretable Text Embeddings with Relative Representations</v>
      </c>
      <c r="C827" s="7" t="str">
        <f>IFERROR(__xludf.DUMMYFUNCTION("""COMPUTED_VALUE"""),"Semantic text representation is a fundamental task in the field of natural language processing. Existing text embedding (e.g., SimCSE and LLM2Vec) have demonstrated excellent performance, but the values of each dimension are difficult to trace and interpr"&amp;"et. Bag-of-words, as classic sparse interpretable embeddings, suffers from poor performance. Recently, Benara et al. (2024) propose interpretable text embeddings using large language models, which forms ''0/1'' embeddings based on responses to a series of"&amp;" questions. These interpretable text embeddings are typically high-dimensional (larger than 10,000). In this work, we propose Low-dimensional (lower than 500) Dense and Interpretable text embeddings with Relative representations (LDIR). The numerical valu"&amp;"es of its dimensions indicate semantic relatedness to different anchor texts through farthest point sampling, offering both semantic representation as well as a certain level of traceability and interpretability. We validate LDIR on multiple semantic text"&amp;"ual similarity, retrieval, and clustering tasks. Extensive experimental results show that LDIR performs close to the black-box baseline models and outperforms the interpretable embeddings baselines with much fewer dimensions.")</f>
        <v>Semantic text representation is a fundamental task in the field of natural language processing. Existing text embedding (e.g., SimCSE and LLM2Vec) have demonstrated excellent performance, but the values of each dimension are difficult to trace and interpret. Bag-of-words, as classic sparse interpretable embeddings, suffers from poor performance. Recently, Benara et al. (2024) propose interpretable text embeddings using large language models, which forms ''0/1'' embeddings based on responses to a series of questions. These interpretable text embeddings are typically high-dimensional (larger than 10,000). In this work, we propose Low-dimensional (lower than 500) Dense and Interpretable text embeddings with Relative representations (LDIR). The numerical values of its dimensions indicate semantic relatedness to different anchor texts through farthest point sampling, offering both semantic representation as well as a certain level of traceability and interpretability. We validate LDIR on multiple semantic textual similarity, retrieval, and clustering tasks. Extensive experimental results show that LDIR performs close to the black-box baseline models and outperforms the interpretable embeddings baselines with much fewer dimensions.</v>
      </c>
      <c r="D827" s="7" t="str">
        <f>IFERROR(__xludf.DUMMYFUNCTION("""COMPUTED_VALUE"""),"Yile Wang")</f>
        <v>Yile Wang</v>
      </c>
      <c r="E827" s="7" t="str">
        <f>IFERROR(__xludf.DUMMYFUNCTION("""COMPUTED_VALUE"""),"Yes")</f>
        <v>Yes</v>
      </c>
      <c r="F827" s="7" t="str">
        <f>IFERROR(__xludf.DUMMYFUNCTION("""COMPUTED_VALUE"""),"IP-Poster")</f>
        <v>IP-Poster</v>
      </c>
      <c r="G827" s="7" t="str">
        <f>IFERROR(__xludf.DUMMYFUNCTION("""COMPUTED_VALUE"""),"In-Person")</f>
        <v>In-Person</v>
      </c>
      <c r="H827" s="7" t="str">
        <f>IFERROR(__xludf.DUMMYFUNCTION("""COMPUTED_VALUE"""),"Hall 4/5")</f>
        <v>Hall 4/5</v>
      </c>
      <c r="I827" s="7" t="str">
        <f>IFERROR(__xludf.DUMMYFUNCTION("""COMPUTED_VALUE"""),"Session 5 :IP-Posters Find ")</f>
        <v>Session 5 :IP-Posters Find </v>
      </c>
      <c r="J827" s="7" t="str">
        <f>IFERROR(__xludf.DUMMYFUNCTION("""COMPUTED_VALUE"""),"Findings Posters - In-Person 1")</f>
        <v>Findings Posters - In-Person 1</v>
      </c>
      <c r="K827" s="7"/>
      <c r="L827" s="8">
        <f>IFERROR(__xludf.DUMMYFUNCTION("""COMPUTED_VALUE"""),45866.0)</f>
        <v>45866</v>
      </c>
      <c r="M827" s="7" t="str">
        <f>IFERROR(__xludf.DUMMYFUNCTION("""COMPUTED_VALUE"""),"18:00-19:30")</f>
        <v>18:00-19:30</v>
      </c>
      <c r="N827" s="7"/>
    </row>
    <row r="828">
      <c r="A828" s="7" t="str">
        <f>IFERROR(__xludf.DUMMYFUNCTION("""COMPUTED_VALUE"""),"2888-FIND")</f>
        <v>2888-FIND</v>
      </c>
      <c r="B828" s="7" t="str">
        <f>IFERROR(__xludf.DUMMYFUNCTION("""COMPUTED_VALUE"""),"Ranked Voting based Self-Consistency of Large Language Models")</f>
        <v>Ranked Voting based Self-Consistency of Large Language Models</v>
      </c>
      <c r="C828" s="7" t="str">
        <f>IFERROR(__xludf.DUMMYFUNCTION("""COMPUTED_VALUE"""),"Majority voting is considered an effective method to enhance chain-of-thought reasoning, as it selects the answer with the highest ''self-consistency'' among different reasoning paths (Wang et al., 2023). However, previous chain-of-thought reasoning metho"&amp;"ds typically generate only a single answer in each trial, thereby ignoring the possibility of other potential answers. As a result, these alternative answers are often overlooked in subsequent voting processes. In this work, we propose to generate ranked "&amp;"answers in each reasoning process and conduct ranked voting among multiple ranked answers from different responses, thereby making the overall self-consistency more reliable. Specifically, we use three ranked voting methods: Instant-runoff voting, Borda c"&amp;"ount voting, and mean reciprocal rank voting. We validate our methods on six datasets, including three multiple-choice and three open-ended question-answering tasks, using both advanced open-source and closed-source large language models. Extensive experi"&amp;"mental results indicate that our proposed method outperforms the baselines, showcasing the potential of leveraging the information of ranked answers and using ranked voting to improve reasoning performance. Code and logs will be released.")</f>
        <v>Majority voting is considered an effective method to enhance chain-of-thought reasoning, as it selects the answer with the highest ''self-consistency'' among different reasoning paths (Wang et al., 2023). However, previous chain-of-thought reasoning methods typically generate only a single answer in each trial, thereby ignoring the possibility of other potential answers. As a result, these alternative answers are often overlooked in subsequent voting processes. In this work, we propose to generate ranked answers in each reasoning process and conduct ranked voting among multiple ranked answers from different responses, thereby making the overall self-consistency more reliable. Specifically, we use three ranked voting methods: Instant-runoff voting, Borda count voting, and mean reciprocal rank voting. We validate our methods on six datasets, including three multiple-choice and three open-ended question-answering tasks, using both advanced open-source and closed-source large language models. Extensive experimental results indicate that our proposed method outperforms the baselines, showcasing the potential of leveraging the information of ranked answers and using ranked voting to improve reasoning performance. Code and logs will be released.</v>
      </c>
      <c r="D828" s="7" t="str">
        <f>IFERROR(__xludf.DUMMYFUNCTION("""COMPUTED_VALUE"""),"Weiqin Wang")</f>
        <v>Weiqin Wang</v>
      </c>
      <c r="E828" s="7" t="str">
        <f>IFERROR(__xludf.DUMMYFUNCTION("""COMPUTED_VALUE"""),"Yes")</f>
        <v>Yes</v>
      </c>
      <c r="F828" s="7" t="str">
        <f>IFERROR(__xludf.DUMMYFUNCTION("""COMPUTED_VALUE"""),"IP-Poster")</f>
        <v>IP-Poster</v>
      </c>
      <c r="G828" s="7" t="str">
        <f>IFERROR(__xludf.DUMMYFUNCTION("""COMPUTED_VALUE"""),"In-Person")</f>
        <v>In-Person</v>
      </c>
      <c r="H828" s="7" t="str">
        <f>IFERROR(__xludf.DUMMYFUNCTION("""COMPUTED_VALUE"""),"Hall 4/5")</f>
        <v>Hall 4/5</v>
      </c>
      <c r="I828" s="7" t="str">
        <f>IFERROR(__xludf.DUMMYFUNCTION("""COMPUTED_VALUE"""),"Session 7: IP-Posters")</f>
        <v>Session 7: IP-Posters</v>
      </c>
      <c r="J828" s="7" t="str">
        <f>IFERROR(__xludf.DUMMYFUNCTION("""COMPUTED_VALUE"""),"Findings Posters - In-Person 2")</f>
        <v>Findings Posters - In-Person 2</v>
      </c>
      <c r="K828" s="7"/>
      <c r="L828" s="8">
        <f>IFERROR(__xludf.DUMMYFUNCTION("""COMPUTED_VALUE"""),45867.0)</f>
        <v>45867</v>
      </c>
      <c r="M828" s="7" t="str">
        <f>IFERROR(__xludf.DUMMYFUNCTION("""COMPUTED_VALUE"""),"10:30-12:00")</f>
        <v>10:30-12:00</v>
      </c>
      <c r="N828" s="7"/>
    </row>
    <row r="829">
      <c r="A829" s="7" t="str">
        <f>IFERROR(__xludf.DUMMYFUNCTION("""COMPUTED_VALUE"""),"2889-FIND")</f>
        <v>2889-FIND</v>
      </c>
      <c r="B829" s="7" t="str">
        <f>IFERROR(__xludf.DUMMYFUNCTION("""COMPUTED_VALUE"""),"SemanticCamo: Jailbreaking Large Language Models through Semantic Camouflage")</f>
        <v>SemanticCamo: Jailbreaking Large Language Models through Semantic Camouflage</v>
      </c>
      <c r="C829" s="7" t="str">
        <f>IFERROR(__xludf.DUMMYFUNCTION("""COMPUTED_VALUE"""),"The rapid development and increasingly widespread applications of Large Language Models (LLMs) have made the safety issues of LLMs more prominent and critical. Although safety training is widely used in LLMs, the mismatch between pre-training and safety t"&amp;"raining still leads to safety vulnerabilities. To expose the safety vulnerabilities in LLMs and improve LLMs' performance in safety, we propose a novel framework, SemanticCamo, which attacks LLMs through semantic camouflage.
SemanticCamo bypasses safety g"&amp;"uardrails by replacing the original unsafe content with semantic features, thereby concealing malicious intent while keeping the query's semantics unchanged. We conduct comprehensive experiments on the state-of-the-art LLMs, including GPT-4o and Claude-3."&amp;"5, finding that SemanticCamo successfully induces harmful responses from the target models in over 80\% of cases on average, outperforming previous counterparts. 
Additionally, the performance of SemanticCamo against various defenses is evaluated, demonst"&amp;"rating that semantic transformations introduce critical challenges to LLM safety, necessitating targeted alignment strategies to address this vulnerability. Our code will be available on Github.")</f>
        <v>The rapid development and increasingly widespread applications of Large Language Models (LLMs) have made the safety issues of LLMs more prominent and critical. Although safety training is widely used in LLMs, the mismatch between pre-training and safety training still leads to safety vulnerabilities. To expose the safety vulnerabilities in LLMs and improve LLMs' performance in safety, we propose a novel framework, SemanticCamo, which attacks LLMs through semantic camouflage.
SemanticCamo bypasses safety guardrails by replacing the original unsafe content with semantic features, thereby concealing malicious intent while keeping the query's semantics unchanged. We conduct comprehensive experiments on the state-of-the-art LLMs, including GPT-4o and Claude-3.5, finding that SemanticCamo successfully induces harmful responses from the target models in over 80\% of cases on average, outperforming previous counterparts. 
Additionally, the performance of SemanticCamo against various defenses is evaluated, demonstrating that semantic transformations introduce critical challenges to LLM safety, necessitating targeted alignment strategies to address this vulnerability. Our code will be available on Github.</v>
      </c>
      <c r="D829" s="7" t="str">
        <f>IFERROR(__xludf.DUMMYFUNCTION("""COMPUTED_VALUE"""),"None")</f>
        <v>None</v>
      </c>
      <c r="E829" s="7" t="str">
        <f>IFERROR(__xludf.DUMMYFUNCTION("""COMPUTED_VALUE"""),"#N/A")</f>
        <v>#N/A</v>
      </c>
      <c r="F829" s="7" t="str">
        <f>IFERROR(__xludf.DUMMYFUNCTION("""COMPUTED_VALUE"""),"Not Pres. ")</f>
        <v>Not Pres. </v>
      </c>
      <c r="G829" s="7" t="str">
        <f>IFERROR(__xludf.DUMMYFUNCTION("""COMPUTED_VALUE"""),"NP Findings Not Presenting ")</f>
        <v>NP Findings Not Presenting </v>
      </c>
      <c r="H829" s="7"/>
      <c r="I829" s="7" t="str">
        <f>IFERROR(__xludf.DUMMYFUNCTION("""COMPUTED_VALUE"""),"NP-Find")</f>
        <v>NP-Find</v>
      </c>
      <c r="J829" s="7"/>
      <c r="K829" s="7"/>
      <c r="L829" s="8"/>
      <c r="M829" s="7"/>
      <c r="N829" s="7"/>
    </row>
    <row r="830">
      <c r="A830" s="7" t="str">
        <f>IFERROR(__xludf.DUMMYFUNCTION("""COMPUTED_VALUE"""),"2891-FIND")</f>
        <v>2891-FIND</v>
      </c>
      <c r="B830" s="7" t="str">
        <f>IFERROR(__xludf.DUMMYFUNCTION("""COMPUTED_VALUE"""),"Assigning Distinct Roles to Quantized and Low-Rank Matrices Toward Optimal Weight Decomposition")</f>
        <v>Assigning Distinct Roles to Quantized and Low-Rank Matrices Toward Optimal Weight Decomposition</v>
      </c>
      <c r="C830" s="7" t="str">
        <f>IFERROR(__xludf.DUMMYFUNCTION("""COMPUTED_VALUE"""),"Decomposing weight matrices into quantization and low-rank components ($\bf W\approx Q+LR$) is a widely used technique for compressing large language models (LLMs). Existing joint optimization methods iteratively alternate between quantization and low-ran"&amp;"k approximation. However, these methods tend to prioritize one component at the expense of the other, resulting in suboptimal decompositions that fail to leverage each component's unique strengths. In this work, we introduce Outlier-Driven Low-Rank Initia"&amp;"lization (ODLRI), which assigns low-rank components the specific role of capturing activation-sensitive weights. This structured decomposition mitigates outliers' negative impact on quantization, enabling more effective balance between quantization and lo"&amp;"w-rank approximation. Experiments on Llama2 (7B, 13B, 70B), Llama3-8B, and Mistral-7B demonstrate that incorporating ODLRI into the joint optimization framework consistently reduces activation-aware error, minimizes quantization scale, and improves perple"&amp;"xity and zero-shot accuracy in low-bit settings.")</f>
        <v>Decomposing weight matrices into quantization and low-rank components ($\bf W\approx Q+LR$) is a widely used technique for compressing large language models (LLMs). Existing joint optimization methods iteratively alternate between quantization and low-rank approximation. However, these methods tend to prioritize one component at the expense of the other, resulting in suboptimal decompositions that fail to leverage each component's unique strengths. In this work, we introduce Outlier-Driven Low-Rank Initialization (ODLRI), which assigns low-rank components the specific role of capturing activation-sensitive weights. This structured decomposition mitigates outliers' negative impact on quantization, enabling more effective balance between quantization and low-rank approximation. Experiments on Llama2 (7B, 13B, 70B), Llama3-8B, and Mistral-7B demonstrate that incorporating ODLRI into the joint optimization framework consistently reduces activation-aware error, minimizes quantization scale, and improves perplexity and zero-shot accuracy in low-bit settings.</v>
      </c>
      <c r="D830" s="7" t="str">
        <f>IFERROR(__xludf.DUMMYFUNCTION("""COMPUTED_VALUE"""),"Yoonjun Cho")</f>
        <v>Yoonjun Cho</v>
      </c>
      <c r="E830" s="7" t="str">
        <f>IFERROR(__xludf.DUMMYFUNCTION("""COMPUTED_VALUE"""),"Yes")</f>
        <v>Yes</v>
      </c>
      <c r="F830" s="7" t="str">
        <f>IFERROR(__xludf.DUMMYFUNCTION("""COMPUTED_VALUE"""),"IP-Poster")</f>
        <v>IP-Poster</v>
      </c>
      <c r="G830" s="7" t="str">
        <f>IFERROR(__xludf.DUMMYFUNCTION("""COMPUTED_VALUE"""),"In-Person")</f>
        <v>In-Person</v>
      </c>
      <c r="H830" s="7" t="str">
        <f>IFERROR(__xludf.DUMMYFUNCTION("""COMPUTED_VALUE"""),"Hall 4/5")</f>
        <v>Hall 4/5</v>
      </c>
      <c r="I830" s="7" t="str">
        <f>IFERROR(__xludf.DUMMYFUNCTION("""COMPUTED_VALUE"""),"Session 5 :IP-Posters Find ")</f>
        <v>Session 5 :IP-Posters Find </v>
      </c>
      <c r="J830" s="7" t="str">
        <f>IFERROR(__xludf.DUMMYFUNCTION("""COMPUTED_VALUE"""),"Findings Posters - In-Person 1")</f>
        <v>Findings Posters - In-Person 1</v>
      </c>
      <c r="K830" s="7"/>
      <c r="L830" s="8">
        <f>IFERROR(__xludf.DUMMYFUNCTION("""COMPUTED_VALUE"""),45866.0)</f>
        <v>45866</v>
      </c>
      <c r="M830" s="7" t="str">
        <f>IFERROR(__xludf.DUMMYFUNCTION("""COMPUTED_VALUE"""),"18:00-19:30")</f>
        <v>18:00-19:30</v>
      </c>
      <c r="N830" s="7"/>
    </row>
    <row r="831">
      <c r="A831" s="7" t="str">
        <f>IFERROR(__xludf.DUMMYFUNCTION("""COMPUTED_VALUE"""),"2892-FIND")</f>
        <v>2892-FIND</v>
      </c>
      <c r="B831" s="7" t="str">
        <f>IFERROR(__xludf.DUMMYFUNCTION("""COMPUTED_VALUE"""),"Better Process Supervision with Bi-directional Rewarding Signals")</f>
        <v>Better Process Supervision with Bi-directional Rewarding Signals</v>
      </c>
      <c r="C831" s="7" t="str">
        <f>IFERROR(__xludf.DUMMYFUNCTION("""COMPUTED_VALUE"""),"Process supervision, i.e., evaluating each step, is critical for complex large language model (LLM) reasoning and test-time searching with increased inference compute. Existing approaches, represented by process reward models (PRMs), primarily focus on re"&amp;"warding signals up to the current step, exhibiting a one-directional nature and lacking a mechanism to model the distance to the final target. To address this problem, we draw inspiration from the A* algorithm, which states that an effective supervisory s"&amp;"ignal should simultaneously consider the incurred cost and the estimated cost for reaching the target. Building on this key insight, we introduce BiRM, a novel process supervision model that not only evaluates the correctness of previous steps but also mo"&amp;"dels the probability of future success. We conduct extensive experiments on mathematical reasoning tasks and demonstrate that BiRM provides more precise evaluations of LLM reasoning steps, achieving an improvement of 3.1% on Gaokao2023 over PRM under the "&amp;"Best-of-N sampling method. Besides, in search-based strategies, BiRM provides more comprehensive guidance and outperforms ORM by 5.0% and PRM by 3.8% respectively on MATH-500.")</f>
        <v>Process supervision, i.e., evaluating each step, is critical for complex large language model (LLM) reasoning and test-time searching with increased inference compute. Existing approaches, represented by process reward models (PRMs), primarily focus on rewarding signals up to the current step, exhibiting a one-directional nature and lacking a mechanism to model the distance to the final target. To address this problem, we draw inspiration from the A* algorithm, which states that an effective supervisory signal should simultaneously consider the incurred cost and the estimated cost for reaching the target. Building on this key insight, we introduce BiRM, a novel process supervision model that not only evaluates the correctness of previous steps but also models the probability of future success. We conduct extensive experiments on mathematical reasoning tasks and demonstrate that BiRM provides more precise evaluations of LLM reasoning steps, achieving an improvement of 3.1% on Gaokao2023 over PRM under the Best-of-N sampling method. Besides, in search-based strategies, BiRM provides more comprehensive guidance and outperforms ORM by 5.0% and PRM by 3.8% respectively on MATH-500.</v>
      </c>
      <c r="D831" s="7" t="str">
        <f>IFERROR(__xludf.DUMMYFUNCTION("""COMPUTED_VALUE"""),"Wenxiang Chen")</f>
        <v>Wenxiang Chen</v>
      </c>
      <c r="E831" s="7" t="str">
        <f>IFERROR(__xludf.DUMMYFUNCTION("""COMPUTED_VALUE"""),"#N/A")</f>
        <v>#N/A</v>
      </c>
      <c r="F831" s="7" t="str">
        <f>IFERROR(__xludf.DUMMYFUNCTION("""COMPUTED_VALUE"""),"Not Pres. ")</f>
        <v>Not Pres. </v>
      </c>
      <c r="G831" s="7" t="str">
        <f>IFERROR(__xludf.DUMMYFUNCTION("""COMPUTED_VALUE"""),"NP Findings Not Presenting ")</f>
        <v>NP Findings Not Presenting </v>
      </c>
      <c r="H831" s="7"/>
      <c r="I831" s="7" t="str">
        <f>IFERROR(__xludf.DUMMYFUNCTION("""COMPUTED_VALUE"""),"NP-Find")</f>
        <v>NP-Find</v>
      </c>
      <c r="J831" s="7"/>
      <c r="K831" s="7"/>
      <c r="L831" s="8"/>
      <c r="M831" s="7"/>
      <c r="N831" s="7"/>
    </row>
    <row r="832">
      <c r="A832" s="7" t="str">
        <f>IFERROR(__xludf.DUMMYFUNCTION("""COMPUTED_VALUE"""),"2893-FIND")</f>
        <v>2893-FIND</v>
      </c>
      <c r="B832" s="7" t="str">
        <f>IFERROR(__xludf.DUMMYFUNCTION("""COMPUTED_VALUE"""),"AlignXIE: Boosting Cross-Lingual Universal Information Extraction by Multilingual Alignment")</f>
        <v>AlignXIE: Boosting Cross-Lingual Universal Information Extraction by Multilingual Alignment</v>
      </c>
      <c r="C832" s="7" t="str">
        <f>IFERROR(__xludf.DUMMYFUNCTION("""COMPUTED_VALUE"""),"Empirical evidence indicates that LLMs exhibit spontaneous cross-lingual alignment. However, although LLMs show promising cross-lingual alignment in IE, a significant imbalance across languages persists, highlighting an underlying deficiency. To address t"&amp;"his, we propose AlignXIE, a powerful code LLM with advanced cross-lingual and multilingual capabilities for universal information extraction. Firstly, it standardizes the representation of multilingual schemas using Python classes, ensuring a consistent o"&amp;"ntology across different languages. Then, IE across languages is formulated as a unified code generation task. Secondly, we enhance the model’s cross-lingual transferability through IE cross-lingual alignment instruction tuning on a translated instance pr"&amp;"ediction task we proposed. During this phase, we also construct a high-quality and diverse bilingual IE parallel dataset with 257k samples, called ParallelNER, synthesized by our proposed robust three-stage pipeline, with manual annotation to ensure quali"&amp;"ty. Although without training in 29 unseen languages, AlignXIE surpasses ChatGPT by 30.17% and SoTA by 20.03%, thereby demonstrating superior cross-lingual IE capabilities. Comprehensive evaluations on 64 IE benchmarks in Chinese and English under various"&amp;" settings demonstrate that AlignXIE significantly enhances cross-lingual IE transfer through boosting the IE alignment.")</f>
        <v>Empirical evidence indicates that LLMs exhibit spontaneous cross-lingual alignment. However, although LLMs show promising cross-lingual alignment in IE, a significant imbalance across languages persists, highlighting an underlying deficiency. To address this, we propose AlignXIE, a powerful code LLM with advanced cross-lingual and multilingual capabilities for universal information extraction. Firstly, it standardizes the representation of multilingual schemas using Python classes, ensuring a consistent ontology across different languages. Then, IE across languages is formulated as a unified code generation task. Secondly, we enhance the model’s cross-lingual transferability through IE cross-lingual alignment instruction tuning on a translated instance prediction task we proposed. During this phase, we also construct a high-quality and diverse bilingual IE parallel dataset with 257k samples, called ParallelNER, synthesized by our proposed robust three-stage pipeline, with manual annotation to ensure quality. Although without training in 29 unseen languages, AlignXIE surpasses ChatGPT by 30.17% and SoTA by 20.03%, thereby demonstrating superior cross-lingual IE capabilities. Comprehensive evaluations on 64 IE benchmarks in Chinese and English under various settings demonstrate that AlignXIE significantly enhances cross-lingual IE transfer through boosting the IE alignment.</v>
      </c>
      <c r="D832" s="7" t="str">
        <f>IFERROR(__xludf.DUMMYFUNCTION("""COMPUTED_VALUE"""),"Yuxin Zuo")</f>
        <v>Yuxin Zuo</v>
      </c>
      <c r="E832" s="7" t="str">
        <f>IFERROR(__xludf.DUMMYFUNCTION("""COMPUTED_VALUE"""),"#N/A")</f>
        <v>#N/A</v>
      </c>
      <c r="F832" s="7" t="str">
        <f>IFERROR(__xludf.DUMMYFUNCTION("""COMPUTED_VALUE"""),"Not Pres. ")</f>
        <v>Not Pres. </v>
      </c>
      <c r="G832" s="7" t="str">
        <f>IFERROR(__xludf.DUMMYFUNCTION("""COMPUTED_VALUE"""),"NP Findings Not Presenting ")</f>
        <v>NP Findings Not Presenting </v>
      </c>
      <c r="H832" s="7"/>
      <c r="I832" s="7" t="str">
        <f>IFERROR(__xludf.DUMMYFUNCTION("""COMPUTED_VALUE"""),"NP-Find")</f>
        <v>NP-Find</v>
      </c>
      <c r="J832" s="7"/>
      <c r="K832" s="7"/>
      <c r="L832" s="8"/>
      <c r="M832" s="7"/>
      <c r="N832" s="7"/>
    </row>
    <row r="833">
      <c r="A833" s="7" t="str">
        <f>IFERROR(__xludf.DUMMYFUNCTION("""COMPUTED_VALUE"""),"2897-FIND")</f>
        <v>2897-FIND</v>
      </c>
      <c r="B833" s="7" t="str">
        <f>IFERROR(__xludf.DUMMYFUNCTION("""COMPUTED_VALUE"""),"MEIT: Multi-Modal Electrocardiogram Instruction Tuning on Large Language Models for Report Generation")</f>
        <v>MEIT: Multi-Modal Electrocardiogram Instruction Tuning on Large Language Models for Report Generation</v>
      </c>
      <c r="C833" s="7" t="str">
        <f>IFERROR(__xludf.DUMMYFUNCTION("""COMPUTED_VALUE"""),"Electrocardiogram (ECG) is the primary non-invasive diagnostic tool for monitoring cardiac conditions and is crucial in assisting clinicians. Recent studies have concentrated on classifying cardiac conditions using ECG data but have overlooked ECG report "&amp;"generation, which is time-consuming and requires clinical expertise. To automate ECG report generation and ensure its versatility, we propose the Multimodal ECG Instruction Tuning (MEIT) framework, the first attempt to tackle ECG report generation with LL"&amp;"Ms and multimodal instructions. To facilitate future research, we establish a benchmark to evaluate MEIT with various LLMs backbones across two large-scale ECG datasets. Our approach uniquely aligns the representations of the ECG signal and the report, an"&amp;"d we conduct extensive experiments to benchmark MEIT with nine open-source LLMs using more than 800,000 ECG reports. MEIT's results underscore the superior performance of instruction-tuned LLMs, showcasing their proficiency in quality report generation, z"&amp;"ero-shot capabilities, resilience to signal perturbation, and alignment with human expert evaluation. These findings emphasize the efficacy of our MEIT framework and its potential for real-world clinical application.")</f>
        <v>Electrocardiogram (ECG) is the primary non-invasive diagnostic tool for monitoring cardiac conditions and is crucial in assisting clinicians. Recent studies have concentrated on classifying cardiac conditions using ECG data but have overlooked ECG report generation, which is time-consuming and requires clinical expertise. To automate ECG report generation and ensure its versatility, we propose the Multimodal ECG Instruction Tuning (MEIT) framework, the first attempt to tackle ECG report generation with LLMs and multimodal instructions. To facilitate future research, we establish a benchmark to evaluate MEIT with various LLMs backbones across two large-scale ECG datasets. Our approach uniquely aligns the representations of the ECG signal and the report, and we conduct extensive experiments to benchmark MEIT with nine open-source LLMs using more than 800,000 ECG reports. MEIT's results underscore the superior performance of instruction-tuned LLMs, showcasing their proficiency in quality report generation, zero-shot capabilities, resilience to signal perturbation, and alignment with human expert evaluation. These findings emphasize the efficacy of our MEIT framework and its potential for real-world clinical application.</v>
      </c>
      <c r="D833" s="7" t="str">
        <f>IFERROR(__xludf.DUMMYFUNCTION("""COMPUTED_VALUE"""),"Zhongwei Wan")</f>
        <v>Zhongwei Wan</v>
      </c>
      <c r="E833" s="7" t="str">
        <f>IFERROR(__xludf.DUMMYFUNCTION("""COMPUTED_VALUE"""),"#N/A")</f>
        <v>#N/A</v>
      </c>
      <c r="F833" s="7" t="str">
        <f>IFERROR(__xludf.DUMMYFUNCTION("""COMPUTED_VALUE"""),"Not Pres. ")</f>
        <v>Not Pres. </v>
      </c>
      <c r="G833" s="7" t="str">
        <f>IFERROR(__xludf.DUMMYFUNCTION("""COMPUTED_VALUE"""),"NP Findings Not Presenting ")</f>
        <v>NP Findings Not Presenting </v>
      </c>
      <c r="H833" s="7"/>
      <c r="I833" s="7" t="str">
        <f>IFERROR(__xludf.DUMMYFUNCTION("""COMPUTED_VALUE"""),"NP-Find")</f>
        <v>NP-Find</v>
      </c>
      <c r="J833" s="7"/>
      <c r="K833" s="7"/>
      <c r="L833" s="8"/>
      <c r="M833" s="7"/>
      <c r="N833" s="7"/>
    </row>
    <row r="834">
      <c r="A834" s="7" t="str">
        <f>IFERROR(__xludf.DUMMYFUNCTION("""COMPUTED_VALUE"""),"2898-FIND")</f>
        <v>2898-FIND</v>
      </c>
      <c r="B834" s="7" t="str">
        <f>IFERROR(__xludf.DUMMYFUNCTION("""COMPUTED_VALUE"""),"Harnessing Large Language Models for Disaster Management: A Survey")</f>
        <v>Harnessing Large Language Models for Disaster Management: A Survey</v>
      </c>
      <c r="C834" s="7" t="str">
        <f>IFERROR(__xludf.DUMMYFUNCTION("""COMPUTED_VALUE"""),"Large Language Models (LLMs) have demonstrated remarkable capabilities across various domains, including their emerging role in mitigating threats to human life, infrastructure, and the environment during natural disasters. Despite increasing research on "&amp;"disaster-focused LLMs, there remains a lack of systematic reviews and in-depth analyses of their applications in natural disaster management. To address this gap, this paper presents a comprehensive survey of LLMs in disaster response, introducing a taxon"&amp;"omy that categorizes existing works based on disaster phases and application scenarios. By compiling public datasets and identifying key challenges and opportunities, this study aims to provide valuable insights for the research community and practitioner"&amp;"s in developing advanced LLM-driven solutions to enhance resilience against natural disasters.")</f>
        <v>Large Language Models (LLMs) have demonstrated remarkable capabilities across various domains, including their emerging role in mitigating threats to human life, infrastructure, and the environment during natural disasters. Despite increasing research on disaster-focused LLMs, there remains a lack of systematic reviews and in-depth analyses of their applications in natural disaster management. To address this gap, this paper presents a comprehensive survey of LLMs in disaster response, introducing a taxonomy that categorizes existing works based on disaster phases and application scenarios. By compiling public datasets and identifying key challenges and opportunities, this study aims to provide valuable insights for the research community and practitioners in developing advanced LLM-driven solutions to enhance resilience against natural disasters.</v>
      </c>
      <c r="D834" s="7" t="str">
        <f>IFERROR(__xludf.DUMMYFUNCTION("""COMPUTED_VALUE"""),"Zhenyu Lei")</f>
        <v>Zhenyu Lei</v>
      </c>
      <c r="E834" s="7" t="str">
        <f>IFERROR(__xludf.DUMMYFUNCTION("""COMPUTED_VALUE"""),"#N/A")</f>
        <v>#N/A</v>
      </c>
      <c r="F834" s="7" t="str">
        <f>IFERROR(__xludf.DUMMYFUNCTION("""COMPUTED_VALUE"""),"Not Pres. ")</f>
        <v>Not Pres. </v>
      </c>
      <c r="G834" s="7" t="str">
        <f>IFERROR(__xludf.DUMMYFUNCTION("""COMPUTED_VALUE"""),"NP Findings Not Presenting ")</f>
        <v>NP Findings Not Presenting </v>
      </c>
      <c r="H834" s="7"/>
      <c r="I834" s="7" t="str">
        <f>IFERROR(__xludf.DUMMYFUNCTION("""COMPUTED_VALUE"""),"NP-Find")</f>
        <v>NP-Find</v>
      </c>
      <c r="J834" s="7"/>
      <c r="K834" s="7"/>
      <c r="L834" s="8"/>
      <c r="M834" s="7"/>
      <c r="N834" s="7"/>
    </row>
    <row r="835">
      <c r="A835" s="7" t="str">
        <f>IFERROR(__xludf.DUMMYFUNCTION("""COMPUTED_VALUE"""),"2899-FIND")</f>
        <v>2899-FIND</v>
      </c>
      <c r="B835" s="7" t="str">
        <f>IFERROR(__xludf.DUMMYFUNCTION("""COMPUTED_VALUE"""),"Towards Medical Complex Reasoning with LLMs through Medical Verifiable Problems")</f>
        <v>Towards Medical Complex Reasoning with LLMs through Medical Verifiable Problems</v>
      </c>
      <c r="C835" s="7" t="str">
        <f>IFERROR(__xludf.DUMMYFUNCTION("""COMPUTED_VALUE"""),"The breakthrough of OpenAI o1 highlights the potential of enhancing reasoning to improve LLM. Yet, most research in reasoning has focused on mathematical tasks, leaving domains like medicine underexplored. The medical domain, though distinct from mathemat"&amp;"ics, also demands robust reasoning to provide reliable answers, given the high standards of healthcare. However, verifying medical reasoning is challenging, unlike those in mathematics. To address this, we propose **Medical Verifiable Problems** with a me"&amp;"dical verifier to check the correctness of model outputs. This verifiable nature enables advancements in medical reasoning through **a two-stage approach**: (1) using the verifier to guide the search for a complex reasoning trajectory for fine-tuning LLMs"&amp;", (2) applying reinforcement learning (RL) with verifier-based rewards to enhance complex reasoning further. Finally, we introduce HuatuoGPT-o1, a medical LLM capable of complex reasoning, which outperforms general and medical-specific baselines using onl"&amp;"y 40K verifiable problems. Experiments show complex reasoning improves medical problem-solving and benefits more from RL. We hope our approach inspires advancements in reasoning across medical and other specialized domains. Code, datasets, and models are "&amp;"publicly available at https://github.com/FreedomIntelligence/HuatuoGPT-o1.")</f>
        <v>The breakthrough of OpenAI o1 highlights the potential of enhancing reasoning to improve LLM. Yet, most research in reasoning has focused on mathematical tasks, leaving domains like medicine underexplored. The medical domain, though distinct from mathematics, also demands robust reasoning to provide reliable answers, given the high standards of healthcare. However, verifying medical reasoning is challenging, unlike those in mathematics. To address this, we propose **Medical Verifiable Problems** with a medical verifier to check the correctness of model outputs. This verifiable nature enables advancements in medical reasoning through **a two-stage approach**: (1) using the verifier to guide the search for a complex reasoning trajectory for fine-tuning LLMs, (2) applying reinforcement learning (RL) with verifier-based rewards to enhance complex reasoning further. Finally, we introduce HuatuoGPT-o1, a medical LLM capable of complex reasoning, which outperforms general and medical-specific baselines using only 40K verifiable problems. Experiments show complex reasoning improves medical problem-solving and benefits more from RL. We hope our approach inspires advancements in reasoning across medical and other specialized domains. Code, datasets, and models are publicly available at https://github.com/FreedomIntelligence/HuatuoGPT-o1.</v>
      </c>
      <c r="D835" s="7" t="str">
        <f>IFERROR(__xludf.DUMMYFUNCTION("""COMPUTED_VALUE"""),"Junying Chen, Zhenyang Cai")</f>
        <v>Junying Chen, Zhenyang Cai</v>
      </c>
      <c r="E835" s="7" t="str">
        <f>IFERROR(__xludf.DUMMYFUNCTION("""COMPUTED_VALUE"""),"Yes")</f>
        <v>Yes</v>
      </c>
      <c r="F835" s="7" t="str">
        <f>IFERROR(__xludf.DUMMYFUNCTION("""COMPUTED_VALUE"""),"IP-Poster")</f>
        <v>IP-Poster</v>
      </c>
      <c r="G835" s="7" t="str">
        <f>IFERROR(__xludf.DUMMYFUNCTION("""COMPUTED_VALUE"""),"In-Person")</f>
        <v>In-Person</v>
      </c>
      <c r="H835" s="7" t="str">
        <f>IFERROR(__xludf.DUMMYFUNCTION("""COMPUTED_VALUE"""),"Hall 4/5")</f>
        <v>Hall 4/5</v>
      </c>
      <c r="I835" s="7" t="str">
        <f>IFERROR(__xludf.DUMMYFUNCTION("""COMPUTED_VALUE"""),"Session 7: IP-Posters")</f>
        <v>Session 7: IP-Posters</v>
      </c>
      <c r="J835" s="7" t="str">
        <f>IFERROR(__xludf.DUMMYFUNCTION("""COMPUTED_VALUE"""),"Findings Posters - In-Person 2")</f>
        <v>Findings Posters - In-Person 2</v>
      </c>
      <c r="K835" s="7"/>
      <c r="L835" s="8">
        <f>IFERROR(__xludf.DUMMYFUNCTION("""COMPUTED_VALUE"""),45867.0)</f>
        <v>45867</v>
      </c>
      <c r="M835" s="7" t="str">
        <f>IFERROR(__xludf.DUMMYFUNCTION("""COMPUTED_VALUE"""),"10:30-12:00")</f>
        <v>10:30-12:00</v>
      </c>
      <c r="N835" s="7"/>
    </row>
    <row r="836">
      <c r="A836" s="7" t="str">
        <f>IFERROR(__xludf.DUMMYFUNCTION("""COMPUTED_VALUE"""),"2900-FIND")</f>
        <v>2900-FIND</v>
      </c>
      <c r="B836" s="7" t="str">
        <f>IFERROR(__xludf.DUMMYFUNCTION("""COMPUTED_VALUE"""),"Monitoring Decoding: Mitigating Hallucination via Evaluating the Factuality of Partial Response during Generation")</f>
        <v>Monitoring Decoding: Mitigating Hallucination via Evaluating the Factuality of Partial Response during Generation</v>
      </c>
      <c r="C836" s="7" t="str">
        <f>IFERROR(__xludf.DUMMYFUNCTION("""COMPUTED_VALUE"""),"While large language models have demonstrated exceptional performance across a wide range of tasks, they remain susceptible to hallucinations -- generating plausible yet factually incorrect contents. Existing methods to mitigating such risk often rely on "&amp;"sampling multiple full-length generations, which introduces significant response latency and becomes ineffective when the model consistently produces hallucinated outputs with high confidence. To address these limitations, we introduce Monitoring Decoding"&amp;" (MD), a novel framework that dynamically monitors the generation process and selectively applies in-process interventions, focusing on revising crucial tokens responsible for hallucinations. Instead of waiting until completion of multiple full-length gen"&amp;"erations, we identify hallucination-prone tokens during generation using a monitor function, and further refine these tokens through a tree-based decoding strategy. This approach ensures an enhanced factual accuracy and coherence in the generated output w"&amp;"hile maintaining efficiency. Experimental results demonstrate that MD consistently outperforms self-consistency-based approaches in both effectiveness and efficiency, achieving higher factual accuracy while significantly reducing computational overhead.")</f>
        <v>While large language models have demonstrated exceptional performance across a wide range of tasks, they remain susceptible to hallucinations -- generating plausible yet factually incorrect contents. Existing methods to mitigating such risk often rely on sampling multiple full-length generations, which introduces significant response latency and becomes ineffective when the model consistently produces hallucinated outputs with high confidence. To address these limitations, we introduce Monitoring Decoding (MD), a novel framework that dynamically monitors the generation process and selectively applies in-process interventions, focusing on revising crucial tokens responsible for hallucinations. Instead of waiting until completion of multiple full-length generations, we identify hallucination-prone tokens during generation using a monitor function, and further refine these tokens through a tree-based decoding strategy. This approach ensures an enhanced factual accuracy and coherence in the generated output while maintaining efficiency. Experimental results demonstrate that MD consistently outperforms self-consistency-based approaches in both effectiveness and efficiency, achieving higher factual accuracy while significantly reducing computational overhead.</v>
      </c>
      <c r="D836" s="7" t="str">
        <f>IFERROR(__xludf.DUMMYFUNCTION("""COMPUTED_VALUE"""),"N/A")</f>
        <v>N/A</v>
      </c>
      <c r="E836" s="7" t="str">
        <f>IFERROR(__xludf.DUMMYFUNCTION("""COMPUTED_VALUE"""),"#N/A")</f>
        <v>#N/A</v>
      </c>
      <c r="F836" s="7" t="str">
        <f>IFERROR(__xludf.DUMMYFUNCTION("""COMPUTED_VALUE"""),"Not Pres. ")</f>
        <v>Not Pres. </v>
      </c>
      <c r="G836" s="7" t="str">
        <f>IFERROR(__xludf.DUMMYFUNCTION("""COMPUTED_VALUE"""),"NP Findings Not Presenting ")</f>
        <v>NP Findings Not Presenting </v>
      </c>
      <c r="H836" s="7"/>
      <c r="I836" s="7" t="str">
        <f>IFERROR(__xludf.DUMMYFUNCTION("""COMPUTED_VALUE"""),"NP-Find")</f>
        <v>NP-Find</v>
      </c>
      <c r="J836" s="7"/>
      <c r="K836" s="7"/>
      <c r="L836" s="8"/>
      <c r="M836" s="7"/>
      <c r="N836" s="7"/>
    </row>
    <row r="837">
      <c r="A837" s="7" t="str">
        <f>IFERROR(__xludf.DUMMYFUNCTION("""COMPUTED_VALUE"""),"2904-FIND")</f>
        <v>2904-FIND</v>
      </c>
      <c r="B837" s="7" t="str">
        <f>IFERROR(__xludf.DUMMYFUNCTION("""COMPUTED_VALUE"""),"LLM Critics Help Catch Bugs in Mathematics: Towards a Better Mathematical Verifier with Natural Language Feedback")</f>
        <v>LLM Critics Help Catch Bugs in Mathematics: Towards a Better Mathematical Verifier with Natural Language Feedback</v>
      </c>
      <c r="C837" s="7" t="str">
        <f>IFERROR(__xludf.DUMMYFUNCTION("""COMPUTED_VALUE"""),"In recent progress, mathematical verifiers have achieved success in mathematical reasoning tasks by validating the correctness of solutions generated by policy models. However, existing verifiers are trained with binary classification labels, which are no"&amp;"t informative enough for the model to accurately assess the solutions. To mitigate the aforementioned insufficiency of binary labels, we introduce step-wise natural language feedback as rationale labels, that is, the correctness of each step and the detai"&amp;"led explanations. In this paper, we propose Math-Minos, a natural language feedback-enhanced verifier by constructing automatically generated training data and a two-stage training paradigm for effective training and efficient inference. Our experiments r"&amp;"eveal that a small set of natural language feedback can significantly boost the performance of the verifier in both verification and reinforcement learning and also significantly alleviates the data-demanding problems of the reward model with an over 700%"&amp;" data efficiency improvement.")</f>
        <v>In recent progress, mathematical verifiers have achieved success in mathematical reasoning tasks by validating the correctness of solutions generated by policy models. However, existing verifiers are trained with binary classification labels, which are not informative enough for the model to accurately assess the solutions. To mitigate the aforementioned insufficiency of binary labels, we introduce step-wise natural language feedback as rationale labels, that is, the correctness of each step and the detailed explanations. In this paper, we propose Math-Minos, a natural language feedback-enhanced verifier by constructing automatically generated training data and a two-stage training paradigm for effective training and efficient inference. Our experiments reveal that a small set of natural language feedback can significantly boost the performance of the verifier in both verification and reinforcement learning and also significantly alleviates the data-demanding problems of the reward model with an over 700% data efficiency improvement.</v>
      </c>
      <c r="D837" s="7" t="str">
        <f>IFERROR(__xludf.DUMMYFUNCTION("""COMPUTED_VALUE"""),"Bofei Gao")</f>
        <v>Bofei Gao</v>
      </c>
      <c r="E837" s="7" t="str">
        <f>IFERROR(__xludf.DUMMYFUNCTION("""COMPUTED_VALUE"""),"Yes")</f>
        <v>Yes</v>
      </c>
      <c r="F837" s="7" t="str">
        <f>IFERROR(__xludf.DUMMYFUNCTION("""COMPUTED_VALUE"""),"IP-Poster")</f>
        <v>IP-Poster</v>
      </c>
      <c r="G837" s="7" t="str">
        <f>IFERROR(__xludf.DUMMYFUNCTION("""COMPUTED_VALUE"""),"In-Person")</f>
        <v>In-Person</v>
      </c>
      <c r="H837" s="7" t="str">
        <f>IFERROR(__xludf.DUMMYFUNCTION("""COMPUTED_VALUE"""),"Hall 4/5")</f>
        <v>Hall 4/5</v>
      </c>
      <c r="I837" s="7" t="str">
        <f>IFERROR(__xludf.DUMMYFUNCTION("""COMPUTED_VALUE"""),"Session 7: IP-Posters")</f>
        <v>Session 7: IP-Posters</v>
      </c>
      <c r="J837" s="7" t="str">
        <f>IFERROR(__xludf.DUMMYFUNCTION("""COMPUTED_VALUE"""),"Findings Posters - In-Person 2")</f>
        <v>Findings Posters - In-Person 2</v>
      </c>
      <c r="K837" s="7"/>
      <c r="L837" s="8">
        <f>IFERROR(__xludf.DUMMYFUNCTION("""COMPUTED_VALUE"""),45867.0)</f>
        <v>45867</v>
      </c>
      <c r="M837" s="7" t="str">
        <f>IFERROR(__xludf.DUMMYFUNCTION("""COMPUTED_VALUE"""),"10:30-12:00")</f>
        <v>10:30-12:00</v>
      </c>
      <c r="N837" s="7"/>
    </row>
    <row r="838">
      <c r="A838" s="7" t="str">
        <f>IFERROR(__xludf.DUMMYFUNCTION("""COMPUTED_VALUE"""),"2906-FIND")</f>
        <v>2906-FIND</v>
      </c>
      <c r="B838" s="7" t="str">
        <f>IFERROR(__xludf.DUMMYFUNCTION("""COMPUTED_VALUE"""),"EvoBench: Towards Real-world LLM-Generated Text Detection Benchmarking for Evolving Large Language Models")</f>
        <v>EvoBench: Towards Real-world LLM-Generated Text Detection Benchmarking for Evolving Large Language Models</v>
      </c>
      <c r="C838" s="7" t="str">
        <f>IFERROR(__xludf.DUMMYFUNCTION("""COMPUTED_VALUE"""),"With the widespread of Large Language Models (LLMs), there has been an increasing need to detect LLM-generated texts, prompting extensive research in this area. However, existing detection methods mainly evaluate on static benchmarks, which neglect the ev"&amp;"olving nature of LLMs. Relying on existing static benchmarks could create a misleading sense of security, overestimating the real-world effectiveness of detection methods. To bridge this gap, we introduce EvoBench, a dynamic benchmark considering a new di"&amp;"mension of generalization across continuously evolving LLMs. EvoBench categorizes the evolving LLMs into (1) updates over time and (2) developments like finetuning and pruning, covering 7 LLM families and their 29 evolving versions. To measure the general"&amp;"ization across evolving LLMs, we introduce a new EMG (Evolving Model Generalization) metric. Our evaluation of 14 detection methods on EvoBench reveals that they all struggle to maintain generalization when confronted with evolving LLMs. To mitigate the g"&amp;"eneralization problems, we further propose improvement strategies. For zero-shot detectors, we propose pruning the scoring model to extract shared features. For supervised detectors, we also propose a practical training strategy. Our research sheds light "&amp;"on critical challenges in real-world LLM-generated text detection and represents a significant step toward practical applications.")</f>
        <v>With the widespread of Large Language Models (LLMs), there has been an increasing need to detect LLM-generated texts, prompting extensive research in this area. However, existing detection methods mainly evaluate on static benchmarks, which neglect the evolving nature of LLMs. Relying on existing static benchmarks could create a misleading sense of security, overestimating the real-world effectiveness of detection methods. To bridge this gap, we introduce EvoBench, a dynamic benchmark considering a new dimension of generalization across continuously evolving LLMs. EvoBench categorizes the evolving LLMs into (1) updates over time and (2) developments like finetuning and pruning, covering 7 LLM families and their 29 evolving versions. To measure the generalization across evolving LLMs, we introduce a new EMG (Evolving Model Generalization) metric. Our evaluation of 14 detection methods on EvoBench reveals that they all struggle to maintain generalization when confronted with evolving LLMs. To mitigate the generalization problems, we further propose improvement strategies. For zero-shot detectors, we propose pruning the scoring model to extract shared features. For supervised detectors, we also propose a practical training strategy. Our research sheds light on critical challenges in real-world LLM-generated text detection and represents a significant step toward practical applications.</v>
      </c>
      <c r="D838" s="7" t="str">
        <f>IFERROR(__xludf.DUMMYFUNCTION("""COMPUTED_VALUE"""),"Xiao Yu")</f>
        <v>Xiao Yu</v>
      </c>
      <c r="E838" s="7" t="str">
        <f>IFERROR(__xludf.DUMMYFUNCTION("""COMPUTED_VALUE"""),"yes")</f>
        <v>yes</v>
      </c>
      <c r="F838" s="7" t="str">
        <f>IFERROR(__xludf.DUMMYFUNCTION("""COMPUTED_VALUE"""),"V-Presentation")</f>
        <v>V-Presentation</v>
      </c>
      <c r="G838" s="7" t="str">
        <f>IFERROR(__xludf.DUMMYFUNCTION("""COMPUTED_VALUE"""),"Virtual/Gather")</f>
        <v>Virtual/Gather</v>
      </c>
      <c r="H838" s="7" t="str">
        <f>IFERROR(__xludf.DUMMYFUNCTION("""COMPUTED_VALUE"""),"Gather")</f>
        <v>Gather</v>
      </c>
      <c r="I838" s="7" t="str">
        <f>IFERROR(__xludf.DUMMYFUNCTION("""COMPUTED_VALUE"""),"Session5: V-Gather Find")</f>
        <v>Session5: V-Gather Find</v>
      </c>
      <c r="J838" s="7" t="str">
        <f>IFERROR(__xludf.DUMMYFUNCTION("""COMPUTED_VALUE"""),"Findings Posters - Virtual")</f>
        <v>Findings Posters - Virtual</v>
      </c>
      <c r="K838" s="7"/>
      <c r="L838" s="8">
        <f>IFERROR(__xludf.DUMMYFUNCTION("""COMPUTED_VALUE"""),45866.0)</f>
        <v>45866</v>
      </c>
      <c r="M838" s="7" t="str">
        <f>IFERROR(__xludf.DUMMYFUNCTION("""COMPUTED_VALUE"""),"18:00-19:30")</f>
        <v>18:00-19:30</v>
      </c>
      <c r="N838" s="7"/>
    </row>
    <row r="839">
      <c r="A839" s="7" t="str">
        <f>IFERROR(__xludf.DUMMYFUNCTION("""COMPUTED_VALUE"""),"2919-FIND")</f>
        <v>2919-FIND</v>
      </c>
      <c r="B839" s="7" t="str">
        <f>IFERROR(__xludf.DUMMYFUNCTION("""COMPUTED_VALUE"""),"MMSciBench: Benchmarking Language Models on Multimodal Scientific Problems")</f>
        <v>MMSciBench: Benchmarking Language Models on Multimodal Scientific Problems</v>
      </c>
      <c r="C839" s="7" t="str">
        <f>IFERROR(__xludf.DUMMYFUNCTION("""COMPUTED_VALUE"""),"Recent advances in large language models (LLMs) and vision-language models (LVLMs) have shown promise across many tasks, yet their scientific reasoning capabilities remain untested, particularly in multimodal settings. We present MMSciBench, a benchmark f"&amp;"or evaluating mathematical and physical reasoning through text-only and text-image formats, with human-annotated difficulty levels, solutions with detailed explanations, and taxonomic mappings. Evaluation of state-of-the-art models reveals significant lim"&amp;"itations, with even the best model achieving only \textbf{63.77%} accuracy and particularly struggling with visual reasoning tasks. Our analysis exposes critical gaps in complex reasoning and visual-textual integration, establishing MMSciBench as a rigoro"&amp;"us standard for measuring progress in multimodal scientific understanding. The code for MMSciBench is open-sourced at GitHub, and the dataset is available at Hugging Face.")</f>
        <v>Recent advances in large language models (LLMs) and vision-language models (LVLMs) have shown promise across many tasks, yet their scientific reasoning capabilities remain untested, particularly in multimodal settings. We present MMSciBench, a benchmark for evaluating mathematical and physical reasoning through text-only and text-image formats, with human-annotated difficulty levels, solutions with detailed explanations, and taxonomic mappings. Evaluation of state-of-the-art models reveals significant limitations, with even the best model achieving only \textbf{63.77%} accuracy and particularly struggling with visual reasoning tasks. Our analysis exposes critical gaps in complex reasoning and visual-textual integration, establishing MMSciBench as a rigorous standard for measuring progress in multimodal scientific understanding. The code for MMSciBench is open-sourced at GitHub, and the dataset is available at Hugging Face.</v>
      </c>
      <c r="D839" s="7" t="str">
        <f>IFERROR(__xludf.DUMMYFUNCTION("""COMPUTED_VALUE"""),"No.")</f>
        <v>No.</v>
      </c>
      <c r="E839" s="7" t="str">
        <f>IFERROR(__xludf.DUMMYFUNCTION("""COMPUTED_VALUE"""),"#N/A")</f>
        <v>#N/A</v>
      </c>
      <c r="F839" s="7" t="str">
        <f>IFERROR(__xludf.DUMMYFUNCTION("""COMPUTED_VALUE"""),"Not Pres. ")</f>
        <v>Not Pres. </v>
      </c>
      <c r="G839" s="7" t="str">
        <f>IFERROR(__xludf.DUMMYFUNCTION("""COMPUTED_VALUE"""),"NP Findings Not Presenting ")</f>
        <v>NP Findings Not Presenting </v>
      </c>
      <c r="H839" s="7"/>
      <c r="I839" s="7" t="str">
        <f>IFERROR(__xludf.DUMMYFUNCTION("""COMPUTED_VALUE"""),"NP-Find")</f>
        <v>NP-Find</v>
      </c>
      <c r="J839" s="7"/>
      <c r="K839" s="7"/>
      <c r="L839" s="8"/>
      <c r="M839" s="7"/>
      <c r="N839" s="7"/>
    </row>
    <row r="840">
      <c r="A840" s="7" t="str">
        <f>IFERROR(__xludf.DUMMYFUNCTION("""COMPUTED_VALUE"""),"2920-FIND")</f>
        <v>2920-FIND</v>
      </c>
      <c r="B840" s="7" t="str">
        <f>IFERROR(__xludf.DUMMYFUNCTION("""COMPUTED_VALUE"""),"Lightweight Query Checkpoint: Classifying Faulty User Queries to Mitigate Hallucinations in Large Language Model Question Answering")</f>
        <v>Lightweight Query Checkpoint: Classifying Faulty User Queries to Mitigate Hallucinations in Large Language Model Question Answering</v>
      </c>
      <c r="C840" s="7" t="str">
        <f>IFERROR(__xludf.DUMMYFUNCTION("""COMPUTED_VALUE"""),"Question Answering (QA) with large language models has shown impressive performance, yet hallucinations still persist, particularly when user queries carry incorrect premises, insufficient context, or linguistic ambiguity. To address this issue, we propos"&amp;"e Lightweight Query Checkpoint (LQC), a small classification model that detects verification-required queries before the LLM generates a potentially faulty answer. LQC leverages hidden states extracted from intermediate layers of a smaller-scale, non-inst"&amp;"ruct-tuned LLM to effectively distinguish queries requiring verification from clear queries. We first systematically define categories of queries that need verification, construct a dataset comprising both defective and clear queries, and train a binary c"&amp;"ontrastive learning model. Through extensive experiments on various QA datasets, we demonstrate that incorporating LQC into QA pipelines reduces hallucinations while preserving strong answer quality.")</f>
        <v>Question Answering (QA) with large language models has shown impressive performance, yet hallucinations still persist, particularly when user queries carry incorrect premises, insufficient context, or linguistic ambiguity. To address this issue, we propose Lightweight Query Checkpoint (LQC), a small classification model that detects verification-required queries before the LLM generates a potentially faulty answer. LQC leverages hidden states extracted from intermediate layers of a smaller-scale, non-instruct-tuned LLM to effectively distinguish queries requiring verification from clear queries. We first systematically define categories of queries that need verification, construct a dataset comprising both defective and clear queries, and train a binary contrastive learning model. Through extensive experiments on various QA datasets, we demonstrate that incorporating LQC into QA pipelines reduces hallucinations while preserving strong answer quality.</v>
      </c>
      <c r="D840" s="7" t="str">
        <f>IFERROR(__xludf.DUMMYFUNCTION("""COMPUTED_VALUE"""),"Minjoo Son")</f>
        <v>Minjoo Son</v>
      </c>
      <c r="E840" s="7" t="str">
        <f>IFERROR(__xludf.DUMMYFUNCTION("""COMPUTED_VALUE"""),"Yes")</f>
        <v>Yes</v>
      </c>
      <c r="F840" s="7" t="str">
        <f>IFERROR(__xludf.DUMMYFUNCTION("""COMPUTED_VALUE"""),"IP-Poster")</f>
        <v>IP-Poster</v>
      </c>
      <c r="G840" s="7" t="str">
        <f>IFERROR(__xludf.DUMMYFUNCTION("""COMPUTED_VALUE"""),"In-Person")</f>
        <v>In-Person</v>
      </c>
      <c r="H840" s="7" t="str">
        <f>IFERROR(__xludf.DUMMYFUNCTION("""COMPUTED_VALUE"""),"Hall 4/5")</f>
        <v>Hall 4/5</v>
      </c>
      <c r="I840" s="7" t="str">
        <f>IFERROR(__xludf.DUMMYFUNCTION("""COMPUTED_VALUE"""),"Session 7: IP-Posters")</f>
        <v>Session 7: IP-Posters</v>
      </c>
      <c r="J840" s="7" t="str">
        <f>IFERROR(__xludf.DUMMYFUNCTION("""COMPUTED_VALUE"""),"Findings Posters - In-Person 2")</f>
        <v>Findings Posters - In-Person 2</v>
      </c>
      <c r="K840" s="7"/>
      <c r="L840" s="8">
        <f>IFERROR(__xludf.DUMMYFUNCTION("""COMPUTED_VALUE"""),45867.0)</f>
        <v>45867</v>
      </c>
      <c r="M840" s="7" t="str">
        <f>IFERROR(__xludf.DUMMYFUNCTION("""COMPUTED_VALUE"""),"10:30-12:00")</f>
        <v>10:30-12:00</v>
      </c>
      <c r="N840" s="7"/>
    </row>
    <row r="841">
      <c r="A841" s="7" t="str">
        <f>IFERROR(__xludf.DUMMYFUNCTION("""COMPUTED_VALUE"""),"2921-FIND")</f>
        <v>2921-FIND</v>
      </c>
      <c r="B841" s="7" t="str">
        <f>IFERROR(__xludf.DUMMYFUNCTION("""COMPUTED_VALUE"""),"Exploring LLM Annotation for Adaptation of Clinical Information Extraction Models under Data-sharing Restrictions")</f>
        <v>Exploring LLM Annotation for Adaptation of Clinical Information Extraction Models under Data-sharing Restrictions</v>
      </c>
      <c r="C841" s="7" t="str">
        <f>IFERROR(__xludf.DUMMYFUNCTION("""COMPUTED_VALUE"""),"In-hospital text data contains valuable clinical information, yet deploying fine-tuned small language models (SLMs) for information extraction remains challenging due to differences in formatting and vocabulary across institutions. Since access to the ori"&amp;"ginal in-hospital data (source domain) is often restricted, annotated data from the target hospital (target domain) is crucial for domain adaptation. However, clinical annotation is notoriously expensive and time-consuming, as it demands clinical and ling"&amp;"uistic expertise. To address this issue, we leverage large language models (LLMs) to annotate the target domain data for the adaptation. We conduct experiments on four clinical information extraction tasks, including eight target domain data. Experimental"&amp;" results show that LLM-annotated data consistently enhances SLM performance and, with a larger number of annotated data, outperforms manual annotation in three out of four tasks.")</f>
        <v>In-hospital text data contains valuable clinical information, yet deploying fine-tuned small language models (SLMs) for information extraction remains challenging due to differences in formatting and vocabulary across institutions. Since access to the original in-hospital data (source domain) is often restricted, annotated data from the target hospital (target domain) is crucial for domain adaptation. However, clinical annotation is notoriously expensive and time-consuming, as it demands clinical and linguistic expertise. To address this issue, we leverage large language models (LLMs) to annotate the target domain data for the adaptation. We conduct experiments on four clinical information extraction tasks, including eight target domain data. Experimental results show that LLM-annotated data consistently enhances SLM performance and, with a larger number of annotated data, outperforms manual annotation in three out of four tasks.</v>
      </c>
      <c r="D841" s="7" t="str">
        <f>IFERROR(__xludf.DUMMYFUNCTION("""COMPUTED_VALUE"""),"Seiji Shimizu")</f>
        <v>Seiji Shimizu</v>
      </c>
      <c r="E841" s="7" t="str">
        <f>IFERROR(__xludf.DUMMYFUNCTION("""COMPUTED_VALUE"""),"Yes")</f>
        <v>Yes</v>
      </c>
      <c r="F841" s="7" t="str">
        <f>IFERROR(__xludf.DUMMYFUNCTION("""COMPUTED_VALUE"""),"IP-Poster")</f>
        <v>IP-Poster</v>
      </c>
      <c r="G841" s="7" t="str">
        <f>IFERROR(__xludf.DUMMYFUNCTION("""COMPUTED_VALUE"""),"In-Person")</f>
        <v>In-Person</v>
      </c>
      <c r="H841" s="7" t="str">
        <f>IFERROR(__xludf.DUMMYFUNCTION("""COMPUTED_VALUE"""),"Hall 4/5")</f>
        <v>Hall 4/5</v>
      </c>
      <c r="I841" s="7" t="str">
        <f>IFERROR(__xludf.DUMMYFUNCTION("""COMPUTED_VALUE"""),"Session 7: IP-Posters")</f>
        <v>Session 7: IP-Posters</v>
      </c>
      <c r="J841" s="7" t="str">
        <f>IFERROR(__xludf.DUMMYFUNCTION("""COMPUTED_VALUE"""),"Findings Posters - In-Person 2")</f>
        <v>Findings Posters - In-Person 2</v>
      </c>
      <c r="K841" s="7"/>
      <c r="L841" s="8">
        <f>IFERROR(__xludf.DUMMYFUNCTION("""COMPUTED_VALUE"""),45867.0)</f>
        <v>45867</v>
      </c>
      <c r="M841" s="7" t="str">
        <f>IFERROR(__xludf.DUMMYFUNCTION("""COMPUTED_VALUE"""),"10:30-12:00")</f>
        <v>10:30-12:00</v>
      </c>
      <c r="N841" s="7"/>
    </row>
    <row r="842">
      <c r="A842" s="7" t="str">
        <f>IFERROR(__xludf.DUMMYFUNCTION("""COMPUTED_VALUE"""),"2927-FIND")</f>
        <v>2927-FIND</v>
      </c>
      <c r="B842" s="7" t="str">
        <f>IFERROR(__xludf.DUMMYFUNCTION("""COMPUTED_VALUE"""),"Enhancing the Comprehensibility of Text Explanations via Unsupervised Concept Discovery")</f>
        <v>Enhancing the Comprehensibility of Text Explanations via Unsupervised Concept Discovery</v>
      </c>
      <c r="C842" s="7" t="str">
        <f>IFERROR(__xludf.DUMMYFUNCTION("""COMPUTED_VALUE"""),"Concept-based explainable approaches have emerged as a promising method in explainable AI because they can interpret models in a way that aligns with human reasoning. However, their adaption in the text domain remains limited. Most existing methods rely o"&amp;"n predefined concept annotations and cannot discover unseen concepts, while other methods that extract concepts without supervision often produce explanations that are not intuitively comprehensible to humans, potentially diminishing user trust. These met"&amp;"hods fall short of discovering comprehensible concepts automatically. To address this issue, we propose ECO-Concept, an intrinsically interpretable framework to discover comprehensible concepts with no concept annotations. ECO-Concept first utilizes an ob"&amp;"ject-centric architecture to extract semantic concepts automatically. Then the comprehensibility of the extracted concepts is evaluated by large language models. Finally, the evaluation result guides the subsequent model fine-tuning to obtain more underst"&amp;"andable explanations using relatively comprehensible concepts. Experiments show that our method achieves superior performance across diverse tasks. Further concept evaluations validate that the concepts learned by ECO-Concept surpassed current counterpart"&amp;"s in comprehensibility.")</f>
        <v>Concept-based explainable approaches have emerged as a promising method in explainable AI because they can interpret models in a way that aligns with human reasoning. However, their adaption in the text domain remains limited. Most existing methods rely on predefined concept annotations and cannot discover unseen concepts, while other methods that extract concepts without supervision often produce explanations that are not intuitively comprehensible to humans, potentially diminishing user trust. These methods fall short of discovering comprehensible concepts automatically. To address this issue, we propose ECO-Concept, an intrinsically interpretable framework to discover comprehensible concepts with no concept annotations. ECO-Concept first utilizes an object-centric architecture to extract semantic concepts automatically. Then the comprehensibility of the extracted concepts is evaluated by large language models. Finally, the evaluation result guides the subsequent model fine-tuning to obtain more understandable explanations using relatively comprehensible concepts. Experiments show that our method achieves superior performance across diverse tasks. Further concept evaluations validate that the concepts learned by ECO-Concept surpassed current counterparts in comprehensibility.</v>
      </c>
      <c r="D842" s="7" t="str">
        <f>IFERROR(__xludf.DUMMYFUNCTION("""COMPUTED_VALUE"""),"N/A")</f>
        <v>N/A</v>
      </c>
      <c r="E842" s="7" t="str">
        <f>IFERROR(__xludf.DUMMYFUNCTION("""COMPUTED_VALUE"""),"#N/A")</f>
        <v>#N/A</v>
      </c>
      <c r="F842" s="7" t="str">
        <f>IFERROR(__xludf.DUMMYFUNCTION("""COMPUTED_VALUE"""),"Not Pres. ")</f>
        <v>Not Pres. </v>
      </c>
      <c r="G842" s="7" t="str">
        <f>IFERROR(__xludf.DUMMYFUNCTION("""COMPUTED_VALUE"""),"NP Findings Not Presenting ")</f>
        <v>NP Findings Not Presenting </v>
      </c>
      <c r="H842" s="7"/>
      <c r="I842" s="7" t="str">
        <f>IFERROR(__xludf.DUMMYFUNCTION("""COMPUTED_VALUE"""),"NP-Find")</f>
        <v>NP-Find</v>
      </c>
      <c r="J842" s="7"/>
      <c r="K842" s="7"/>
      <c r="L842" s="8"/>
      <c r="M842" s="7"/>
      <c r="N842" s="7"/>
    </row>
    <row r="843">
      <c r="A843" s="7" t="str">
        <f>IFERROR(__xludf.DUMMYFUNCTION("""COMPUTED_VALUE"""),"2928-FIND")</f>
        <v>2928-FIND</v>
      </c>
      <c r="B843" s="7" t="str">
        <f>IFERROR(__xludf.DUMMYFUNCTION("""COMPUTED_VALUE"""),"RecordTwin: Towards Creating Safe Synthetic Clinical Corpora")</f>
        <v>RecordTwin: Towards Creating Safe Synthetic Clinical Corpora</v>
      </c>
      <c r="C843" s="7" t="str">
        <f>IFERROR(__xludf.DUMMYFUNCTION("""COMPUTED_VALUE"""),"The scarcity of publicly available clinical corpora hinders developing and applying NLP tools in clinical research. While existing work tackles this issue by utilizing generative models to create high-quality synthetic corpora, their methods require learn"&amp;"ing from the original in-hospital clinical documents, turning them unfeasible in practice. To address this problem, we introduce RecordTwin, a novel synthetic corpus creation method designed to generate synthetic documents from anonymized clinical entitie"&amp;"s. In this method, we first extract and anonymize entities from in-hospital documents to ensure the information contained in the synthetic corpus is restricted. Then, we use a large language model to fill the context between anonymized entities. To do so,"&amp;" we use a small, privacy-preserving subset of the original documents to mimic their formatting and writing style. This approach only requires anonymized entities and a small subset of original documents in the generation process, making it more feasible i"&amp;"n practice. To evaluate the synthetic corpus created with our method, we conduct a proof-of-concept study using a publicly available clinical database. Our results demonstrate that the synthetic corpus has a utility comparable to the original data and a s"&amp;"afety advantage over baselines, highlighting the potential of RecordTwin for privacy-preserving synthetic corpus creation.")</f>
        <v>The scarcity of publicly available clinical corpora hinders developing and applying NLP tools in clinical research. While existing work tackles this issue by utilizing generative models to create high-quality synthetic corpora, their methods require learning from the original in-hospital clinical documents, turning them unfeasible in practice. To address this problem, we introduce RecordTwin, a novel synthetic corpus creation method designed to generate synthetic documents from anonymized clinical entities. In this method, we first extract and anonymize entities from in-hospital documents to ensure the information contained in the synthetic corpus is restricted. Then, we use a large language model to fill the context between anonymized entities. To do so, we use a small, privacy-preserving subset of the original documents to mimic their formatting and writing style. This approach only requires anonymized entities and a small subset of original documents in the generation process, making it more feasible in practice. To evaluate the synthetic corpus created with our method, we conduct a proof-of-concept study using a publicly available clinical database. Our results demonstrate that the synthetic corpus has a utility comparable to the original data and a safety advantage over baselines, highlighting the potential of RecordTwin for privacy-preserving synthetic corpus creation.</v>
      </c>
      <c r="D843" s="7" t="str">
        <f>IFERROR(__xludf.DUMMYFUNCTION("""COMPUTED_VALUE"""),"Seiji Shimizu")</f>
        <v>Seiji Shimizu</v>
      </c>
      <c r="E843" s="7" t="str">
        <f>IFERROR(__xludf.DUMMYFUNCTION("""COMPUTED_VALUE"""),"Yes")</f>
        <v>Yes</v>
      </c>
      <c r="F843" s="7" t="str">
        <f>IFERROR(__xludf.DUMMYFUNCTION("""COMPUTED_VALUE"""),"IP-Poster")</f>
        <v>IP-Poster</v>
      </c>
      <c r="G843" s="7" t="str">
        <f>IFERROR(__xludf.DUMMYFUNCTION("""COMPUTED_VALUE"""),"In-Person")</f>
        <v>In-Person</v>
      </c>
      <c r="H843" s="7" t="str">
        <f>IFERROR(__xludf.DUMMYFUNCTION("""COMPUTED_VALUE"""),"Hall 4/5")</f>
        <v>Hall 4/5</v>
      </c>
      <c r="I843" s="7" t="str">
        <f>IFERROR(__xludf.DUMMYFUNCTION("""COMPUTED_VALUE"""),"Session 7: IP-Posters")</f>
        <v>Session 7: IP-Posters</v>
      </c>
      <c r="J843" s="7" t="str">
        <f>IFERROR(__xludf.DUMMYFUNCTION("""COMPUTED_VALUE"""),"Findings Posters - In-Person 2")</f>
        <v>Findings Posters - In-Person 2</v>
      </c>
      <c r="K843" s="7"/>
      <c r="L843" s="8">
        <f>IFERROR(__xludf.DUMMYFUNCTION("""COMPUTED_VALUE"""),45867.0)</f>
        <v>45867</v>
      </c>
      <c r="M843" s="7" t="str">
        <f>IFERROR(__xludf.DUMMYFUNCTION("""COMPUTED_VALUE"""),"10:30-12:00")</f>
        <v>10:30-12:00</v>
      </c>
      <c r="N843" s="7"/>
    </row>
    <row r="844">
      <c r="A844" s="7" t="str">
        <f>IFERROR(__xludf.DUMMYFUNCTION("""COMPUTED_VALUE"""),"2932-FIND")</f>
        <v>2932-FIND</v>
      </c>
      <c r="B844" s="7" t="str">
        <f>IFERROR(__xludf.DUMMYFUNCTION("""COMPUTED_VALUE"""),"Beyond Surface-Level Patterns: An Essence-Driven Defense Framework Against Jailbreak Attacks in LLMs")</f>
        <v>Beyond Surface-Level Patterns: An Essence-Driven Defense Framework Against Jailbreak Attacks in LLMs</v>
      </c>
      <c r="C844" s="7" t="str">
        <f>IFERROR(__xludf.DUMMYFUNCTION("""COMPUTED_VALUE"""),"Although Aligned Large Language Models (LLMs) are trained to reject harmful requests, they remain vulnerable to jailbreak attacks. Unfortunately, existing methods often focus on surface-level patterns, overlooking the deeper attack essences. As a result, "&amp;"defenses fail when attack prompts change, even though the underlying ""attack essences"" remain the same. To address this issue, we introduce EDDF, an Essence-Driven Defense Framework Against Jailbreak Attacks in LLMs. EDDF is a plug-and-play input-filter"&amp;"ing method and operates in two stages: 1) offline essence database construction, and 2) online adversarial query detection. The key idea behind EDDF is to extract the ""attack essence"" from a diverse set of known attack instances and store it in an offli"&amp;"ne vector database. Experimental results demonstrate that EDDF significantly outperforms existing methods by reducing the Attack Success Rate by at least 20%, underscoring its superior robustness against jailbreak attacks.")</f>
        <v>Although Aligned Large Language Models (LLMs) are trained to reject harmful requests, they remain vulnerable to jailbreak attacks. Unfortunately, existing methods often focus on surface-level patterns, overlooking the deeper attack essences. As a result, defenses fail when attack prompts change, even though the underlying "attack essences" remain the same. To address this issue, we introduce EDDF, an Essence-Driven Defense Framework Against Jailbreak Attacks in LLMs. EDDF is a plug-and-play input-filtering method and operates in two stages: 1) offline essence database construction, and 2) online adversarial query detection. The key idea behind EDDF is to extract the "attack essence" from a diverse set of known attack instances and store it in an offline vector database. Experimental results demonstrate that EDDF significantly outperforms existing methods by reducing the Attack Success Rate by at least 20%, underscoring its superior robustness against jailbreak attacks.</v>
      </c>
      <c r="D844" s="7" t="str">
        <f>IFERROR(__xludf.DUMMYFUNCTION("""COMPUTED_VALUE"""),"We do not plan to present.")</f>
        <v>We do not plan to present.</v>
      </c>
      <c r="E844" s="7" t="str">
        <f>IFERROR(__xludf.DUMMYFUNCTION("""COMPUTED_VALUE"""),"#N/A")</f>
        <v>#N/A</v>
      </c>
      <c r="F844" s="7" t="str">
        <f>IFERROR(__xludf.DUMMYFUNCTION("""COMPUTED_VALUE"""),"Not Pres. ")</f>
        <v>Not Pres. </v>
      </c>
      <c r="G844" s="7" t="str">
        <f>IFERROR(__xludf.DUMMYFUNCTION("""COMPUTED_VALUE"""),"NP Findings Not Presenting ")</f>
        <v>NP Findings Not Presenting </v>
      </c>
      <c r="H844" s="7"/>
      <c r="I844" s="7" t="str">
        <f>IFERROR(__xludf.DUMMYFUNCTION("""COMPUTED_VALUE"""),"NP-Find")</f>
        <v>NP-Find</v>
      </c>
      <c r="J844" s="7"/>
      <c r="K844" s="7"/>
      <c r="L844" s="8"/>
      <c r="M844" s="7"/>
      <c r="N844" s="7"/>
    </row>
    <row r="845">
      <c r="A845" s="7" t="str">
        <f>IFERROR(__xludf.DUMMYFUNCTION("""COMPUTED_VALUE"""),"2934-FIND")</f>
        <v>2934-FIND</v>
      </c>
      <c r="B845" s="7" t="str">
        <f>IFERROR(__xludf.DUMMYFUNCTION("""COMPUTED_VALUE"""),"Multimodal Invariant Sentiment Representation Learning")</f>
        <v>Multimodal Invariant Sentiment Representation Learning</v>
      </c>
      <c r="C845" s="7" t="str">
        <f>IFERROR(__xludf.DUMMYFUNCTION("""COMPUTED_VALUE"""),"Multimodal Sentiment Analysis (MSA) integrates diverse modalities to overcome the limitations of unimodal data. However, existing MSA datasets commonly exhibit significant sentiment distribution imbalances and cross-modal sentiment conflicts, which hinder"&amp;" performance improvement. This paper shows that distributional discrepancies and sentiment conflicts can be incorporated into the model training to learn stable multimodal invariant sentiment representation. To this end, we propose a Multimodal Invariant "&amp;"Sentiment Representation Learning (MISR) method. Specifically, we first learn a stable and consistent multimodal joint representation in the latent space of Gaussian distribution based on distributional constraints Then, under invariance constraint, we fu"&amp;"rther learn multimodal invariant sentiment representations from multiple distributional environments constructed by the joint representation and unimodal data, achieving robust and efficient MSA performance. Extensive experiments demonstrate that MISR sig"&amp;"nificantly enhances MSA performance and achieves new state-of-the-art.")</f>
        <v>Multimodal Sentiment Analysis (MSA) integrates diverse modalities to overcome the limitations of unimodal data. However, existing MSA datasets commonly exhibit significant sentiment distribution imbalances and cross-modal sentiment conflicts, which hinder performance improvement. This paper shows that distributional discrepancies and sentiment conflicts can be incorporated into the model training to learn stable multimodal invariant sentiment representation. To this end, we propose a Multimodal Invariant Sentiment Representation Learning (MISR) method. Specifically, we first learn a stable and consistent multimodal joint representation in the latent space of Gaussian distribution based on distributional constraints Then, under invariance constraint, we further learn multimodal invariant sentiment representations from multiple distributional environments constructed by the joint representation and unimodal data, achieving robust and efficient MSA performance. Extensive experiments demonstrate that MISR significantly enhances MSA performance and achieves new state-of-the-art.</v>
      </c>
      <c r="D845" s="7" t="str">
        <f>IFERROR(__xludf.DUMMYFUNCTION("""COMPUTED_VALUE"""),"Aoqiang Zhu")</f>
        <v>Aoqiang Zhu</v>
      </c>
      <c r="E845" s="7" t="str">
        <f>IFERROR(__xludf.DUMMYFUNCTION("""COMPUTED_VALUE"""),"#N/A")</f>
        <v>#N/A</v>
      </c>
      <c r="F845" s="7" t="str">
        <f>IFERROR(__xludf.DUMMYFUNCTION("""COMPUTED_VALUE"""),"Not Pres. ")</f>
        <v>Not Pres. </v>
      </c>
      <c r="G845" s="7" t="str">
        <f>IFERROR(__xludf.DUMMYFUNCTION("""COMPUTED_VALUE"""),"NP Findings Not Presenting ")</f>
        <v>NP Findings Not Presenting </v>
      </c>
      <c r="H845" s="7"/>
      <c r="I845" s="7" t="str">
        <f>IFERROR(__xludf.DUMMYFUNCTION("""COMPUTED_VALUE"""),"NP-Find")</f>
        <v>NP-Find</v>
      </c>
      <c r="J845" s="7"/>
      <c r="K845" s="7"/>
      <c r="L845" s="8"/>
      <c r="M845" s="7"/>
      <c r="N845" s="7"/>
    </row>
    <row r="846">
      <c r="A846" s="7" t="str">
        <f>IFERROR(__xludf.DUMMYFUNCTION("""COMPUTED_VALUE"""),"2939-FIND")</f>
        <v>2939-FIND</v>
      </c>
      <c r="B846" s="7" t="str">
        <f>IFERROR(__xludf.DUMMYFUNCTION("""COMPUTED_VALUE"""),"ChuLo: Chunk-Level Key Information Representation for Long Document Understanding")</f>
        <v>ChuLo: Chunk-Level Key Information Representation for Long Document Understanding</v>
      </c>
      <c r="C846" s="7" t="str">
        <f>IFERROR(__xludf.DUMMYFUNCTION("""COMPUTED_VALUE"""),"Transformer-based models have achieved remarkable success in various Natural Language Processing (NLP) tasks, yet their ability to handle long documents is constrained by computational limitations. Traditional approaches, such as truncating inputs, sparse"&amp;" self-attention, and chunking, attempt to mitigate these issues, but they often lead to information loss and hinder the model's ability to capture long-range dependencies. In this paper, we introduce ChuLo, a novel chunk representation method for long doc"&amp;"ument understanding that addresses these limitations. Our ChuLo groups input tokens using unsupervised keyphrase extraction, emphasizing semantically important keyphrase based chunks to retain core document content while reducing input length. This approa"&amp;"ch minimizes information loss and improves the efficiency of Transformer-based models. Preserving all tokens in long document understanding, especially token classification tasks, is important to ensure that fine-grained annotations, which depend on the e"&amp;"ntire sequence context, are not lost. We evaluate our method on multiple long document classification tasks and long document token classification tasks, demonstrating its effectiveness through comprehensive qualitative and quantitative analysis.")</f>
        <v>Transformer-based models have achieved remarkable success in various Natural Language Processing (NLP) tasks, yet their ability to handle long documents is constrained by computational limitations. Traditional approaches, such as truncating inputs, sparse self-attention, and chunking, attempt to mitigate these issues, but they often lead to information loss and hinder the model's ability to capture long-range dependencies. In this paper, we introduce ChuLo, a novel chunk representation method for long document understanding that addresses these limitations. Our ChuLo groups input tokens using unsupervised keyphrase extraction, emphasizing semantically important keyphrase based chunks to retain core document content while reducing input length. This approach minimizes information loss and improves the efficiency of Transformer-based models. Preserving all tokens in long document understanding, especially token classification tasks, is important to ensure that fine-grained annotations, which depend on the entire sequence context, are not lost. We evaluate our method on multiple long document classification tasks and long document token classification tasks, demonstrating its effectiveness through comprehensive qualitative and quantitative analysis.</v>
      </c>
      <c r="D846" s="7" t="str">
        <f>IFERROR(__xludf.DUMMYFUNCTION("""COMPUTED_VALUE"""),"N/A")</f>
        <v>N/A</v>
      </c>
      <c r="E846" s="7" t="str">
        <f>IFERROR(__xludf.DUMMYFUNCTION("""COMPUTED_VALUE"""),"Yes")</f>
        <v>Yes</v>
      </c>
      <c r="F846" s="7" t="str">
        <f>IFERROR(__xludf.DUMMYFUNCTION("""COMPUTED_VALUE"""),"Not Pres. ")</f>
        <v>Not Pres. </v>
      </c>
      <c r="G846" s="7" t="str">
        <f>IFERROR(__xludf.DUMMYFUNCTION("""COMPUTED_VALUE"""),"NP Findings Not Presenting ")</f>
        <v>NP Findings Not Presenting </v>
      </c>
      <c r="H846" s="7"/>
      <c r="I846" s="7"/>
      <c r="J846" s="7"/>
      <c r="K846" s="7"/>
      <c r="L846" s="8"/>
      <c r="M846" s="7"/>
      <c r="N846" s="7"/>
    </row>
    <row r="847">
      <c r="A847" s="7" t="str">
        <f>IFERROR(__xludf.DUMMYFUNCTION("""COMPUTED_VALUE"""),"2954-FIND")</f>
        <v>2954-FIND</v>
      </c>
      <c r="B847" s="7" t="str">
        <f>IFERROR(__xludf.DUMMYFUNCTION("""COMPUTED_VALUE"""),"REVS: Unlearning Sensitive Information in Language Models via Rank Editing in the Vocabulary Space")</f>
        <v>REVS: Unlearning Sensitive Information in Language Models via Rank Editing in the Vocabulary Space</v>
      </c>
      <c r="C847" s="7" t="str">
        <f>IFERROR(__xludf.DUMMYFUNCTION("""COMPUTED_VALUE"""),"Language models (LMs) risk inadvertently memorizing and divulging sensitive or personally identifiable information (PII) seen in training data, causing privacy concerns. Current approaches to address this issue involve costly dataset scrubbing, or model f"&amp;"iltering through unlearning and model editing, which can be bypassed through extraction attacks. We propose REVS, a novel non-gradient-based method for unlearning sensitive information from LMs. REVS identifies and modifies a small subset of neurons relev"&amp;"ant for constituent tokens which form sensitive information. To adequately evaluate our method on truly sensitive information, we curate three datasets: an email and URL datasets naturally memorized by the models, and a synthetic social security number da"&amp;"taset that we tune the models to memorize. Compared to other methods, REVS demonstrates superior performance in unlearning sensitive information and robustness to extraction attacks, while retaining underlying model integrity.")</f>
        <v>Language models (LMs) risk inadvertently memorizing and divulging sensitive or personally identifiable information (PII) seen in training data, causing privacy concerns. Current approaches to address this issue involve costly dataset scrubbing, or model filtering through unlearning and model editing, which can be bypassed through extraction attacks. We propose REVS, a novel non-gradient-based method for unlearning sensitive information from LMs. REVS identifies and modifies a small subset of neurons relevant for constituent tokens which form sensitive information. To adequately evaluate our method on truly sensitive information, we curate three datasets: an email and URL datasets naturally memorized by the models, and a synthetic social security number dataset that we tune the models to memorize. Compared to other methods, REVS demonstrates superior performance in unlearning sensitive information and robustness to extraction attacks, while retaining underlying model integrity.</v>
      </c>
      <c r="D847" s="7" t="str">
        <f>IFERROR(__xludf.DUMMYFUNCTION("""COMPUTED_VALUE"""),"Tomer Ashuach")</f>
        <v>Tomer Ashuach</v>
      </c>
      <c r="E847" s="7" t="str">
        <f>IFERROR(__xludf.DUMMYFUNCTION("""COMPUTED_VALUE"""),"Yes")</f>
        <v>Yes</v>
      </c>
      <c r="F847" s="7" t="str">
        <f>IFERROR(__xludf.DUMMYFUNCTION("""COMPUTED_VALUE"""),"IP-Poster")</f>
        <v>IP-Poster</v>
      </c>
      <c r="G847" s="7" t="str">
        <f>IFERROR(__xludf.DUMMYFUNCTION("""COMPUTED_VALUE"""),"In-Person")</f>
        <v>In-Person</v>
      </c>
      <c r="H847" s="7" t="str">
        <f>IFERROR(__xludf.DUMMYFUNCTION("""COMPUTED_VALUE"""),"Hall 4/5")</f>
        <v>Hall 4/5</v>
      </c>
      <c r="I847" s="7" t="str">
        <f>IFERROR(__xludf.DUMMYFUNCTION("""COMPUTED_VALUE"""),"Session 7: IP-Posters")</f>
        <v>Session 7: IP-Posters</v>
      </c>
      <c r="J847" s="7" t="str">
        <f>IFERROR(__xludf.DUMMYFUNCTION("""COMPUTED_VALUE"""),"Findings Posters - In-Person 2")</f>
        <v>Findings Posters - In-Person 2</v>
      </c>
      <c r="K847" s="7"/>
      <c r="L847" s="8">
        <f>IFERROR(__xludf.DUMMYFUNCTION("""COMPUTED_VALUE"""),45867.0)</f>
        <v>45867</v>
      </c>
      <c r="M847" s="7" t="str">
        <f>IFERROR(__xludf.DUMMYFUNCTION("""COMPUTED_VALUE"""),"10:30-12:00")</f>
        <v>10:30-12:00</v>
      </c>
      <c r="N847" s="7"/>
    </row>
    <row r="848">
      <c r="A848" s="7" t="str">
        <f>IFERROR(__xludf.DUMMYFUNCTION("""COMPUTED_VALUE"""),"2958-FIND")</f>
        <v>2958-FIND</v>
      </c>
      <c r="B848" s="7" t="str">
        <f>IFERROR(__xludf.DUMMYFUNCTION("""COMPUTED_VALUE"""),"Is External Information Useful for Stance Detection with LLMs?")</f>
        <v>Is External Information Useful for Stance Detection with LLMs?</v>
      </c>
      <c r="C848" s="7" t="str">
        <f>IFERROR(__xludf.DUMMYFUNCTION("""COMPUTED_VALUE"""),"In the stance detection task, a text is classified as either favorable, opposing, or neutral towards a target. Prior work suggests that the use of external information, e.g., excerpts from Wikipedia, improves stance detection performance. However, whether"&amp;" or not such information can benefit large language models (LLMs) remains an unanswered question, despite their wide adoption in many reasoning tasks. In this study, we conduct a systematic evaluation on how Wikipedia and web search external information c"&amp;"an affect stance detection across eight LLMs and in three datasets with 12 targets. Surprisingly, we find that such information degrades performance in most cases, with macro F1 scores dropping by up to 27.9\%. We explain this through experiments showing "&amp;"LLMs' tendency to align their predictions with the stance and sentiment of the provided information rather than the ground truth stance of the given text. We also find that performance degradation persists with chain-of-thought prompting, while fine-tunin"&amp;"g mitigates but does not fully eliminate it. Our findings, in contrast to previous literature on BERT-based systems which suggests that external information enhances performance, highlight the risks of information biases in LLM-based stance classifiers.")</f>
        <v>In the stance detection task, a text is classified as either favorable, opposing, or neutral towards a target. Prior work suggests that the use of external information, e.g., excerpts from Wikipedia, improves stance detection performance. However, whether or not such information can benefit large language models (LLMs) remains an unanswered question, despite their wide adoption in many reasoning tasks. In this study, we conduct a systematic evaluation on how Wikipedia and web search external information can affect stance detection across eight LLMs and in three datasets with 12 targets. Surprisingly, we find that such information degrades performance in most cases, with macro F1 scores dropping by up to 27.9\%. We explain this through experiments showing LLMs' tendency to align their predictions with the stance and sentiment of the provided information rather than the ground truth stance of the given text. We also find that performance degradation persists with chain-of-thought prompting, while fine-tuning mitigates but does not fully eliminate it. Our findings, in contrast to previous literature on BERT-based systems which suggests that external information enhances performance, highlight the risks of information biases in LLM-based stance classifiers.</v>
      </c>
      <c r="D848" s="7" t="str">
        <f>IFERROR(__xludf.DUMMYFUNCTION("""COMPUTED_VALUE"""),"Quang Minh Nguyen")</f>
        <v>Quang Minh Nguyen</v>
      </c>
      <c r="E848" s="7" t="str">
        <f>IFERROR(__xludf.DUMMYFUNCTION("""COMPUTED_VALUE"""),"Yes")</f>
        <v>Yes</v>
      </c>
      <c r="F848" s="7" t="str">
        <f>IFERROR(__xludf.DUMMYFUNCTION("""COMPUTED_VALUE"""),"IP-Poster")</f>
        <v>IP-Poster</v>
      </c>
      <c r="G848" s="7" t="str">
        <f>IFERROR(__xludf.DUMMYFUNCTION("""COMPUTED_VALUE"""),"In-Person")</f>
        <v>In-Person</v>
      </c>
      <c r="H848" s="7" t="str">
        <f>IFERROR(__xludf.DUMMYFUNCTION("""COMPUTED_VALUE"""),"Hall 4/5")</f>
        <v>Hall 4/5</v>
      </c>
      <c r="I848" s="7" t="str">
        <f>IFERROR(__xludf.DUMMYFUNCTION("""COMPUTED_VALUE"""),"Session 5 :IP-Posters Find ")</f>
        <v>Session 5 :IP-Posters Find </v>
      </c>
      <c r="J848" s="7" t="str">
        <f>IFERROR(__xludf.DUMMYFUNCTION("""COMPUTED_VALUE"""),"Findings Posters - In-Person 1")</f>
        <v>Findings Posters - In-Person 1</v>
      </c>
      <c r="K848" s="7"/>
      <c r="L848" s="8">
        <f>IFERROR(__xludf.DUMMYFUNCTION("""COMPUTED_VALUE"""),45866.0)</f>
        <v>45866</v>
      </c>
      <c r="M848" s="7" t="str">
        <f>IFERROR(__xludf.DUMMYFUNCTION("""COMPUTED_VALUE"""),"18:00-19:30")</f>
        <v>18:00-19:30</v>
      </c>
      <c r="N848" s="7"/>
    </row>
    <row r="849">
      <c r="A849" s="7" t="str">
        <f>IFERROR(__xludf.DUMMYFUNCTION("""COMPUTED_VALUE"""),"2965-FIND")</f>
        <v>2965-FIND</v>
      </c>
      <c r="B849" s="7" t="str">
        <f>IFERROR(__xludf.DUMMYFUNCTION("""COMPUTED_VALUE"""),"Benchmarking Query-Conditioned Natural Language Inference")</f>
        <v>Benchmarking Query-Conditioned Natural Language Inference</v>
      </c>
      <c r="C849" s="7" t="str">
        <f>IFERROR(__xludf.DUMMYFUNCTION("""COMPUTED_VALUE"""),"The growing excitement around the ability of large language models (LLMs) to tackle various tasks has been tempered by their propensity for generating unsubstantiated information (hallucination) and by their inability to effectively handle inconsistent in"&amp;"puts. To detect such issues, we propose the novel task of Query-Conditioned Natural Language Inference (QC-NLI), where the goal is to determine the semantic relationship (e.g. entailment or not entailment) between two documents conditioned on a query; we "&amp;"demonstrate that many common tasks regarding inconsistency detection can be formulated as QC-NLI problems. We focus on three applications in particular: fact verification, intrinsic hallucination detection, and document inconsistency detection. We convert"&amp;" existing datasets for these tasks into the QC-NLI format, and manual annotation confirms their high quality. Finally, we employ zero- and few-shot prompting methods to solve the QC-NLI prediction problem for each task, showing the critical importance of "&amp;"conditioning on the query.")</f>
        <v>The growing excitement around the ability of large language models (LLMs) to tackle various tasks has been tempered by their propensity for generating unsubstantiated information (hallucination) and by their inability to effectively handle inconsistent inputs. To detect such issues, we propose the novel task of Query-Conditioned Natural Language Inference (QC-NLI), where the goal is to determine the semantic relationship (e.g. entailment or not entailment) between two documents conditioned on a query; we demonstrate that many common tasks regarding inconsistency detection can be formulated as QC-NLI problems. We focus on three applications in particular: fact verification, intrinsic hallucination detection, and document inconsistency detection. We convert existing datasets for these tasks into the QC-NLI format, and manual annotation confirms their high quality. Finally, we employ zero- and few-shot prompting methods to solve the QC-NLI prediction problem for each task, showing the critical importance of conditioning on the query.</v>
      </c>
      <c r="D849" s="7" t="str">
        <f>IFERROR(__xludf.DUMMYFUNCTION("""COMPUTED_VALUE"""),"Marc E. Canby")</f>
        <v>Marc E. Canby</v>
      </c>
      <c r="E849" s="7" t="str">
        <f>IFERROR(__xludf.DUMMYFUNCTION("""COMPUTED_VALUE"""),"Yes")</f>
        <v>Yes</v>
      </c>
      <c r="F849" s="7" t="str">
        <f>IFERROR(__xludf.DUMMYFUNCTION("""COMPUTED_VALUE"""),"V-Presentation")</f>
        <v>V-Presentation</v>
      </c>
      <c r="G849" s="7" t="str">
        <f>IFERROR(__xludf.DUMMYFUNCTION("""COMPUTED_VALUE"""),"Virtual/Gather")</f>
        <v>Virtual/Gather</v>
      </c>
      <c r="H849" s="7" t="str">
        <f>IFERROR(__xludf.DUMMYFUNCTION("""COMPUTED_VALUE"""),"Gather")</f>
        <v>Gather</v>
      </c>
      <c r="I849" s="7" t="str">
        <f>IFERROR(__xludf.DUMMYFUNCTION("""COMPUTED_VALUE"""),"Session5: V-Gather Find")</f>
        <v>Session5: V-Gather Find</v>
      </c>
      <c r="J849" s="7" t="str">
        <f>IFERROR(__xludf.DUMMYFUNCTION("""COMPUTED_VALUE"""),"Findings Posters - Virtual")</f>
        <v>Findings Posters - Virtual</v>
      </c>
      <c r="K849" s="7"/>
      <c r="L849" s="8">
        <f>IFERROR(__xludf.DUMMYFUNCTION("""COMPUTED_VALUE"""),45866.0)</f>
        <v>45866</v>
      </c>
      <c r="M849" s="7" t="str">
        <f>IFERROR(__xludf.DUMMYFUNCTION("""COMPUTED_VALUE"""),"18:00-19:30")</f>
        <v>18:00-19:30</v>
      </c>
      <c r="N849" s="7"/>
    </row>
    <row r="850">
      <c r="A850" s="7" t="str">
        <f>IFERROR(__xludf.DUMMYFUNCTION("""COMPUTED_VALUE"""),"2970-FIND")</f>
        <v>2970-FIND</v>
      </c>
      <c r="B850" s="7" t="str">
        <f>IFERROR(__xludf.DUMMYFUNCTION("""COMPUTED_VALUE"""),"Flowchart-Based Decision Making with Large Language Models")</f>
        <v>Flowchart-Based Decision Making with Large Language Models</v>
      </c>
      <c r="C850" s="7" t="str">
        <f>IFERROR(__xludf.DUMMYFUNCTION("""COMPUTED_VALUE"""),"Large language models (LLMs) are widely used for conversational systems, but they face significant challenges in interpretability of dialogue flow and reproducibility of expert knowledge. To address this, we propose a novel method that extracts flowcharts"&amp;" from dialogue data and incorporates them into LLMs. This approach not only makes the decision-making process more interpretable through visual representation, but also ensures the reproducibility of expert knowledge by explicitly modeling structured reas"&amp;"oning flows. By evaluating on dialogue datasets, we demonstrate that our method effectively reconstructs expert decision-making paths with high precision and recall scores. These findings underscore the potential of flowchart-based decision making to brid"&amp;"ge the gap between flexibility and structured reasoning, making chatbot systems more interpretable for developers and end-users.")</f>
        <v>Large language models (LLMs) are widely used for conversational systems, but they face significant challenges in interpretability of dialogue flow and reproducibility of expert knowledge. To address this, we propose a novel method that extracts flowcharts from dialogue data and incorporates them into LLMs. This approach not only makes the decision-making process more interpretable through visual representation, but also ensures the reproducibility of expert knowledge by explicitly modeling structured reasoning flows. By evaluating on dialogue datasets, we demonstrate that our method effectively reconstructs expert decision-making paths with high precision and recall scores. These findings underscore the potential of flowchart-based decision making to bridge the gap between flexibility and structured reasoning, making chatbot systems more interpretable for developers and end-users.</v>
      </c>
      <c r="D850" s="7" t="str">
        <f>IFERROR(__xludf.DUMMYFUNCTION("""COMPUTED_VALUE"""),"Yuuki Yamanaka")</f>
        <v>Yuuki Yamanaka</v>
      </c>
      <c r="E850" s="7" t="str">
        <f>IFERROR(__xludf.DUMMYFUNCTION("""COMPUTED_VALUE"""),"#N/A")</f>
        <v>#N/A</v>
      </c>
      <c r="F850" s="7" t="str">
        <f>IFERROR(__xludf.DUMMYFUNCTION("""COMPUTED_VALUE"""),"Not Pres. ")</f>
        <v>Not Pres. </v>
      </c>
      <c r="G850" s="7" t="str">
        <f>IFERROR(__xludf.DUMMYFUNCTION("""COMPUTED_VALUE"""),"NP Findings Not Presenting ")</f>
        <v>NP Findings Not Presenting </v>
      </c>
      <c r="H850" s="7"/>
      <c r="I850" s="7" t="str">
        <f>IFERROR(__xludf.DUMMYFUNCTION("""COMPUTED_VALUE"""),"NP-Find")</f>
        <v>NP-Find</v>
      </c>
      <c r="J850" s="7"/>
      <c r="K850" s="7"/>
      <c r="L850" s="8"/>
      <c r="M850" s="7"/>
      <c r="N850" s="7"/>
    </row>
    <row r="851">
      <c r="A851" s="7" t="str">
        <f>IFERROR(__xludf.DUMMYFUNCTION("""COMPUTED_VALUE"""),"2971-FIND")</f>
        <v>2971-FIND</v>
      </c>
      <c r="B851" s="7" t="str">
        <f>IFERROR(__xludf.DUMMYFUNCTION("""COMPUTED_VALUE"""),"NarGINA: Towards Accurate and Interpretable Children's Narrative Ability Assessment via Narrative Graphs")</f>
        <v>NarGINA: Towards Accurate and Interpretable Children's Narrative Ability Assessment via Narrative Graphs</v>
      </c>
      <c r="C851" s="7" t="str">
        <f>IFERROR(__xludf.DUMMYFUNCTION("""COMPUTED_VALUE"""),"The assessment of children's narrative ability is crucial for diagnosing language disorders and planning interventions. Distinct from the typical automated essay scoring, this task focuses primarily on evaluating the completeness of narrative content and "&amp;"the coherence of expression, as well as the interpretability of assessment results. To address these issues, we propose a novel computational assessing framework NarGINA, under which the narrative graph is introduced to provide a concise and structured su"&amp;"mmary representation of narrative text, allowing for explicit narrative measurement. To this end, we construct the first Chinese children’s narrative assessment corpus based on real children’s narrative samples, and we then design a narrative graph constr"&amp;"uction model and a narrative graph-assisted scoring model to yield accurate narrative ability assessment. Particularly, to enable the scoring model to understand narrative graphs, we propose a multi-view graph contrastive learning strategy to pre-train th"&amp;"e graph encoder and apply instruction-tuned large language models to generate scores. The extensive experimental results show that NarGINA can achieve significant performance improvement over the baselines, simultaneously possessing good interpretability."&amp;" Our findings reveal that the utilization of structured narrative graphs beyond flat text is well suited for narrative ability assessment.")</f>
        <v>The assessment of children's narrative ability is crucial for diagnosing language disorders and planning interventions. Distinct from the typical automated essay scoring, this task focuses primarily on evaluating the completeness of narrative content and the coherence of expression, as well as the interpretability of assessment results. To address these issues, we propose a novel computational assessing framework NarGINA, under which the narrative graph is introduced to provide a concise and structured summary representation of narrative text, allowing for explicit narrative measurement. To this end, we construct the first Chinese children’s narrative assessment corpus based on real children’s narrative samples, and we then design a narrative graph construction model and a narrative graph-assisted scoring model to yield accurate narrative ability assessment. Particularly, to enable the scoring model to understand narrative graphs, we propose a multi-view graph contrastive learning strategy to pre-train the graph encoder and apply instruction-tuned large language models to generate scores. The extensive experimental results show that NarGINA can achieve significant performance improvement over the baselines, simultaneously possessing good interpretability. Our findings reveal that the utilization of structured narrative graphs beyond flat text is well suited for narrative ability assessment.</v>
      </c>
      <c r="D851" s="7" t="str">
        <f>IFERROR(__xludf.DUMMYFUNCTION("""COMPUTED_VALUE"""),"Jun Zhong")</f>
        <v>Jun Zhong</v>
      </c>
      <c r="E851" s="7" t="str">
        <f>IFERROR(__xludf.DUMMYFUNCTION("""COMPUTED_VALUE"""),"#N/A")</f>
        <v>#N/A</v>
      </c>
      <c r="F851" s="7" t="str">
        <f>IFERROR(__xludf.DUMMYFUNCTION("""COMPUTED_VALUE"""),"Not Pres. ")</f>
        <v>Not Pres. </v>
      </c>
      <c r="G851" s="7" t="str">
        <f>IFERROR(__xludf.DUMMYFUNCTION("""COMPUTED_VALUE"""),"NP Findings Not Presenting ")</f>
        <v>NP Findings Not Presenting </v>
      </c>
      <c r="H851" s="7"/>
      <c r="I851" s="7" t="str">
        <f>IFERROR(__xludf.DUMMYFUNCTION("""COMPUTED_VALUE"""),"NP-Find")</f>
        <v>NP-Find</v>
      </c>
      <c r="J851" s="7"/>
      <c r="K851" s="7"/>
      <c r="L851" s="8"/>
      <c r="M851" s="7"/>
      <c r="N851" s="7"/>
    </row>
    <row r="852">
      <c r="A852" s="7" t="str">
        <f>IFERROR(__xludf.DUMMYFUNCTION("""COMPUTED_VALUE"""),"2972-FIND")</f>
        <v>2972-FIND</v>
      </c>
      <c r="B852" s="7" t="str">
        <f>IFERROR(__xludf.DUMMYFUNCTION("""COMPUTED_VALUE"""),"Improving Efficiency in Large Language Models via Extendable Block Floating Point Representation")</f>
        <v>Improving Efficiency in Large Language Models via Extendable Block Floating Point Representation</v>
      </c>
      <c r="C852" s="7" t="str">
        <f>IFERROR(__xludf.DUMMYFUNCTION("""COMPUTED_VALUE"""),"Large language models (LLMs) have revolutionized natural language processing (NLP) tasks, yet their increasing size poses substantial challenges in terms of computational and memory resources. Block floating-point (BFP) arithmetic offers an effective solu"&amp;"tion by leveraging the strengths of both floating-point and fixed-point representations, leading to reductions in both storage and computational overhead. However, current low-bit BFP quantization approaches often struggle to handle extreme outliers, lead"&amp;"ing to significant accuracy degradation. To overcome this limitation, we introduce Extendable Exponent Sharing (EES), a novel BFP representation that extends the exponent bit width to capture a wider dynamic range. EES achieves this by embedding extendabl"&amp;"e exponent bits into the least significant mantissa bits, thereby increasing the shared exponent's bit width without incurring additional storage costs. To optimize the trade-off between accuracy and energy efficiency, EES employs a design space explorati"&amp;"on strategy to optimize the configuration of extendable exponent bit widths. Experimental results show that EES outperforms representative baselines in both accuracy and computational efficiency.")</f>
        <v>Large language models (LLMs) have revolutionized natural language processing (NLP) tasks, yet their increasing size poses substantial challenges in terms of computational and memory resources. Block floating-point (BFP) arithmetic offers an effective solution by leveraging the strengths of both floating-point and fixed-point representations, leading to reductions in both storage and computational overhead. However, current low-bit BFP quantization approaches often struggle to handle extreme outliers, leading to significant accuracy degradation. To overcome this limitation, we introduce Extendable Exponent Sharing (EES), a novel BFP representation that extends the exponent bit width to capture a wider dynamic range. EES achieves this by embedding extendable exponent bits into the least significant mantissa bits, thereby increasing the shared exponent's bit width without incurring additional storage costs. To optimize the trade-off between accuracy and energy efficiency, EES employs a design space exploration strategy to optimize the configuration of extendable exponent bit widths. Experimental results show that EES outperforms representative baselines in both accuracy and computational efficiency.</v>
      </c>
      <c r="D852" s="7" t="str">
        <f>IFERROR(__xludf.DUMMYFUNCTION("""COMPUTED_VALUE"""),"Dongyang Li")</f>
        <v>Dongyang Li</v>
      </c>
      <c r="E852" s="7" t="str">
        <f>IFERROR(__xludf.DUMMYFUNCTION("""COMPUTED_VALUE"""),"Yes")</f>
        <v>Yes</v>
      </c>
      <c r="F852" s="7" t="str">
        <f>IFERROR(__xludf.DUMMYFUNCTION("""COMPUTED_VALUE"""),"V-Presentation")</f>
        <v>V-Presentation</v>
      </c>
      <c r="G852" s="7" t="str">
        <f>IFERROR(__xludf.DUMMYFUNCTION("""COMPUTED_VALUE"""),"Virtual/Gather")</f>
        <v>Virtual/Gather</v>
      </c>
      <c r="H852" s="7" t="str">
        <f>IFERROR(__xludf.DUMMYFUNCTION("""COMPUTED_VALUE"""),"Gather")</f>
        <v>Gather</v>
      </c>
      <c r="I852" s="7" t="str">
        <f>IFERROR(__xludf.DUMMYFUNCTION("""COMPUTED_VALUE"""),"Session5: V-Gather Find")</f>
        <v>Session5: V-Gather Find</v>
      </c>
      <c r="J852" s="7" t="str">
        <f>IFERROR(__xludf.DUMMYFUNCTION("""COMPUTED_VALUE"""),"Findings Posters - Virtual")</f>
        <v>Findings Posters - Virtual</v>
      </c>
      <c r="K852" s="7"/>
      <c r="L852" s="8">
        <f>IFERROR(__xludf.DUMMYFUNCTION("""COMPUTED_VALUE"""),45866.0)</f>
        <v>45866</v>
      </c>
      <c r="M852" s="7" t="str">
        <f>IFERROR(__xludf.DUMMYFUNCTION("""COMPUTED_VALUE"""),"18:00-19:30")</f>
        <v>18:00-19:30</v>
      </c>
      <c r="N852" s="7"/>
    </row>
    <row r="853">
      <c r="A853" s="7" t="str">
        <f>IFERROR(__xludf.DUMMYFUNCTION("""COMPUTED_VALUE"""),"2973-FIND")</f>
        <v>2973-FIND</v>
      </c>
      <c r="B853" s="7" t="str">
        <f>IFERROR(__xludf.DUMMYFUNCTION("""COMPUTED_VALUE"""),"EpiCoDe: Boosting Model Performance Beyond Training with Extrapolation and Contrastive Decoding")</f>
        <v>EpiCoDe: Boosting Model Performance Beyond Training with Extrapolation and Contrastive Decoding</v>
      </c>
      <c r="C853" s="7" t="str">
        <f>IFERROR(__xludf.DUMMYFUNCTION("""COMPUTED_VALUE"""),"The remarkable performance of Large language models (LLMs) relies heavily on the availability of abundant high-quality training data. However, the high cost of acquiring annotated data often prevents models from obtaining capabilities to tackle downstream"&amp;" tasks. In this paper, we introduce a novel method, EpiCoDe that boosts model performance in data-scarcity scenarios without extra training. We first employ model extrapolation to enhance a finetuned model with its inferior version, and then adopt contras"&amp;"tive decoding to further reduce predicted errors, by comparing the logit scores given by the extrapolated and the vanilla finetuned model. Experiments across three domains over four different LLMs show that EpiCoDe consistently outperforms existing method"&amp;"s with significant and robust improvement. We also propose a new theoretical framework to reveal the mechanism behind contrastive decoding in data-scarcity scenarios, which further helps better understand the effectiveness of our EpiCoDe.")</f>
        <v>The remarkable performance of Large language models (LLMs) relies heavily on the availability of abundant high-quality training data. However, the high cost of acquiring annotated data often prevents models from obtaining capabilities to tackle downstream tasks. In this paper, we introduce a novel method, EpiCoDe that boosts model performance in data-scarcity scenarios without extra training. We first employ model extrapolation to enhance a finetuned model with its inferior version, and then adopt contrastive decoding to further reduce predicted errors, by comparing the logit scores given by the extrapolated and the vanilla finetuned model. Experiments across three domains over four different LLMs show that EpiCoDe consistently outperforms existing methods with significant and robust improvement. We also propose a new theoretical framework to reveal the mechanism behind contrastive decoding in data-scarcity scenarios, which further helps better understand the effectiveness of our EpiCoDe.</v>
      </c>
      <c r="D853" s="7" t="str">
        <f>IFERROR(__xludf.DUMMYFUNCTION("""COMPUTED_VALUE"""),"no")</f>
        <v>no</v>
      </c>
      <c r="E853" s="7" t="str">
        <f>IFERROR(__xludf.DUMMYFUNCTION("""COMPUTED_VALUE"""),"Yes")</f>
        <v>Yes</v>
      </c>
      <c r="F853" s="7" t="str">
        <f>IFERROR(__xludf.DUMMYFUNCTION("""COMPUTED_VALUE"""),"Not Pres. ")</f>
        <v>Not Pres. </v>
      </c>
      <c r="G853" s="7" t="str">
        <f>IFERROR(__xludf.DUMMYFUNCTION("""COMPUTED_VALUE"""),"NP Findings Not Presenting ")</f>
        <v>NP Findings Not Presenting </v>
      </c>
      <c r="H853" s="7"/>
      <c r="I853" s="7"/>
      <c r="J853" s="7"/>
      <c r="K853" s="7"/>
      <c r="L853" s="8"/>
      <c r="M853" s="7"/>
      <c r="N853" s="7"/>
    </row>
    <row r="854">
      <c r="A854" s="7" t="str">
        <f>IFERROR(__xludf.DUMMYFUNCTION("""COMPUTED_VALUE"""),"2979-FIND")</f>
        <v>2979-FIND</v>
      </c>
      <c r="B854" s="7" t="str">
        <f>IFERROR(__xludf.DUMMYFUNCTION("""COMPUTED_VALUE"""),"NativQA: Multilingual Culturally-Aligned Natural Query for LLMs")</f>
        <v>NativQA: Multilingual Culturally-Aligned Natural Query for LLMs</v>
      </c>
      <c r="C854" s="7" t="str">
        <f>IFERROR(__xludf.DUMMYFUNCTION("""COMPUTED_VALUE"""),"Natural Question Answering (QA) datasets play a crucial role in evaluating the capabilities of large language models (LLMs), ensuring their effectiveness in real-world applications. Despite the numerous QA datasets that have been developed and some work h"&amp;"as been done in parallel, there is a notable lack of a framework and large scale region-specific datasets queried by native users in their own languages. This gap hinders the effective benchmarking and the development of fine-tuned models for regional and"&amp;" cultural specificities. In this study, we propose a scalable, language-independent framework, NativQA, to seamlessly construct culturally and regionally aligned QA datasets in native languages, for LLM evaluation and tuning. We demonstrate the efficacy o"&amp;"f the proposed framework by designing a multilingual natural QA dataset, MultiNativQA, consisting of ~64k manually annotated QA pairs in seven languages, ranging from high to extremely low resource, based on queries from native speakers from 9 regions cov"&amp;"ering 18 topics. We benchmark open- and closed-source LLMs with the MultiNativQA dataset. We made the framework NativQA, MultiNativQA dataset, and other experimental scripts publicly available for the community (https://anonymous.com/).")</f>
        <v>Natural Question Answering (QA) datasets play a crucial role in evaluating the capabilities of large language models (LLMs), ensuring their effectiveness in real-world applications. Despite the numerous QA datasets that have been developed and some work has been done in parallel, there is a notable lack of a framework and large scale region-specific datasets queried by native users in their own languages. This gap hinders the effective benchmarking and the development of fine-tuned models for regional and cultural specificities. In this study, we propose a scalable, language-independent framework, NativQA, to seamlessly construct culturally and regionally aligned QA datasets in native languages, for LLM evaluation and tuning. We demonstrate the efficacy of the proposed framework by designing a multilingual natural QA dataset, MultiNativQA, consisting of ~64k manually annotated QA pairs in seven languages, ranging from high to extremely low resource, based on queries from native speakers from 9 regions covering 18 topics. We benchmark open- and closed-source LLMs with the MultiNativQA dataset. We made the framework NativQA, MultiNativQA dataset, and other experimental scripts publicly available for the community (https://anonymous.com/).</v>
      </c>
      <c r="D854" s="7" t="str">
        <f>IFERROR(__xludf.DUMMYFUNCTION("""COMPUTED_VALUE"""),"Firoj Alam")</f>
        <v>Firoj Alam</v>
      </c>
      <c r="E854" s="7" t="str">
        <f>IFERROR(__xludf.DUMMYFUNCTION("""COMPUTED_VALUE"""),"Yes")</f>
        <v>Yes</v>
      </c>
      <c r="F854" s="7" t="str">
        <f>IFERROR(__xludf.DUMMYFUNCTION("""COMPUTED_VALUE"""),"IP-Poster")</f>
        <v>IP-Poster</v>
      </c>
      <c r="G854" s="7" t="str">
        <f>IFERROR(__xludf.DUMMYFUNCTION("""COMPUTED_VALUE"""),"In-Person")</f>
        <v>In-Person</v>
      </c>
      <c r="H854" s="7" t="str">
        <f>IFERROR(__xludf.DUMMYFUNCTION("""COMPUTED_VALUE"""),"Hall 4/5")</f>
        <v>Hall 4/5</v>
      </c>
      <c r="I854" s="7" t="str">
        <f>IFERROR(__xludf.DUMMYFUNCTION("""COMPUTED_VALUE"""),"Session 5 :IP-Posters Find ")</f>
        <v>Session 5 :IP-Posters Find </v>
      </c>
      <c r="J854" s="7" t="str">
        <f>IFERROR(__xludf.DUMMYFUNCTION("""COMPUTED_VALUE"""),"Findings Posters - In-Person 1")</f>
        <v>Findings Posters - In-Person 1</v>
      </c>
      <c r="K854" s="7"/>
      <c r="L854" s="8">
        <f>IFERROR(__xludf.DUMMYFUNCTION("""COMPUTED_VALUE"""),45866.0)</f>
        <v>45866</v>
      </c>
      <c r="M854" s="7" t="str">
        <f>IFERROR(__xludf.DUMMYFUNCTION("""COMPUTED_VALUE"""),"18:00-19:30")</f>
        <v>18:00-19:30</v>
      </c>
      <c r="N854" s="7"/>
    </row>
    <row r="855">
      <c r="A855" s="7" t="str">
        <f>IFERROR(__xludf.DUMMYFUNCTION("""COMPUTED_VALUE"""),"2980-FIND")</f>
        <v>2980-FIND</v>
      </c>
      <c r="B855" s="7" t="str">
        <f>IFERROR(__xludf.DUMMYFUNCTION("""COMPUTED_VALUE"""),"DoCIA: An Online Document-Level Context Incorporation Agent for Speech Translation")</f>
        <v>DoCIA: An Online Document-Level Context Incorporation Agent for Speech Translation</v>
      </c>
      <c r="C855" s="7" t="str">
        <f>IFERROR(__xludf.DUMMYFUNCTION("""COMPUTED_VALUE"""),"Document-level context is crucial for handling discourse challenges in text-to-text document-level machine translation (MT). Despite the increased discourse challenges introduced by noise from automatic speech recognition (ASR), the integration of documen"&amp;"t-level context in speech translation (ST) remains insufficiently explored. In this paper, we develop DoCIA, an online framework that enhances ST performance by incorporating document-level context. DoCIA decomposes the ST pipeline into four stages. Docum"&amp;"ent-level context is integrated into the ASR refinement, MT, and MT refinement stages through auxiliary LLM (large language model)-based modules. Furthermore, DoCIA leverages document-level information in a multi-level manner while minimizing computationa"&amp;"l overhead. Additionally, a simple yet effective determination mechanism is introduced to prevent hallucinations from excessive refinement, ensuring the reliability of the final results. Experimental results show that DoCIA significantly outperforms tradi"&amp;"tional ST baselines in both sentence and discourse metrics across four LLMs, demonstrating its effectiveness in improving ST performance.")</f>
        <v>Document-level context is crucial for handling discourse challenges in text-to-text document-level machine translation (MT). Despite the increased discourse challenges introduced by noise from automatic speech recognition (ASR), the integration of document-level context in speech translation (ST) remains insufficiently explored. In this paper, we develop DoCIA, an online framework that enhances ST performance by incorporating document-level context. DoCIA decomposes the ST pipeline into four stages. Document-level context is integrated into the ASR refinement, MT, and MT refinement stages through auxiliary LLM (large language model)-based modules. Furthermore, DoCIA leverages document-level information in a multi-level manner while minimizing computational overhead. Additionally, a simple yet effective determination mechanism is introduced to prevent hallucinations from excessive refinement, ensuring the reliability of the final results. Experimental results show that DoCIA significantly outperforms traditional ST baselines in both sentence and discourse metrics across four LLMs, demonstrating its effectiveness in improving ST performance.</v>
      </c>
      <c r="D855" s="7" t="str">
        <f>IFERROR(__xludf.DUMMYFUNCTION("""COMPUTED_VALUE"""),"Xinglin Lyu")</f>
        <v>Xinglin Lyu</v>
      </c>
      <c r="E855" s="7" t="str">
        <f>IFERROR(__xludf.DUMMYFUNCTION("""COMPUTED_VALUE"""),"Yes")</f>
        <v>Yes</v>
      </c>
      <c r="F855" s="7" t="str">
        <f>IFERROR(__xludf.DUMMYFUNCTION("""COMPUTED_VALUE"""),"IP-Poster")</f>
        <v>IP-Poster</v>
      </c>
      <c r="G855" s="7" t="str">
        <f>IFERROR(__xludf.DUMMYFUNCTION("""COMPUTED_VALUE"""),"In-Person")</f>
        <v>In-Person</v>
      </c>
      <c r="H855" s="7" t="str">
        <f>IFERROR(__xludf.DUMMYFUNCTION("""COMPUTED_VALUE"""),"Hall 4/5")</f>
        <v>Hall 4/5</v>
      </c>
      <c r="I855" s="7" t="str">
        <f>IFERROR(__xludf.DUMMYFUNCTION("""COMPUTED_VALUE"""),"Session 5 :IP-Posters Find ")</f>
        <v>Session 5 :IP-Posters Find </v>
      </c>
      <c r="J855" s="7" t="str">
        <f>IFERROR(__xludf.DUMMYFUNCTION("""COMPUTED_VALUE"""),"Findings Posters - In-Person 1")</f>
        <v>Findings Posters - In-Person 1</v>
      </c>
      <c r="K855" s="7"/>
      <c r="L855" s="8">
        <f>IFERROR(__xludf.DUMMYFUNCTION("""COMPUTED_VALUE"""),45866.0)</f>
        <v>45866</v>
      </c>
      <c r="M855" s="7" t="str">
        <f>IFERROR(__xludf.DUMMYFUNCTION("""COMPUTED_VALUE"""),"18:00-19:30")</f>
        <v>18:00-19:30</v>
      </c>
      <c r="N855" s="7"/>
    </row>
    <row r="856">
      <c r="A856" s="7" t="str">
        <f>IFERROR(__xludf.DUMMYFUNCTION("""COMPUTED_VALUE"""),"2985-FIND")</f>
        <v>2985-FIND</v>
      </c>
      <c r="B856" s="7" t="str">
        <f>IFERROR(__xludf.DUMMYFUNCTION("""COMPUTED_VALUE"""),"RISE: Reasoning Enhancement via Iterative Self-Exploration in Multi-hop Question Answering")</f>
        <v>RISE: Reasoning Enhancement via Iterative Self-Exploration in Multi-hop Question Answering</v>
      </c>
      <c r="C856" s="7" t="str">
        <f>IFERROR(__xludf.DUMMYFUNCTION("""COMPUTED_VALUE"""),"Large Language Models (LLMs) excel in many areas but continue to face challenges with complex reasoning tasks, such as Multi-Hop Question Answering (MHQA). MHQA requires integrating evidence from diverse sources while managing intricate logical dependenci"&amp;"es, often leads to errors in reasoning. Retrieval-Augmented Generation (RAG), widely employed in MHQA tasks, faces challenges in effectively filtering noisy data and retrieving all necessary evidence, thereby limiting its effectiveness in addressing MHQA "&amp;"challenges. To address these challenges, we propose RISE:Reasoning Enhancement via Iterative Self-Exploration, a novel framework designed to enhance models’ reasoning capability through iterative self-exploration. Specifically, RISE involves three key ste"&amp;"ps in addressing MHQA tasks: question decomposition, retrieve-then-read, and self-critique. By leveraging continuous self-exploration, RISE identifies accurate reasoning paths, iteratively self-improving the model’s capability to integrate evidence, maint"&amp;"ain logical consistency, and enhance performance in MHQA tasks. Extensive experiments on multiple MHQA benchmarks demonstrate that RISE significantly improves reasoning accuracy and task performance.")</f>
        <v>Large Language Models (LLMs) excel in many areas but continue to face challenges with complex reasoning tasks, such as Multi-Hop Question Answering (MHQA). MHQA requires integrating evidence from diverse sources while managing intricate logical dependencies, often leads to errors in reasoning. Retrieval-Augmented Generation (RAG), widely employed in MHQA tasks, faces challenges in effectively filtering noisy data and retrieving all necessary evidence, thereby limiting its effectiveness in addressing MHQA challenges. To address these challenges, we propose RISE:Reasoning Enhancement via Iterative Self-Exploration, a novel framework designed to enhance models’ reasoning capability through iterative self-exploration. Specifically, RISE involves three key steps in addressing MHQA tasks: question decomposition, retrieve-then-read, and self-critique. By leveraging continuous self-exploration, RISE identifies accurate reasoning paths, iteratively self-improving the model’s capability to integrate evidence, maintain logical consistency, and enhance performance in MHQA tasks. Extensive experiments on multiple MHQA benchmarks demonstrate that RISE significantly improves reasoning accuracy and task performance.</v>
      </c>
      <c r="D856" s="7" t="str">
        <f>IFERROR(__xludf.DUMMYFUNCTION("""COMPUTED_VALUE"""),"N/A")</f>
        <v>N/A</v>
      </c>
      <c r="E856" s="7" t="str">
        <f>IFERROR(__xludf.DUMMYFUNCTION("""COMPUTED_VALUE"""),"#N/A")</f>
        <v>#N/A</v>
      </c>
      <c r="F856" s="7" t="str">
        <f>IFERROR(__xludf.DUMMYFUNCTION("""COMPUTED_VALUE"""),"Not Pres. ")</f>
        <v>Not Pres. </v>
      </c>
      <c r="G856" s="7" t="str">
        <f>IFERROR(__xludf.DUMMYFUNCTION("""COMPUTED_VALUE"""),"NP Findings Not Presenting ")</f>
        <v>NP Findings Not Presenting </v>
      </c>
      <c r="H856" s="7"/>
      <c r="I856" s="7" t="str">
        <f>IFERROR(__xludf.DUMMYFUNCTION("""COMPUTED_VALUE"""),"NP-Find")</f>
        <v>NP-Find</v>
      </c>
      <c r="J856" s="7"/>
      <c r="K856" s="7"/>
      <c r="L856" s="8"/>
      <c r="M856" s="7"/>
      <c r="N856" s="7"/>
    </row>
    <row r="857">
      <c r="A857" s="7" t="str">
        <f>IFERROR(__xludf.DUMMYFUNCTION("""COMPUTED_VALUE"""),"2992-FIND")</f>
        <v>2992-FIND</v>
      </c>
      <c r="B857" s="7" t="str">
        <f>IFERROR(__xludf.DUMMYFUNCTION("""COMPUTED_VALUE"""),"VADE: Visual Attention Guided Hallucination Detection and Elimination")</f>
        <v>VADE: Visual Attention Guided Hallucination Detection and Elimination</v>
      </c>
      <c r="C857" s="7" t="str">
        <f>IFERROR(__xludf.DUMMYFUNCTION("""COMPUTED_VALUE"""),"Vision Language Models (VLMs) have achieved significant advancements in complex visual understanding tasks. However, VLMs are prone to hallucinations—generating outputs that lack alignment with visual content. This paper addresses hallucination detection "&amp;"in VLMs by leveraging the visual grounding information encoded in transformer attention maps. We identify three primary challenges in this approach: the elective nature of visual grounding for certain tokens, the high-dimensional and noisy nature of atten"&amp;"tion maps, and the dynamic sequence length of attention on previous tokens. To address these, we propose VADE, a novel sequence modelling approach to effectively learn complex sequential patterns from high-dimensional and noisy attention maps for fine-gra"&amp;"ined hallucination detection and mitigation. VADE achieves an average PR-AUC of 80% in hallucination detection on M-HalDetect across four different model architectures and an 5% improvement in hallucination mitigation on MSCOCO.")</f>
        <v>Vision Language Models (VLMs) have achieved significant advancements in complex visual understanding tasks. However, VLMs are prone to hallucinations—generating outputs that lack alignment with visual content. This paper addresses hallucination detection in VLMs by leveraging the visual grounding information encoded in transformer attention maps. We identify three primary challenges in this approach: the elective nature of visual grounding for certain tokens, the high-dimensional and noisy nature of attention maps, and the dynamic sequence length of attention on previous tokens. To address these, we propose VADE, a novel sequence modelling approach to effectively learn complex sequential patterns from high-dimensional and noisy attention maps for fine-grained hallucination detection and mitigation. VADE achieves an average PR-AUC of 80% in hallucination detection on M-HalDetect across four different model architectures and an 5% improvement in hallucination mitigation on MSCOCO.</v>
      </c>
      <c r="D857" s="7" t="str">
        <f>IFERROR(__xludf.DUMMYFUNCTION("""COMPUTED_VALUE"""),"Vishnu Suganth Prabhakaran")</f>
        <v>Vishnu Suganth Prabhakaran</v>
      </c>
      <c r="E857" s="7" t="str">
        <f>IFERROR(__xludf.DUMMYFUNCTION("""COMPUTED_VALUE"""),"Yes")</f>
        <v>Yes</v>
      </c>
      <c r="F857" s="7" t="str">
        <f>IFERROR(__xludf.DUMMYFUNCTION("""COMPUTED_VALUE"""),"IP-Poster")</f>
        <v>IP-Poster</v>
      </c>
      <c r="G857" s="7" t="str">
        <f>IFERROR(__xludf.DUMMYFUNCTION("""COMPUTED_VALUE"""),"In-Person")</f>
        <v>In-Person</v>
      </c>
      <c r="H857" s="7" t="str">
        <f>IFERROR(__xludf.DUMMYFUNCTION("""COMPUTED_VALUE"""),"Hall 4/5")</f>
        <v>Hall 4/5</v>
      </c>
      <c r="I857" s="7" t="str">
        <f>IFERROR(__xludf.DUMMYFUNCTION("""COMPUTED_VALUE"""),"Session 5 :IP-Posters Find ")</f>
        <v>Session 5 :IP-Posters Find </v>
      </c>
      <c r="J857" s="7" t="str">
        <f>IFERROR(__xludf.DUMMYFUNCTION("""COMPUTED_VALUE"""),"Findings Posters - In-Person 1")</f>
        <v>Findings Posters - In-Person 1</v>
      </c>
      <c r="K857" s="7"/>
      <c r="L857" s="8">
        <f>IFERROR(__xludf.DUMMYFUNCTION("""COMPUTED_VALUE"""),45866.0)</f>
        <v>45866</v>
      </c>
      <c r="M857" s="7" t="str">
        <f>IFERROR(__xludf.DUMMYFUNCTION("""COMPUTED_VALUE"""),"18:00-19:30")</f>
        <v>18:00-19:30</v>
      </c>
      <c r="N857" s="7"/>
    </row>
    <row r="858">
      <c r="A858" s="7" t="str">
        <f>IFERROR(__xludf.DUMMYFUNCTION("""COMPUTED_VALUE"""),"2995-FIND")</f>
        <v>2995-FIND</v>
      </c>
      <c r="B858" s="7" t="str">
        <f>IFERROR(__xludf.DUMMYFUNCTION("""COMPUTED_VALUE"""),"PGPO: Enhancing Agent Reasoning via Pseudocode-style Planning Guided Preference Optimization")</f>
        <v>PGPO: Enhancing Agent Reasoning via Pseudocode-style Planning Guided Preference Optimization</v>
      </c>
      <c r="C858" s="7" t="str">
        <f>IFERROR(__xludf.DUMMYFUNCTION("""COMPUTED_VALUE"""),"Large Language Model (LLM) agents have demonstrated impressive capabilities in handling complex interactive problems. Existing LLM agents mainly generate natural language plans to guide reasoning, which is verbose and inefficient. NL plans are also tailor"&amp;"ed to specific tasks and restrict agents’ ability to generalize across similar tasks. To this end, we explore pseudocode-style plans (P-code Plan) to capture the structural logic of reasoning. We find that P-code Plan empowers LLM agents with stronger gen"&amp;"eralization ability and more efficiency. Inspired by this finding, we propose a pseudocode-style  ̲Planning  ̲Guided  ̲Preference  ̲Optimization method called PGPO for effective agent learning. With two planning-oriented rewards, PGPO further enhances LLM"&amp;" agents’ ability to generate high-quality P-code Plans and subsequent reasoning. Experiments show that PGPO achieves superior performance on representative agent benchmarks and outperforms the current leading baselines. Analyses reveal the advantage of PG"&amp;"PO in reducing action errors and omissions during reasoning.")</f>
        <v>Large Language Model (LLM) agents have demonstrated impressive capabilities in handling complex interactive problems. Existing LLM agents mainly generate natural language plans to guide reasoning, which is verbose and inefficient. NL plans are also tailored to specific tasks and restrict agents’ ability to generalize across similar tasks. To this end, we explore pseudocode-style plans (P-code Plan) to capture the structural logic of reasoning. We find that P-code Plan empowers LLM agents with stronger generalization ability and more efficiency. Inspired by this finding, we propose a pseudocode-style  ̲Planning  ̲Guided  ̲Preference  ̲Optimization method called PGPO for effective agent learning. With two planning-oriented rewards, PGPO further enhances LLM agents’ ability to generate high-quality P-code Plans and subsequent reasoning. Experiments show that PGPO achieves superior performance on representative agent benchmarks and outperforms the current leading baselines. Analyses reveal the advantage of PGPO in reducing action errors and omissions during reasoning.</v>
      </c>
      <c r="D858" s="7" t="str">
        <f>IFERROR(__xludf.DUMMYFUNCTION("""COMPUTED_VALUE"""),"Zouying Cao")</f>
        <v>Zouying Cao</v>
      </c>
      <c r="E858" s="7" t="str">
        <f>IFERROR(__xludf.DUMMYFUNCTION("""COMPUTED_VALUE"""),"Yes")</f>
        <v>Yes</v>
      </c>
      <c r="F858" s="7" t="str">
        <f>IFERROR(__xludf.DUMMYFUNCTION("""COMPUTED_VALUE"""),"IP-Poster")</f>
        <v>IP-Poster</v>
      </c>
      <c r="G858" s="7" t="str">
        <f>IFERROR(__xludf.DUMMYFUNCTION("""COMPUTED_VALUE"""),"In-Person")</f>
        <v>In-Person</v>
      </c>
      <c r="H858" s="7" t="str">
        <f>IFERROR(__xludf.DUMMYFUNCTION("""COMPUTED_VALUE"""),"Hall 4/5")</f>
        <v>Hall 4/5</v>
      </c>
      <c r="I858" s="7" t="str">
        <f>IFERROR(__xludf.DUMMYFUNCTION("""COMPUTED_VALUE"""),"Session 7: IP-Posters")</f>
        <v>Session 7: IP-Posters</v>
      </c>
      <c r="J858" s="7" t="str">
        <f>IFERROR(__xludf.DUMMYFUNCTION("""COMPUTED_VALUE"""),"Findings Posters - In-Person 2")</f>
        <v>Findings Posters - In-Person 2</v>
      </c>
      <c r="K858" s="7"/>
      <c r="L858" s="8">
        <f>IFERROR(__xludf.DUMMYFUNCTION("""COMPUTED_VALUE"""),45867.0)</f>
        <v>45867</v>
      </c>
      <c r="M858" s="7" t="str">
        <f>IFERROR(__xludf.DUMMYFUNCTION("""COMPUTED_VALUE"""),"10:30-12:00")</f>
        <v>10:30-12:00</v>
      </c>
      <c r="N858" s="7"/>
    </row>
    <row r="859">
      <c r="A859" s="7" t="str">
        <f>IFERROR(__xludf.DUMMYFUNCTION("""COMPUTED_VALUE"""),"2999-FIND")</f>
        <v>2999-FIND</v>
      </c>
      <c r="B859" s="7" t="str">
        <f>IFERROR(__xludf.DUMMYFUNCTION("""COMPUTED_VALUE"""),"The Effectiveness of Uncased Tokeniziaion for Clinical Notes")</f>
        <v>The Effectiveness of Uncased Tokeniziaion for Clinical Notes</v>
      </c>
      <c r="C859" s="7" t="str">
        <f>IFERROR(__xludf.DUMMYFUNCTION("""COMPUTED_VALUE"""),"The impact of case-sensitive tokenization on clinical notes is not well understood. While clinical notes share similarities with biomedical text in terminology, they often lack the proper casing found in polished publications. Language models, unlike huma"&amp;"ns, require a fixed vocabulary and case sensitivity is a trade-off that must be considered carefully. Improper casing can lead to sub-optimal tokenization and increased sequence length, degrading downstream performance and increasing computational costs. "&amp;"While most recent open-domain encoder language models use uncased tokenization for all tasks, there is no clear trend in biomedical and clinical models. In this work we (1) show that uncased models exceed the performance of cased models on clinical notes,"&amp;" even on traditionally case-sensitive tasks such as named entity recognition, and (2) introduce independent case encoding to better balance the trade-off of on potentially case-sensitive or improperly-cased tasks.")</f>
        <v>The impact of case-sensitive tokenization on clinical notes is not well understood. While clinical notes share similarities with biomedical text in terminology, they often lack the proper casing found in polished publications. Language models, unlike humans, require a fixed vocabulary and case sensitivity is a trade-off that must be considered carefully. Improper casing can lead to sub-optimal tokenization and increased sequence length, degrading downstream performance and increasing computational costs. While most recent open-domain encoder language models use uncased tokenization for all tasks, there is no clear trend in biomedical and clinical models. In this work we (1) show that uncased models exceed the performance of cased models on clinical notes, even on traditionally case-sensitive tasks such as named entity recognition, and (2) introduce independent case encoding to better balance the trade-off of on potentially case-sensitive or improperly-cased tasks.</v>
      </c>
      <c r="D859" s="7" t="str">
        <f>IFERROR(__xludf.DUMMYFUNCTION("""COMPUTED_VALUE"""),"N/A")</f>
        <v>N/A</v>
      </c>
      <c r="E859" s="7" t="str">
        <f>IFERROR(__xludf.DUMMYFUNCTION("""COMPUTED_VALUE"""),"#N/A")</f>
        <v>#N/A</v>
      </c>
      <c r="F859" s="7" t="str">
        <f>IFERROR(__xludf.DUMMYFUNCTION("""COMPUTED_VALUE"""),"Not Pres. ")</f>
        <v>Not Pres. </v>
      </c>
      <c r="G859" s="7" t="str">
        <f>IFERROR(__xludf.DUMMYFUNCTION("""COMPUTED_VALUE"""),"NP Findings Not Presenting ")</f>
        <v>NP Findings Not Presenting </v>
      </c>
      <c r="H859" s="7"/>
      <c r="I859" s="7" t="str">
        <f>IFERROR(__xludf.DUMMYFUNCTION("""COMPUTED_VALUE"""),"NP-Find")</f>
        <v>NP-Find</v>
      </c>
      <c r="J859" s="7"/>
      <c r="K859" s="7"/>
      <c r="L859" s="8"/>
      <c r="M859" s="7"/>
      <c r="N859" s="7"/>
    </row>
    <row r="860">
      <c r="A860" s="7" t="str">
        <f>IFERROR(__xludf.DUMMYFUNCTION("""COMPUTED_VALUE"""),"3005-FIND")</f>
        <v>3005-FIND</v>
      </c>
      <c r="B860" s="7" t="str">
        <f>IFERROR(__xludf.DUMMYFUNCTION("""COMPUTED_VALUE"""),"AMXFP4: Taming Activation Outliers with Asymmetric Microscaling Floating-Point for 4-bit LLM Inference")</f>
        <v>AMXFP4: Taming Activation Outliers with Asymmetric Microscaling Floating-Point for 4-bit LLM Inference</v>
      </c>
      <c r="C860" s="7" t="str">
        <f>IFERROR(__xludf.DUMMYFUNCTION("""COMPUTED_VALUE"""),"As large language models (LLMs) grow in parameter size and context length, computation precision has been reduced from 16-bit to 4-bit to improve inference efficiency. However, this reduction causes accuracy degradation due to activation outliers. Recent "&amp;"rotation-based INT4 quantization attempts to address this through rotation matrix calibration, but they require hours of overhead per model deployment and leave significant computation unquantized in long-context scenarios. Microscaling (MX) floating-poin"&amp;"t (FP) formats offer fine-grained representation with a shared scale, enabling fully quantized matrix multiplications through direct casting without calibration. However, existing research shows unsatisfactory empirical results for MXFP4 inference, and th"&amp;"e robustness of MX formats remains largely unexplored.
In this work, we uncover the fundamental tradeoffs of the MX format: while it effectively suppresses activation outliers, it does so at the cost of increased group-wise asymmetry. To address this, we"&amp;" propose an asymmetric MX format for a 4-bit floating point (AMXFP4), which employs asymmetric shared scales to handle both outliers and group-wise asymmetry without requiring calibration. Our custom compute-engine implementation shows that the AMXFP4-bas"&amp;"ed Multiply-Accumulate (MAC) design adds marginal resource overhead while delivering substantial accuracy improvements. Extensive experiments across benchmarks demonstrate that AMXFP4 outperforms MXFP4 in visual question answering (VQA) by 3% and surpasse"&amp;"s rotation-based techniques on CSQA by 1.6%. Additionally, AMXFP4 shows superior performance compared to the recently deployed commercial MXFP4 format.")</f>
        <v>As large language models (LLMs) grow in parameter size and context length, computation precision has been reduced from 16-bit to 4-bit to improve inference efficiency. However, this reduction causes accuracy degradation due to activation outliers. Recent rotation-based INT4 quantization attempts to address this through rotation matrix calibration, but they require hours of overhead per model deployment and leave significant computation unquantized in long-context scenarios. Microscaling (MX) floating-point (FP) formats offer fine-grained representation with a shared scale, enabling fully quantized matrix multiplications through direct casting without calibration. However, existing research shows unsatisfactory empirical results for MXFP4 inference, and the robustness of MX formats remains largely unexplored.
In this work, we uncover the fundamental tradeoffs of the MX format: while it effectively suppresses activation outliers, it does so at the cost of increased group-wise asymmetry. To address this, we propose an asymmetric MX format for a 4-bit floating point (AMXFP4), which employs asymmetric shared scales to handle both outliers and group-wise asymmetry without requiring calibration. Our custom compute-engine implementation shows that the AMXFP4-based Multiply-Accumulate (MAC) design adds marginal resource overhead while delivering substantial accuracy improvements. Extensive experiments across benchmarks demonstrate that AMXFP4 outperforms MXFP4 in visual question answering (VQA) by 3% and surpasses rotation-based techniques on CSQA by 1.6%. Additionally, AMXFP4 shows superior performance compared to the recently deployed commercial MXFP4 format.</v>
      </c>
      <c r="D860" s="7" t="str">
        <f>IFERROR(__xludf.DUMMYFUNCTION("""COMPUTED_VALUE"""),"Janghwan Lee")</f>
        <v>Janghwan Lee</v>
      </c>
      <c r="E860" s="7" t="str">
        <f>IFERROR(__xludf.DUMMYFUNCTION("""COMPUTED_VALUE"""),"Yes")</f>
        <v>Yes</v>
      </c>
      <c r="F860" s="7" t="str">
        <f>IFERROR(__xludf.DUMMYFUNCTION("""COMPUTED_VALUE"""),"IP-Poster")</f>
        <v>IP-Poster</v>
      </c>
      <c r="G860" s="7" t="str">
        <f>IFERROR(__xludf.DUMMYFUNCTION("""COMPUTED_VALUE"""),"In-Person")</f>
        <v>In-Person</v>
      </c>
      <c r="H860" s="7" t="str">
        <f>IFERROR(__xludf.DUMMYFUNCTION("""COMPUTED_VALUE"""),"Hall 4/5")</f>
        <v>Hall 4/5</v>
      </c>
      <c r="I860" s="7" t="str">
        <f>IFERROR(__xludf.DUMMYFUNCTION("""COMPUTED_VALUE"""),"Session 5 :IP-Posters Find ")</f>
        <v>Session 5 :IP-Posters Find </v>
      </c>
      <c r="J860" s="7" t="str">
        <f>IFERROR(__xludf.DUMMYFUNCTION("""COMPUTED_VALUE"""),"Findings Posters - In-Person 1")</f>
        <v>Findings Posters - In-Person 1</v>
      </c>
      <c r="K860" s="7"/>
      <c r="L860" s="8">
        <f>IFERROR(__xludf.DUMMYFUNCTION("""COMPUTED_VALUE"""),45866.0)</f>
        <v>45866</v>
      </c>
      <c r="M860" s="7" t="str">
        <f>IFERROR(__xludf.DUMMYFUNCTION("""COMPUTED_VALUE"""),"18:00-19:30")</f>
        <v>18:00-19:30</v>
      </c>
      <c r="N860" s="7"/>
    </row>
    <row r="861">
      <c r="A861" s="7" t="str">
        <f>IFERROR(__xludf.DUMMYFUNCTION("""COMPUTED_VALUE"""),"3006-FIND")</f>
        <v>3006-FIND</v>
      </c>
      <c r="B861" s="7" t="str">
        <f>IFERROR(__xludf.DUMMYFUNCTION("""COMPUTED_VALUE"""),"Improving Continual Pre-training Through Seamless Data Packing")</f>
        <v>Improving Continual Pre-training Through Seamless Data Packing</v>
      </c>
      <c r="C861" s="7" t="str">
        <f>IFERROR(__xludf.DUMMYFUNCTION("""COMPUTED_VALUE"""),"Continual pre-training has demonstrated significant potential in enhancing model performance, particularly in domain-specific scenarios. The most common approach for packing data before continual pre-training involves concatenating input texts and splitti"&amp;"ng them into fixed-length sequences. While straightforward and efficient, this method often leads to excessive truncation and context discontinuity, which can hinder model performance. To address these issues, we explore the potential of data engineering "&amp;"to enhance continual pre-training, particularly its impact on model performance and efficiency. We propose Seamless Packing (SP), a novel data packing strategy aimed at preserving contextual information more effectively and enhancing model performance. Ou"&amp;"r approach employs a sliding window technique in the first stage that synchronizes overlapping tokens across consecutive sequences, ensuring better continuity and contextual coherence. In the second stage, we adopt a First-Fit-Decreasing algorithm to pack"&amp;" shorter texts into bins slightly larger than the target sequence length, thereby minimizing padding and truncation. Empirical evaluations across various model architectures and corpus domains demonstrate the effectiveness of our method, outperforming bas"&amp;"eline method in 99% of all settings. Code is available at https://github.com/Infernus-WIND/Seamless-Packing.")</f>
        <v>Continual pre-training has demonstrated significant potential in enhancing model performance, particularly in domain-specific scenarios. The most common approach for packing data before continual pre-training involves concatenating input texts and splitting them into fixed-length sequences. While straightforward and efficient, this method often leads to excessive truncation and context discontinuity, which can hinder model performance. To address these issues, we explore the potential of data engineering to enhance continual pre-training, particularly its impact on model performance and efficiency. We propose Seamless Packing (SP), a novel data packing strategy aimed at preserving contextual information more effectively and enhancing model performance. Our approach employs a sliding window technique in the first stage that synchronizes overlapping tokens across consecutive sequences, ensuring better continuity and contextual coherence. In the second stage, we adopt a First-Fit-Decreasing algorithm to pack shorter texts into bins slightly larger than the target sequence length, thereby minimizing padding and truncation. Empirical evaluations across various model architectures and corpus domains demonstrate the effectiveness of our method, outperforming baseline method in 99% of all settings. Code is available at https://github.com/Infernus-WIND/Seamless-Packing.</v>
      </c>
      <c r="D861" s="7" t="str">
        <f>IFERROR(__xludf.DUMMYFUNCTION("""COMPUTED_VALUE"""),"Ruicheng Yin")</f>
        <v>Ruicheng Yin</v>
      </c>
      <c r="E861" s="7" t="str">
        <f>IFERROR(__xludf.DUMMYFUNCTION("""COMPUTED_VALUE"""),"#N/A")</f>
        <v>#N/A</v>
      </c>
      <c r="F861" s="7" t="str">
        <f>IFERROR(__xludf.DUMMYFUNCTION("""COMPUTED_VALUE"""),"Not Pres. ")</f>
        <v>Not Pres. </v>
      </c>
      <c r="G861" s="7" t="str">
        <f>IFERROR(__xludf.DUMMYFUNCTION("""COMPUTED_VALUE"""),"NP Findings Not Presenting ")</f>
        <v>NP Findings Not Presenting </v>
      </c>
      <c r="H861" s="7"/>
      <c r="I861" s="7" t="str">
        <f>IFERROR(__xludf.DUMMYFUNCTION("""COMPUTED_VALUE"""),"NP-Find")</f>
        <v>NP-Find</v>
      </c>
      <c r="J861" s="7"/>
      <c r="K861" s="7"/>
      <c r="L861" s="8"/>
      <c r="M861" s="7"/>
      <c r="N861" s="7"/>
    </row>
    <row r="862">
      <c r="A862" s="7" t="str">
        <f>IFERROR(__xludf.DUMMYFUNCTION("""COMPUTED_VALUE"""),"3007-FIND")</f>
        <v>3007-FIND</v>
      </c>
      <c r="B862" s="7" t="str">
        <f>IFERROR(__xludf.DUMMYFUNCTION("""COMPUTED_VALUE"""),"The Impact of Name Age Perception on Job Recommendations in LLMs")</f>
        <v>The Impact of Name Age Perception on Job Recommendations in LLMs</v>
      </c>
      <c r="C862" s="7" t="str">
        <f>IFERROR(__xludf.DUMMYFUNCTION("""COMPUTED_VALUE"""),"Names often carry generational connotations, with certain names stereotypically associated with younger or older age groups. This study examines implicit age-related name bias in LLMs used for job recommendations. Analyzing six LLMs and 117 American names"&amp;" categorized by perceived age across 30 occupations, we find systematic bias: older-sounding names are favored for senior roles, while younger-sounding names are linked to youth-dominant jobs, reinforcing generational stereotypes. We also find that this b"&amp;"ias is based on perceived rather than real ages associated with the names.")</f>
        <v>Names often carry generational connotations, with certain names stereotypically associated with younger or older age groups. This study examines implicit age-related name bias in LLMs used for job recommendations. Analyzing six LLMs and 117 American names categorized by perceived age across 30 occupations, we find systematic bias: older-sounding names are favored for senior roles, while younger-sounding names are linked to youth-dominant jobs, reinforcing generational stereotypes. We also find that this bias is based on perceived rather than real ages associated with the names.</v>
      </c>
      <c r="D862" s="7" t="str">
        <f>IFERROR(__xludf.DUMMYFUNCTION("""COMPUTED_VALUE"""),"Mahammed Kamruzzaman")</f>
        <v>Mahammed Kamruzzaman</v>
      </c>
      <c r="E862" s="7" t="str">
        <f>IFERROR(__xludf.DUMMYFUNCTION("""COMPUTED_VALUE"""),"Yes")</f>
        <v>Yes</v>
      </c>
      <c r="F862" s="7" t="str">
        <f>IFERROR(__xludf.DUMMYFUNCTION("""COMPUTED_VALUE"""),"IP-Poster")</f>
        <v>IP-Poster</v>
      </c>
      <c r="G862" s="7" t="str">
        <f>IFERROR(__xludf.DUMMYFUNCTION("""COMPUTED_VALUE"""),"In-Person")</f>
        <v>In-Person</v>
      </c>
      <c r="H862" s="7" t="str">
        <f>IFERROR(__xludf.DUMMYFUNCTION("""COMPUTED_VALUE"""),"Hall 4/5")</f>
        <v>Hall 4/5</v>
      </c>
      <c r="I862" s="7" t="str">
        <f>IFERROR(__xludf.DUMMYFUNCTION("""COMPUTED_VALUE"""),"Session 10: IP-Posters")</f>
        <v>Session 10: IP-Posters</v>
      </c>
      <c r="J862" s="7" t="str">
        <f>IFERROR(__xludf.DUMMYFUNCTION("""COMPUTED_VALUE"""),"Findings Posters - In-Person 3")</f>
        <v>Findings Posters - In-Person 3</v>
      </c>
      <c r="K862" s="7"/>
      <c r="L862" s="8">
        <f>IFERROR(__xludf.DUMMYFUNCTION("""COMPUTED_VALUE"""),45867.0)</f>
        <v>45867</v>
      </c>
      <c r="M862" s="7" t="str">
        <f>IFERROR(__xludf.DUMMYFUNCTION("""COMPUTED_VALUE"""),"16:00-17:30")</f>
        <v>16:00-17:30</v>
      </c>
      <c r="N862" s="7"/>
    </row>
    <row r="863">
      <c r="A863" s="7" t="str">
        <f>IFERROR(__xludf.DUMMYFUNCTION("""COMPUTED_VALUE"""),"3008-FIND")</f>
        <v>3008-FIND</v>
      </c>
      <c r="B863" s="7" t="str">
        <f>IFERROR(__xludf.DUMMYFUNCTION("""COMPUTED_VALUE"""),"DAPI: Domain Adaptive Toxicity Probe Vector Intervention, for Fine-Grained Detoxification")</f>
        <v>DAPI: Domain Adaptive Toxicity Probe Vector Intervention, for Fine-Grained Detoxification</v>
      </c>
      <c r="C863" s="7" t="str">
        <f>IFERROR(__xludf.DUMMYFUNCTION("""COMPUTED_VALUE"""),"There have been attempts to utilize linear probe for detoxification, with existing studies relying on a single toxicity probe vector to reduce toxicity. However, toxicity can be fine-grained into various subcategories, making it difficult to remove certai"&amp;"n types of toxicity by using a single toxicity probe vector. To address this limitation, we propose a category-specific toxicity probe vector approach. First, we train multiple toxicity probe vectors for different toxicity categories. During generation, w"&amp;"e dynamically select the most relevant toxicity probe vector based on the current context. Finally, the selected vector is dynamically scaled and subtracted from model. Our method successfully mitigated toxicity from categories that the single probe vecto"&amp;"r approach failed to detoxify. Experiments demonstrate that our approach achieves up to a 78.52% reduction in toxicity on the evaluation dataset, while fluency remains nearly unchanged, with only a 0.052% drop compared to the unsteered model.")</f>
        <v>There have been attempts to utilize linear probe for detoxification, with existing studies relying on a single toxicity probe vector to reduce toxicity. However, toxicity can be fine-grained into various subcategories, making it difficult to remove certain types of toxicity by using a single toxicity probe vector. To address this limitation, we propose a category-specific toxicity probe vector approach. First, we train multiple toxicity probe vectors for different toxicity categories. During generation, we dynamically select the most relevant toxicity probe vector based on the current context. Finally, the selected vector is dynamically scaled and subtracted from model. Our method successfully mitigated toxicity from categories that the single probe vector approach failed to detoxify. Experiments demonstrate that our approach achieves up to a 78.52% reduction in toxicity on the evaluation dataset, while fluency remains nearly unchanged, with only a 0.052% drop compared to the unsteered model.</v>
      </c>
      <c r="D863" s="7" t="str">
        <f>IFERROR(__xludf.DUMMYFUNCTION("""COMPUTED_VALUE"""),"Hyeonsu Cho")</f>
        <v>Hyeonsu Cho</v>
      </c>
      <c r="E863" s="7" t="str">
        <f>IFERROR(__xludf.DUMMYFUNCTION("""COMPUTED_VALUE"""),"Yes")</f>
        <v>Yes</v>
      </c>
      <c r="F863" s="7" t="str">
        <f>IFERROR(__xludf.DUMMYFUNCTION("""COMPUTED_VALUE"""),"IP-Poster")</f>
        <v>IP-Poster</v>
      </c>
      <c r="G863" s="7" t="str">
        <f>IFERROR(__xludf.DUMMYFUNCTION("""COMPUTED_VALUE"""),"In-Person")</f>
        <v>In-Person</v>
      </c>
      <c r="H863" s="7" t="str">
        <f>IFERROR(__xludf.DUMMYFUNCTION("""COMPUTED_VALUE"""),"Hall 4/5")</f>
        <v>Hall 4/5</v>
      </c>
      <c r="I863" s="7" t="str">
        <f>IFERROR(__xludf.DUMMYFUNCTION("""COMPUTED_VALUE"""),"Session 5 :IP-Posters Find ")</f>
        <v>Session 5 :IP-Posters Find </v>
      </c>
      <c r="J863" s="7" t="str">
        <f>IFERROR(__xludf.DUMMYFUNCTION("""COMPUTED_VALUE"""),"Findings Posters - In-Person 1")</f>
        <v>Findings Posters - In-Person 1</v>
      </c>
      <c r="K863" s="7"/>
      <c r="L863" s="8">
        <f>IFERROR(__xludf.DUMMYFUNCTION("""COMPUTED_VALUE"""),45866.0)</f>
        <v>45866</v>
      </c>
      <c r="M863" s="7" t="str">
        <f>IFERROR(__xludf.DUMMYFUNCTION("""COMPUTED_VALUE"""),"18:00-19:30")</f>
        <v>18:00-19:30</v>
      </c>
      <c r="N863" s="7"/>
    </row>
    <row r="864">
      <c r="A864" s="7" t="str">
        <f>IFERROR(__xludf.DUMMYFUNCTION("""COMPUTED_VALUE"""),"3014-FIND")</f>
        <v>3014-FIND</v>
      </c>
      <c r="B864" s="7" t="str">
        <f>IFERROR(__xludf.DUMMYFUNCTION("""COMPUTED_VALUE"""),"Task Knowledge Injection via Interpolations and Reinstatement for Large Language Model Generalization")</f>
        <v>Task Knowledge Injection via Interpolations and Reinstatement for Large Language Model Generalization</v>
      </c>
      <c r="C864" s="7" t="str">
        <f>IFERROR(__xludf.DUMMYFUNCTION("""COMPUTED_VALUE"""),"Large language models have shown tremendous potential across various NLP tasks, and instruction tuning has been widely adopted to elicit their superior performance. However, instruction tuning may overly tailor the models to task-specific formats, potenti"&amp;"ally compromising their generalization on unseen tasks. 
We attribute the issue to the spurious correlations learned between inputs and targets. We propose explicit task knowledge injection to mitigate these shortcuts with latent task adaptation and knowl"&amp;"edge reinstatement. Latent tasks serve as interpolations between new tasks and facilitate knowledge sharing with joint adaptation enabling the model to build task knowledge more smoothly. Knowledge reinstatement helps optimize building new knowledge with "&amp;"prior knowledge. Specifically, we retrieve input-relevant latent tasks and jointly learn the task and the relevant latent tasks. Moreover, we prompt the model to recall the forms of inputs corresponding to the target and build the task knowledge through t"&amp;"he reinstatement of prior knowledge while learning the new task.
We conduct extensive experiments on state-of-the-art large language models including Llama3.1-8B and Vicuna-13B across 1000+ instruction-following tasks to demonstrate the effectiveness of o"&amp;"ur method. The results demonstrate our method improves generalization on both in-domain and out-of-domain unseen tasks.")</f>
        <v>Large language models have shown tremendous potential across various NLP tasks, and instruction tuning has been widely adopted to elicit their superior performance. However, instruction tuning may overly tailor the models to task-specific formats, potentially compromising their generalization on unseen tasks. 
We attribute the issue to the spurious correlations learned between inputs and targets. We propose explicit task knowledge injection to mitigate these shortcuts with latent task adaptation and knowledge reinstatement. Latent tasks serve as interpolations between new tasks and facilitate knowledge sharing with joint adaptation enabling the model to build task knowledge more smoothly. Knowledge reinstatement helps optimize building new knowledge with prior knowledge. Specifically, we retrieve input-relevant latent tasks and jointly learn the task and the relevant latent tasks. Moreover, we prompt the model to recall the forms of inputs corresponding to the target and build the task knowledge through the reinstatement of prior knowledge while learning the new task.
We conduct extensive experiments on state-of-the-art large language models including Llama3.1-8B and Vicuna-13B across 1000+ instruction-following tasks to demonstrate the effectiveness of our method. The results demonstrate our method improves generalization on both in-domain and out-of-domain unseen tasks.</v>
      </c>
      <c r="D864" s="7" t="str">
        <f>IFERROR(__xludf.DUMMYFUNCTION("""COMPUTED_VALUE"""),"Yukun Zhao")</f>
        <v>Yukun Zhao</v>
      </c>
      <c r="E864" s="7" t="str">
        <f>IFERROR(__xludf.DUMMYFUNCTION("""COMPUTED_VALUE"""),"Yes")</f>
        <v>Yes</v>
      </c>
      <c r="F864" s="7" t="str">
        <f>IFERROR(__xludf.DUMMYFUNCTION("""COMPUTED_VALUE"""),"IP-Poster")</f>
        <v>IP-Poster</v>
      </c>
      <c r="G864" s="7" t="str">
        <f>IFERROR(__xludf.DUMMYFUNCTION("""COMPUTED_VALUE"""),"In-Person")</f>
        <v>In-Person</v>
      </c>
      <c r="H864" s="7" t="str">
        <f>IFERROR(__xludf.DUMMYFUNCTION("""COMPUTED_VALUE"""),"Hall 4/5")</f>
        <v>Hall 4/5</v>
      </c>
      <c r="I864" s="7" t="str">
        <f>IFERROR(__xludf.DUMMYFUNCTION("""COMPUTED_VALUE"""),"Session 5 :IP-Posters Find ")</f>
        <v>Session 5 :IP-Posters Find </v>
      </c>
      <c r="J864" s="7" t="str">
        <f>IFERROR(__xludf.DUMMYFUNCTION("""COMPUTED_VALUE"""),"Findings Posters - In-Person 1")</f>
        <v>Findings Posters - In-Person 1</v>
      </c>
      <c r="K864" s="7"/>
      <c r="L864" s="8">
        <f>IFERROR(__xludf.DUMMYFUNCTION("""COMPUTED_VALUE"""),45866.0)</f>
        <v>45866</v>
      </c>
      <c r="M864" s="7" t="str">
        <f>IFERROR(__xludf.DUMMYFUNCTION("""COMPUTED_VALUE"""),"18:00-19:30")</f>
        <v>18:00-19:30</v>
      </c>
      <c r="N864" s="7"/>
    </row>
    <row r="865">
      <c r="A865" s="7" t="str">
        <f>IFERROR(__xludf.DUMMYFUNCTION("""COMPUTED_VALUE"""),"3016-FIND")</f>
        <v>3016-FIND</v>
      </c>
      <c r="B865" s="7" t="str">
        <f>IFERROR(__xludf.DUMMYFUNCTION("""COMPUTED_VALUE"""),"STARS: A Unified Framework for Singing Transcription, Alignment, and Refined Style Annotation")</f>
        <v>STARS: A Unified Framework for Singing Transcription, Alignment, and Refined Style Annotation</v>
      </c>
      <c r="C865" s="7" t="str">
        <f>IFERROR(__xludf.DUMMYFUNCTION("""COMPUTED_VALUE"""),"Recent breakthroughs in singing voice synthesis (SVS) have heightened the demand for high-quality annotated datasets, yet manual annotation remains prohibitively labor-intensive and resource-intensive. Existing automatic singing annotation (ASA) methods, "&amp;"however, primarily tackle isolated aspects of the annotation pipeline. To address this fundamental challenge, we present STARS, which is, to our knowledge, the first unified framework that simultaneously addresses singing transcription, alignment, and ref"&amp;"ined style annotation. Our framework delivers comprehensive multi-level annotations encompassing: (1) precise phoneme-audio alignment, (2) robust note transcription and temporal localization, (3) expressive vocal technique identification, and (4) global s"&amp;"tylistic characterization including emotion and pace. The proposed architecture employs hierarchical acoustic feature processing across frame, word, phoneme, note, and sentence levels. The novel non-autoregressive local acoustic encoders enable structured"&amp;" hierarchical representation learning. Experimental validation confirms the framework's superior performance across multiple evaluation dimensions compared to existing annotation approaches. Furthermore, applications in SVS training demonstrate that model"&amp;"s utilizing STARS-annotated data achieve significantly enhanced perceptual naturalness and precise style control. This work not only overcomes critical scalability challenges in the creation of singing datasets but also pioneers new methodologies for cont"&amp;"rollable singing voice synthesis.")</f>
        <v>Recent breakthroughs in singing voice synthesis (SVS) have heightened the demand for high-quality annotated datasets, yet manual annotation remains prohibitively labor-intensive and resource-intensive. Existing automatic singing annotation (ASA) methods, however, primarily tackle isolated aspects of the annotation pipeline. To address this fundamental challenge, we present STARS, which is, to our knowledge, the first unified framework that simultaneously addresses singing transcription, alignment, and refined style annotation. Our framework delivers comprehensive multi-level annotations encompassing: (1) precise phoneme-audio alignment, (2) robust note transcription and temporal localization, (3) expressive vocal technique identification, and (4) global stylistic characterization including emotion and pace. The proposed architecture employs hierarchical acoustic feature processing across frame, word, phoneme, note, and sentence levels. The novel non-autoregressive local acoustic encoders enable structured hierarchical representation learning. Experimental validation confirms the framework's superior performance across multiple evaluation dimensions compared to existing annotation approaches. Furthermore, applications in SVS training demonstrate that models utilizing STARS-annotated data achieve significantly enhanced perceptual naturalness and precise style control. This work not only overcomes critical scalability challenges in the creation of singing datasets but also pioneers new methodologies for controllable singing voice synthesis.</v>
      </c>
      <c r="D865" s="7" t="str">
        <f>IFERROR(__xludf.DUMMYFUNCTION("""COMPUTED_VALUE"""),"Wenxiang Guo")</f>
        <v>Wenxiang Guo</v>
      </c>
      <c r="E865" s="7" t="str">
        <f>IFERROR(__xludf.DUMMYFUNCTION("""COMPUTED_VALUE"""),"#N/A")</f>
        <v>#N/A</v>
      </c>
      <c r="F865" s="7" t="str">
        <f>IFERROR(__xludf.DUMMYFUNCTION("""COMPUTED_VALUE"""),"Not Pres. ")</f>
        <v>Not Pres. </v>
      </c>
      <c r="G865" s="7" t="str">
        <f>IFERROR(__xludf.DUMMYFUNCTION("""COMPUTED_VALUE"""),"NP Findings Not Presenting ")</f>
        <v>NP Findings Not Presenting </v>
      </c>
      <c r="H865" s="7"/>
      <c r="I865" s="7" t="str">
        <f>IFERROR(__xludf.DUMMYFUNCTION("""COMPUTED_VALUE"""),"NP-Find")</f>
        <v>NP-Find</v>
      </c>
      <c r="J865" s="7"/>
      <c r="K865" s="7"/>
      <c r="L865" s="8"/>
      <c r="M865" s="7"/>
      <c r="N865" s="7"/>
    </row>
    <row r="866">
      <c r="A866" s="7" t="str">
        <f>IFERROR(__xludf.DUMMYFUNCTION("""COMPUTED_VALUE"""),"3017-FIND")</f>
        <v>3017-FIND</v>
      </c>
      <c r="B866" s="7" t="str">
        <f>IFERROR(__xludf.DUMMYFUNCTION("""COMPUTED_VALUE"""),"Unveiling the Key Factors for Distilling Chain-of-Thought Reasoning")</f>
        <v>Unveiling the Key Factors for Distilling Chain-of-Thought Reasoning</v>
      </c>
      <c r="C866" s="7" t="str">
        <f>IFERROR(__xludf.DUMMYFUNCTION("""COMPUTED_VALUE"""),"Large Language Models (LLMs) excel in reasoning tasks through Chain-of-Thought (CoT) prompting. However, CoT prompting greatly increases computational demands, which has prompted growing interest in distilling CoT capabilities into Small Language Models ("&amp;"SLMs). This study systematically examines the factors influencing CoT distillation, including the choice of granularity, format and teacher model. Through experiments involving four teacher models and seven student models across seven mathematical and com"&amp;"monsense reasoning datasets, we uncover three key findings: (1) Unlike LLMs, SLMs exhibit a *non-monotonic* relationship with granularity, with stronger models benefiting from finer-grained reasoning and weaker models performing better with simpler CoT su"&amp;"pervision; (2) CoT format significantly impacts LLMs but has *minimal* effect on SLMs, likely due to their reliance on supervised fine-tuning rather than pretraining preferences; (3) Stronger teacher models do *NOT* always produce better student models, a"&amp;"s diversity and complexity in CoT supervision can outweigh accuracy alone. These findings emphasize the need to tailor CoT strategies to specific student model, offering actionable insights for optimizing CoT distillation in SLMs.")</f>
        <v>Large Language Models (LLMs) excel in reasoning tasks through Chain-of-Thought (CoT) prompting. However, CoT prompting greatly increases computational demands, which has prompted growing interest in distilling CoT capabilities into Small Language Models (SLMs). This study systematically examines the factors influencing CoT distillation, including the choice of granularity, format and teacher model. Through experiments involving four teacher models and seven student models across seven mathematical and commonsense reasoning datasets, we uncover three key findings: (1) Unlike LLMs, SLMs exhibit a *non-monotonic* relationship with granularity, with stronger models benefiting from finer-grained reasoning and weaker models performing better with simpler CoT supervision; (2) CoT format significantly impacts LLMs but has *minimal* effect on SLMs, likely due to their reliance on supervised fine-tuning rather than pretraining preferences; (3) Stronger teacher models do *NOT* always produce better student models, as diversity and complexity in CoT supervision can outweigh accuracy alone. These findings emphasize the need to tailor CoT strategies to specific student model, offering actionable insights for optimizing CoT distillation in SLMs.</v>
      </c>
      <c r="D866" s="7" t="str">
        <f>IFERROR(__xludf.DUMMYFUNCTION("""COMPUTED_VALUE"""),"Xinghao Chen")</f>
        <v>Xinghao Chen</v>
      </c>
      <c r="E866" s="7" t="str">
        <f>IFERROR(__xludf.DUMMYFUNCTION("""COMPUTED_VALUE"""),"#N/A")</f>
        <v>#N/A</v>
      </c>
      <c r="F866" s="7" t="str">
        <f>IFERROR(__xludf.DUMMYFUNCTION("""COMPUTED_VALUE"""),"Not Pres. ")</f>
        <v>Not Pres. </v>
      </c>
      <c r="G866" s="7" t="str">
        <f>IFERROR(__xludf.DUMMYFUNCTION("""COMPUTED_VALUE"""),"NP Findings Not Presenting ")</f>
        <v>NP Findings Not Presenting </v>
      </c>
      <c r="H866" s="7"/>
      <c r="I866" s="7" t="str">
        <f>IFERROR(__xludf.DUMMYFUNCTION("""COMPUTED_VALUE"""),"NP-Find")</f>
        <v>NP-Find</v>
      </c>
      <c r="J866" s="7"/>
      <c r="K866" s="7"/>
      <c r="L866" s="8"/>
      <c r="M866" s="7"/>
      <c r="N866" s="7"/>
    </row>
    <row r="867">
      <c r="A867" s="7" t="str">
        <f>IFERROR(__xludf.DUMMYFUNCTION("""COMPUTED_VALUE"""),"3022-FIND")</f>
        <v>3022-FIND</v>
      </c>
      <c r="B867" s="7" t="str">
        <f>IFERROR(__xludf.DUMMYFUNCTION("""COMPUTED_VALUE"""),"INT: Establishing Information Transfer for Multilingual Intent Detection and Slot Filling")</f>
        <v>INT: Establishing Information Transfer for Multilingual Intent Detection and Slot Filling</v>
      </c>
      <c r="C867" s="7" t="str">
        <f>IFERROR(__xludf.DUMMYFUNCTION("""COMPUTED_VALUE"""),"Multilingual spoken language understanding (SLU) involves intent detection (ID) and slot filling (SF) across multiple languages. The inherent linguistic diversity presents significant challenges in achieving performance comparable to traditional SLU. Rece"&amp;"nt studies have attempted to improve multilingual SLU performance by sharing multilingual encoders. However, these approaches have not directly established information flow between languages. To address this, we first demonstrate the feasibility of such i"&amp;"nformation transfer and pinpoint the key challenges: prediction error mitigation and multilingual slot alignment. We then propose the INformation Transfer network (INT) to tackle these challenges. The gate unit in INT controls the information flow between"&amp;" languages, reducing the adverse impact of prediction errors on both ID and SF. Additionally, we reformulate SF as a span prediction problem and introduce a slot-matching attention mechanism to achieve slot alignment across languages. Experimental results"&amp;" on the MASSIVE and MASSIVE-UG datasets show that our model outperforms all baselines in overall accuracy across all languages, and demonstrates robust performance when different languages are used as the source.")</f>
        <v>Multilingual spoken language understanding (SLU) involves intent detection (ID) and slot filling (SF) across multiple languages. The inherent linguistic diversity presents significant challenges in achieving performance comparable to traditional SLU. Recent studies have attempted to improve multilingual SLU performance by sharing multilingual encoders. However, these approaches have not directly established information flow between languages. To address this, we first demonstrate the feasibility of such information transfer and pinpoint the key challenges: prediction error mitigation and multilingual slot alignment. We then propose the INformation Transfer network (INT) to tackle these challenges. The gate unit in INT controls the information flow between languages, reducing the adverse impact of prediction errors on both ID and SF. Additionally, we reformulate SF as a span prediction problem and introduce a slot-matching attention mechanism to achieve slot alignment across languages. Experimental results on the MASSIVE and MASSIVE-UG datasets show that our model outperforms all baselines in overall accuracy across all languages, and demonstrates robust performance when different languages are used as the source.</v>
      </c>
      <c r="D867" s="7" t="str">
        <f>IFERROR(__xludf.DUMMYFUNCTION("""COMPUTED_VALUE"""),"Di Wu")</f>
        <v>Di Wu</v>
      </c>
      <c r="E867" s="7" t="str">
        <f>IFERROR(__xludf.DUMMYFUNCTION("""COMPUTED_VALUE"""),"#N/A")</f>
        <v>#N/A</v>
      </c>
      <c r="F867" s="7" t="str">
        <f>IFERROR(__xludf.DUMMYFUNCTION("""COMPUTED_VALUE"""),"Not Pres. ")</f>
        <v>Not Pres. </v>
      </c>
      <c r="G867" s="7" t="str">
        <f>IFERROR(__xludf.DUMMYFUNCTION("""COMPUTED_VALUE"""),"NP Findings Not Presenting ")</f>
        <v>NP Findings Not Presenting </v>
      </c>
      <c r="H867" s="7"/>
      <c r="I867" s="7" t="str">
        <f>IFERROR(__xludf.DUMMYFUNCTION("""COMPUTED_VALUE"""),"NP-Find")</f>
        <v>NP-Find</v>
      </c>
      <c r="J867" s="7"/>
      <c r="K867" s="7"/>
      <c r="L867" s="8"/>
      <c r="M867" s="7"/>
      <c r="N867" s="7"/>
    </row>
    <row r="868">
      <c r="A868" s="7" t="str">
        <f>IFERROR(__xludf.DUMMYFUNCTION("""COMPUTED_VALUE"""),"3023-FIND")</f>
        <v>3023-FIND</v>
      </c>
      <c r="B868" s="7" t="str">
        <f>IFERROR(__xludf.DUMMYFUNCTION("""COMPUTED_VALUE"""),"Enhancing LLM Agent Safety via Causal Influence Prompting")</f>
        <v>Enhancing LLM Agent Safety via Causal Influence Prompting</v>
      </c>
      <c r="C868" s="7" t="str">
        <f>IFERROR(__xludf.DUMMYFUNCTION("""COMPUTED_VALUE"""),"As autonomous agents powered by large language models (LLMs) continue to demonstrate potential across various assistive tasks, ensuring their safe and reliable behavior is crucial for preventing unintended consequences. In this work, we introduce CIP, a n"&amp;"ovel technique that leverages causal influence diagrams (CIDs) to identify and mitigate risks arising from agent decision-making. CIDs provide a structured representation of cause-and-effect relationships, enabling agents to anticipate harmful outcomes an"&amp;"d make safer decisions. Our approach consists of three key steps: (1) initializing a CID based on task specifications to outline the decision-making process, (2) guiding agent interactions with the environment using the CID, and (3) iteratively refining t"&amp;"he CID based on observed behaviors and outcomes. Experimental results demonstrate that our method effectively enhances safety in both code execution and mobile device control tasks.")</f>
        <v>As autonomous agents powered by large language models (LLMs) continue to demonstrate potential across various assistive tasks, ensuring their safe and reliable behavior is crucial for preventing unintended consequences. In this work, we introduce CIP, a novel technique that leverages causal influence diagrams (CIDs) to identify and mitigate risks arising from agent decision-making. CIDs provide a structured representation of cause-and-effect relationships, enabling agents to anticipate harmful outcomes and make safer decisions. Our approach consists of three key steps: (1) initializing a CID based on task specifications to outline the decision-making process, (2) guiding agent interactions with the environment using the CID, and (3) iteratively refining the CID based on observed behaviors and outcomes. Experimental results demonstrate that our method effectively enhances safety in both code execution and mobile device control tasks.</v>
      </c>
      <c r="D868" s="7" t="str">
        <f>IFERROR(__xludf.DUMMYFUNCTION("""COMPUTED_VALUE"""),"Dongyoon Hahm")</f>
        <v>Dongyoon Hahm</v>
      </c>
      <c r="E868" s="7" t="str">
        <f>IFERROR(__xludf.DUMMYFUNCTION("""COMPUTED_VALUE"""),"Yes")</f>
        <v>Yes</v>
      </c>
      <c r="F868" s="7" t="str">
        <f>IFERROR(__xludf.DUMMYFUNCTION("""COMPUTED_VALUE"""),"IP-Poster")</f>
        <v>IP-Poster</v>
      </c>
      <c r="G868" s="7" t="str">
        <f>IFERROR(__xludf.DUMMYFUNCTION("""COMPUTED_VALUE"""),"In-Person")</f>
        <v>In-Person</v>
      </c>
      <c r="H868" s="7" t="str">
        <f>IFERROR(__xludf.DUMMYFUNCTION("""COMPUTED_VALUE"""),"Hall 4/5")</f>
        <v>Hall 4/5</v>
      </c>
      <c r="I868" s="7" t="str">
        <f>IFERROR(__xludf.DUMMYFUNCTION("""COMPUTED_VALUE"""),"Session 10: IP-Posters")</f>
        <v>Session 10: IP-Posters</v>
      </c>
      <c r="J868" s="7" t="str">
        <f>IFERROR(__xludf.DUMMYFUNCTION("""COMPUTED_VALUE"""),"Findings Posters - In-Person 3")</f>
        <v>Findings Posters - In-Person 3</v>
      </c>
      <c r="K868" s="7"/>
      <c r="L868" s="8">
        <f>IFERROR(__xludf.DUMMYFUNCTION("""COMPUTED_VALUE"""),45867.0)</f>
        <v>45867</v>
      </c>
      <c r="M868" s="7" t="str">
        <f>IFERROR(__xludf.DUMMYFUNCTION("""COMPUTED_VALUE"""),"16:00-17:30")</f>
        <v>16:00-17:30</v>
      </c>
      <c r="N868" s="7"/>
    </row>
    <row r="869">
      <c r="A869" s="7" t="str">
        <f>IFERROR(__xludf.DUMMYFUNCTION("""COMPUTED_VALUE"""),"3026-FIND")</f>
        <v>3026-FIND</v>
      </c>
      <c r="B869" s="7" t="str">
        <f>IFERROR(__xludf.DUMMYFUNCTION("""COMPUTED_VALUE"""),"Position Paper: MeMo: Towards Language Models with Associative Memory Mechanisms")</f>
        <v>Position Paper: MeMo: Towards Language Models with Associative Memory Mechanisms</v>
      </c>
      <c r="C869" s="7" t="str">
        <f>IFERROR(__xludf.DUMMYFUNCTION("""COMPUTED_VALUE"""),"Memorization is a fundamental ability of Transformer-based Large Language Models, achieved through learning. In this paper, we propose a paradigm shift by designing an architecture to memorize text directly, bearing in mind the principle that memorization"&amp;" precedes learning. We introduce MeMo, a novel architecture for language modeling that explicitly memorizes sequences of tokens in layered associative memories. By design, MeMo offers transparency and the possibility of model editing, including forgetting"&amp;" texts. We experimented with the MeMo architecture, showing the memorization power of the one-layer and the multi-layer configurations.")</f>
        <v>Memorization is a fundamental ability of Transformer-based Large Language Models, achieved through learning. In this paper, we propose a paradigm shift by designing an architecture to memorize text directly, bearing in mind the principle that memorization precedes learning. We introduce MeMo, a novel architecture for language modeling that explicitly memorizes sequences of tokens in layered associative memories. By design, MeMo offers transparency and the possibility of model editing, including forgetting texts. We experimented with the MeMo architecture, showing the memorization power of the one-layer and the multi-layer configurations.</v>
      </c>
      <c r="D869" s="7" t="str">
        <f>IFERROR(__xludf.DUMMYFUNCTION("""COMPUTED_VALUE"""),"Fabio Massimo Zanzotto")</f>
        <v>Fabio Massimo Zanzotto</v>
      </c>
      <c r="E869" s="7" t="str">
        <f>IFERROR(__xludf.DUMMYFUNCTION("""COMPUTED_VALUE"""),"Yes")</f>
        <v>Yes</v>
      </c>
      <c r="F869" s="7" t="str">
        <f>IFERROR(__xludf.DUMMYFUNCTION("""COMPUTED_VALUE"""),"IP-Poster")</f>
        <v>IP-Poster</v>
      </c>
      <c r="G869" s="7" t="str">
        <f>IFERROR(__xludf.DUMMYFUNCTION("""COMPUTED_VALUE"""),"In-Person")</f>
        <v>In-Person</v>
      </c>
      <c r="H869" s="7" t="str">
        <f>IFERROR(__xludf.DUMMYFUNCTION("""COMPUTED_VALUE"""),"Hall 4/5")</f>
        <v>Hall 4/5</v>
      </c>
      <c r="I869" s="7" t="str">
        <f>IFERROR(__xludf.DUMMYFUNCTION("""COMPUTED_VALUE"""),"Session 5 :IP-Posters Find ")</f>
        <v>Session 5 :IP-Posters Find </v>
      </c>
      <c r="J869" s="7" t="str">
        <f>IFERROR(__xludf.DUMMYFUNCTION("""COMPUTED_VALUE"""),"Findings Posters - In-Person 1")</f>
        <v>Findings Posters - In-Person 1</v>
      </c>
      <c r="K869" s="7"/>
      <c r="L869" s="8">
        <f>IFERROR(__xludf.DUMMYFUNCTION("""COMPUTED_VALUE"""),45866.0)</f>
        <v>45866</v>
      </c>
      <c r="M869" s="7" t="str">
        <f>IFERROR(__xludf.DUMMYFUNCTION("""COMPUTED_VALUE"""),"18:00-19:30")</f>
        <v>18:00-19:30</v>
      </c>
      <c r="N869" s="7"/>
    </row>
    <row r="870">
      <c r="A870" s="7" t="str">
        <f>IFERROR(__xludf.DUMMYFUNCTION("""COMPUTED_VALUE"""),"3027-FIND")</f>
        <v>3027-FIND</v>
      </c>
      <c r="B870" s="7" t="str">
        <f>IFERROR(__xludf.DUMMYFUNCTION("""COMPUTED_VALUE"""),"DeRAGEC: Denoising Named Entity Candidates with Synthetic Rationale for ASR Error Correction")</f>
        <v>DeRAGEC: Denoising Named Entity Candidates with Synthetic Rationale for ASR Error Correction</v>
      </c>
      <c r="C870" s="7" t="str">
        <f>IFERROR(__xludf.DUMMYFUNCTION("""COMPUTED_VALUE"""),"We present DeRAGEC, a method for improving Named Entity (NE) correction in Automatic Speech Recognition (ASR) systems. By extending the Retrieval-Augmented Generative Error Correction (RAGEC) framework, DeRAGEC employs synthetic denoising rationales to fi"&amp;"lter out noisy NE candidates before correction. By leveraging phonetic similarity and augmented definitions, it refines noisy retrieved NEs using in-context learning, requiring no additional training. Experimental results on CommonVoice and STOP datasets "&amp;"show significant improvements in Word Error Rate (WER) and NE hit ratio, outperforming baseline ASR and RAGEC methods. Specifically, we achieved a 28% relative reduction in WER compared to ASR without postprocessing.")</f>
        <v>We present DeRAGEC, a method for improving Named Entity (NE) correction in Automatic Speech Recognition (ASR) systems. By extending the Retrieval-Augmented Generative Error Correction (RAGEC) framework, DeRAGEC employs synthetic denoising rationales to filter out noisy NE candidates before correction. By leveraging phonetic similarity and augmented definitions, it refines noisy retrieved NEs using in-context learning, requiring no additional training. Experimental results on CommonVoice and STOP datasets show significant improvements in Word Error Rate (WER) and NE hit ratio, outperforming baseline ASR and RAGEC methods. Specifically, we achieved a 28% relative reduction in WER compared to ASR without postprocessing.</v>
      </c>
      <c r="D870" s="7" t="str">
        <f>IFERROR(__xludf.DUMMYFUNCTION("""COMPUTED_VALUE"""),"Wonjun Lee")</f>
        <v>Wonjun Lee</v>
      </c>
      <c r="E870" s="7" t="str">
        <f>IFERROR(__xludf.DUMMYFUNCTION("""COMPUTED_VALUE"""),"Yes")</f>
        <v>Yes</v>
      </c>
      <c r="F870" s="7" t="str">
        <f>IFERROR(__xludf.DUMMYFUNCTION("""COMPUTED_VALUE"""),"IP-Poster")</f>
        <v>IP-Poster</v>
      </c>
      <c r="G870" s="7" t="str">
        <f>IFERROR(__xludf.DUMMYFUNCTION("""COMPUTED_VALUE"""),"In-Person")</f>
        <v>In-Person</v>
      </c>
      <c r="H870" s="7" t="str">
        <f>IFERROR(__xludf.DUMMYFUNCTION("""COMPUTED_VALUE"""),"Hall 4/5")</f>
        <v>Hall 4/5</v>
      </c>
      <c r="I870" s="7" t="str">
        <f>IFERROR(__xludf.DUMMYFUNCTION("""COMPUTED_VALUE"""),"Session 5 :IP-Posters Find ")</f>
        <v>Session 5 :IP-Posters Find </v>
      </c>
      <c r="J870" s="7" t="str">
        <f>IFERROR(__xludf.DUMMYFUNCTION("""COMPUTED_VALUE"""),"Findings Posters - In-Person 1")</f>
        <v>Findings Posters - In-Person 1</v>
      </c>
      <c r="K870" s="7"/>
      <c r="L870" s="8">
        <f>IFERROR(__xludf.DUMMYFUNCTION("""COMPUTED_VALUE"""),45866.0)</f>
        <v>45866</v>
      </c>
      <c r="M870" s="7" t="str">
        <f>IFERROR(__xludf.DUMMYFUNCTION("""COMPUTED_VALUE"""),"18:00-19:30")</f>
        <v>18:00-19:30</v>
      </c>
      <c r="N870" s="7"/>
    </row>
    <row r="871">
      <c r="A871" s="7" t="str">
        <f>IFERROR(__xludf.DUMMYFUNCTION("""COMPUTED_VALUE"""),"3036-FIND")</f>
        <v>3036-FIND</v>
      </c>
      <c r="B871" s="7" t="str">
        <f>IFERROR(__xludf.DUMMYFUNCTION("""COMPUTED_VALUE"""),"Rehearse With User: Personalized Opinion Summarization via Role-Playing based on Large Language Models")</f>
        <v>Rehearse With User: Personalized Opinion Summarization via Role-Playing based on Large Language Models</v>
      </c>
      <c r="C871" s="7" t="str">
        <f>IFERROR(__xludf.DUMMYFUNCTION("""COMPUTED_VALUE"""),"Personalized opinion summarization is crucial as it considers individual user interests while generating product summaries. Recent studies show that although large language models demonstrate powerful text summarization and evaluation capabilities without"&amp;" the need for training data, they face difficulties in personalized tasks involving long texts. To address this, Rehearsal, a personalized opinion summarization framework via LLMs-based role-playing, is proposed. Having the model act as the user, the mode"&amp;"l can better understand the user's personalized needs. Additionally, a role-playing supervisor and practice process are introduced to improve the role-playing ability of the LLMs, leading to a better expression of user needs. Furthermore, through suggesti"&amp;"ons from virtual users, the summary generation is intervened, ensuring that the generated summary includes information of interest to the user, thus achieving personalized summary generation.
Experiment results demonstrate that our method can effectively "&amp;"improve the level of personalization in large model-generated summaries.")</f>
        <v>Personalized opinion summarization is crucial as it considers individual user interests while generating product summaries. Recent studies show that although large language models demonstrate powerful text summarization and evaluation capabilities without the need for training data, they face difficulties in personalized tasks involving long texts. To address this, Rehearsal, a personalized opinion summarization framework via LLMs-based role-playing, is proposed. Having the model act as the user, the model can better understand the user's personalized needs. Additionally, a role-playing supervisor and practice process are introduced to improve the role-playing ability of the LLMs, leading to a better expression of user needs. Furthermore, through suggestions from virtual users, the summary generation is intervened, ensuring that the generated summary includes information of interest to the user, thus achieving personalized summary generation.
Experiment results demonstrate that our method can effectively improve the level of personalization in large model-generated summaries.</v>
      </c>
      <c r="D871" s="7" t="str">
        <f>IFERROR(__xludf.DUMMYFUNCTION("""COMPUTED_VALUE"""),"Yanyue Zhang")</f>
        <v>Yanyue Zhang</v>
      </c>
      <c r="E871" s="7" t="str">
        <f>IFERROR(__xludf.DUMMYFUNCTION("""COMPUTED_VALUE"""),"Yes")</f>
        <v>Yes</v>
      </c>
      <c r="F871" s="7" t="str">
        <f>IFERROR(__xludf.DUMMYFUNCTION("""COMPUTED_VALUE"""),"IP-Poster")</f>
        <v>IP-Poster</v>
      </c>
      <c r="G871" s="7" t="str">
        <f>IFERROR(__xludf.DUMMYFUNCTION("""COMPUTED_VALUE"""),"In-Person")</f>
        <v>In-Person</v>
      </c>
      <c r="H871" s="7" t="str">
        <f>IFERROR(__xludf.DUMMYFUNCTION("""COMPUTED_VALUE"""),"Hall 4/5")</f>
        <v>Hall 4/5</v>
      </c>
      <c r="I871" s="7" t="str">
        <f>IFERROR(__xludf.DUMMYFUNCTION("""COMPUTED_VALUE"""),"Session 5 :IP-Posters Find ")</f>
        <v>Session 5 :IP-Posters Find </v>
      </c>
      <c r="J871" s="7" t="str">
        <f>IFERROR(__xludf.DUMMYFUNCTION("""COMPUTED_VALUE"""),"Findings Posters - In-Person 1")</f>
        <v>Findings Posters - In-Person 1</v>
      </c>
      <c r="K871" s="7"/>
      <c r="L871" s="8">
        <f>IFERROR(__xludf.DUMMYFUNCTION("""COMPUTED_VALUE"""),45866.0)</f>
        <v>45866</v>
      </c>
      <c r="M871" s="7" t="str">
        <f>IFERROR(__xludf.DUMMYFUNCTION("""COMPUTED_VALUE"""),"18:00-19:30")</f>
        <v>18:00-19:30</v>
      </c>
      <c r="N871" s="7"/>
    </row>
    <row r="872">
      <c r="A872" s="7" t="str">
        <f>IFERROR(__xludf.DUMMYFUNCTION("""COMPUTED_VALUE"""),"3042-FIND")</f>
        <v>3042-FIND</v>
      </c>
      <c r="B872" s="7" t="str">
        <f>IFERROR(__xludf.DUMMYFUNCTION("""COMPUTED_VALUE"""),"AdParaphrase v2.0: Generating Attractive Ad Texts Using a Preference-Annotated Paraphrase Dataset")</f>
        <v>AdParaphrase v2.0: Generating Attractive Ad Texts Using a Preference-Annotated Paraphrase Dataset</v>
      </c>
      <c r="C872" s="7" t="str">
        <f>IFERROR(__xludf.DUMMYFUNCTION("""COMPUTED_VALUE"""),"Identifying factors that make ad text attractive is essential for advertising success. This study proposes AdParaphrase v2.0, a dataset for ad text paraphrasing, containing human preference data, to enable the analysis of the linguistic factors and to sup"&amp;"port the development of methods for generating attractive ad texts. Compared with v1.0, this dataset is 20 times larger, comprising 16,460 ad text paraphrase pairs, each annotated with preference data from ten evaluators, thereby enabling a more comprehen"&amp;"sive and reliable analysis. Through the experiments, we identified multiple linguistic features of engaging ad texts that were not observed in v1.0 and explored various methods for generating attractive ad texts. Furthermore, our analysis demonstrated the"&amp;" relationships between human preference and ad performance, and highlighted the potential of reference-free metrics based on large language models for evaluating ad text attractiveness.
The dataset is publicly available at: https://github.com/CyberAgentAI"&amp;"Lab/AdParaphrase-v2.0.")</f>
        <v>Identifying factors that make ad text attractive is essential for advertising success. This study proposes AdParaphrase v2.0, a dataset for ad text paraphrasing, containing human preference data, to enable the analysis of the linguistic factors and to support the development of methods for generating attractive ad texts. Compared with v1.0, this dataset is 20 times larger, comprising 16,460 ad text paraphrase pairs, each annotated with preference data from ten evaluators, thereby enabling a more comprehensive and reliable analysis. Through the experiments, we identified multiple linguistic features of engaging ad texts that were not observed in v1.0 and explored various methods for generating attractive ad texts. Furthermore, our analysis demonstrated the relationships between human preference and ad performance, and highlighted the potential of reference-free metrics based on large language models for evaluating ad text attractiveness.
The dataset is publicly available at: https://github.com/CyberAgentAILab/AdParaphrase-v2.0.</v>
      </c>
      <c r="D872" s="7" t="str">
        <f>IFERROR(__xludf.DUMMYFUNCTION("""COMPUTED_VALUE"""),"Soichiro Murakami")</f>
        <v>Soichiro Murakami</v>
      </c>
      <c r="E872" s="7" t="str">
        <f>IFERROR(__xludf.DUMMYFUNCTION("""COMPUTED_VALUE"""),"Yes")</f>
        <v>Yes</v>
      </c>
      <c r="F872" s="7" t="str">
        <f>IFERROR(__xludf.DUMMYFUNCTION("""COMPUTED_VALUE"""),"IP-Poster")</f>
        <v>IP-Poster</v>
      </c>
      <c r="G872" s="7" t="str">
        <f>IFERROR(__xludf.DUMMYFUNCTION("""COMPUTED_VALUE"""),"In-Person")</f>
        <v>In-Person</v>
      </c>
      <c r="H872" s="7" t="str">
        <f>IFERROR(__xludf.DUMMYFUNCTION("""COMPUTED_VALUE"""),"Hall 4/5")</f>
        <v>Hall 4/5</v>
      </c>
      <c r="I872" s="7" t="str">
        <f>IFERROR(__xludf.DUMMYFUNCTION("""COMPUTED_VALUE"""),"Session 7: IP-Posters")</f>
        <v>Session 7: IP-Posters</v>
      </c>
      <c r="J872" s="7" t="str">
        <f>IFERROR(__xludf.DUMMYFUNCTION("""COMPUTED_VALUE"""),"Findings Posters - In-Person 2")</f>
        <v>Findings Posters - In-Person 2</v>
      </c>
      <c r="K872" s="7"/>
      <c r="L872" s="8">
        <f>IFERROR(__xludf.DUMMYFUNCTION("""COMPUTED_VALUE"""),45867.0)</f>
        <v>45867</v>
      </c>
      <c r="M872" s="7" t="str">
        <f>IFERROR(__xludf.DUMMYFUNCTION("""COMPUTED_VALUE"""),"10:30-12:00")</f>
        <v>10:30-12:00</v>
      </c>
      <c r="N872" s="7"/>
    </row>
    <row r="873">
      <c r="A873" s="7" t="str">
        <f>IFERROR(__xludf.DUMMYFUNCTION("""COMPUTED_VALUE"""),"3063-FIND")</f>
        <v>3063-FIND</v>
      </c>
      <c r="B873" s="7" t="str">
        <f>IFERROR(__xludf.DUMMYFUNCTION("""COMPUTED_VALUE"""),"Beyond the Average Reader: the Reader Embedding Approach")</f>
        <v>Beyond the Average Reader: the Reader Embedding Approach</v>
      </c>
      <c r="C873" s="7" t="str">
        <f>IFERROR(__xludf.DUMMYFUNCTION("""COMPUTED_VALUE"""),"Focus of this work is the prediction of reading times as the task is customarily dealt with in literature: that is, by collecting eye-tracking data that are averaged and employed to train learning models. We start by observing that systems trained on aver"&amp;"age values are ill-suited for the prediction of the reading times for specific subjects, as they fail to account for individual variability and accurately analyze the reading gestures of specific reader groups, or to target specific user needs. To overcom"&amp;"e such limitation, that is to predict the reading times for a specific subject, we propose a novel approach based on creating an embedding to compactly describe her/his fixations. Embeddings are used to individuate readers that share same or similar readi"&amp;"ng behavior from a reference corpus. Models are then trained on values averaged over this subset of similar readers. Experimental results indicate that the proposed approach consistently outperforms its corresponding variants, in which predictions of read"&amp;"ing times for specific readers are based on data from all subjects rather than from the most similar ones.")</f>
        <v>Focus of this work is the prediction of reading times as the task is customarily dealt with in literature: that is, by collecting eye-tracking data that are averaged and employed to train learning models. We start by observing that systems trained on average values are ill-suited for the prediction of the reading times for specific subjects, as they fail to account for individual variability and accurately analyze the reading gestures of specific reader groups, or to target specific user needs. To overcome such limitation, that is to predict the reading times for a specific subject, we propose a novel approach based on creating an embedding to compactly describe her/his fixations. Embeddings are used to individuate readers that share same or similar reading behavior from a reference corpus. Models are then trained on values averaged over this subset of similar readers. Experimental results indicate that the proposed approach consistently outperforms its corresponding variants, in which predictions of reading times for specific readers are based on data from all subjects rather than from the most similar ones.</v>
      </c>
      <c r="D873" s="7" t="str">
        <f>IFERROR(__xludf.DUMMYFUNCTION("""COMPUTED_VALUE"""),"Calogero Jerik Scozzaro")</f>
        <v>Calogero Jerik Scozzaro</v>
      </c>
      <c r="E873" s="7" t="str">
        <f>IFERROR(__xludf.DUMMYFUNCTION("""COMPUTED_VALUE"""),"Yes")</f>
        <v>Yes</v>
      </c>
      <c r="F873" s="7" t="str">
        <f>IFERROR(__xludf.DUMMYFUNCTION("""COMPUTED_VALUE"""),"IP-Poster")</f>
        <v>IP-Poster</v>
      </c>
      <c r="G873" s="7" t="str">
        <f>IFERROR(__xludf.DUMMYFUNCTION("""COMPUTED_VALUE"""),"In-Person")</f>
        <v>In-Person</v>
      </c>
      <c r="H873" s="7" t="str">
        <f>IFERROR(__xludf.DUMMYFUNCTION("""COMPUTED_VALUE"""),"Hall 4/5")</f>
        <v>Hall 4/5</v>
      </c>
      <c r="I873" s="7" t="str">
        <f>IFERROR(__xludf.DUMMYFUNCTION("""COMPUTED_VALUE"""),"Session 5 :IP-Posters Find ")</f>
        <v>Session 5 :IP-Posters Find </v>
      </c>
      <c r="J873" s="7" t="str">
        <f>IFERROR(__xludf.DUMMYFUNCTION("""COMPUTED_VALUE"""),"Findings Posters - In-Person 1")</f>
        <v>Findings Posters - In-Person 1</v>
      </c>
      <c r="K873" s="7"/>
      <c r="L873" s="8">
        <f>IFERROR(__xludf.DUMMYFUNCTION("""COMPUTED_VALUE"""),45866.0)</f>
        <v>45866</v>
      </c>
      <c r="M873" s="7" t="str">
        <f>IFERROR(__xludf.DUMMYFUNCTION("""COMPUTED_VALUE"""),"18:00-19:30")</f>
        <v>18:00-19:30</v>
      </c>
      <c r="N873" s="7"/>
    </row>
    <row r="874">
      <c r="A874" s="7" t="str">
        <f>IFERROR(__xludf.DUMMYFUNCTION("""COMPUTED_VALUE"""),"3065-FIND")</f>
        <v>3065-FIND</v>
      </c>
      <c r="B874" s="7" t="str">
        <f>IFERROR(__xludf.DUMMYFUNCTION("""COMPUTED_VALUE"""),"PredictaBoard: Benchmarking LLM Score Predictability")</f>
        <v>PredictaBoard: Benchmarking LLM Score Predictability</v>
      </c>
      <c r="C874" s="7" t="str">
        <f>IFERROR(__xludf.DUMMYFUNCTION("""COMPUTED_VALUE"""),"Despite possessing impressive skills, Large Language Models (LLMs) often fail unpre-dictably, demonstrating inconsistent success in even basic common sense reasoning tasks. This unpredictability poses a significant challenge to ensuring their safe deploym"&amp;"ent, as identifying and operating within a reliable “safe zone” is essential for mitigating risks. To address this, we present PredictaBoard, a novel collabo-rative benchmarking framework designed to evaluate the ability of score predictors (referred to a"&amp;"s assessors) to anticipate LLM errors on specific task instances (i.e., prompts) from existing datasets. PredictaBoard evaluates pairs of LLMs and assessors by considering the rejection rate at different tolerance errors. As such, PredictaBoard stimulates"&amp;" research into developing better assessors and making LLMs more predictable, not only with a higher average performance. We conduct illustrative experiments using baseline assessors and state-of-the-art LLMs. PredictaBoard highlights the critical need to "&amp;"evaluate predictability alongside performance, paving the way for safer AI systems where errors are not only minimised but also anticipated and effectively mitigated. Code for our bench-mark can be found at https://github. com/Kinds-of-Intelligence-CFI/Pr"&amp;"edictaBoard")</f>
        <v>Despite possessing impressive skills, Large Language Models (LLMs) often fail unpre-dictably, demonstrating inconsistent success in even basic common sense reasoning tasks. This unpredictability poses a significant challenge to ensuring their safe deployment, as identifying and operating within a reliable “safe zone” is essential for mitigating risks. To address this, we present PredictaBoard, a novel collabo-rative benchmarking framework designed to evaluate the ability of score predictors (referred to as assessors) to anticipate LLM errors on specific task instances (i.e., prompts) from existing datasets. PredictaBoard evaluates pairs of LLMs and assessors by considering the rejection rate at different tolerance errors. As such, PredictaBoard stimulates research into developing better assessors and making LLMs more predictable, not only with a higher average performance. We conduct illustrative experiments using baseline assessors and state-of-the-art LLMs. PredictaBoard highlights the critical need to evaluate predictability alongside performance, paving the way for safer AI systems where errors are not only minimised but also anticipated and effectively mitigated. Code for our bench-mark can be found at https://github. com/Kinds-of-Intelligence-CFI/PredictaBoard</v>
      </c>
      <c r="D874" s="7" t="str">
        <f>IFERROR(__xludf.DUMMYFUNCTION("""COMPUTED_VALUE"""),"Lorenzo Pacchiardi")</f>
        <v>Lorenzo Pacchiardi</v>
      </c>
      <c r="E874" s="7" t="str">
        <f>IFERROR(__xludf.DUMMYFUNCTION("""COMPUTED_VALUE"""),"Yes")</f>
        <v>Yes</v>
      </c>
      <c r="F874" s="7" t="str">
        <f>IFERROR(__xludf.DUMMYFUNCTION("""COMPUTED_VALUE"""),"IP-Poster")</f>
        <v>IP-Poster</v>
      </c>
      <c r="G874" s="7" t="str">
        <f>IFERROR(__xludf.DUMMYFUNCTION("""COMPUTED_VALUE"""),"In-Person")</f>
        <v>In-Person</v>
      </c>
      <c r="H874" s="7" t="str">
        <f>IFERROR(__xludf.DUMMYFUNCTION("""COMPUTED_VALUE"""),"Hall 4/5")</f>
        <v>Hall 4/5</v>
      </c>
      <c r="I874" s="7" t="str">
        <f>IFERROR(__xludf.DUMMYFUNCTION("""COMPUTED_VALUE"""),"Session 7: IP-Posters")</f>
        <v>Session 7: IP-Posters</v>
      </c>
      <c r="J874" s="7" t="str">
        <f>IFERROR(__xludf.DUMMYFUNCTION("""COMPUTED_VALUE"""),"Findings Posters - In-Person 2")</f>
        <v>Findings Posters - In-Person 2</v>
      </c>
      <c r="K874" s="7"/>
      <c r="L874" s="8">
        <f>IFERROR(__xludf.DUMMYFUNCTION("""COMPUTED_VALUE"""),45867.0)</f>
        <v>45867</v>
      </c>
      <c r="M874" s="7" t="str">
        <f>IFERROR(__xludf.DUMMYFUNCTION("""COMPUTED_VALUE"""),"10:30-12:00")</f>
        <v>10:30-12:00</v>
      </c>
      <c r="N874" s="7"/>
    </row>
    <row r="875">
      <c r="A875" s="7" t="str">
        <f>IFERROR(__xludf.DUMMYFUNCTION("""COMPUTED_VALUE"""),"3067-FIND")</f>
        <v>3067-FIND</v>
      </c>
      <c r="B875" s="7" t="str">
        <f>IFERROR(__xludf.DUMMYFUNCTION("""COMPUTED_VALUE"""),"FedDQC: Data Quality Control in Federated Instruction-tuning of Large Language Models")</f>
        <v>FedDQC: Data Quality Control in Federated Instruction-tuning of Large Language Models</v>
      </c>
      <c r="C875" s="7" t="str">
        <f>IFERROR(__xludf.DUMMYFUNCTION("""COMPUTED_VALUE"""),"Federated Learning (FL) enables privacy-preserving collaborative instruction tuning of large language models (LLMs) by leveraging massively distributed data. However, the decentralized nature of FL exacerbates data quality challenges, as local clients lac"&amp;"k global visibility to filter noisy or low-quality samples before training. To resolve this issue, we propose FedDQC, a novel federated instruction tuning framework with dynamic data quality control. Our approach introduces two key innovations. First, we "&amp;"propose instruction-response alignment (IRA)—an efficient client-side metric for quality evaluation requiring only low-cost inference. We validate that higher-IRA data corresponds to more relevant and easier-to-learn question-answer pairs. Second, mirrori"&amp;"ng the human easy-to-hard knowledge acquisition process, we design a quality-aware hierarchical FL training framework, where the LLM is progressively fine-tuned from high- to low-IRA data in a collaborative manner. The framework also supports adaptive dat"&amp;"a quality assessment at each hierarchy, enabling dynamic adjustments throughout the training process. Extensive experiments on synthetic and real-world datasets show that our method significantly improves LLM performance on mixed-quality data in FL.")</f>
        <v>Federated Learning (FL) enables privacy-preserving collaborative instruction tuning of large language models (LLMs) by leveraging massively distributed data. However, the decentralized nature of FL exacerbates data quality challenges, as local clients lack global visibility to filter noisy or low-quality samples before training. To resolve this issue, we propose FedDQC, a novel federated instruction tuning framework with dynamic data quality control. Our approach introduces two key innovations. First, we propose instruction-response alignment (IRA)—an efficient client-side metric for quality evaluation requiring only low-cost inference. We validate that higher-IRA data corresponds to more relevant and easier-to-learn question-answer pairs. Second, mirroring the human easy-to-hard knowledge acquisition process, we design a quality-aware hierarchical FL training framework, where the LLM is progressively fine-tuned from high- to low-IRA data in a collaborative manner. The framework also supports adaptive data quality assessment at each hierarchy, enabling dynamic adjustments throughout the training process. Extensive experiments on synthetic and real-world datasets show that our method significantly improves LLM performance on mixed-quality data in FL.</v>
      </c>
      <c r="D875" s="7" t="str">
        <f>IFERROR(__xludf.DUMMYFUNCTION("""COMPUTED_VALUE"""),"Yaxin Du")</f>
        <v>Yaxin Du</v>
      </c>
      <c r="E875" s="7" t="str">
        <f>IFERROR(__xludf.DUMMYFUNCTION("""COMPUTED_VALUE"""),"#N/A")</f>
        <v>#N/A</v>
      </c>
      <c r="F875" s="7" t="str">
        <f>IFERROR(__xludf.DUMMYFUNCTION("""COMPUTED_VALUE"""),"Not Pres. ")</f>
        <v>Not Pres. </v>
      </c>
      <c r="G875" s="7" t="str">
        <f>IFERROR(__xludf.DUMMYFUNCTION("""COMPUTED_VALUE"""),"NP Findings Not Presenting ")</f>
        <v>NP Findings Not Presenting </v>
      </c>
      <c r="H875" s="7"/>
      <c r="I875" s="7" t="str">
        <f>IFERROR(__xludf.DUMMYFUNCTION("""COMPUTED_VALUE"""),"NP-Find")</f>
        <v>NP-Find</v>
      </c>
      <c r="J875" s="7"/>
      <c r="K875" s="7"/>
      <c r="L875" s="8"/>
      <c r="M875" s="7"/>
      <c r="N875" s="7"/>
    </row>
    <row r="876">
      <c r="A876" s="7" t="str">
        <f>IFERROR(__xludf.DUMMYFUNCTION("""COMPUTED_VALUE"""),"3069-FIND")</f>
        <v>3069-FIND</v>
      </c>
      <c r="B876" s="7" t="str">
        <f>IFERROR(__xludf.DUMMYFUNCTION("""COMPUTED_VALUE"""),"Weed Out, Then Harvest: Dual Low-Rank Adaptation is an Effective Noisy Label Detector for Noise-Robust Learning")</f>
        <v>Weed Out, Then Harvest: Dual Low-Rank Adaptation is an Effective Noisy Label Detector for Noise-Robust Learning</v>
      </c>
      <c r="C876" s="7" t="str">
        <f>IFERROR(__xludf.DUMMYFUNCTION("""COMPUTED_VALUE"""),"Parameter-efficient fine-tuning (PEFT) large language models (LLMs) have shown impressive performance in various downstream tasks. However, in many real-world scenarios, the collected training data inevitably contains noisy labels. To learn from noisy lab"&amp;"els, most solutions select samples with small losses for model training. However, the selected samples, in turn, impact the loss computation in the next iteration. An inaccurate initial selection can create a vicious cycle, leading to suboptimal performan"&amp;"ce. To break this cycle, we propose Delora, a novel framework that decouples the sample selection from model training. For sample selection, Delora establishes a noisy label detector by introducing clean and noisy LoRA. Benefiting from the memory effect, "&amp;"the clean LoRA is encouraged to memorize clean data, while the noisy LoRA is constrained to memorize mislabeled data, which serves as a learnable threshold for selecting clean and noisy samples. For model training, Delora can use carefully selected sample"&amp;"s to fine-tune language models seamlessly. Experimental results on synthetic and real-world noisy datasets demonstrate the effectiveness of Delora in noisy label detection and text classification.")</f>
        <v>Parameter-efficient fine-tuning (PEFT) large language models (LLMs) have shown impressive performance in various downstream tasks. However, in many real-world scenarios, the collected training data inevitably contains noisy labels. To learn from noisy labels, most solutions select samples with small losses for model training. However, the selected samples, in turn, impact the loss computation in the next iteration. An inaccurate initial selection can create a vicious cycle, leading to suboptimal performance. To break this cycle, we propose Delora, a novel framework that decouples the sample selection from model training. For sample selection, Delora establishes a noisy label detector by introducing clean and noisy LoRA. Benefiting from the memory effect, the clean LoRA is encouraged to memorize clean data, while the noisy LoRA is constrained to memorize mislabeled data, which serves as a learnable threshold for selecting clean and noisy samples. For model training, Delora can use carefully selected samples to fine-tune language models seamlessly. Experimental results on synthetic and real-world noisy datasets demonstrate the effectiveness of Delora in noisy label detection and text classification.</v>
      </c>
      <c r="D876" s="7" t="str">
        <f>IFERROR(__xludf.DUMMYFUNCTION("""COMPUTED_VALUE"""),"Bo Yuan")</f>
        <v>Bo Yuan</v>
      </c>
      <c r="E876" s="7" t="str">
        <f>IFERROR(__xludf.DUMMYFUNCTION("""COMPUTED_VALUE"""),"#N/A")</f>
        <v>#N/A</v>
      </c>
      <c r="F876" s="7" t="str">
        <f>IFERROR(__xludf.DUMMYFUNCTION("""COMPUTED_VALUE"""),"Not Pres. ")</f>
        <v>Not Pres. </v>
      </c>
      <c r="G876" s="7" t="str">
        <f>IFERROR(__xludf.DUMMYFUNCTION("""COMPUTED_VALUE"""),"NP Findings Not Presenting ")</f>
        <v>NP Findings Not Presenting </v>
      </c>
      <c r="H876" s="7"/>
      <c r="I876" s="7" t="str">
        <f>IFERROR(__xludf.DUMMYFUNCTION("""COMPUTED_VALUE"""),"NP-Find")</f>
        <v>NP-Find</v>
      </c>
      <c r="J876" s="7"/>
      <c r="K876" s="7"/>
      <c r="L876" s="8"/>
      <c r="M876" s="7"/>
      <c r="N876" s="7"/>
    </row>
    <row r="877">
      <c r="A877" s="7" t="str">
        <f>IFERROR(__xludf.DUMMYFUNCTION("""COMPUTED_VALUE"""),"3072-FIND")</f>
        <v>3072-FIND</v>
      </c>
      <c r="B877" s="7" t="str">
        <f>IFERROR(__xludf.DUMMYFUNCTION("""COMPUTED_VALUE"""),"“I understand your perspective”: LLM Persuasion through the Lens of Communicative Action Theory")</f>
        <v>“I understand your perspective”: LLM Persuasion through the Lens of Communicative Action Theory</v>
      </c>
      <c r="C877" s="7" t="str">
        <f>IFERROR(__xludf.DUMMYFUNCTION("""COMPUTED_VALUE"""),"Large Language Models (LLMs) can generate high-quality arguments, yet their ability to engage in *nuanced and persuasive communicative actions* remains largely unexplored. This work explores the persuasive potential of LLMs through the framework of Jürgen"&amp;" Habermas’ Theory of Communicative Action. It examines whether LLMs express illocutionary intent (i.e., pragmatic functions of language such as conveying knowledge, building trust, or signaling similarity) in ways that are comparable to human communicatio"&amp;"n.
We simulate online discussions between opinion holders and LLMs using conversations from the persuasive subreddit *ChangeMyView*. We then compare the likelihood of illocutionary intents in human-written and LLM-generated counter-arguments, specificall"&amp;"y those that successfully changed the original poster’s view. We find that all three LLMs effectively convey illocutionary intent — often more so than humans — potentially increasing their anthropomorphism. Further, LLMs craft responses that closely align"&amp;" with the opinion holder’s intent, a strategy strongly associated with opinion change. Finally, crowd-sourced workers find LLM-generated counter-arguments more *agreeable* and consistently prefer them over human-written ones. These findings suggest that L"&amp;"LMs’ persuasive power extends beyond merely generating high-quality arguments. On the contrary, training LLMs with human preferences effectively tunes them to mirror human communication patterns, particularly nuanced communicative actions, potentially inc"&amp;"reasing individuals’ susceptibility to their influence.")</f>
        <v>Large Language Models (LLMs) can generate high-quality arguments, yet their ability to engage in *nuanced and persuasive communicative actions* remains largely unexplored. This work explores the persuasive potential of LLMs through the framework of Jürgen Habermas’ Theory of Communicative Action. It examines whether LLMs express illocutionary intent (i.e., pragmatic functions of language such as conveying knowledge, building trust, or signaling similarity) in ways that are comparable to human communication.
We simulate online discussions between opinion holders and LLMs using conversations from the persuasive subreddit *ChangeMyView*. We then compare the likelihood of illocutionary intents in human-written and LLM-generated counter-arguments, specifically those that successfully changed the original poster’s view. We find that all three LLMs effectively convey illocutionary intent — often more so than humans — potentially increasing their anthropomorphism. Further, LLMs craft responses that closely align with the opinion holder’s intent, a strategy strongly associated with opinion change. Finally, crowd-sourced workers find LLM-generated counter-arguments more *agreeable* and consistently prefer them over human-written ones. These findings suggest that LLMs’ persuasive power extends beyond merely generating high-quality arguments. On the contrary, training LLMs with human preferences effectively tunes them to mirror human communication patterns, particularly nuanced communicative actions, potentially increasing individuals’ susceptibility to their influence.</v>
      </c>
      <c r="D877" s="7" t="str">
        <f>IFERROR(__xludf.DUMMYFUNCTION("""COMPUTED_VALUE"""),"Esra Dönmez")</f>
        <v>Esra Dönmez</v>
      </c>
      <c r="E877" s="7" t="str">
        <f>IFERROR(__xludf.DUMMYFUNCTION("""COMPUTED_VALUE"""),"Yes")</f>
        <v>Yes</v>
      </c>
      <c r="F877" s="7" t="str">
        <f>IFERROR(__xludf.DUMMYFUNCTION("""COMPUTED_VALUE"""),"IP-Poster")</f>
        <v>IP-Poster</v>
      </c>
      <c r="G877" s="7" t="str">
        <f>IFERROR(__xludf.DUMMYFUNCTION("""COMPUTED_VALUE"""),"In-Person")</f>
        <v>In-Person</v>
      </c>
      <c r="H877" s="7" t="str">
        <f>IFERROR(__xludf.DUMMYFUNCTION("""COMPUTED_VALUE"""),"Hall 4/5")</f>
        <v>Hall 4/5</v>
      </c>
      <c r="I877" s="7" t="str">
        <f>IFERROR(__xludf.DUMMYFUNCTION("""COMPUTED_VALUE"""),"Session 5 :IP-Posters Find ")</f>
        <v>Session 5 :IP-Posters Find </v>
      </c>
      <c r="J877" s="7" t="str">
        <f>IFERROR(__xludf.DUMMYFUNCTION("""COMPUTED_VALUE"""),"Findings Posters - In-Person 1")</f>
        <v>Findings Posters - In-Person 1</v>
      </c>
      <c r="K877" s="7"/>
      <c r="L877" s="8">
        <f>IFERROR(__xludf.DUMMYFUNCTION("""COMPUTED_VALUE"""),45866.0)</f>
        <v>45866</v>
      </c>
      <c r="M877" s="7" t="str">
        <f>IFERROR(__xludf.DUMMYFUNCTION("""COMPUTED_VALUE"""),"18:00-19:30")</f>
        <v>18:00-19:30</v>
      </c>
      <c r="N877" s="7"/>
    </row>
    <row r="878">
      <c r="A878" s="7" t="str">
        <f>IFERROR(__xludf.DUMMYFUNCTION("""COMPUTED_VALUE"""),"3077-FIND")</f>
        <v>3077-FIND</v>
      </c>
      <c r="B878" s="7" t="str">
        <f>IFERROR(__xludf.DUMMYFUNCTION("""COMPUTED_VALUE"""),"Nunchi-Bench: Benchmarking Language Models on Cultural Reasoning with a Focus on Korean Superstition")</f>
        <v>Nunchi-Bench: Benchmarking Language Models on Cultural Reasoning with a Focus on Korean Superstition</v>
      </c>
      <c r="C878" s="7" t="str">
        <f>IFERROR(__xludf.DUMMYFUNCTION("""COMPUTED_VALUE"""),"As large language models (LLMs) become key advisors in various domains, their cultural sensitivity and reasoning skills are crucial in multicultural environments. We introduce Nunchi-Bench, a benchmark designed to evaluate LLMs' cultural understanding, wi"&amp;"th a focus on Korean superstitions. The benchmark consists of 247 questions spanning 31 topics, assessing factual knowledge, culturally appropriate advice, and situational interpretation. We evaluate multilingual LLMs in both Korean and English to analyze"&amp;" their ability to reason about Korean cultural contexts and how language variations affect performance. To systematically assess cultural reasoning, we propose a novel verification strategy with customized scoring metrics that capture the extent to which "&amp;"models recognize cultural nuances and respond appropriately. Our findings highlight significant challenges in LLMs' cultural reasoning. While models generally recognize factual information, they struggle to apply it in practical scenarios. Furthermore, ex"&amp;"plicit cultural framing enhances performance more effectively than relying solely on the language of the prompt. To support further research, we publicly release Nunchi-Bench alongside a leaderboard.")</f>
        <v>As large language models (LLMs) become key advisors in various domains, their cultural sensitivity and reasoning skills are crucial in multicultural environments. We introduce Nunchi-Bench, a benchmark designed to evaluate LLMs' cultural understanding, with a focus on Korean superstitions. The benchmark consists of 247 questions spanning 31 topics, assessing factual knowledge, culturally appropriate advice, and situational interpretation. We evaluate multilingual LLMs in both Korean and English to analyze their ability to reason about Korean cultural contexts and how language variations affect performance. To systematically assess cultural reasoning, we propose a novel verification strategy with customized scoring metrics that capture the extent to which models recognize cultural nuances and respond appropriately. Our findings highlight significant challenges in LLMs' cultural reasoning. While models generally recognize factual information, they struggle to apply it in practical scenarios. Furthermore, explicit cultural framing enhances performance more effectively than relying solely on the language of the prompt. To support further research, we publicly release Nunchi-Bench alongside a leaderboard.</v>
      </c>
      <c r="D878" s="7" t="str">
        <f>IFERROR(__xludf.DUMMYFUNCTION("""COMPUTED_VALUE"""),"Kyuhee Kim")</f>
        <v>Kyuhee Kim</v>
      </c>
      <c r="E878" s="7" t="str">
        <f>IFERROR(__xludf.DUMMYFUNCTION("""COMPUTED_VALUE"""),"Yes")</f>
        <v>Yes</v>
      </c>
      <c r="F878" s="7" t="str">
        <f>IFERROR(__xludf.DUMMYFUNCTION("""COMPUTED_VALUE"""),"IP-Poster")</f>
        <v>IP-Poster</v>
      </c>
      <c r="G878" s="7" t="str">
        <f>IFERROR(__xludf.DUMMYFUNCTION("""COMPUTED_VALUE"""),"In-Person")</f>
        <v>In-Person</v>
      </c>
      <c r="H878" s="7" t="str">
        <f>IFERROR(__xludf.DUMMYFUNCTION("""COMPUTED_VALUE"""),"Hall 4/5")</f>
        <v>Hall 4/5</v>
      </c>
      <c r="I878" s="7" t="str">
        <f>IFERROR(__xludf.DUMMYFUNCTION("""COMPUTED_VALUE"""),"Session 5 :IP-Posters Find ")</f>
        <v>Session 5 :IP-Posters Find </v>
      </c>
      <c r="J878" s="7" t="str">
        <f>IFERROR(__xludf.DUMMYFUNCTION("""COMPUTED_VALUE"""),"Findings Posters - In-Person 1")</f>
        <v>Findings Posters - In-Person 1</v>
      </c>
      <c r="K878" s="7"/>
      <c r="L878" s="8">
        <f>IFERROR(__xludf.DUMMYFUNCTION("""COMPUTED_VALUE"""),45866.0)</f>
        <v>45866</v>
      </c>
      <c r="M878" s="7" t="str">
        <f>IFERROR(__xludf.DUMMYFUNCTION("""COMPUTED_VALUE"""),"18:00-19:30")</f>
        <v>18:00-19:30</v>
      </c>
      <c r="N878" s="7"/>
    </row>
    <row r="879">
      <c r="A879" s="7" t="str">
        <f>IFERROR(__xludf.DUMMYFUNCTION("""COMPUTED_VALUE"""),"3081-FIND")</f>
        <v>3081-FIND</v>
      </c>
      <c r="B879" s="7" t="str">
        <f>IFERROR(__xludf.DUMMYFUNCTION("""COMPUTED_VALUE"""),"Let's Be Self-generated via Step by Step: A Curriculum Learning Approach to Automated Reasoning with Large Language Models")</f>
        <v>Let's Be Self-generated via Step by Step: A Curriculum Learning Approach to Automated Reasoning with Large Language Models</v>
      </c>
      <c r="C879" s="7" t="str">
        <f>IFERROR(__xludf.DUMMYFUNCTION("""COMPUTED_VALUE"""),"While Chain of Thought (CoT) prompting approaches have significantly consolidated the reasoning capabilities of large language models (LLMs), they still face limitations that require extensive human effort or have performance needs to be improved. Existin"&amp;"g endeavors have focused on bridging these gaps; however, these approaches either hinge on external data and cannot completely eliminate manual effort, or they fall short in effectively directing LLMs to generate high-quality exemplary prompts. To address"&amp;" the said pitfalls, we propose a novel prompt approach for automatic reasoning named \textbf{LBS3}, inspired by curriculum learning which better reflects human learning habits. Specifically, LBS3 initially steers LLMs to recall easy-to-hard proxy queries "&amp;"that are pertinent to the target query. Following this, it invokes a progressive strategy that utilizes exemplary prompts stemmed from easy-proxy queries to direct LLMs in solving hard-proxy queries, enabling the high-quality of the proxy solutions. Final"&amp;"ly, our extensive experiments in various reasoning-intensive tasks with varying open- and closed-source LLMs show that LBS3 achieves strongly competitive performance compared to the SOTA baselines.")</f>
        <v>While Chain of Thought (CoT) prompting approaches have significantly consolidated the reasoning capabilities of large language models (LLMs), they still face limitations that require extensive human effort or have performance needs to be improved. Existing endeavors have focused on bridging these gaps; however, these approaches either hinge on external data and cannot completely eliminate manual effort, or they fall short in effectively directing LLMs to generate high-quality exemplary prompts. To address the said pitfalls, we propose a novel prompt approach for automatic reasoning named \textbf{LBS3}, inspired by curriculum learning which better reflects human learning habits. Specifically, LBS3 initially steers LLMs to recall easy-to-hard proxy queries that are pertinent to the target query. Following this, it invokes a progressive strategy that utilizes exemplary prompts stemmed from easy-proxy queries to direct LLMs in solving hard-proxy queries, enabling the high-quality of the proxy solutions. Finally, our extensive experiments in various reasoning-intensive tasks with varying open- and closed-source LLMs show that LBS3 achieves strongly competitive performance compared to the SOTA baselines.</v>
      </c>
      <c r="D879" s="7" t="str">
        <f>IFERROR(__xludf.DUMMYFUNCTION("""COMPUTED_VALUE"""),"Kangyang Luo")</f>
        <v>Kangyang Luo</v>
      </c>
      <c r="E879" s="7" t="str">
        <f>IFERROR(__xludf.DUMMYFUNCTION("""COMPUTED_VALUE"""),"#N/A")</f>
        <v>#N/A</v>
      </c>
      <c r="F879" s="7" t="str">
        <f>IFERROR(__xludf.DUMMYFUNCTION("""COMPUTED_VALUE"""),"Not Pres. ")</f>
        <v>Not Pres. </v>
      </c>
      <c r="G879" s="7" t="str">
        <f>IFERROR(__xludf.DUMMYFUNCTION("""COMPUTED_VALUE"""),"NP Findings Not Presenting ")</f>
        <v>NP Findings Not Presenting </v>
      </c>
      <c r="H879" s="7"/>
      <c r="I879" s="7" t="str">
        <f>IFERROR(__xludf.DUMMYFUNCTION("""COMPUTED_VALUE"""),"NP-Find")</f>
        <v>NP-Find</v>
      </c>
      <c r="J879" s="7"/>
      <c r="K879" s="7"/>
      <c r="L879" s="8"/>
      <c r="M879" s="7"/>
      <c r="N879" s="7"/>
    </row>
    <row r="880">
      <c r="A880" s="7" t="str">
        <f>IFERROR(__xludf.DUMMYFUNCTION("""COMPUTED_VALUE"""),"3083-FIND")</f>
        <v>3083-FIND</v>
      </c>
      <c r="B880" s="7" t="str">
        <f>IFERROR(__xludf.DUMMYFUNCTION("""COMPUTED_VALUE"""),"daDPO: Distribution-Aware DPO for Distilling Conversational Abilities")</f>
        <v>daDPO: Distribution-Aware DPO for Distilling Conversational Abilities</v>
      </c>
      <c r="C880" s="7" t="str">
        <f>IFERROR(__xludf.DUMMYFUNCTION("""COMPUTED_VALUE"""),"Large language models (LLMs) have demonstrated exceptional performance across various applications, but their conversational abilities decline sharply as model size decreases, presenting a barrier to their deployment in resource-constrained environments. "&amp;"Knowledge distillation (KD) with Direct Preference Optimization (DPO) has emerged as a promising approach to enhance the conversational abilities of smaller models using a larger teacher model. However, current methods primarily focus on ``black-box'' KD,"&amp;" which only uses the teacher’s responses, overlooking the rich distributional information within the teacher’s probability distribution. This paper addresses this gap by introducing daDPO (Distillation-Aware DPO), a novel framework that integrates the tea"&amp;"cher’s distributional information into DPO distillation while preserving theoretical guarantees. Our framework offers a unified objective that enhances both preference optimization and distribution-based distillation. We provide rigorous theoretical analy"&amp;"sis and empirical validation, showing that daDPO outperforms existing methods in restoring performance for pruned models and enhancing smaller models within the same LLM family. Notably, in in-domain evaluation, our method enables a 20% pruned Vicuna1.5-7"&amp;"B to achieve near-teacher performance (-7.3% preference rate), and allows Qwen2.5-1.5B to occasionally outperform its 7b teacher model (14.0% win rate).")</f>
        <v>Large language models (LLMs) have demonstrated exceptional performance across various applications, but their conversational abilities decline sharply as model size decreases, presenting a barrier to their deployment in resource-constrained environments. Knowledge distillation (KD) with Direct Preference Optimization (DPO) has emerged as a promising approach to enhance the conversational abilities of smaller models using a larger teacher model. However, current methods primarily focus on ``black-box'' KD, which only uses the teacher’s responses, overlooking the rich distributional information within the teacher’s probability distribution. This paper addresses this gap by introducing daDPO (Distillation-Aware DPO), a novel framework that integrates the teacher’s distributional information into DPO distillation while preserving theoretical guarantees. Our framework offers a unified objective that enhances both preference optimization and distribution-based distillation. We provide rigorous theoretical analysis and empirical validation, showing that daDPO outperforms existing methods in restoring performance for pruned models and enhancing smaller models within the same LLM family. Notably, in in-domain evaluation, our method enables a 20% pruned Vicuna1.5-7B to achieve near-teacher performance (-7.3% preference rate), and allows Qwen2.5-1.5B to occasionally outperform its 7b teacher model (14.0% win rate).</v>
      </c>
      <c r="D880" s="7" t="str">
        <f>IFERROR(__xludf.DUMMYFUNCTION("""COMPUTED_VALUE"""),"Fei Tan")</f>
        <v>Fei Tan</v>
      </c>
      <c r="E880" s="7" t="str">
        <f>IFERROR(__xludf.DUMMYFUNCTION("""COMPUTED_VALUE"""),"Yes")</f>
        <v>Yes</v>
      </c>
      <c r="F880" s="7" t="str">
        <f>IFERROR(__xludf.DUMMYFUNCTION("""COMPUTED_VALUE"""),"IP-Poster")</f>
        <v>IP-Poster</v>
      </c>
      <c r="G880" s="7" t="str">
        <f>IFERROR(__xludf.DUMMYFUNCTION("""COMPUTED_VALUE"""),"In-Person")</f>
        <v>In-Person</v>
      </c>
      <c r="H880" s="7" t="str">
        <f>IFERROR(__xludf.DUMMYFUNCTION("""COMPUTED_VALUE"""),"Hall 4/5")</f>
        <v>Hall 4/5</v>
      </c>
      <c r="I880" s="7" t="str">
        <f>IFERROR(__xludf.DUMMYFUNCTION("""COMPUTED_VALUE"""),"Session 10: IP-Posters")</f>
        <v>Session 10: IP-Posters</v>
      </c>
      <c r="J880" s="7" t="str">
        <f>IFERROR(__xludf.DUMMYFUNCTION("""COMPUTED_VALUE"""),"Findings Posters - In-Person 3")</f>
        <v>Findings Posters - In-Person 3</v>
      </c>
      <c r="K880" s="7"/>
      <c r="L880" s="8">
        <f>IFERROR(__xludf.DUMMYFUNCTION("""COMPUTED_VALUE"""),45867.0)</f>
        <v>45867</v>
      </c>
      <c r="M880" s="7" t="str">
        <f>IFERROR(__xludf.DUMMYFUNCTION("""COMPUTED_VALUE"""),"16:00-17:30")</f>
        <v>16:00-17:30</v>
      </c>
      <c r="N880" s="7"/>
    </row>
    <row r="881">
      <c r="A881" s="7" t="str">
        <f>IFERROR(__xludf.DUMMYFUNCTION("""COMPUTED_VALUE"""),"3087-FIND")</f>
        <v>3087-FIND</v>
      </c>
      <c r="B881" s="7" t="str">
        <f>IFERROR(__xludf.DUMMYFUNCTION("""COMPUTED_VALUE"""),"Consultant Decoding: Yet Another Synergistic Mechanism")</f>
        <v>Consultant Decoding: Yet Another Synergistic Mechanism</v>
      </c>
      <c r="C881" s="7" t="str">
        <f>IFERROR(__xludf.DUMMYFUNCTION("""COMPUTED_VALUE"""),"The synergistic mechanism based on Speculative Decoding (SD) has garnered considerable attention as a simple yet effective approach for accelerating the inference of large language models (LLMs). Nonetheless, the high rejection rates require repeated LLMs"&amp;" calls to validate draft tokens, undermining the overall efficiency gain of SD.In this work, we revisit existing verification mechanisms and propose a novel synergetic mechanism Consultant Decoding (CD). CD achieves up to a 2.5-fold increase in inference "&amp;"speed compared to the target model, while maintaining comparable generation quality (~100% of the target model’s performance). Interestingly, this is achieved by combining models whose parameter sizes differ by two orders of magnitude.In addition, CD redu"&amp;"ces the call frequency of the large target model to below 10%, particularly in more demanding tasks.CD’s performance was even found to surpass that of the large target model, which theoretically represents the upper bound for speculative decoding.")</f>
        <v>The synergistic mechanism based on Speculative Decoding (SD) has garnered considerable attention as a simple yet effective approach for accelerating the inference of large language models (LLMs). Nonetheless, the high rejection rates require repeated LLMs calls to validate draft tokens, undermining the overall efficiency gain of SD.In this work, we revisit existing verification mechanisms and propose a novel synergetic mechanism Consultant Decoding (CD). CD achieves up to a 2.5-fold increase in inference speed compared to the target model, while maintaining comparable generation quality (~100% of the target model’s performance). Interestingly, this is achieved by combining models whose parameter sizes differ by two orders of magnitude.In addition, CD reduces the call frequency of the large target model to below 10%, particularly in more demanding tasks.CD’s performance was even found to surpass that of the large target model, which theoretically represents the upper bound for speculative decoding.</v>
      </c>
      <c r="D881" s="7" t="str">
        <f>IFERROR(__xludf.DUMMYFUNCTION("""COMPUTED_VALUE"""),"Chuanghao Ding")</f>
        <v>Chuanghao Ding</v>
      </c>
      <c r="E881" s="7" t="str">
        <f>IFERROR(__xludf.DUMMYFUNCTION("""COMPUTED_VALUE"""),"Yes")</f>
        <v>Yes</v>
      </c>
      <c r="F881" s="7" t="str">
        <f>IFERROR(__xludf.DUMMYFUNCTION("""COMPUTED_VALUE"""),"IP-Poster")</f>
        <v>IP-Poster</v>
      </c>
      <c r="G881" s="7" t="str">
        <f>IFERROR(__xludf.DUMMYFUNCTION("""COMPUTED_VALUE"""),"In-Person")</f>
        <v>In-Person</v>
      </c>
      <c r="H881" s="7" t="str">
        <f>IFERROR(__xludf.DUMMYFUNCTION("""COMPUTED_VALUE"""),"Hall 4/5")</f>
        <v>Hall 4/5</v>
      </c>
      <c r="I881" s="7" t="str">
        <f>IFERROR(__xludf.DUMMYFUNCTION("""COMPUTED_VALUE"""),"Session 5 :IP-Posters Find ")</f>
        <v>Session 5 :IP-Posters Find </v>
      </c>
      <c r="J881" s="7" t="str">
        <f>IFERROR(__xludf.DUMMYFUNCTION("""COMPUTED_VALUE"""),"Findings Posters - In-Person 1")</f>
        <v>Findings Posters - In-Person 1</v>
      </c>
      <c r="K881" s="7"/>
      <c r="L881" s="8">
        <f>IFERROR(__xludf.DUMMYFUNCTION("""COMPUTED_VALUE"""),45866.0)</f>
        <v>45866</v>
      </c>
      <c r="M881" s="7" t="str">
        <f>IFERROR(__xludf.DUMMYFUNCTION("""COMPUTED_VALUE"""),"18:00-19:30")</f>
        <v>18:00-19:30</v>
      </c>
      <c r="N881" s="7"/>
    </row>
    <row r="882">
      <c r="A882" s="7" t="str">
        <f>IFERROR(__xludf.DUMMYFUNCTION("""COMPUTED_VALUE"""),"3088-FIND")</f>
        <v>3088-FIND</v>
      </c>
      <c r="B882" s="7" t="str">
        <f>IFERROR(__xludf.DUMMYFUNCTION("""COMPUTED_VALUE"""),"IntelliCockpitBench: A Comprehensive Benchmark to Evaluate VLMs for Intelligent Cockpit")</f>
        <v>IntelliCockpitBench: A Comprehensive Benchmark to Evaluate VLMs for Intelligent Cockpit</v>
      </c>
      <c r="C882" s="7" t="str">
        <f>IFERROR(__xludf.DUMMYFUNCTION("""COMPUTED_VALUE"""),"The integration of sophisticated Vision-Language Models (VLMs) in vehicular systems is revolutionizing vehicle interaction and safety, performing tasks such as Visual Question Answering (VQA). However, a critical gap persists due to the lack of a comprehe"&amp;"nsive benchmark for multimodal VQA models in vehicular scenarios. To address this, we propose IntelliCockpitBench, a benchmark that encompasses diverse automotive scenarios. It includes images from front, side, and rear cameras, various road types, weathe"&amp;"r conditions, and interior views, integrating data from both moving and stationary states. Notably, all images and queries in the benchmark are verified for high levels of authenticity, ensuring the data accurately reflects real-world conditions. A sophis"&amp;"ticated scoring methodology combining human and model-generated assessments enhances reliability and consistency. Our contributions include a diverse and authentic dataset for automotive VQA and a robust evaluation metric aligning human and machine assess"&amp;"ments. All code and data can be found at \url{https://anonymous.4open.science/r/IntelliCockpitBench-2F2E/}.")</f>
        <v>The integration of sophisticated Vision-Language Models (VLMs) in vehicular systems is revolutionizing vehicle interaction and safety, performing tasks such as Visual Question Answering (VQA). However, a critical gap persists due to the lack of a comprehensive benchmark for multimodal VQA models in vehicular scenarios. To address this, we propose IntelliCockpitBench, a benchmark that encompasses diverse automotive scenarios. It includes images from front, side, and rear cameras, various road types, weather conditions, and interior views, integrating data from both moving and stationary states. Notably, all images and queries in the benchmark are verified for high levels of authenticity, ensuring the data accurately reflects real-world conditions. A sophisticated scoring methodology combining human and model-generated assessments enhances reliability and consistency. Our contributions include a diverse and authentic dataset for automotive VQA and a robust evaluation metric aligning human and machine assessments. All code and data can be found at \url{https://anonymous.4open.science/r/IntelliCockpitBench-2F2E/}.</v>
      </c>
      <c r="D882" s="7" t="str">
        <f>IFERROR(__xludf.DUMMYFUNCTION("""COMPUTED_VALUE"""),"Liang Lin")</f>
        <v>Liang Lin</v>
      </c>
      <c r="E882" s="7" t="str">
        <f>IFERROR(__xludf.DUMMYFUNCTION("""COMPUTED_VALUE"""),"#N/A")</f>
        <v>#N/A</v>
      </c>
      <c r="F882" s="7" t="str">
        <f>IFERROR(__xludf.DUMMYFUNCTION("""COMPUTED_VALUE"""),"Not Pres. ")</f>
        <v>Not Pres. </v>
      </c>
      <c r="G882" s="7" t="str">
        <f>IFERROR(__xludf.DUMMYFUNCTION("""COMPUTED_VALUE"""),"NP Findings Not Presenting ")</f>
        <v>NP Findings Not Presenting </v>
      </c>
      <c r="H882" s="7"/>
      <c r="I882" s="7" t="str">
        <f>IFERROR(__xludf.DUMMYFUNCTION("""COMPUTED_VALUE"""),"NP-Find")</f>
        <v>NP-Find</v>
      </c>
      <c r="J882" s="7"/>
      <c r="K882" s="7"/>
      <c r="L882" s="8"/>
      <c r="M882" s="7"/>
      <c r="N882" s="7"/>
    </row>
    <row r="883">
      <c r="A883" s="7" t="str">
        <f>IFERROR(__xludf.DUMMYFUNCTION("""COMPUTED_VALUE"""),"3089-FIND")</f>
        <v>3089-FIND</v>
      </c>
      <c r="B883" s="7" t="str">
        <f>IFERROR(__xludf.DUMMYFUNCTION("""COMPUTED_VALUE"""),"Analyzing Political Bias in LLMs via Target-Oriented Sentiment Classification")</f>
        <v>Analyzing Political Bias in LLMs via Target-Oriented Sentiment Classification</v>
      </c>
      <c r="C883" s="7" t="str">
        <f>IFERROR(__xludf.DUMMYFUNCTION("""COMPUTED_VALUE"""),"Political biases encoded by LLMs might have detrimental effects on downstream applications. Existing bias analysis methods rely on small-size intermediate tasks (questionnaire answering or political content generation) and rely on the LLMs themselves for "&amp;"analysis, thus propagating bias. We propose a new approach leveraging the observation that LLM sentiment predictions vary with the target entity in the same sentence. We define an entropy-based inconsistency metric to encode this prediction variability. W"&amp;"e insert 1319 demographically and politically diverse politician names in 450 political sentences and predict target-oriented sentiment using seven models in six widely spoken languages. We observe inconsistencies in all tested combinations and aggregate "&amp;"them in a statistically robust analysis at different granularity levels. We observe positive and negative bias toward left and far-right politicians and positive correlations between politicians with similar alignment. Bias intensity is higher for Western"&amp;" languages than for others. Larger models exhibit stronger and more consistent biases and reduce discrepancies between similar languages. We partially mitigate LLM unreliability in target-oriented sentiment classification (TSC) by replacing politician nam"&amp;"es with fictional but plausible counterparts. The complete code, the data, and all analyses will be made public to enable reproducibility.")</f>
        <v>Political biases encoded by LLMs might have detrimental effects on downstream applications. Existing bias analysis methods rely on small-size intermediate tasks (questionnaire answering or political content generation) and rely on the LLMs themselves for analysis, thus propagating bias. We propose a new approach leveraging the observation that LLM sentiment predictions vary with the target entity in the same sentence. We define an entropy-based inconsistency metric to encode this prediction variability. We insert 1319 demographically and politically diverse politician names in 450 political sentences and predict target-oriented sentiment using seven models in six widely spoken languages. We observe inconsistencies in all tested combinations and aggregate them in a statistically robust analysis at different granularity levels. We observe positive and negative bias toward left and far-right politicians and positive correlations between politicians with similar alignment. Bias intensity is higher for Western languages than for others. Larger models exhibit stronger and more consistent biases and reduce discrepancies between similar languages. We partially mitigate LLM unreliability in target-oriented sentiment classification (TSC) by replacing politician names with fictional but plausible counterparts. The complete code, the data, and all analyses will be made public to enable reproducibility.</v>
      </c>
      <c r="D883" s="7" t="str">
        <f>IFERROR(__xludf.DUMMYFUNCTION("""COMPUTED_VALUE"""),"Akram Elbouanani")</f>
        <v>Akram Elbouanani</v>
      </c>
      <c r="E883" s="7" t="str">
        <f>IFERROR(__xludf.DUMMYFUNCTION("""COMPUTED_VALUE"""),"Yes")</f>
        <v>Yes</v>
      </c>
      <c r="F883" s="7" t="str">
        <f>IFERROR(__xludf.DUMMYFUNCTION("""COMPUTED_VALUE"""),"IP-Poster")</f>
        <v>IP-Poster</v>
      </c>
      <c r="G883" s="7" t="str">
        <f>IFERROR(__xludf.DUMMYFUNCTION("""COMPUTED_VALUE"""),"In-Person")</f>
        <v>In-Person</v>
      </c>
      <c r="H883" s="7" t="str">
        <f>IFERROR(__xludf.DUMMYFUNCTION("""COMPUTED_VALUE"""),"Hall 4/5")</f>
        <v>Hall 4/5</v>
      </c>
      <c r="I883" s="7" t="str">
        <f>IFERROR(__xludf.DUMMYFUNCTION("""COMPUTED_VALUE"""),"Session 10: IP-Posters")</f>
        <v>Session 10: IP-Posters</v>
      </c>
      <c r="J883" s="7" t="str">
        <f>IFERROR(__xludf.DUMMYFUNCTION("""COMPUTED_VALUE"""),"Findings Posters - In-Person 3")</f>
        <v>Findings Posters - In-Person 3</v>
      </c>
      <c r="K883" s="7"/>
      <c r="L883" s="8">
        <f>IFERROR(__xludf.DUMMYFUNCTION("""COMPUTED_VALUE"""),45867.0)</f>
        <v>45867</v>
      </c>
      <c r="M883" s="7" t="str">
        <f>IFERROR(__xludf.DUMMYFUNCTION("""COMPUTED_VALUE"""),"16:00-17:30")</f>
        <v>16:00-17:30</v>
      </c>
      <c r="N883" s="7"/>
    </row>
    <row r="884">
      <c r="A884" s="7" t="str">
        <f>IFERROR(__xludf.DUMMYFUNCTION("""COMPUTED_VALUE"""),"3099-FIND")</f>
        <v>3099-FIND</v>
      </c>
      <c r="B884" s="7" t="str">
        <f>IFERROR(__xludf.DUMMYFUNCTION("""COMPUTED_VALUE"""),"PISCO: Pretty Simple Compression for Retrieval-Augmented Generation")</f>
        <v>PISCO: Pretty Simple Compression for Retrieval-Augmented Generation</v>
      </c>
      <c r="C884" s="7" t="str">
        <f>IFERROR(__xludf.DUMMYFUNCTION("""COMPUTED_VALUE"""),"Retrieval-Augmented Generation (RAG) pipelines enhance Large Language Models (LLMs) by retrieving relevant documents, but they face scalability issues due to high inference costs and limited context size. Document compression is a practical solution, but "&amp;"current soft compression methods often suffer from accuracy losses and require extensive pretraining. In this paper, we introduce PISCO, a novel method that achieves a 16x compression rate with minimal accuracy loss (0-3%) across diverse RAG-based questio"&amp;"n-answering (QA) tasks. Unlike existing approaches, PISCO requires no pretraining or annotated data, relying solely on sequence-level knowledge distillation from document-based questions. With the ability to fine-tune a 7-10B LLM in 24 hours on a single A"&amp;"100 GPU, PISCO offers a highly efficient and scalable solution. We present comprehensive experiments showing that PISCO outperforms existing compression models by 8% in accuracy.")</f>
        <v>Retrieval-Augmented Generation (RAG) pipelines enhance Large Language Models (LLMs) by retrieving relevant documents, but they face scalability issues due to high inference costs and limited context size. Document compression is a practical solution, but current soft compression methods often suffer from accuracy losses and require extensive pretraining. In this paper, we introduce PISCO, a novel method that achieves a 16x compression rate with minimal accuracy loss (0-3%) across diverse RAG-based question-answering (QA) tasks. Unlike existing approaches, PISCO requires no pretraining or annotated data, relying solely on sequence-level knowledge distillation from document-based questions. With the ability to fine-tune a 7-10B LLM in 24 hours on a single A100 GPU, PISCO offers a highly efficient and scalable solution. We present comprehensive experiments showing that PISCO outperforms existing compression models by 8% in accuracy.</v>
      </c>
      <c r="D884" s="7" t="str">
        <f>IFERROR(__xludf.DUMMYFUNCTION("""COMPUTED_VALUE"""),"Maxime LOUIS")</f>
        <v>Maxime LOUIS</v>
      </c>
      <c r="E884" s="7" t="str">
        <f>IFERROR(__xludf.DUMMYFUNCTION("""COMPUTED_VALUE"""),"Yes")</f>
        <v>Yes</v>
      </c>
      <c r="F884" s="7" t="str">
        <f>IFERROR(__xludf.DUMMYFUNCTION("""COMPUTED_VALUE"""),"IP-Poster")</f>
        <v>IP-Poster</v>
      </c>
      <c r="G884" s="7" t="str">
        <f>IFERROR(__xludf.DUMMYFUNCTION("""COMPUTED_VALUE"""),"In-Person")</f>
        <v>In-Person</v>
      </c>
      <c r="H884" s="7" t="str">
        <f>IFERROR(__xludf.DUMMYFUNCTION("""COMPUTED_VALUE"""),"Hall 4/5")</f>
        <v>Hall 4/5</v>
      </c>
      <c r="I884" s="7" t="str">
        <f>IFERROR(__xludf.DUMMYFUNCTION("""COMPUTED_VALUE"""),"Session 10: IP-Posters")</f>
        <v>Session 10: IP-Posters</v>
      </c>
      <c r="J884" s="7" t="str">
        <f>IFERROR(__xludf.DUMMYFUNCTION("""COMPUTED_VALUE"""),"Findings Posters - In-Person 3")</f>
        <v>Findings Posters - In-Person 3</v>
      </c>
      <c r="K884" s="7"/>
      <c r="L884" s="8">
        <f>IFERROR(__xludf.DUMMYFUNCTION("""COMPUTED_VALUE"""),45867.0)</f>
        <v>45867</v>
      </c>
      <c r="M884" s="7" t="str">
        <f>IFERROR(__xludf.DUMMYFUNCTION("""COMPUTED_VALUE"""),"16:00-17:30")</f>
        <v>16:00-17:30</v>
      </c>
      <c r="N884" s="7"/>
    </row>
    <row r="885">
      <c r="A885" s="7" t="str">
        <f>IFERROR(__xludf.DUMMYFUNCTION("""COMPUTED_VALUE"""),"3101-FIND")</f>
        <v>3101-FIND</v>
      </c>
      <c r="B885" s="7" t="str">
        <f>IFERROR(__xludf.DUMMYFUNCTION("""COMPUTED_VALUE"""),"AnchorCoT: Anchors Pave the Way for Multi-hop Reasoning")</f>
        <v>AnchorCoT: Anchors Pave the Way for Multi-hop Reasoning</v>
      </c>
      <c r="C885" s="7" t="str">
        <f>IFERROR(__xludf.DUMMYFUNCTION("""COMPUTED_VALUE"""),"Large Language Models (LLMs) have made substantial strides in a broad array of natural language tasks. Recently, LLMs have demonstrated potential reasoning capabilities through prompt design, such as the Chain of Thought (CoT). Despite their superiority i"&amp;"n question answering, LLMs still face challenges in answering questions that require multi-hop reasoning, often generating unreliable reasoning chains during answer generation. To improve LLMs' performance in multi-hop reasoning, we introduce a novel reas"&amp;"oning approach, AnchorCoT, designed to assist LLMs in answering questions involving complex logical reasoning steps. AnchorCoT first predicts key entities which work as important ``anchors'' to guide the reasoning process and then employs a novel ranking "&amp;"algorithm to ensure the logical sequence of the predicted answers.
We implement AnchorCoT on Qwen2.5-7B/14B and GPT-4o and evaluate our method on widely used multi-hop reasoning datasets, including HotpotQA, 2WikiMultiHopQA, and MuSiQue-Ans. The experime"&amp;"ntal results show that AnchorCoT outperforms existing methods in multi-hop question reasoning and provides more accurate reasoning results in multi-hop question answering tasks.")</f>
        <v>Large Language Models (LLMs) have made substantial strides in a broad array of natural language tasks. Recently, LLMs have demonstrated potential reasoning capabilities through prompt design, such as the Chain of Thought (CoT). Despite their superiority in question answering, LLMs still face challenges in answering questions that require multi-hop reasoning, often generating unreliable reasoning chains during answer generation. To improve LLMs' performance in multi-hop reasoning, we introduce a novel reasoning approach, AnchorCoT, designed to assist LLMs in answering questions involving complex logical reasoning steps. AnchorCoT first predicts key entities which work as important ``anchors'' to guide the reasoning process and then employs a novel ranking algorithm to ensure the logical sequence of the predicted answers.
We implement AnchorCoT on Qwen2.5-7B/14B and GPT-4o and evaluate our method on widely used multi-hop reasoning datasets, including HotpotQA, 2WikiMultiHopQA, and MuSiQue-Ans. The experimental results show that AnchorCoT outperforms existing methods in multi-hop question reasoning and provides more accurate reasoning results in multi-hop question answering tasks.</v>
      </c>
      <c r="D885" s="7" t="str">
        <f>IFERROR(__xludf.DUMMYFUNCTION("""COMPUTED_VALUE"""),"Xian Wu")</f>
        <v>Xian Wu</v>
      </c>
      <c r="E885" s="7" t="str">
        <f>IFERROR(__xludf.DUMMYFUNCTION("""COMPUTED_VALUE"""),"Yes")</f>
        <v>Yes</v>
      </c>
      <c r="F885" s="7" t="str">
        <f>IFERROR(__xludf.DUMMYFUNCTION("""COMPUTED_VALUE"""),"Not Pres. ")</f>
        <v>Not Pres. </v>
      </c>
      <c r="G885" s="7" t="str">
        <f>IFERROR(__xludf.DUMMYFUNCTION("""COMPUTED_VALUE"""),"NP Findings Not Presenting ")</f>
        <v>NP Findings Not Presenting </v>
      </c>
      <c r="H885" s="7"/>
      <c r="I885" s="7"/>
      <c r="J885" s="7"/>
      <c r="K885" s="7"/>
      <c r="L885" s="8"/>
      <c r="M885" s="7"/>
      <c r="N885" s="7"/>
    </row>
    <row r="886">
      <c r="A886" s="7" t="str">
        <f>IFERROR(__xludf.DUMMYFUNCTION("""COMPUTED_VALUE"""),"3105-FIND")</f>
        <v>3105-FIND</v>
      </c>
      <c r="B886" s="7" t="str">
        <f>IFERROR(__xludf.DUMMYFUNCTION("""COMPUTED_VALUE"""),"Token Pruning in Multimodal Large Language Models: Are We Solving the Right Problem?")</f>
        <v>Token Pruning in Multimodal Large Language Models: Are We Solving the Right Problem?</v>
      </c>
      <c r="C886" s="7" t="str">
        <f>IFERROR(__xludf.DUMMYFUNCTION("""COMPUTED_VALUE"""),"Multimodal large language models (MLLMs) have shown remarkable performance for cross-modal understanding and generation, yet still suffer from severe inference costs. Recently, abundant works have been proposed to solve this problem with token pruning, wh"&amp;"ich identifies the redundant tokens in MLLMs and then prunes them to reduce the computation and KV storage costs, leading to significant acceleration without training. While these methods claim efficiency gains, critical questions about their fundamental "&amp;"design and evaluation remain unanswered: Why do many existing approaches underperform even compared to naive random token selection? Are attention-based scoring sufficient for reliably identifying redundant tokens? Is language information really helpful d"&amp;"uring token pruning? What makes a good trade-off between token importance and duplication? Are current evaluation protocols comprehensive and unbiased? The ignorance of previous research on these problems hinders the long-term development of token pruning"&amp;". In this paper, we answer these questions one by one, providing insights into the design of future token pruning methods. Codes are available in the supplementary materials.")</f>
        <v>Multimodal large language models (MLLMs) have shown remarkable performance for cross-modal understanding and generation, yet still suffer from severe inference costs. Recently, abundant works have been proposed to solve this problem with token pruning, which identifies the redundant tokens in MLLMs and then prunes them to reduce the computation and KV storage costs, leading to significant acceleration without training. While these methods claim efficiency gains, critical questions about their fundamental design and evaluation remain unanswered: Why do many existing approaches underperform even compared to naive random token selection? Are attention-based scoring sufficient for reliably identifying redundant tokens? Is language information really helpful during token pruning? What makes a good trade-off between token importance and duplication? Are current evaluation protocols comprehensive and unbiased? The ignorance of previous research on these problems hinders the long-term development of token pruning. In this paper, we answer these questions one by one, providing insights into the design of future token pruning methods. Codes are available in the supplementary materials.</v>
      </c>
      <c r="D886" s="7" t="str">
        <f>IFERROR(__xludf.DUMMYFUNCTION("""COMPUTED_VALUE"""),"N/A")</f>
        <v>N/A</v>
      </c>
      <c r="E886" s="7" t="str">
        <f>IFERROR(__xludf.DUMMYFUNCTION("""COMPUTED_VALUE"""),"#N/A")</f>
        <v>#N/A</v>
      </c>
      <c r="F886" s="7" t="str">
        <f>IFERROR(__xludf.DUMMYFUNCTION("""COMPUTED_VALUE"""),"Not Pres. ")</f>
        <v>Not Pres. </v>
      </c>
      <c r="G886" s="7" t="str">
        <f>IFERROR(__xludf.DUMMYFUNCTION("""COMPUTED_VALUE"""),"NP Findings Not Presenting ")</f>
        <v>NP Findings Not Presenting </v>
      </c>
      <c r="H886" s="7"/>
      <c r="I886" s="7" t="str">
        <f>IFERROR(__xludf.DUMMYFUNCTION("""COMPUTED_VALUE"""),"NP-Find")</f>
        <v>NP-Find</v>
      </c>
      <c r="J886" s="7"/>
      <c r="K886" s="7"/>
      <c r="L886" s="8"/>
      <c r="M886" s="7"/>
      <c r="N886" s="7"/>
    </row>
    <row r="887">
      <c r="A887" s="7" t="str">
        <f>IFERROR(__xludf.DUMMYFUNCTION("""COMPUTED_VALUE"""),"3110-FIND")</f>
        <v>3110-FIND</v>
      </c>
      <c r="B887" s="7" t="str">
        <f>IFERROR(__xludf.DUMMYFUNCTION("""COMPUTED_VALUE"""),"Federated Data-Efficient Instruction Tuning for Large Language Models")</f>
        <v>Federated Data-Efficient Instruction Tuning for Large Language Models</v>
      </c>
      <c r="C887" s="7" t="str">
        <f>IFERROR(__xludf.DUMMYFUNCTION("""COMPUTED_VALUE"""),"Instruction tuning is a crucial step in improving the responsiveness of pretrained large language models (LLMs) to human instructions. Federated learning (FL) helps to exploit the use of vast private instruction data from clients, becoming popular for LLM"&amp;" tuning by improving data diversity. Existing federated tuning simply consumes all local data, causing excessive computational overhead and overfitting to local data, while centralized data-efficient solutions are not suitable for FL due to privacy concer"&amp;"ns. This work presents FedHDS, a federated data-efficient instruction tuning approach, which tunes LLMs with a representative subset of edge-side data. It reduces the data redundancy at both intra- and inter-client levels without sharing raw data. Experim"&amp;"ents with various LLMs, datasets and partitions show that FedHDS improves Rouge-L on unseen tasks by an average of 10.72% over the SOTA full-data federated instruction tuning methods, while using less than 1.5% of the data samples, improving training effi"&amp;"ciency by up to tens of times.")</f>
        <v>Instruction tuning is a crucial step in improving the responsiveness of pretrained large language models (LLMs) to human instructions. Federated learning (FL) helps to exploit the use of vast private instruction data from clients, becoming popular for LLM tuning by improving data diversity. Existing federated tuning simply consumes all local data, causing excessive computational overhead and overfitting to local data, while centralized data-efficient solutions are not suitable for FL due to privacy concerns. This work presents FedHDS, a federated data-efficient instruction tuning approach, which tunes LLMs with a representative subset of edge-side data. It reduces the data redundancy at both intra- and inter-client levels without sharing raw data. Experiments with various LLMs, datasets and partitions show that FedHDS improves Rouge-L on unseen tasks by an average of 10.72% over the SOTA full-data federated instruction tuning methods, while using less than 1.5% of the data samples, improving training efficiency by up to tens of times.</v>
      </c>
      <c r="D887" s="7" t="str">
        <f>IFERROR(__xludf.DUMMYFUNCTION("""COMPUTED_VALUE"""),"I do not plan to present (as findings authors)")</f>
        <v>I do not plan to present (as findings authors)</v>
      </c>
      <c r="E887" s="7" t="str">
        <f>IFERROR(__xludf.DUMMYFUNCTION("""COMPUTED_VALUE"""),"#N/A")</f>
        <v>#N/A</v>
      </c>
      <c r="F887" s="7" t="str">
        <f>IFERROR(__xludf.DUMMYFUNCTION("""COMPUTED_VALUE"""),"Not Pres. ")</f>
        <v>Not Pres. </v>
      </c>
      <c r="G887" s="7" t="str">
        <f>IFERROR(__xludf.DUMMYFUNCTION("""COMPUTED_VALUE"""),"NP Findings Not Presenting ")</f>
        <v>NP Findings Not Presenting </v>
      </c>
      <c r="H887" s="7"/>
      <c r="I887" s="7" t="str">
        <f>IFERROR(__xludf.DUMMYFUNCTION("""COMPUTED_VALUE"""),"NP-Find")</f>
        <v>NP-Find</v>
      </c>
      <c r="J887" s="7"/>
      <c r="K887" s="7"/>
      <c r="L887" s="8"/>
      <c r="M887" s="7"/>
      <c r="N887" s="7"/>
    </row>
    <row r="888">
      <c r="A888" s="7" t="str">
        <f>IFERROR(__xludf.DUMMYFUNCTION("""COMPUTED_VALUE"""),"3111-FIND")</f>
        <v>3111-FIND</v>
      </c>
      <c r="B888" s="7" t="str">
        <f>IFERROR(__xludf.DUMMYFUNCTION("""COMPUTED_VALUE"""),"They want to pretend not to understand: The Limits of Current LLMs in Interpreting Implicit Content of Political Discourse")</f>
        <v>They want to pretend not to understand: The Limits of Current LLMs in Interpreting Implicit Content of Political Discourse</v>
      </c>
      <c r="C888" s="7" t="str">
        <f>IFERROR(__xludf.DUMMYFUNCTION("""COMPUTED_VALUE"""),"Implicit content plays a crucial role in political discourse, where systematically employ pragmatic strategies such as implicatures and presuppositions to influence their audiences. Large Language Models (LLMs) have demonstrated strong performance in task"&amp;"s requiring complex semantic and pragmatic understanding, highlighting their potential for detecting and explaining the meaning of implicit content. However, their ability to do this within political discourse remains largely underexplored. Leveraging, fo"&amp;"r the very first time, the large IMPAQTS corpus comprising transcribed Italian political speeches with expert annotations of various types of implicit content, we propose methods to test the effectiveness of LLMs in this challenging problem. Through a mul"&amp;"tiple-choice task and an open-ended generation task, we demonstrate that all tested models struggle to interpret presuppositions and implicatures. To illustrate, the best-performing model provides a fully correct explanation in only one-fourth of cases in"&amp;" the open-ended generation setup. We conclude that current LLMs lack the key pragmatic capabilities necessary for accurately interpreting highly implicit language, such as that found in political discourse. At the same time, we highlight promising trends "&amp;"and future directions for enhancing model performance. We release our data and code at: https://github.com/WalterPaci/IMPAQTS-PID")</f>
        <v>Implicit content plays a crucial role in political discourse, where systematically employ pragmatic strategies such as implicatures and presuppositions to influence their audiences. Large Language Models (LLMs) have demonstrated strong performance in tasks requiring complex semantic and pragmatic understanding, highlighting their potential for detecting and explaining the meaning of implicit content. However, their ability to do this within political discourse remains largely underexplored. Leveraging, for the very first time, the large IMPAQTS corpus comprising transcribed Italian political speeches with expert annotations of various types of implicit content, we propose methods to test the effectiveness of LLMs in this challenging problem. Through a multiple-choice task and an open-ended generation task, we demonstrate that all tested models struggle to interpret presuppositions and implicatures. To illustrate, the best-performing model provides a fully correct explanation in only one-fourth of cases in the open-ended generation setup. We conclude that current LLMs lack the key pragmatic capabilities necessary for accurately interpreting highly implicit language, such as that found in political discourse. At the same time, we highlight promising trends and future directions for enhancing model performance. We release our data and code at: https://github.com/WalterPaci/IMPAQTS-PID</v>
      </c>
      <c r="D888" s="7" t="str">
        <f>IFERROR(__xludf.DUMMYFUNCTION("""COMPUTED_VALUE"""),"Walter Paci")</f>
        <v>Walter Paci</v>
      </c>
      <c r="E888" s="7" t="str">
        <f>IFERROR(__xludf.DUMMYFUNCTION("""COMPUTED_VALUE"""),"Yes")</f>
        <v>Yes</v>
      </c>
      <c r="F888" s="7" t="str">
        <f>IFERROR(__xludf.DUMMYFUNCTION("""COMPUTED_VALUE"""),"IP-Poster")</f>
        <v>IP-Poster</v>
      </c>
      <c r="G888" s="7" t="str">
        <f>IFERROR(__xludf.DUMMYFUNCTION("""COMPUTED_VALUE"""),"In-Person")</f>
        <v>In-Person</v>
      </c>
      <c r="H888" s="7" t="str">
        <f>IFERROR(__xludf.DUMMYFUNCTION("""COMPUTED_VALUE"""),"Hall 4/5")</f>
        <v>Hall 4/5</v>
      </c>
      <c r="I888" s="7" t="str">
        <f>IFERROR(__xludf.DUMMYFUNCTION("""COMPUTED_VALUE"""),"Session 5 :IP-Posters Find ")</f>
        <v>Session 5 :IP-Posters Find </v>
      </c>
      <c r="J888" s="7" t="str">
        <f>IFERROR(__xludf.DUMMYFUNCTION("""COMPUTED_VALUE"""),"Findings Posters - In-Person 1")</f>
        <v>Findings Posters - In-Person 1</v>
      </c>
      <c r="K888" s="7"/>
      <c r="L888" s="8">
        <f>IFERROR(__xludf.DUMMYFUNCTION("""COMPUTED_VALUE"""),45866.0)</f>
        <v>45866</v>
      </c>
      <c r="M888" s="7" t="str">
        <f>IFERROR(__xludf.DUMMYFUNCTION("""COMPUTED_VALUE"""),"18:00-19:30")</f>
        <v>18:00-19:30</v>
      </c>
      <c r="N888" s="7"/>
    </row>
    <row r="889">
      <c r="A889" s="7" t="str">
        <f>IFERROR(__xludf.DUMMYFUNCTION("""COMPUTED_VALUE"""),"3119-FIND")</f>
        <v>3119-FIND</v>
      </c>
      <c r="B889" s="7" t="str">
        <f>IFERROR(__xludf.DUMMYFUNCTION("""COMPUTED_VALUE"""),"ZeroNER: Fueling Zero-Shot Named Entity Recognition via Entity Type Descriptions")</f>
        <v>ZeroNER: Fueling Zero-Shot Named Entity Recognition via Entity Type Descriptions</v>
      </c>
      <c r="C889" s="7" t="str">
        <f>IFERROR(__xludf.DUMMYFUNCTION("""COMPUTED_VALUE"""),"In real-world Named Entity Recognition (NER), annotation scarcity and the challenge of unseen entity types make zero-shot learning essential. While Large Language Models (LLMs) possess vast parametric knowledge, they fall short in cost-effectiveness compa"&amp;"red to specialized encoders. Current zero-shot methods often rely solely on entity type names, overlooking both the critical role of descriptions in resolving definition ambiguities and the issue of type leakage during pretraining. In this work, we introd"&amp;"uce ZeroNER, a description-driven framework that enhances zero-shot NER in low-resource settings. By leveraging entity type descriptions through cross-attention, ZeroNER enables a BERT-based student model to identify any entity type without additional tra"&amp;"ining. Evaluated on three real-world zero-shot benchmarks under a rigorous hard zero-shot setting, ZeroNER consistently outperforms several LLMs by up to 15% in F1 score and surpasses alternative lightweight methods that rely solely on type names. Further"&amp;"more, our findings reveal that many LLMs significantly benefit from using type descriptions, underscoring their potential in zero-shot NER.")</f>
        <v>In real-world Named Entity Recognition (NER), annotation scarcity and the challenge of unseen entity types make zero-shot learning essential. While Large Language Models (LLMs) possess vast parametric knowledge, they fall short in cost-effectiveness compared to specialized encoders. Current zero-shot methods often rely solely on entity type names, overlooking both the critical role of descriptions in resolving definition ambiguities and the issue of type leakage during pretraining. In this work, we introduce ZeroNER, a description-driven framework that enhances zero-shot NER in low-resource settings. By leveraging entity type descriptions through cross-attention, ZeroNER enables a BERT-based student model to identify any entity type without additional training. Evaluated on three real-world zero-shot benchmarks under a rigorous hard zero-shot setting, ZeroNER consistently outperforms several LLMs by up to 15% in F1 score and surpasses alternative lightweight methods that rely solely on type names. Furthermore, our findings reveal that many LLMs significantly benefit from using type descriptions, underscoring their potential in zero-shot NER.</v>
      </c>
      <c r="D889" s="7" t="str">
        <f>IFERROR(__xludf.DUMMYFUNCTION("""COMPUTED_VALUE"""),"Alessio Cocchieri")</f>
        <v>Alessio Cocchieri</v>
      </c>
      <c r="E889" s="7" t="str">
        <f>IFERROR(__xludf.DUMMYFUNCTION("""COMPUTED_VALUE"""),"Yes")</f>
        <v>Yes</v>
      </c>
      <c r="F889" s="7" t="str">
        <f>IFERROR(__xludf.DUMMYFUNCTION("""COMPUTED_VALUE"""),"IP-Poster")</f>
        <v>IP-Poster</v>
      </c>
      <c r="G889" s="7" t="str">
        <f>IFERROR(__xludf.DUMMYFUNCTION("""COMPUTED_VALUE"""),"In-Person")</f>
        <v>In-Person</v>
      </c>
      <c r="H889" s="7" t="str">
        <f>IFERROR(__xludf.DUMMYFUNCTION("""COMPUTED_VALUE"""),"Hall 4/5")</f>
        <v>Hall 4/5</v>
      </c>
      <c r="I889" s="7" t="str">
        <f>IFERROR(__xludf.DUMMYFUNCTION("""COMPUTED_VALUE"""),"Session 5 :IP-Posters Find ")</f>
        <v>Session 5 :IP-Posters Find </v>
      </c>
      <c r="J889" s="7" t="str">
        <f>IFERROR(__xludf.DUMMYFUNCTION("""COMPUTED_VALUE"""),"Findings Posters - In-Person 1")</f>
        <v>Findings Posters - In-Person 1</v>
      </c>
      <c r="K889" s="7"/>
      <c r="L889" s="8">
        <f>IFERROR(__xludf.DUMMYFUNCTION("""COMPUTED_VALUE"""),45866.0)</f>
        <v>45866</v>
      </c>
      <c r="M889" s="7" t="str">
        <f>IFERROR(__xludf.DUMMYFUNCTION("""COMPUTED_VALUE"""),"18:00-19:30")</f>
        <v>18:00-19:30</v>
      </c>
      <c r="N889" s="7"/>
    </row>
    <row r="890">
      <c r="A890" s="7" t="str">
        <f>IFERROR(__xludf.DUMMYFUNCTION("""COMPUTED_VALUE"""),"3123-FIND")</f>
        <v>3123-FIND</v>
      </c>
      <c r="B890" s="7" t="str">
        <f>IFERROR(__xludf.DUMMYFUNCTION("""COMPUTED_VALUE"""),"Do Large Language Models Have “Emotion Neurons”? Investigating the Existence and Role")</f>
        <v>Do Large Language Models Have “Emotion Neurons”? Investigating the Existence and Role</v>
      </c>
      <c r="C890" s="7" t="str">
        <f>IFERROR(__xludf.DUMMYFUNCTION("""COMPUTED_VALUE"""),"This study comprehensively explores whether there actually exist “emotion neurons” within large language models (LLMs) that selectively process and express certain emotions, and what functional role they play. Drawing on the representative emotion theory "&amp;"known as the “BigSix Theory,” we focus on six core emotions. Using synthetic dialogue data labeled with emotions, we identified sets of neurons that exhibit consistent activation patterns for each emotion. As a result, we confirmed that principal neurons "&amp;"handling emotion information do indeed exist within the model, forming distinct groups for each emotion, and that their distribution varies with model size and architectural depth. We then validated the functional significance of these emotion neurons by "&amp;"analyzing whether the prediction accuracy for a specific emotion significantly decreases when those neurons are artificially removed. We observed that in some emotions, the accuracy drops sharply upon neuron removal, while in others, the model’s performan"&amp;"ce largely remains intact or even improves, presumably due to overlapping and complementary mechanisms among neurons. Furthermore, by examining how prediction accuracy changes depending on which layer range and at what proportion the emotion neurons are m"&amp;"asked, we revealed that emotion information is processed in a multilayered and complex manner within the model.")</f>
        <v>This study comprehensively explores whether there actually exist “emotion neurons” within large language models (LLMs) that selectively process and express certain emotions, and what functional role they play. Drawing on the representative emotion theory known as the “BigSix Theory,” we focus on six core emotions. Using synthetic dialogue data labeled with emotions, we identified sets of neurons that exhibit consistent activation patterns for each emotion. As a result, we confirmed that principal neurons handling emotion information do indeed exist within the model, forming distinct groups for each emotion, and that their distribution varies with model size and architectural depth. We then validated the functional significance of these emotion neurons by analyzing whether the prediction accuracy for a specific emotion significantly decreases when those neurons are artificially removed. We observed that in some emotions, the accuracy drops sharply upon neuron removal, while in others, the model’s performance largely remains intact or even improves, presumably due to overlapping and complementary mechanisms among neurons. Furthermore, by examining how prediction accuracy changes depending on which layer range and at what proportion the emotion neurons are masked, we revealed that emotion information is processed in a multilayered and complex manner within the model.</v>
      </c>
      <c r="D890" s="7" t="str">
        <f>IFERROR(__xludf.DUMMYFUNCTION("""COMPUTED_VALUE"""),"Jaewook Lee")</f>
        <v>Jaewook Lee</v>
      </c>
      <c r="E890" s="7" t="str">
        <f>IFERROR(__xludf.DUMMYFUNCTION("""COMPUTED_VALUE"""),"Yes")</f>
        <v>Yes</v>
      </c>
      <c r="F890" s="7" t="str">
        <f>IFERROR(__xludf.DUMMYFUNCTION("""COMPUTED_VALUE"""),"IP-Poster")</f>
        <v>IP-Poster</v>
      </c>
      <c r="G890" s="7" t="str">
        <f>IFERROR(__xludf.DUMMYFUNCTION("""COMPUTED_VALUE"""),"In-Person")</f>
        <v>In-Person</v>
      </c>
      <c r="H890" s="7" t="str">
        <f>IFERROR(__xludf.DUMMYFUNCTION("""COMPUTED_VALUE"""),"Hall 4/5")</f>
        <v>Hall 4/5</v>
      </c>
      <c r="I890" s="7" t="str">
        <f>IFERROR(__xludf.DUMMYFUNCTION("""COMPUTED_VALUE"""),"Session 5 :IP-Posters Find ")</f>
        <v>Session 5 :IP-Posters Find </v>
      </c>
      <c r="J890" s="7" t="str">
        <f>IFERROR(__xludf.DUMMYFUNCTION("""COMPUTED_VALUE"""),"Findings Posters - In-Person 1")</f>
        <v>Findings Posters - In-Person 1</v>
      </c>
      <c r="K890" s="7"/>
      <c r="L890" s="8">
        <f>IFERROR(__xludf.DUMMYFUNCTION("""COMPUTED_VALUE"""),45866.0)</f>
        <v>45866</v>
      </c>
      <c r="M890" s="7" t="str">
        <f>IFERROR(__xludf.DUMMYFUNCTION("""COMPUTED_VALUE"""),"18:00-19:30")</f>
        <v>18:00-19:30</v>
      </c>
      <c r="N890" s="7"/>
    </row>
    <row r="891">
      <c r="A891" s="7" t="str">
        <f>IFERROR(__xludf.DUMMYFUNCTION("""COMPUTED_VALUE"""),"3125-FIND")</f>
        <v>3125-FIND</v>
      </c>
      <c r="B891" s="7" t="str">
        <f>IFERROR(__xludf.DUMMYFUNCTION("""COMPUTED_VALUE"""),"Grammar-Based Code Representation: Is It a Worthy Pursuit for LLMs?")</f>
        <v>Grammar-Based Code Representation: Is It a Worthy Pursuit for LLMs?</v>
      </c>
      <c r="C891" s="7" t="str">
        <f>IFERROR(__xludf.DUMMYFUNCTION("""COMPUTED_VALUE"""),"Grammar serves as a cornerstone in programming languages and software engineering, providing frameworks to define the syntactic space and program structure. Existing research demonstrates the effectiveness of grammar-based code representations in small-sc"&amp;"ale models, showing their ability to reduce syntax errors and enhance performance. However, as language models scale to the billion level or beyond, syntax-level errors become rare, making it unclear whether grammar information still provides performance "&amp;"benefits. To explore this, we develop a series of billion-scale GrammarCoder models, incorporating grammar rules in the code generation process. Experiments on HumanEval (+) and MBPP (+) demonstrate a notable improvement in code generation accuracy. Furth"&amp;"er analysis shows that grammar-based representations enhance LLMs' ability to discern subtle code differences, reducing semantic errors caused by minor variations. These findings suggest that grammar-based code representations remain valuable even in bill"&amp;"ion-scale models, not only by maintaining syntax correctness but also by improving semantic differentiation.")</f>
        <v>Grammar serves as a cornerstone in programming languages and software engineering, providing frameworks to define the syntactic space and program structure. Existing research demonstrates the effectiveness of grammar-based code representations in small-scale models, showing their ability to reduce syntax errors and enhance performance. However, as language models scale to the billion level or beyond, syntax-level errors become rare, making it unclear whether grammar information still provides performance benefits. To explore this, we develop a series of billion-scale GrammarCoder models, incorporating grammar rules in the code generation process. Experiments on HumanEval (+) and MBPP (+) demonstrate a notable improvement in code generation accuracy. Further analysis shows that grammar-based representations enhance LLMs' ability to discern subtle code differences, reducing semantic errors caused by minor variations. These findings suggest that grammar-based code representations remain valuable even in billion-scale models, not only by maintaining syntax correctness but also by improving semantic differentiation.</v>
      </c>
      <c r="D891" s="7" t="str">
        <f>IFERROR(__xludf.DUMMYFUNCTION("""COMPUTED_VALUE"""),"Qingyuan Liang")</f>
        <v>Qingyuan Liang</v>
      </c>
      <c r="E891" s="7" t="str">
        <f>IFERROR(__xludf.DUMMYFUNCTION("""COMPUTED_VALUE"""),"Yes")</f>
        <v>Yes</v>
      </c>
      <c r="F891" s="7" t="str">
        <f>IFERROR(__xludf.DUMMYFUNCTION("""COMPUTED_VALUE"""),"IP-Poster")</f>
        <v>IP-Poster</v>
      </c>
      <c r="G891" s="7" t="str">
        <f>IFERROR(__xludf.DUMMYFUNCTION("""COMPUTED_VALUE"""),"In-Person")</f>
        <v>In-Person</v>
      </c>
      <c r="H891" s="7" t="str">
        <f>IFERROR(__xludf.DUMMYFUNCTION("""COMPUTED_VALUE"""),"Hall 4/5")</f>
        <v>Hall 4/5</v>
      </c>
      <c r="I891" s="7" t="str">
        <f>IFERROR(__xludf.DUMMYFUNCTION("""COMPUTED_VALUE"""),"Session 7: IP-Posters")</f>
        <v>Session 7: IP-Posters</v>
      </c>
      <c r="J891" s="7" t="str">
        <f>IFERROR(__xludf.DUMMYFUNCTION("""COMPUTED_VALUE"""),"Findings Posters - In-Person 2")</f>
        <v>Findings Posters - In-Person 2</v>
      </c>
      <c r="K891" s="7"/>
      <c r="L891" s="8">
        <f>IFERROR(__xludf.DUMMYFUNCTION("""COMPUTED_VALUE"""),45867.0)</f>
        <v>45867</v>
      </c>
      <c r="M891" s="7" t="str">
        <f>IFERROR(__xludf.DUMMYFUNCTION("""COMPUTED_VALUE"""),"10:30-12:00")</f>
        <v>10:30-12:00</v>
      </c>
      <c r="N891" s="7"/>
    </row>
    <row r="892">
      <c r="A892" s="7" t="str">
        <f>IFERROR(__xludf.DUMMYFUNCTION("""COMPUTED_VALUE"""),"3134-FIND")</f>
        <v>3134-FIND</v>
      </c>
      <c r="B892" s="7" t="str">
        <f>IFERROR(__xludf.DUMMYFUNCTION("""COMPUTED_VALUE"""),"Investigating Inference-time Scaling for Chain of Multi-modal Thought: A Preliminary Study")</f>
        <v>Investigating Inference-time Scaling for Chain of Multi-modal Thought: A Preliminary Study</v>
      </c>
      <c r="C892" s="7" t="str">
        <f>IFERROR(__xludf.DUMMYFUNCTION("""COMPUTED_VALUE"""),"Recently, inference-time scaling of chain-of-thought (CoT) has been demonstrated as a promising approach for addressing multi-modal reasoning tasks.
While existing studies have predominantly centered on text-based thinking, the integration of both visual "&amp;"and textual modalities within the reasoning process remains unexplored.
In this study, we pioneer the exploration of inference-time scaling with multi-modal thought, aiming to bridge this gap.
To provide a comprehensive analysis, we systematically investi"&amp;"gate popular sampling-based and tree search-based inference-time scaling methods on 10 challenging tasks spanning various domains.
Besides, we uniformly adopt a consistency-enhanced verifier to ensure effective guidance for both methods across different t"&amp;"hought paradigms.
Results show that multi-modal thought promotes better performance against conventional text-only thought, and blending the two types of thought fosters more diverse thinking.
Despite these advantages, multi-modal thoughts necessitate hig"&amp;"her token consumption for processing richer visual inputs, which raises concerns in practical applications.
We hope that our findings on the merits and drawbacks of this research line will inspire future works in the field. The code will be released upon "&amp;"acceptance.")</f>
        <v>Recently, inference-time scaling of chain-of-thought (CoT) has been demonstrated as a promising approach for addressing multi-modal reasoning tasks.
While existing studies have predominantly centered on text-based thinking, the integration of both visual and textual modalities within the reasoning process remains unexplored.
In this study, we pioneer the exploration of inference-time scaling with multi-modal thought, aiming to bridge this gap.
To provide a comprehensive analysis, we systematically investigate popular sampling-based and tree search-based inference-time scaling methods on 10 challenging tasks spanning various domains.
Besides, we uniformly adopt a consistency-enhanced verifier to ensure effective guidance for both methods across different thought paradigms.
Results show that multi-modal thought promotes better performance against conventional text-only thought, and blending the two types of thought fosters more diverse thinking.
Despite these advantages, multi-modal thoughts necessitate higher token consumption for processing richer visual inputs, which raises concerns in practical applications.
We hope that our findings on the merits and drawbacks of this research line will inspire future works in the field. The code will be released upon acceptance.</v>
      </c>
      <c r="D892" s="7" t="str">
        <f>IFERROR(__xludf.DUMMYFUNCTION("""COMPUTED_VALUE"""),"Yujie Lin")</f>
        <v>Yujie Lin</v>
      </c>
      <c r="E892" s="7" t="str">
        <f>IFERROR(__xludf.DUMMYFUNCTION("""COMPUTED_VALUE"""),"#N/A")</f>
        <v>#N/A</v>
      </c>
      <c r="F892" s="7" t="str">
        <f>IFERROR(__xludf.DUMMYFUNCTION("""COMPUTED_VALUE"""),"Not Pres. ")</f>
        <v>Not Pres. </v>
      </c>
      <c r="G892" s="7" t="str">
        <f>IFERROR(__xludf.DUMMYFUNCTION("""COMPUTED_VALUE"""),"NP Findings Not Presenting ")</f>
        <v>NP Findings Not Presenting </v>
      </c>
      <c r="H892" s="7"/>
      <c r="I892" s="7" t="str">
        <f>IFERROR(__xludf.DUMMYFUNCTION("""COMPUTED_VALUE"""),"NP-Find")</f>
        <v>NP-Find</v>
      </c>
      <c r="J892" s="7"/>
      <c r="K892" s="7"/>
      <c r="L892" s="8"/>
      <c r="M892" s="7"/>
      <c r="N892" s="7"/>
    </row>
    <row r="893">
      <c r="A893" s="7" t="str">
        <f>IFERROR(__xludf.DUMMYFUNCTION("""COMPUTED_VALUE"""),"3139-FIND")</f>
        <v>3139-FIND</v>
      </c>
      <c r="B893" s="7" t="str">
        <f>IFERROR(__xludf.DUMMYFUNCTION("""COMPUTED_VALUE"""),"UI-E2I-Synth: Advancing GUI Grounding with Large-Scale Instruction Synthesis")</f>
        <v>UI-E2I-Synth: Advancing GUI Grounding with Large-Scale Instruction Synthesis</v>
      </c>
      <c r="C893" s="7" t="str">
        <f>IFERROR(__xludf.DUMMYFUNCTION("""COMPUTED_VALUE"""),"Recent advancements in Large Vision-Language Models are accelerating the development of Graphical User Interface (GUI) agents that utilize human-like vision perception capabilities to enhance productivity on digital devices. Compared to approaches predica"&amp;"ted on GUI metadata, which are platform-dependent and vulnerable to implementation variations, vision-based approaches offer broader applicability.In this vision-based paradigm, the GUI instruction grounding, which maps user instruction to the location of"&amp;" corresponding element on the given screenshot, remains a critical challenge, particularly due to limited public training dataset and resource-intensive manual instruction data annotation.In this paper, we delve into unexplored challenges in this task inc"&amp;"luding element-to-screen ratio, unbalanced element type, and implicit instruction. To address these challenges, we introduce a large-scale data synthesis pipeline UI-E2I-Synth for generating varying complex instruction datasets using GPT-4o instead of hum"&amp;"an annotators. Furthermore, we propose a new GUI instruction grounding benchmark UI-I2E-Bench, which is designed to address the limitations of existing benchmarks by incorporating diverse annotation aspects.Our model, trained on the synthesized data, achi"&amp;"eves superior performance in GUI instruction grounding, demonstrating the advancements of proposed data synthesis pipeline.The proposed benchmark, accompanied by extensive analyses, provides practical insights for future research in this domain. We will r"&amp;"elease our dataset and benchmark to facilitate further development of GUI instruction grounding community.")</f>
        <v>Recent advancements in Large Vision-Language Models are accelerating the development of Graphical User Interface (GUI) agents that utilize human-like vision perception capabilities to enhance productivity on digital devices. Compared to approaches predicated on GUI metadata, which are platform-dependent and vulnerable to implementation variations, vision-based approaches offer broader applicability.In this vision-based paradigm, the GUI instruction grounding, which maps user instruction to the location of corresponding element on the given screenshot, remains a critical challenge, particularly due to limited public training dataset and resource-intensive manual instruction data annotation.In this paper, we delve into unexplored challenges in this task including element-to-screen ratio, unbalanced element type, and implicit instruction. To address these challenges, we introduce a large-scale data synthesis pipeline UI-E2I-Synth for generating varying complex instruction datasets using GPT-4o instead of human annotators. Furthermore, we propose a new GUI instruction grounding benchmark UI-I2E-Bench, which is designed to address the limitations of existing benchmarks by incorporating diverse annotation aspects.Our model, trained on the synthesized data, achieves superior performance in GUI instruction grounding, demonstrating the advancements of proposed data synthesis pipeline.The proposed benchmark, accompanied by extensive analyses, provides practical insights for future research in this domain. We will release our dataset and benchmark to facilitate further development of GUI instruction grounding community.</v>
      </c>
      <c r="D893" s="7" t="str">
        <f>IFERROR(__xludf.DUMMYFUNCTION("""COMPUTED_VALUE"""),"Xiaoyi Zhang")</f>
        <v>Xiaoyi Zhang</v>
      </c>
      <c r="E893" s="7" t="str">
        <f>IFERROR(__xludf.DUMMYFUNCTION("""COMPUTED_VALUE"""),"#N/A")</f>
        <v>#N/A</v>
      </c>
      <c r="F893" s="7" t="str">
        <f>IFERROR(__xludf.DUMMYFUNCTION("""COMPUTED_VALUE"""),"Not Pres. ")</f>
        <v>Not Pres. </v>
      </c>
      <c r="G893" s="7" t="str">
        <f>IFERROR(__xludf.DUMMYFUNCTION("""COMPUTED_VALUE"""),"NP Findings Not Presenting ")</f>
        <v>NP Findings Not Presenting </v>
      </c>
      <c r="H893" s="7"/>
      <c r="I893" s="7" t="str">
        <f>IFERROR(__xludf.DUMMYFUNCTION("""COMPUTED_VALUE"""),"NP-Find")</f>
        <v>NP-Find</v>
      </c>
      <c r="J893" s="7"/>
      <c r="K893" s="7"/>
      <c r="L893" s="8"/>
      <c r="M893" s="7"/>
      <c r="N893" s="7"/>
    </row>
    <row r="894">
      <c r="A894" s="7" t="str">
        <f>IFERROR(__xludf.DUMMYFUNCTION("""COMPUTED_VALUE"""),"3140-FIND")</f>
        <v>3140-FIND</v>
      </c>
      <c r="B894" s="7" t="str">
        <f>IFERROR(__xludf.DUMMYFUNCTION("""COMPUTED_VALUE"""),"A Study into Investigating Temporal Robustness of LLMs")</f>
        <v>A Study into Investigating Temporal Robustness of LLMs</v>
      </c>
      <c r="C894" s="7" t="str">
        <f>IFERROR(__xludf.DUMMYFUNCTION("""COMPUTED_VALUE"""),"Large Language Models (LLMs) encapsulate a surprising amount of factual world knowledge. 
However, their performance on temporal questions and historical knowledge is limited because they often cannot understand temporal scope and orientation or neglect t"&amp;"he temporal aspect altogether.
In this study, we aim to measure precisely how robust LLMs are for question answering based on their ability to process temporal information and perform tasks requiring temporal reasoning and temporal factual knowledge. 
Spe"&amp;"cifically, we design eight time-sensitive
robustness tests for factual information to check the sensitivity of six popular LLMs in the zero-shot setting.
Overall, we find LLMs lacking temporal robustness, especially to temporal reformulations and the use "&amp;"of different granularities of temporal references. 
We show how a selection of these eight tests can be used automatically to judge a model’s temporal robustness for user questions on the fly. Finally, we apply the findings of this study to improve the te"&amp;"mporal QA performance by up to 55\%.")</f>
        <v>Large Language Models (LLMs) encapsulate a surprising amount of factual world knowledge. 
However, their performance on temporal questions and historical knowledge is limited because they often cannot understand temporal scope and orientation or neglect the temporal aspect altogether.
In this study, we aim to measure precisely how robust LLMs are for question answering based on their ability to process temporal information and perform tasks requiring temporal reasoning and temporal factual knowledge. 
Specifically, we design eight time-sensitive
robustness tests for factual information to check the sensitivity of six popular LLMs in the zero-shot setting.
Overall, we find LLMs lacking temporal robustness, especially to temporal reformulations and the use of different granularities of temporal references. 
We show how a selection of these eight tests can be used automatically to judge a model’s temporal robustness for user questions on the fly. Finally, we apply the findings of this study to improve the temporal QA performance by up to 55\%.</v>
      </c>
      <c r="D894" s="7" t="str">
        <f>IFERROR(__xludf.DUMMYFUNCTION("""COMPUTED_VALUE"""),"Jonas Wallat")</f>
        <v>Jonas Wallat</v>
      </c>
      <c r="E894" s="7" t="str">
        <f>IFERROR(__xludf.DUMMYFUNCTION("""COMPUTED_VALUE"""),"Yes")</f>
        <v>Yes</v>
      </c>
      <c r="F894" s="7" t="str">
        <f>IFERROR(__xludf.DUMMYFUNCTION("""COMPUTED_VALUE"""),"IP-Poster")</f>
        <v>IP-Poster</v>
      </c>
      <c r="G894" s="7" t="str">
        <f>IFERROR(__xludf.DUMMYFUNCTION("""COMPUTED_VALUE"""),"In-Person")</f>
        <v>In-Person</v>
      </c>
      <c r="H894" s="7" t="str">
        <f>IFERROR(__xludf.DUMMYFUNCTION("""COMPUTED_VALUE"""),"Hall 4/5")</f>
        <v>Hall 4/5</v>
      </c>
      <c r="I894" s="7" t="str">
        <f>IFERROR(__xludf.DUMMYFUNCTION("""COMPUTED_VALUE"""),"Session 7: IP-Posters")</f>
        <v>Session 7: IP-Posters</v>
      </c>
      <c r="J894" s="7" t="str">
        <f>IFERROR(__xludf.DUMMYFUNCTION("""COMPUTED_VALUE"""),"Findings Posters - In-Person 2")</f>
        <v>Findings Posters - In-Person 2</v>
      </c>
      <c r="K894" s="7"/>
      <c r="L894" s="8">
        <f>IFERROR(__xludf.DUMMYFUNCTION("""COMPUTED_VALUE"""),45867.0)</f>
        <v>45867</v>
      </c>
      <c r="M894" s="7" t="str">
        <f>IFERROR(__xludf.DUMMYFUNCTION("""COMPUTED_VALUE"""),"10:30-12:00")</f>
        <v>10:30-12:00</v>
      </c>
      <c r="N894" s="7"/>
    </row>
    <row r="895">
      <c r="A895" s="7" t="str">
        <f>IFERROR(__xludf.DUMMYFUNCTION("""COMPUTED_VALUE"""),"3143-FIND")</f>
        <v>3143-FIND</v>
      </c>
      <c r="B895" s="7" t="str">
        <f>IFERROR(__xludf.DUMMYFUNCTION("""COMPUTED_VALUE"""),"ToolExpNet: Optimizing Multi-Tool Selection in LLMs with Similarity and Dependency-Aware Experience Networks")</f>
        <v>ToolExpNet: Optimizing Multi-Tool Selection in LLMs with Similarity and Dependency-Aware Experience Networks</v>
      </c>
      <c r="C895" s="7" t="str">
        <f>IFERROR(__xludf.DUMMYFUNCTION("""COMPUTED_VALUE"""),"Tool learning enhances Large Language Models' (LLMs) dynamic interaction with external tools, improving their ability to solve complex problems. However, current empirical methods, which primarily focus on isolated tools learning, still struggle with accu"&amp;"rate multi-tool selection due to issues like confusing similar tools and neglecting dependencies. To address these challenges, we propose the Tool Experience Network (ToolExpNet), which integrates tools and trial-and-error experiences into a network chara"&amp;"cterized by semantic similarity and dependency relationships. ToolExpNet iteratively conducts simulated experiments using adaptive sampling to explore subtle differences and connections between tools, and summarizes these experiences to provide insightful"&amp;" guidance for LLM tool selection. Our experiments demonstrate that learning the relationships between tools helps achieve more comprehensive tool learning. Evaluations on multiple real-world API datasets show that ToolExpNet effectively addresses common c"&amp;"hallenges in multi-tool selection, significantly outperforming existing baselines across different foundation LLMs.")</f>
        <v>Tool learning enhances Large Language Models' (LLMs) dynamic interaction with external tools, improving their ability to solve complex problems. However, current empirical methods, which primarily focus on isolated tools learning, still struggle with accurate multi-tool selection due to issues like confusing similar tools and neglecting dependencies. To address these challenges, we propose the Tool Experience Network (ToolExpNet), which integrates tools and trial-and-error experiences into a network characterized by semantic similarity and dependency relationships. ToolExpNet iteratively conducts simulated experiments using adaptive sampling to explore subtle differences and connections between tools, and summarizes these experiences to provide insightful guidance for LLM tool selection. Our experiments demonstrate that learning the relationships between tools helps achieve more comprehensive tool learning. Evaluations on multiple real-world API datasets show that ToolExpNet effectively addresses common challenges in multi-tool selection, significantly outperforming existing baselines across different foundation LLMs.</v>
      </c>
      <c r="D895" s="7" t="str">
        <f>IFERROR(__xludf.DUMMYFUNCTION("""COMPUTED_VALUE"""),"Zijing Zhang")</f>
        <v>Zijing Zhang</v>
      </c>
      <c r="E895" s="7" t="str">
        <f>IFERROR(__xludf.DUMMYFUNCTION("""COMPUTED_VALUE"""),"#N/A")</f>
        <v>#N/A</v>
      </c>
      <c r="F895" s="7" t="str">
        <f>IFERROR(__xludf.DUMMYFUNCTION("""COMPUTED_VALUE"""),"Not Pres. ")</f>
        <v>Not Pres. </v>
      </c>
      <c r="G895" s="7" t="str">
        <f>IFERROR(__xludf.DUMMYFUNCTION("""COMPUTED_VALUE"""),"NP Findings Not Presenting ")</f>
        <v>NP Findings Not Presenting </v>
      </c>
      <c r="H895" s="7"/>
      <c r="I895" s="7" t="str">
        <f>IFERROR(__xludf.DUMMYFUNCTION("""COMPUTED_VALUE"""),"NP-Find")</f>
        <v>NP-Find</v>
      </c>
      <c r="J895" s="7"/>
      <c r="K895" s="7"/>
      <c r="L895" s="8"/>
      <c r="M895" s="7"/>
      <c r="N895" s="7"/>
    </row>
    <row r="896">
      <c r="A896" s="7" t="str">
        <f>IFERROR(__xludf.DUMMYFUNCTION("""COMPUTED_VALUE"""),"3153-FIND")</f>
        <v>3153-FIND</v>
      </c>
      <c r="B896" s="7" t="str">
        <f>IFERROR(__xludf.DUMMYFUNCTION("""COMPUTED_VALUE"""),"SPILL: Zero-shot Intent Clustering based on Selection and Pooling with Large Language Models")</f>
        <v>SPILL: Zero-shot Intent Clustering based on Selection and Pooling with Large Language Models</v>
      </c>
      <c r="C896" s="7" t="str">
        <f>IFERROR(__xludf.DUMMYFUNCTION("""COMPUTED_VALUE"""),"In this paper, we propose Selection and Pooling with Large Language Models (SPILL), an intuitive, domain-adaptive method for intent clustering without fine-tuning. Existing embeddings-based clustering methods rely on a few labeled examples or unsupervised"&amp;" fine-tuning to optimize results for each new dataset, which makes them less generalizable to multiple datasets. Our goal is to make these existing embedders more generalizable to new domain datasets without further fine-tuning. Inspired by our theoretica"&amp;"l derivation and simulation results on the effectiveness of sampling and pooling techniques, we view the clustering task as a small-scale selection problem. A good solution to this problem is associated with better clustering performance. Accordingly, we "&amp;"propose a two-stage approach: First, for each utterance (referred to as the seed), we derive its embedding using an existing embedder. Then, we apply a distance metric to select a pool of candidates close to the seed. Because the embedder is not optimized"&amp;" for new datasets, in the second stage, we use an LLM to further select utterances from these candidates that share the same intent as the seed. Finally, we pool these selected candidates with the seed to derive a refined embedding for the seed. We found "&amp;"that our method generally outperforms directly using an embedder, and it achieves comparable results to other state-of-the-art studies, even those that use much larger models and require fine-tuning, showing its strength and efficiency. Our results indica"&amp;"te that our method enables existing embedders to be further improved without additional fine-tuning, making them more adaptable to new domain datasets. Additionally, viewing the clustering task as a small-scale selection problem gives the potential of usi"&amp;"ng LLMs to customize clustering tasks according to the user's goals.")</f>
        <v>In this paper, we propose Selection and Pooling with Large Language Models (SPILL), an intuitive, domain-adaptive method for intent clustering without fine-tuning. Existing embeddings-based clustering methods rely on a few labeled examples or unsupervised fine-tuning to optimize results for each new dataset, which makes them less generalizable to multiple datasets. Our goal is to make these existing embedders more generalizable to new domain datasets without further fine-tuning. Inspired by our theoretical derivation and simulation results on the effectiveness of sampling and pooling techniques, we view the clustering task as a small-scale selection problem. A good solution to this problem is associated with better clustering performance. Accordingly, we propose a two-stage approach: First, for each utterance (referred to as the seed), we derive its embedding using an existing embedder. Then, we apply a distance metric to select a pool of candidates close to the seed. Because the embedder is not optimized for new datasets, in the second stage, we use an LLM to further select utterances from these candidates that share the same intent as the seed. Finally, we pool these selected candidates with the seed to derive a refined embedding for the seed. We found that our method generally outperforms directly using an embedder, and it achieves comparable results to other state-of-the-art studies, even those that use much larger models and require fine-tuning, showing its strength and efficiency. Our results indicate that our method enables existing embedders to be further improved without additional fine-tuning, making them more adaptable to new domain datasets. Additionally, viewing the clustering task as a small-scale selection problem gives the potential of using LLMs to customize clustering tasks according to the user's goals.</v>
      </c>
      <c r="D896" s="7" t="str">
        <f>IFERROR(__xludf.DUMMYFUNCTION("""COMPUTED_VALUE"""),"I-Fan Lin")</f>
        <v>I-Fan Lin</v>
      </c>
      <c r="E896" s="7" t="str">
        <f>IFERROR(__xludf.DUMMYFUNCTION("""COMPUTED_VALUE"""),"Yes")</f>
        <v>Yes</v>
      </c>
      <c r="F896" s="7" t="str">
        <f>IFERROR(__xludf.DUMMYFUNCTION("""COMPUTED_VALUE"""),"IP-Poster")</f>
        <v>IP-Poster</v>
      </c>
      <c r="G896" s="7" t="str">
        <f>IFERROR(__xludf.DUMMYFUNCTION("""COMPUTED_VALUE"""),"In-Person")</f>
        <v>In-Person</v>
      </c>
      <c r="H896" s="7" t="str">
        <f>IFERROR(__xludf.DUMMYFUNCTION("""COMPUTED_VALUE"""),"Hall 4/5")</f>
        <v>Hall 4/5</v>
      </c>
      <c r="I896" s="7" t="str">
        <f>IFERROR(__xludf.DUMMYFUNCTION("""COMPUTED_VALUE"""),"Session 10: IP-Posters")</f>
        <v>Session 10: IP-Posters</v>
      </c>
      <c r="J896" s="7" t="str">
        <f>IFERROR(__xludf.DUMMYFUNCTION("""COMPUTED_VALUE"""),"Findings Posters - In-Person 3")</f>
        <v>Findings Posters - In-Person 3</v>
      </c>
      <c r="K896" s="7"/>
      <c r="L896" s="8">
        <f>IFERROR(__xludf.DUMMYFUNCTION("""COMPUTED_VALUE"""),45867.0)</f>
        <v>45867</v>
      </c>
      <c r="M896" s="7" t="str">
        <f>IFERROR(__xludf.DUMMYFUNCTION("""COMPUTED_VALUE"""),"16:00-17:30")</f>
        <v>16:00-17:30</v>
      </c>
      <c r="N896" s="7"/>
    </row>
    <row r="897">
      <c r="A897" s="7" t="str">
        <f>IFERROR(__xludf.DUMMYFUNCTION("""COMPUTED_VALUE"""),"3157-FIND")</f>
        <v>3157-FIND</v>
      </c>
      <c r="B897" s="7" t="str">
        <f>IFERROR(__xludf.DUMMYFUNCTION("""COMPUTED_VALUE"""),"How Far are LLMs from Being Our Digital Twins? A Benchmark for Persona-Based Behavior Chain Simulation")</f>
        <v>How Far are LLMs from Being Our Digital Twins? A Benchmark for Persona-Based Behavior Chain Simulation</v>
      </c>
      <c r="C897" s="7" t="str">
        <f>IFERROR(__xludf.DUMMYFUNCTION("""COMPUTED_VALUE"""),"Recently, LLMs have garnered increasing attention across academic disciplines for their potential as human digital twins, virtual proxies designed to replicate individuals and autonomously perform tasks such as decision-making, problem-solving, and reason"&amp;"ing on their behalf.
However, current evaluations of LLMs primarily emphasize dialogue simulation while overlooking human behavior simulation, which is crucial for digital twins.
To address this gap, we introduce BehaviorChain, the first benchmark for eva"&amp;"luating LLMs' ability to simulate continuous human behavior.
BehaviorChain comprises diverse, high-quality, persona-based behavior chains, totaling 15,846 distinct behaviors across 1,001 unique personas, each with detailed history and profile metadata.
Fo"&amp;"r evaluation, we integrate persona metadata into LLMs and employ them to iteratively infer contextually appropriate behaviors within dynamic scenarios provided by BehaviorChain. Comprehensive evaluation results demonstrated that even state-of-the-art mode"&amp;"ls struggle with accurately simulating continuous human behavior.")</f>
        <v>Recently, LLMs have garnered increasing attention across academic disciplines for their potential as human digital twins, virtual proxies designed to replicate individuals and autonomously perform tasks such as decision-making, problem-solving, and reasoning on their behalf.
However, current evaluations of LLMs primarily emphasize dialogue simulation while overlooking human behavior simulation, which is crucial for digital twins.
To address this gap, we introduce BehaviorChain, the first benchmark for evaluating LLMs' ability to simulate continuous human behavior.
BehaviorChain comprises diverse, high-quality, persona-based behavior chains, totaling 15,846 distinct behaviors across 1,001 unique personas, each with detailed history and profile metadata.
For evaluation, we integrate persona metadata into LLMs and employ them to iteratively infer contextually appropriate behaviors within dynamic scenarios provided by BehaviorChain. Comprehensive evaluation results demonstrated that even state-of-the-art models struggle with accurately simulating continuous human behavior.</v>
      </c>
      <c r="D897" s="7" t="str">
        <f>IFERROR(__xludf.DUMMYFUNCTION("""COMPUTED_VALUE"""),"Rui Li")</f>
        <v>Rui Li</v>
      </c>
      <c r="E897" s="7" t="str">
        <f>IFERROR(__xludf.DUMMYFUNCTION("""COMPUTED_VALUE"""),"Yes")</f>
        <v>Yes</v>
      </c>
      <c r="F897" s="7" t="str">
        <f>IFERROR(__xludf.DUMMYFUNCTION("""COMPUTED_VALUE"""),"IP-Poster")</f>
        <v>IP-Poster</v>
      </c>
      <c r="G897" s="7" t="str">
        <f>IFERROR(__xludf.DUMMYFUNCTION("""COMPUTED_VALUE"""),"In-Person")</f>
        <v>In-Person</v>
      </c>
      <c r="H897" s="7" t="str">
        <f>IFERROR(__xludf.DUMMYFUNCTION("""COMPUTED_VALUE"""),"Hall 4/5")</f>
        <v>Hall 4/5</v>
      </c>
      <c r="I897" s="7" t="str">
        <f>IFERROR(__xludf.DUMMYFUNCTION("""COMPUTED_VALUE"""),"Session 7: IP-Posters")</f>
        <v>Session 7: IP-Posters</v>
      </c>
      <c r="J897" s="7" t="str">
        <f>IFERROR(__xludf.DUMMYFUNCTION("""COMPUTED_VALUE"""),"Findings Posters - In-Person 2")</f>
        <v>Findings Posters - In-Person 2</v>
      </c>
      <c r="K897" s="7"/>
      <c r="L897" s="8">
        <f>IFERROR(__xludf.DUMMYFUNCTION("""COMPUTED_VALUE"""),45867.0)</f>
        <v>45867</v>
      </c>
      <c r="M897" s="7" t="str">
        <f>IFERROR(__xludf.DUMMYFUNCTION("""COMPUTED_VALUE"""),"10:30-12:00")</f>
        <v>10:30-12:00</v>
      </c>
      <c r="N897" s="7"/>
    </row>
    <row r="898">
      <c r="A898" s="7" t="str">
        <f>IFERROR(__xludf.DUMMYFUNCTION("""COMPUTED_VALUE"""),"3163-FIND")</f>
        <v>3163-FIND</v>
      </c>
      <c r="B898" s="7" t="str">
        <f>IFERROR(__xludf.DUMMYFUNCTION("""COMPUTED_VALUE"""),"GRI-QA: a Comprehensive Benchmark for Table Question Answering over Environmental Data")</f>
        <v>GRI-QA: a Comprehensive Benchmark for Table Question Answering over Environmental Data</v>
      </c>
      <c r="C898" s="7" t="str">
        <f>IFERROR(__xludf.DUMMYFUNCTION("""COMPUTED_VALUE"""),"Assessing corporate environmental sustainability with Table Question Answering systems is challenging due to complex tables, specialized terminology, and the variety of questions they must handle. In this paper, we introduce GRI-QA, a test benchmark desig"&amp;"ned to evaluate Table QA approaches in the environmental domain. Using GRI standards, we extract and annotate tables from non-financial corporate reports, generating question-answer pairs through a hybrid LLM-human approach. The benchmark includes eight d"&amp;"atasets, categorized by the types of operations required, including operations on multiple tables from multiple documents. Our evaluation reveals a significant gap between human and model performance, particularly in multi-step reasoning, highlighting the"&amp;" relevance of the benchmark and the need for further research in domain-specific Table QA. Code and benchmark datasets are available at https://github.com/softlab-unimore/gri_qa.")</f>
        <v>Assessing corporate environmental sustainability with Table Question Answering systems is challenging due to complex tables, specialized terminology, and the variety of questions they must handle. In this paper, we introduce GRI-QA, a test benchmark designed to evaluate Table QA approaches in the environmental domain. Using GRI standards, we extract and annotate tables from non-financial corporate reports, generating question-answer pairs through a hybrid LLM-human approach. The benchmark includes eight datasets, categorized by the types of operations required, including operations on multiple tables from multiple documents. Our evaluation reveals a significant gap between human and model performance, particularly in multi-step reasoning, highlighting the relevance of the benchmark and the need for further research in domain-specific Table QA. Code and benchmark datasets are available at https://github.com/softlab-unimore/gri_qa.</v>
      </c>
      <c r="D898" s="7" t="str">
        <f>IFERROR(__xludf.DUMMYFUNCTION("""COMPUTED_VALUE"""),"I do not plan to present")</f>
        <v>I do not plan to present</v>
      </c>
      <c r="E898" s="7" t="str">
        <f>IFERROR(__xludf.DUMMYFUNCTION("""COMPUTED_VALUE"""),"#N/A")</f>
        <v>#N/A</v>
      </c>
      <c r="F898" s="7" t="str">
        <f>IFERROR(__xludf.DUMMYFUNCTION("""COMPUTED_VALUE"""),"Not Pres. ")</f>
        <v>Not Pres. </v>
      </c>
      <c r="G898" s="7" t="str">
        <f>IFERROR(__xludf.DUMMYFUNCTION("""COMPUTED_VALUE"""),"NP Findings Not Presenting ")</f>
        <v>NP Findings Not Presenting </v>
      </c>
      <c r="H898" s="7"/>
      <c r="I898" s="7" t="str">
        <f>IFERROR(__xludf.DUMMYFUNCTION("""COMPUTED_VALUE"""),"NP-Find")</f>
        <v>NP-Find</v>
      </c>
      <c r="J898" s="7"/>
      <c r="K898" s="7"/>
      <c r="L898" s="8"/>
      <c r="M898" s="7"/>
      <c r="N898" s="7"/>
    </row>
    <row r="899">
      <c r="A899" s="7" t="str">
        <f>IFERROR(__xludf.DUMMYFUNCTION("""COMPUTED_VALUE"""),"3171-FIND")</f>
        <v>3171-FIND</v>
      </c>
      <c r="B899" s="7" t="str">
        <f>IFERROR(__xludf.DUMMYFUNCTION("""COMPUTED_VALUE"""),"WebUIBench: A Comprehensive Benchmark for Evaluating Multimodal Large Language Models in WebUI-to-Code")</f>
        <v>WebUIBench: A Comprehensive Benchmark for Evaluating Multimodal Large Language Models in WebUI-to-Code</v>
      </c>
      <c r="C899" s="7" t="str">
        <f>IFERROR(__xludf.DUMMYFUNCTION("""COMPUTED_VALUE"""),"With the rapid advancement of Generative AI technology, Multimodal Large Language Models(MLLMs) have the potential to act as AI software engineers capable of executing complex web application development. Considering that the model requires a confluence o"&amp;"f multidimensional sub-capabilities to address the challenges of various development phases, constructing a multi-view evaluation framework is crucial for accurately guiding the enhancement of development efficiency. However, existing benchmarks usually f"&amp;"ail to provide an assessment of sub-capabilities and focus solely on webpage generation outcomes. In this work, we draw inspiration from the principles of software engineering and further propose WebUIBench, a benchmark systematically designed to evaluate"&amp;" MLLMs in four key areas: WebUI Perception, HTML Programming, WebUI-HTML Understanding, and WebUI-to-Code. WebUIBench comprises 21K high-quality question-answer pairs derived from over 0.7K real-world websites. The extensive evaluation of 29 mainstream ML"&amp;"LMs uncovers the skill characteristics and various weakness that models encountered during the development process.")</f>
        <v>With the rapid advancement of Generative AI technology, Multimodal Large Language Models(MLLMs) have the potential to act as AI software engineers capable of executing complex web application development. Considering that the model requires a confluence of multidimensional sub-capabilities to address the challenges of various development phases, constructing a multi-view evaluation framework is crucial for accurately guiding the enhancement of development efficiency. However, existing benchmarks usually fail to provide an assessment of sub-capabilities and focus solely on webpage generation outcomes. In this work, we draw inspiration from the principles of software engineering and further propose WebUIBench, a benchmark systematically designed to evaluate MLLMs in four key areas: WebUI Perception, HTML Programming, WebUI-HTML Understanding, and WebUI-to-Code. WebUIBench comprises 21K high-quality question-answer pairs derived from over 0.7K real-world websites. The extensive evaluation of 29 mainstream MLLMs uncovers the skill characteristics and various weakness that models encountered during the development process.</v>
      </c>
      <c r="D899" s="7" t="str">
        <f>IFERROR(__xludf.DUMMYFUNCTION("""COMPUTED_VALUE"""),"Zhiyuan Zhao")</f>
        <v>Zhiyuan Zhao</v>
      </c>
      <c r="E899" s="7" t="str">
        <f>IFERROR(__xludf.DUMMYFUNCTION("""COMPUTED_VALUE"""),"Yes")</f>
        <v>Yes</v>
      </c>
      <c r="F899" s="7" t="str">
        <f>IFERROR(__xludf.DUMMYFUNCTION("""COMPUTED_VALUE"""),"Not Pres. ")</f>
        <v>Not Pres. </v>
      </c>
      <c r="G899" s="7" t="str">
        <f>IFERROR(__xludf.DUMMYFUNCTION("""COMPUTED_VALUE"""),"NP Findings Not Presenting ")</f>
        <v>NP Findings Not Presenting </v>
      </c>
      <c r="H899" s="7"/>
      <c r="I899" s="7"/>
      <c r="J899" s="7"/>
      <c r="K899" s="7"/>
      <c r="L899" s="8"/>
      <c r="M899" s="7"/>
      <c r="N899" s="7"/>
    </row>
    <row r="900">
      <c r="A900" s="7" t="str">
        <f>IFERROR(__xludf.DUMMYFUNCTION("""COMPUTED_VALUE"""),"3177-FIND")</f>
        <v>3177-FIND</v>
      </c>
      <c r="B900" s="7" t="str">
        <f>IFERROR(__xludf.DUMMYFUNCTION("""COMPUTED_VALUE"""),"Optimizing Multi-Hop Document Retrieval Through Intermediate Representations")</f>
        <v>Optimizing Multi-Hop Document Retrieval Through Intermediate Representations</v>
      </c>
      <c r="C900" s="7" t="str">
        <f>IFERROR(__xludf.DUMMYFUNCTION("""COMPUTED_VALUE"""),"Retrieval-augmented generation (RAG) encounters challenges when addressing complex queries, particularly multi-hop questions. While several methods tackle multi-hop queries by iteratively generating internal queries and retrieving external documents, thes"&amp;"e approaches are computationally expensive. In this paper, we identify a three-stage information processing pattern in LLMs during layer-by-layer reasoning, consisting of extraction, processing, and subsequent extraction steps. This observation suggests t"&amp;"hat the representations in intermediate layers contain richer information compared to those in other layers. Building on this insight, we propose Layer-wise RAG (L-RAG). Unlike prior methods that focus on generating new internal queries, L-RAG leverages i"&amp;"ntermediate representations from the middle layers, which capture next-hop information, to retrieve external knowledge. L-RAG achieves performance comparable to multi-step approaches while maintaining inference overhead similar to that of standard RAG. Ex"&amp;"perimental results show that L-RAG outperforms existing RAG methods on open-domain multi-hop question-answering datasets, including MuSiQue, HotpotQA, and 2WikiMultiHopQA. The code is available in https://anonymous.4open.science/r/L-RAG-ADD5/.")</f>
        <v>Retrieval-augmented generation (RAG) encounters challenges when addressing complex queries, particularly multi-hop questions. While several methods tackle multi-hop queries by iteratively generating internal queries and retrieving external documents, these approaches are computationally expensive. In this paper, we identify a three-stage information processing pattern in LLMs during layer-by-layer reasoning, consisting of extraction, processing, and subsequent extraction steps. This observation suggests that the representations in intermediate layers contain richer information compared to those in other layers. Building on this insight, we propose Layer-wise RAG (L-RAG). Unlike prior methods that focus on generating new internal queries, L-RAG leverages intermediate representations from the middle layers, which capture next-hop information, to retrieve external knowledge. L-RAG achieves performance comparable to multi-step approaches while maintaining inference overhead similar to that of standard RAG. Experimental results show that L-RAG outperforms existing RAG methods on open-domain multi-hop question-answering datasets, including MuSiQue, HotpotQA, and 2WikiMultiHopQA. The code is available in https://anonymous.4open.science/r/L-RAG-ADD5/.</v>
      </c>
      <c r="D900" s="7" t="str">
        <f>IFERROR(__xludf.DUMMYFUNCTION("""COMPUTED_VALUE"""),"Jiaen Lin")</f>
        <v>Jiaen Lin</v>
      </c>
      <c r="E900" s="7" t="str">
        <f>IFERROR(__xludf.DUMMYFUNCTION("""COMPUTED_VALUE"""),"yes")</f>
        <v>yes</v>
      </c>
      <c r="F900" s="7" t="str">
        <f>IFERROR(__xludf.DUMMYFUNCTION("""COMPUTED_VALUE"""),"IP-Poster")</f>
        <v>IP-Poster</v>
      </c>
      <c r="G900" s="7" t="str">
        <f>IFERROR(__xludf.DUMMYFUNCTION("""COMPUTED_VALUE"""),"In-Person")</f>
        <v>In-Person</v>
      </c>
      <c r="H900" s="7" t="str">
        <f>IFERROR(__xludf.DUMMYFUNCTION("""COMPUTED_VALUE"""),"Hall 4/5")</f>
        <v>Hall 4/5</v>
      </c>
      <c r="I900" s="7" t="str">
        <f>IFERROR(__xludf.DUMMYFUNCTION("""COMPUTED_VALUE"""),"Session 5 :IP-Posters Find ")</f>
        <v>Session 5 :IP-Posters Find </v>
      </c>
      <c r="J900" s="7" t="str">
        <f>IFERROR(__xludf.DUMMYFUNCTION("""COMPUTED_VALUE"""),"Findings Posters - In-Person 1")</f>
        <v>Findings Posters - In-Person 1</v>
      </c>
      <c r="K900" s="7"/>
      <c r="L900" s="8">
        <f>IFERROR(__xludf.DUMMYFUNCTION("""COMPUTED_VALUE"""),45866.0)</f>
        <v>45866</v>
      </c>
      <c r="M900" s="7" t="str">
        <f>IFERROR(__xludf.DUMMYFUNCTION("""COMPUTED_VALUE"""),"18:00-19:30")</f>
        <v>18:00-19:30</v>
      </c>
      <c r="N900" s="7"/>
    </row>
    <row r="901">
      <c r="A901" s="7" t="str">
        <f>IFERROR(__xludf.DUMMYFUNCTION("""COMPUTED_VALUE"""),"3178-FIND")</f>
        <v>3178-FIND</v>
      </c>
      <c r="B901" s="7" t="str">
        <f>IFERROR(__xludf.DUMMYFUNCTION("""COMPUTED_VALUE"""),"Towards Better Understanding of Program-of-Thought Reasoning in Cross-Lingual and Multilingual Environments")</f>
        <v>Towards Better Understanding of Program-of-Thought Reasoning in Cross-Lingual and Multilingual Environments</v>
      </c>
      <c r="C901" s="7" t="str">
        <f>IFERROR(__xludf.DUMMYFUNCTION("""COMPUTED_VALUE"""),"Multi-step reasoning is essential for large language models (LLMs), yet multilingual performance remains challenging. While Chain-of-Thought (CoT) prompting improves reasoning, it struggles with non-English languages due to the entanglement of reasoning a"&amp;"nd execution. Program-of-Thought (PoT) prompting separates reasoning from execution, offering a promising alternative but shifting the challenge to generating programs from non-English questions. We propose a framework to evaluate PoT by separating multil"&amp;"ingual reasoning from code execution to examine (i) the impact of fine-tuning on question-reasoning alignment and (ii) how reasoning quality affects answer correctness. Our findings demonstrate that PoT fine-tuning substantially enhances multilingual reas"&amp;"oning, outperforming CoT fine-tuned models. We further demonstrate a strong correlation between reasoning quality (measured through code quality) and answer accuracy, highlighting its potential as a test-time performance improvement heuristic.")</f>
        <v>Multi-step reasoning is essential for large language models (LLMs), yet multilingual performance remains challenging. While Chain-of-Thought (CoT) prompting improves reasoning, it struggles with non-English languages due to the entanglement of reasoning and execution. Program-of-Thought (PoT) prompting separates reasoning from execution, offering a promising alternative but shifting the challenge to generating programs from non-English questions. We propose a framework to evaluate PoT by separating multilingual reasoning from code execution to examine (i) the impact of fine-tuning on question-reasoning alignment and (ii) how reasoning quality affects answer correctness. Our findings demonstrate that PoT fine-tuning substantially enhances multilingual reasoning, outperforming CoT fine-tuned models. We further demonstrate a strong correlation between reasoning quality (measured through code quality) and answer accuracy, highlighting its potential as a test-time performance improvement heuristic.</v>
      </c>
      <c r="D901" s="7" t="str">
        <f>IFERROR(__xludf.DUMMYFUNCTION("""COMPUTED_VALUE"""),"Patomporn Payoungkhamdee")</f>
        <v>Patomporn Payoungkhamdee</v>
      </c>
      <c r="E901" s="7" t="str">
        <f>IFERROR(__xludf.DUMMYFUNCTION("""COMPUTED_VALUE"""),"Yes")</f>
        <v>Yes</v>
      </c>
      <c r="F901" s="7" t="str">
        <f>IFERROR(__xludf.DUMMYFUNCTION("""COMPUTED_VALUE"""),"IP-Poster")</f>
        <v>IP-Poster</v>
      </c>
      <c r="G901" s="7" t="str">
        <f>IFERROR(__xludf.DUMMYFUNCTION("""COMPUTED_VALUE"""),"In-Person")</f>
        <v>In-Person</v>
      </c>
      <c r="H901" s="7" t="str">
        <f>IFERROR(__xludf.DUMMYFUNCTION("""COMPUTED_VALUE"""),"Hall 4/5")</f>
        <v>Hall 4/5</v>
      </c>
      <c r="I901" s="7" t="str">
        <f>IFERROR(__xludf.DUMMYFUNCTION("""COMPUTED_VALUE"""),"Session 5 :IP-Posters Find ")</f>
        <v>Session 5 :IP-Posters Find </v>
      </c>
      <c r="J901" s="7" t="str">
        <f>IFERROR(__xludf.DUMMYFUNCTION("""COMPUTED_VALUE"""),"Findings Posters - In-Person 1")</f>
        <v>Findings Posters - In-Person 1</v>
      </c>
      <c r="K901" s="7"/>
      <c r="L901" s="8">
        <f>IFERROR(__xludf.DUMMYFUNCTION("""COMPUTED_VALUE"""),45866.0)</f>
        <v>45866</v>
      </c>
      <c r="M901" s="7" t="str">
        <f>IFERROR(__xludf.DUMMYFUNCTION("""COMPUTED_VALUE"""),"18:00-19:30")</f>
        <v>18:00-19:30</v>
      </c>
      <c r="N901" s="7"/>
    </row>
    <row r="902">
      <c r="A902" s="7" t="str">
        <f>IFERROR(__xludf.DUMMYFUNCTION("""COMPUTED_VALUE"""),"3179-FIND")</f>
        <v>3179-FIND</v>
      </c>
      <c r="B902" s="7" t="str">
        <f>IFERROR(__xludf.DUMMYFUNCTION("""COMPUTED_VALUE"""),"A Fully Automated Pipeline for Conversational Discourse Annotation: Tree Scheme Generation and Labeling with Large Language Models")</f>
        <v>A Fully Automated Pipeline for Conversational Discourse Annotation: Tree Scheme Generation and Labeling with Large Language Models</v>
      </c>
      <c r="C902" s="7" t="str">
        <f>IFERROR(__xludf.DUMMYFUNCTION("""COMPUTED_VALUE"""),"Recent advances in Large Language Models (LLMs) have shown promise in automating discourse annotation for conversations. While manually designing tree annotation schemes significantly improves annotation quality for humans and models, their creation remai"&amp;"ns time-consuming and requires expert knowledge. We propose a fully automated pipeline that uses LLMs to construct such schemes and perform annotation. We evaluate our approach on speech functions (SFs) and the Switchboard-DAMSL (SWBD-DAMSL) taxonomies. O"&amp;"ur experiments compare various design choices, and we show that frequency-guided decision trees, paired with an advanced LLM for annotation, can outperform previously manually designed trees and even match or surpass human annotators while significantly r"&amp;"educing the time required for annotation. We release all code and resultant schemes and annotations to facilitate future research on discourse annotation.")</f>
        <v>Recent advances in Large Language Models (LLMs) have shown promise in automating discourse annotation for conversations. While manually designing tree annotation schemes significantly improves annotation quality for humans and models, their creation remains time-consuming and requires expert knowledge. We propose a fully automated pipeline that uses LLMs to construct such schemes and perform annotation. We evaluate our approach on speech functions (SFs) and the Switchboard-DAMSL (SWBD-DAMSL) taxonomies. Our experiments compare various design choices, and we show that frequency-guided decision trees, paired with an advanced LLM for annotation, can outperform previously manually designed trees and even match or surpass human annotators while significantly reducing the time required for annotation. We release all code and resultant schemes and annotations to facilitate future research on discourse annotation.</v>
      </c>
      <c r="D902" s="7" t="str">
        <f>IFERROR(__xludf.DUMMYFUNCTION("""COMPUTED_VALUE"""),"Kseniia Petukhova")</f>
        <v>Kseniia Petukhova</v>
      </c>
      <c r="E902" s="7" t="str">
        <f>IFERROR(__xludf.DUMMYFUNCTION("""COMPUTED_VALUE"""),"Yes")</f>
        <v>Yes</v>
      </c>
      <c r="F902" s="7" t="str">
        <f>IFERROR(__xludf.DUMMYFUNCTION("""COMPUTED_VALUE"""),"IP-Poster")</f>
        <v>IP-Poster</v>
      </c>
      <c r="G902" s="7" t="str">
        <f>IFERROR(__xludf.DUMMYFUNCTION("""COMPUTED_VALUE"""),"In-Person")</f>
        <v>In-Person</v>
      </c>
      <c r="H902" s="7" t="str">
        <f>IFERROR(__xludf.DUMMYFUNCTION("""COMPUTED_VALUE"""),"Hall 4/5")</f>
        <v>Hall 4/5</v>
      </c>
      <c r="I902" s="7" t="str">
        <f>IFERROR(__xludf.DUMMYFUNCTION("""COMPUTED_VALUE"""),"Session 5 :IP-Posters Find ")</f>
        <v>Session 5 :IP-Posters Find </v>
      </c>
      <c r="J902" s="7" t="str">
        <f>IFERROR(__xludf.DUMMYFUNCTION("""COMPUTED_VALUE"""),"Findings Posters - In-Person 1")</f>
        <v>Findings Posters - In-Person 1</v>
      </c>
      <c r="K902" s="7"/>
      <c r="L902" s="8">
        <f>IFERROR(__xludf.DUMMYFUNCTION("""COMPUTED_VALUE"""),45866.0)</f>
        <v>45866</v>
      </c>
      <c r="M902" s="7" t="str">
        <f>IFERROR(__xludf.DUMMYFUNCTION("""COMPUTED_VALUE"""),"18:00-19:30")</f>
        <v>18:00-19:30</v>
      </c>
      <c r="N902" s="7"/>
    </row>
    <row r="903">
      <c r="A903" s="7" t="str">
        <f>IFERROR(__xludf.DUMMYFUNCTION("""COMPUTED_VALUE"""),"3181-FIND")</f>
        <v>3181-FIND</v>
      </c>
      <c r="B903" s="7" t="str">
        <f>IFERROR(__xludf.DUMMYFUNCTION("""COMPUTED_VALUE"""),"Can Language Models Serve as Analogy Annotators?")</f>
        <v>Can Language Models Serve as Analogy Annotators?</v>
      </c>
      <c r="C903" s="7" t="str">
        <f>IFERROR(__xludf.DUMMYFUNCTION("""COMPUTED_VALUE"""),"Conceptual abstraction and analogy-making are crucial for human learning, reasoning, and adapting to unfamiliar domains. Recently, large language models (LLMs) have made the synthesis of analogical data possible, which, however, still heavily relies on ex"&amp;"tensive human efforts to be annotated.  This paper empirically examines the LLMs' capability to annotate story-level analogical data. Specifically, we propose a novel multi-stage progressive reasoning prompt framework A3E (Automated Analogy Annotation Exp"&amp;"ert), which is based on the structure mapping theory from cognitive psychology and efficiently annotates candidate story pairs across six fine-grained categories. We use A3E to evaluate how well the state-of-the-art LLMs can serve as analogy annotators.  "&amp;"Experimental results demonstrate that our proposed A3E achieves an average performance gain of + 73%  across a range of prompting baselines and base LLMs. The code and data will be available at https://anonymous.4open.science/r/A3E-3064.")</f>
        <v>Conceptual abstraction and analogy-making are crucial for human learning, reasoning, and adapting to unfamiliar domains. Recently, large language models (LLMs) have made the synthesis of analogical data possible, which, however, still heavily relies on extensive human efforts to be annotated.  This paper empirically examines the LLMs' capability to annotate story-level analogical data. Specifically, we propose a novel multi-stage progressive reasoning prompt framework A3E (Automated Analogy Annotation Expert), which is based on the structure mapping theory from cognitive psychology and efficiently annotates candidate story pairs across six fine-grained categories. We use A3E to evaluate how well the state-of-the-art LLMs can serve as analogy annotators.  Experimental results demonstrate that our proposed A3E achieves an average performance gain of + 73%  across a range of prompting baselines and base LLMs. The code and data will be available at https://anonymous.4open.science/r/A3E-3064.</v>
      </c>
      <c r="D903" s="7" t="str">
        <f>IFERROR(__xludf.DUMMYFUNCTION("""COMPUTED_VALUE"""),"Xiaojing Zhang")</f>
        <v>Xiaojing Zhang</v>
      </c>
      <c r="E903" s="7" t="str">
        <f>IFERROR(__xludf.DUMMYFUNCTION("""COMPUTED_VALUE"""),"#N/A")</f>
        <v>#N/A</v>
      </c>
      <c r="F903" s="7" t="str">
        <f>IFERROR(__xludf.DUMMYFUNCTION("""COMPUTED_VALUE"""),"Not Pres. ")</f>
        <v>Not Pres. </v>
      </c>
      <c r="G903" s="7" t="str">
        <f>IFERROR(__xludf.DUMMYFUNCTION("""COMPUTED_VALUE"""),"NP Findings Not Presenting ")</f>
        <v>NP Findings Not Presenting </v>
      </c>
      <c r="H903" s="7"/>
      <c r="I903" s="7" t="str">
        <f>IFERROR(__xludf.DUMMYFUNCTION("""COMPUTED_VALUE"""),"NP-Find")</f>
        <v>NP-Find</v>
      </c>
      <c r="J903" s="7"/>
      <c r="K903" s="7"/>
      <c r="L903" s="8"/>
      <c r="M903" s="7"/>
      <c r="N903" s="7"/>
    </row>
    <row r="904">
      <c r="A904" s="7" t="str">
        <f>IFERROR(__xludf.DUMMYFUNCTION("""COMPUTED_VALUE"""),"3187-FIND")</f>
        <v>3187-FIND</v>
      </c>
      <c r="B904" s="7" t="str">
        <f>IFERROR(__xludf.DUMMYFUNCTION("""COMPUTED_VALUE"""),"Reward Generalization in RLHF: A Topological Perspective")</f>
        <v>Reward Generalization in RLHF: A Topological Perspective</v>
      </c>
      <c r="C904" s="7" t="str">
        <f>IFERROR(__xludf.DUMMYFUNCTION("""COMPUTED_VALUE"""),"Existing alignment methods share a common topology of information flow, where reward information is collected from humans, modeled with preference learning, and used to tune language models. However, this shared topology has not been systematically charac"&amp;"terized, nor have its alternatives been thoroughly explored, leaving the problems of low data efficiency and unreliable generalization unaddressed. As a solution, we introduce a theory of **reward generalization** in reinforcement learning from human feed"&amp;"back (RLHF), focusing on the **topology of information flow** at both macro and micro levels. At the macro level, we portray the RLHF information flow as an autoencoding process over behavior distributions, formalizing the RLHF objective of distributional"&amp;" consistency between human preference and model behavior. At the micro level, we present *induced Bayesian networks* to model the impact of dataset topologies on reward generalization. Combining analysis on both levels, we propose **reward modeling from t"&amp;"ree-structured preference information**. It is shown to reduce reward uncertainty by up to 𝛩(log n/loglog n) times compared to baselines, where n is the dataset size. Validation on three NLP tasks shows that it achieves an average win rate of 65% against"&amp;" baselines, thus improving reward generalization *for free* via topology design, while *reducing* the amount of data requiring annotation.")</f>
        <v>Existing alignment methods share a common topology of information flow, where reward information is collected from humans, modeled with preference learning, and used to tune language models. However, this shared topology has not been systematically characterized, nor have its alternatives been thoroughly explored, leaving the problems of low data efficiency and unreliable generalization unaddressed. As a solution, we introduce a theory of **reward generalization** in reinforcement learning from human feedback (RLHF), focusing on the **topology of information flow** at both macro and micro levels. At the macro level, we portray the RLHF information flow as an autoencoding process over behavior distributions, formalizing the RLHF objective of distributional consistency between human preference and model behavior. At the micro level, we present *induced Bayesian networks* to model the impact of dataset topologies on reward generalization. Combining analysis on both levels, we propose **reward modeling from tree-structured preference information**. It is shown to reduce reward uncertainty by up to 𝛩(log n/loglog n) times compared to baselines, where n is the dataset size. Validation on three NLP tasks shows that it achieves an average win rate of 65% against baselines, thus improving reward generalization *for free* via topology design, while *reducing* the amount of data requiring annotation.</v>
      </c>
      <c r="D904" s="7" t="str">
        <f>IFERROR(__xludf.DUMMYFUNCTION("""COMPUTED_VALUE"""),"Jiaming Ji")</f>
        <v>Jiaming Ji</v>
      </c>
      <c r="E904" s="7" t="str">
        <f>IFERROR(__xludf.DUMMYFUNCTION("""COMPUTED_VALUE"""),"Yes")</f>
        <v>Yes</v>
      </c>
      <c r="F904" s="7" t="str">
        <f>IFERROR(__xludf.DUMMYFUNCTION("""COMPUTED_VALUE"""),"IP-Poster")</f>
        <v>IP-Poster</v>
      </c>
      <c r="G904" s="7" t="str">
        <f>IFERROR(__xludf.DUMMYFUNCTION("""COMPUTED_VALUE"""),"In-Person")</f>
        <v>In-Person</v>
      </c>
      <c r="H904" s="7" t="str">
        <f>IFERROR(__xludf.DUMMYFUNCTION("""COMPUTED_VALUE"""),"Hall 4/5")</f>
        <v>Hall 4/5</v>
      </c>
      <c r="I904" s="7" t="str">
        <f>IFERROR(__xludf.DUMMYFUNCTION("""COMPUTED_VALUE"""),"Session 5 :IP-Posters Find ")</f>
        <v>Session 5 :IP-Posters Find </v>
      </c>
      <c r="J904" s="7" t="str">
        <f>IFERROR(__xludf.DUMMYFUNCTION("""COMPUTED_VALUE"""),"Findings Posters - In-Person 1")</f>
        <v>Findings Posters - In-Person 1</v>
      </c>
      <c r="K904" s="7"/>
      <c r="L904" s="8">
        <f>IFERROR(__xludf.DUMMYFUNCTION("""COMPUTED_VALUE"""),45866.0)</f>
        <v>45866</v>
      </c>
      <c r="M904" s="7" t="str">
        <f>IFERROR(__xludf.DUMMYFUNCTION("""COMPUTED_VALUE"""),"18:00-19:30")</f>
        <v>18:00-19:30</v>
      </c>
      <c r="N904" s="7"/>
    </row>
    <row r="905">
      <c r="A905" s="7" t="str">
        <f>IFERROR(__xludf.DUMMYFUNCTION("""COMPUTED_VALUE"""),"3188-FIND")</f>
        <v>3188-FIND</v>
      </c>
      <c r="B905" s="7" t="str">
        <f>IFERROR(__xludf.DUMMYFUNCTION("""COMPUTED_VALUE"""),"Enhanced Data Synthesis for LLM through Reasoning Structures Generated by Hierarchical GFlowNet")</f>
        <v>Enhanced Data Synthesis for LLM through Reasoning Structures Generated by Hierarchical GFlowNet</v>
      </c>
      <c r="C905" s="7" t="str">
        <f>IFERROR(__xludf.DUMMYFUNCTION("""COMPUTED_VALUE"""),"Large language models (LLMs) excel in problem-solving but require training data with diverse reasoning processes. Existing methods mainly optimize instruction-response pairs but lack a systematic design for the underlying reasoning structure. This paper p"&amp;"roposes RSS: a Reasoning Structure driven data Synthesis method. We first proactively develop a hierarchical GFlowNet to construct reasoning structures efficiently through a coarse-to-fine directed acyclic graph (DAG) growth process. Then reasoning DAGs a"&amp;"re leveraged to actively guide the instruction generation via an iterative suggester-editor workflow and enhance response quality using a structure-aware strategy. Experiments show that LLMs trained on our synthetic datasets achieve 48.50%, 84.00%, 79.90%"&amp;" for AlpacaEval2, GSM8K and HumanEval, outperforming existing data synthesis methods.")</f>
        <v>Large language models (LLMs) excel in problem-solving but require training data with diverse reasoning processes. Existing methods mainly optimize instruction-response pairs but lack a systematic design for the underlying reasoning structure. This paper proposes RSS: a Reasoning Structure driven data Synthesis method. We first proactively develop a hierarchical GFlowNet to construct reasoning structures efficiently through a coarse-to-fine directed acyclic graph (DAG) growth process. Then reasoning DAGs are leveraged to actively guide the instruction generation via an iterative suggester-editor workflow and enhance response quality using a structure-aware strategy. Experiments show that LLMs trained on our synthetic datasets achieve 48.50%, 84.00%, 79.90% for AlpacaEval2, GSM8K and HumanEval, outperforming existing data synthesis methods.</v>
      </c>
      <c r="D905" s="7" t="str">
        <f>IFERROR(__xludf.DUMMYFUNCTION("""COMPUTED_VALUE"""),"Tianpeng Bu")</f>
        <v>Tianpeng Bu</v>
      </c>
      <c r="E905" s="7" t="str">
        <f>IFERROR(__xludf.DUMMYFUNCTION("""COMPUTED_VALUE"""),"Yes")</f>
        <v>Yes</v>
      </c>
      <c r="F905" s="7" t="str">
        <f>IFERROR(__xludf.DUMMYFUNCTION("""COMPUTED_VALUE"""),"IP-Poster")</f>
        <v>IP-Poster</v>
      </c>
      <c r="G905" s="7" t="str">
        <f>IFERROR(__xludf.DUMMYFUNCTION("""COMPUTED_VALUE"""),"In-Person")</f>
        <v>In-Person</v>
      </c>
      <c r="H905" s="7" t="str">
        <f>IFERROR(__xludf.DUMMYFUNCTION("""COMPUTED_VALUE"""),"Hall 4/5")</f>
        <v>Hall 4/5</v>
      </c>
      <c r="I905" s="7" t="str">
        <f>IFERROR(__xludf.DUMMYFUNCTION("""COMPUTED_VALUE"""),"Session 10: IP-Posters")</f>
        <v>Session 10: IP-Posters</v>
      </c>
      <c r="J905" s="7" t="str">
        <f>IFERROR(__xludf.DUMMYFUNCTION("""COMPUTED_VALUE"""),"Findings Posters - In-Person 3")</f>
        <v>Findings Posters - In-Person 3</v>
      </c>
      <c r="K905" s="7"/>
      <c r="L905" s="8">
        <f>IFERROR(__xludf.DUMMYFUNCTION("""COMPUTED_VALUE"""),45867.0)</f>
        <v>45867</v>
      </c>
      <c r="M905" s="7" t="str">
        <f>IFERROR(__xludf.DUMMYFUNCTION("""COMPUTED_VALUE"""),"16:00-17:30")</f>
        <v>16:00-17:30</v>
      </c>
      <c r="N905" s="7"/>
    </row>
    <row r="906">
      <c r="A906" s="7" t="str">
        <f>IFERROR(__xludf.DUMMYFUNCTION("""COMPUTED_VALUE"""),"3190-FIND")</f>
        <v>3190-FIND</v>
      </c>
      <c r="B906" s="7" t="str">
        <f>IFERROR(__xludf.DUMMYFUNCTION("""COMPUTED_VALUE"""),"Capturing Nuanced Preferences: Preference-Aligned Distillation for Small Language Models")</f>
        <v>Capturing Nuanced Preferences: Preference-Aligned Distillation for Small Language Models</v>
      </c>
      <c r="C906" s="7" t="str">
        <f>IFERROR(__xludf.DUMMYFUNCTION("""COMPUTED_VALUE"""),"Aligning small language models (SLMs) with human values typically involves distilling preference knowledge from large language models (LLMs). However, existing distillation methods model preference knowledge in teacher LLMs by comparing pairwise responses"&amp;", overlooking the extent of difference between responses. This limitation hinders student SLMs from capturing the nuanced preferences for multiple responses. In this paper, we propose a Preference-Aligned Distillation (PAD) framework, which models teacher"&amp;"'s preference knowledge as a probability distribution over all potential preferences, thereby providing more nuanced supervisory signals. Our insight in developing PAD is rooted in the demonstration that language models can serve as reward functions, refl"&amp;"ecting their intrinsic preferences. Based on this, PAD comprises three key steps: (1) sampling diverse responses using high-temperature; (2) computing rewards for both teacher and student to construct their intrinsic preference; and (3) training the stude"&amp;"nt's intrinsic preference distribution to align with the teacher's. Experiments on four mainstream alignment benchmarks demonstrate that PAD consistently and significantly outperforms existing approaches, achieving over 20% improvement on AlpacaEval 2 and"&amp;" Arena-Hard, indicating superior alignment with human preferences. Notably, on MT-Bench, using the \textsc{Gemma} model family, the student trained by PAD surpasses its teacher, further validating the effectiveness of our PAD.")</f>
        <v>Aligning small language models (SLMs) with human values typically involves distilling preference knowledge from large language models (LLMs). However, existing distillation methods model preference knowledge in teacher LLMs by comparing pairwise responses, overlooking the extent of difference between responses. This limitation hinders student SLMs from capturing the nuanced preferences for multiple responses. In this paper, we propose a Preference-Aligned Distillation (PAD) framework, which models teacher's preference knowledge as a probability distribution over all potential preferences, thereby providing more nuanced supervisory signals. Our insight in developing PAD is rooted in the demonstration that language models can serve as reward functions, reflecting their intrinsic preferences. Based on this, PAD comprises three key steps: (1) sampling diverse responses using high-temperature; (2) computing rewards for both teacher and student to construct their intrinsic preference; and (3) training the student's intrinsic preference distribution to align with the teacher's. Experiments on four mainstream alignment benchmarks demonstrate that PAD consistently and significantly outperforms existing approaches, achieving over 20% improvement on AlpacaEval 2 and Arena-Hard, indicating superior alignment with human preferences. Notably, on MT-Bench, using the \textsc{Gemma} model family, the student trained by PAD surpasses its teacher, further validating the effectiveness of our PAD.</v>
      </c>
      <c r="D906" s="7" t="str">
        <f>IFERROR(__xludf.DUMMYFUNCTION("""COMPUTED_VALUE"""),"Junzhuo Li")</f>
        <v>Junzhuo Li</v>
      </c>
      <c r="E906" s="7" t="str">
        <f>IFERROR(__xludf.DUMMYFUNCTION("""COMPUTED_VALUE"""),"Yes")</f>
        <v>Yes</v>
      </c>
      <c r="F906" s="7" t="str">
        <f>IFERROR(__xludf.DUMMYFUNCTION("""COMPUTED_VALUE"""),"IP-Poster")</f>
        <v>IP-Poster</v>
      </c>
      <c r="G906" s="7" t="str">
        <f>IFERROR(__xludf.DUMMYFUNCTION("""COMPUTED_VALUE"""),"In-Person")</f>
        <v>In-Person</v>
      </c>
      <c r="H906" s="7" t="str">
        <f>IFERROR(__xludf.DUMMYFUNCTION("""COMPUTED_VALUE"""),"Hall 4/5")</f>
        <v>Hall 4/5</v>
      </c>
      <c r="I906" s="7" t="str">
        <f>IFERROR(__xludf.DUMMYFUNCTION("""COMPUTED_VALUE"""),"Session 10: IP-Posters")</f>
        <v>Session 10: IP-Posters</v>
      </c>
      <c r="J906" s="7" t="str">
        <f>IFERROR(__xludf.DUMMYFUNCTION("""COMPUTED_VALUE"""),"Findings Posters - In-Person 3")</f>
        <v>Findings Posters - In-Person 3</v>
      </c>
      <c r="K906" s="7"/>
      <c r="L906" s="8">
        <f>IFERROR(__xludf.DUMMYFUNCTION("""COMPUTED_VALUE"""),45867.0)</f>
        <v>45867</v>
      </c>
      <c r="M906" s="7" t="str">
        <f>IFERROR(__xludf.DUMMYFUNCTION("""COMPUTED_VALUE"""),"16:00-17:30")</f>
        <v>16:00-17:30</v>
      </c>
      <c r="N906" s="7"/>
    </row>
    <row r="907">
      <c r="A907" s="7" t="str">
        <f>IFERROR(__xludf.DUMMYFUNCTION("""COMPUTED_VALUE"""),"3194-FIND")</f>
        <v>3194-FIND</v>
      </c>
      <c r="B907" s="7" t="str">
        <f>IFERROR(__xludf.DUMMYFUNCTION("""COMPUTED_VALUE"""),"Token-level Preference Self-Alignment Optimization for Multi-style Outline Controllable Generation")</f>
        <v>Token-level Preference Self-Alignment Optimization for Multi-style Outline Controllable Generation</v>
      </c>
      <c r="C907" s="7" t="str">
        <f>IFERROR(__xludf.DUMMYFUNCTION("""COMPUTED_VALUE"""),"Multi-style outline controllable generation is crucial for multiple applications, including document semantic structuring and retrieval-augmented generation. The great success of preference alignment approaches encourages their application in controllable"&amp;" generation tasks. However, these attempts encounter several limitations: (1) response pair requirements, (2) substantial computation costs, and (3) insufficient exploitation of fine-grained preference signals. To address these problems, we propose a toke"&amp;"n-level preference self-alignment optimization, named TKPO, for outline controllable generation. TKPO extends the Bradley-Terry model from pair-wise to list-wise comparison, which is further applied at the token level for fine-grained preference signal ut"&amp;"ilization. In comparison to the representative methods, e.g., DPO, TKPO does not require response pairs; instead, we propose a controllable attributes-driven method to construct reject samples for self-alignment. Additionally, TKPO optimizes only the base"&amp;" model, thereby avoiding additional memory usage and substantial computational costs. We curate two outline controllable generation datasets with regard to language style and level-of-detail. Extensive experiments demonstrate that TKPO outperforms DPO by "&amp;"up to 19.28% in performance while requiring only 56.25% in training time. We release the code and datasets resources at https://github.com/WHUIR/TKPO.")</f>
        <v>Multi-style outline controllable generation is crucial for multiple applications, including document semantic structuring and retrieval-augmented generation. The great success of preference alignment approaches encourages their application in controllable generation tasks. However, these attempts encounter several limitations: (1) response pair requirements, (2) substantial computation costs, and (3) insufficient exploitation of fine-grained preference signals. To address these problems, we propose a token-level preference self-alignment optimization, named TKPO, for outline controllable generation. TKPO extends the Bradley-Terry model from pair-wise to list-wise comparison, which is further applied at the token level for fine-grained preference signal utilization. In comparison to the representative methods, e.g., DPO, TKPO does not require response pairs; instead, we propose a controllable attributes-driven method to construct reject samples for self-alignment. Additionally, TKPO optimizes only the base model, thereby avoiding additional memory usage and substantial computational costs. We curate two outline controllable generation datasets with regard to language style and level-of-detail. Extensive experiments demonstrate that TKPO outperforms DPO by up to 19.28% in performance while requiring only 56.25% in training time. We release the code and datasets resources at https://github.com/WHUIR/TKPO.</v>
      </c>
      <c r="D907" s="7" t="str">
        <f>IFERROR(__xludf.DUMMYFUNCTION("""COMPUTED_VALUE"""),"Zihao Li")</f>
        <v>Zihao Li</v>
      </c>
      <c r="E907" s="7" t="str">
        <f>IFERROR(__xludf.DUMMYFUNCTION("""COMPUTED_VALUE"""),"Yes")</f>
        <v>Yes</v>
      </c>
      <c r="F907" s="7" t="str">
        <f>IFERROR(__xludf.DUMMYFUNCTION("""COMPUTED_VALUE"""),"IP-Poster")</f>
        <v>IP-Poster</v>
      </c>
      <c r="G907" s="7" t="str">
        <f>IFERROR(__xludf.DUMMYFUNCTION("""COMPUTED_VALUE"""),"In-Person")</f>
        <v>In-Person</v>
      </c>
      <c r="H907" s="7" t="str">
        <f>IFERROR(__xludf.DUMMYFUNCTION("""COMPUTED_VALUE"""),"Hall 4/5")</f>
        <v>Hall 4/5</v>
      </c>
      <c r="I907" s="7" t="str">
        <f>IFERROR(__xludf.DUMMYFUNCTION("""COMPUTED_VALUE"""),"Session 7: IP-Posters")</f>
        <v>Session 7: IP-Posters</v>
      </c>
      <c r="J907" s="7" t="str">
        <f>IFERROR(__xludf.DUMMYFUNCTION("""COMPUTED_VALUE"""),"Findings Posters - In-Person 2")</f>
        <v>Findings Posters - In-Person 2</v>
      </c>
      <c r="K907" s="7"/>
      <c r="L907" s="8">
        <f>IFERROR(__xludf.DUMMYFUNCTION("""COMPUTED_VALUE"""),45867.0)</f>
        <v>45867</v>
      </c>
      <c r="M907" s="7" t="str">
        <f>IFERROR(__xludf.DUMMYFUNCTION("""COMPUTED_VALUE"""),"10:30-12:00")</f>
        <v>10:30-12:00</v>
      </c>
      <c r="N907" s="7"/>
    </row>
    <row r="908">
      <c r="A908" s="7" t="str">
        <f>IFERROR(__xludf.DUMMYFUNCTION("""COMPUTED_VALUE"""),"3196-FIND")</f>
        <v>3196-FIND</v>
      </c>
      <c r="B908" s="7" t="str">
        <f>IFERROR(__xludf.DUMMYFUNCTION("""COMPUTED_VALUE"""),"Bridging Policies, Platforms and Research: Advancing NLP for Hate Speech Proactive Mitigation")</f>
        <v>Bridging Policies, Platforms and Research: Advancing NLP for Hate Speech Proactive Mitigation</v>
      </c>
      <c r="C908" s="7" t="str">
        <f>IFERROR(__xludf.DUMMYFUNCTION("""COMPUTED_VALUE"""),"Despite regulations imposed by nations and social media platforms (Government of India, 2021; European Parliament and Council of the European Union, 2022), hateful content persists as a significant challenge. Existing approaches primarily rely on reactive"&amp;" measures such as blocking or suspending offensive messages, with emerging strategies focusing on proactive measurements like detoxification and counterspeech. In this work, we conduct a comprehensive examination of hate speech regulations and strategies "&amp;"from multiple perspectives: country regulations, social platform policies, and NLP research datasets. Our findings reveal significant inconsistencies in hate speech definitions and moderation practices across jurisdictions and platforms, alongside a lack "&amp;"of alignment with research efforts. Based on these insights, we suggest ideas and research direction for further exploration of a unified framework for automated hate speech moderation incorporating diverse strategies.")</f>
        <v>Despite regulations imposed by nations and social media platforms (Government of India, 2021; European Parliament and Council of the European Union, 2022), hateful content persists as a significant challenge. Existing approaches primarily rely on reactive measures such as blocking or suspending offensive messages, with emerging strategies focusing on proactive measurements like detoxification and counterspeech. In this work, we conduct a comprehensive examination of hate speech regulations and strategies from multiple perspectives: country regulations, social platform policies, and NLP research datasets. Our findings reveal significant inconsistencies in hate speech definitions and moderation practices across jurisdictions and platforms, alongside a lack of alignment with research efforts. Based on these insights, we suggest ideas and research direction for further exploration of a unified framework for automated hate speech moderation incorporating diverse strategies.</v>
      </c>
      <c r="D908" s="7" t="str">
        <f>IFERROR(__xludf.DUMMYFUNCTION("""COMPUTED_VALUE"""),"Seid Muhie Yimam, Daryna Dementieva")</f>
        <v>Seid Muhie Yimam, Daryna Dementieva</v>
      </c>
      <c r="E908" s="7" t="str">
        <f>IFERROR(__xludf.DUMMYFUNCTION("""COMPUTED_VALUE"""),"Yes")</f>
        <v>Yes</v>
      </c>
      <c r="F908" s="7" t="str">
        <f>IFERROR(__xludf.DUMMYFUNCTION("""COMPUTED_VALUE"""),"IP-Poster")</f>
        <v>IP-Poster</v>
      </c>
      <c r="G908" s="7" t="str">
        <f>IFERROR(__xludf.DUMMYFUNCTION("""COMPUTED_VALUE"""),"In-Person")</f>
        <v>In-Person</v>
      </c>
      <c r="H908" s="7" t="str">
        <f>IFERROR(__xludf.DUMMYFUNCTION("""COMPUTED_VALUE"""),"Hall 4/5")</f>
        <v>Hall 4/5</v>
      </c>
      <c r="I908" s="7" t="str">
        <f>IFERROR(__xludf.DUMMYFUNCTION("""COMPUTED_VALUE"""),"Session 5 :IP-Posters Find ")</f>
        <v>Session 5 :IP-Posters Find </v>
      </c>
      <c r="J908" s="7" t="str">
        <f>IFERROR(__xludf.DUMMYFUNCTION("""COMPUTED_VALUE"""),"Findings Posters - In-Person 1")</f>
        <v>Findings Posters - In-Person 1</v>
      </c>
      <c r="K908" s="7"/>
      <c r="L908" s="8">
        <f>IFERROR(__xludf.DUMMYFUNCTION("""COMPUTED_VALUE"""),45866.0)</f>
        <v>45866</v>
      </c>
      <c r="M908" s="7" t="str">
        <f>IFERROR(__xludf.DUMMYFUNCTION("""COMPUTED_VALUE"""),"18:00-19:30")</f>
        <v>18:00-19:30</v>
      </c>
      <c r="N908" s="7"/>
    </row>
    <row r="909">
      <c r="A909" s="7" t="str">
        <f>IFERROR(__xludf.DUMMYFUNCTION("""COMPUTED_VALUE"""),"3202-FIND")</f>
        <v>3202-FIND</v>
      </c>
      <c r="B909" s="7" t="str">
        <f>IFERROR(__xludf.DUMMYFUNCTION("""COMPUTED_VALUE"""),"Local Look-Ahead Guidance via Verifier-in-the-Loop for Automated Theorem Proving")</f>
        <v>Local Look-Ahead Guidance via Verifier-in-the-Loop for Automated Theorem Proving</v>
      </c>
      <c r="C909" s="7" t="str">
        <f>IFERROR(__xludf.DUMMYFUNCTION("""COMPUTED_VALUE"""),"The most promising recent methods for AI reasoning require applying variants of reinforcement learning (RL) either on rolled out trajectories from the LLMs, even for the step-wise rewards, or large quantities of human-annotated trajectory data. The relian"&amp;"ce on the rolled-out trajectory renders the compute cost and time prohibitively high. In particular, the correctness of a reasoning trajectory can typically only be judged at its completion, leading to sparse rewards in RL or requiring expensive synthetic"&amp;" data generation in expert iteration-like methods. In this work, we focus on the Automatic Theorem Proving (ATP) task and propose a novel verifier-in-the-loop design, which, unlike existing approaches that leverage feedback on the entire reasoning traject"&amp;"ory, employs an automated verifier to give intermediate feedback at each step of the reasoning process. Using Lean as the verifier, we empirically show that the step-by-step local verification produces a global improvement in the model's reasoning accurac"&amp;"y and efficiency.")</f>
        <v>The most promising recent methods for AI reasoning require applying variants of reinforcement learning (RL) either on rolled out trajectories from the LLMs, even for the step-wise rewards, or large quantities of human-annotated trajectory data. The reliance on the rolled-out trajectory renders the compute cost and time prohibitively high. In particular, the correctness of a reasoning trajectory can typically only be judged at its completion, leading to sparse rewards in RL or requiring expensive synthetic data generation in expert iteration-like methods. In this work, we focus on the Automatic Theorem Proving (ATP) task and propose a novel verifier-in-the-loop design, which, unlike existing approaches that leverage feedback on the entire reasoning trajectory, employs an automated verifier to give intermediate feedback at each step of the reasoning process. Using Lean as the verifier, we empirically show that the step-by-step local verification produces a global improvement in the model's reasoning accuracy and efficiency.</v>
      </c>
      <c r="D909" s="7" t="str">
        <f>IFERROR(__xludf.DUMMYFUNCTION("""COMPUTED_VALUE"""),"Sara Rajaee")</f>
        <v>Sara Rajaee</v>
      </c>
      <c r="E909" s="7" t="str">
        <f>IFERROR(__xludf.DUMMYFUNCTION("""COMPUTED_VALUE"""),"Yes")</f>
        <v>Yes</v>
      </c>
      <c r="F909" s="7" t="str">
        <f>IFERROR(__xludf.DUMMYFUNCTION("""COMPUTED_VALUE"""),"IP-Poster")</f>
        <v>IP-Poster</v>
      </c>
      <c r="G909" s="7" t="str">
        <f>IFERROR(__xludf.DUMMYFUNCTION("""COMPUTED_VALUE"""),"In-Person")</f>
        <v>In-Person</v>
      </c>
      <c r="H909" s="7" t="str">
        <f>IFERROR(__xludf.DUMMYFUNCTION("""COMPUTED_VALUE"""),"Hall 4/5")</f>
        <v>Hall 4/5</v>
      </c>
      <c r="I909" s="7" t="str">
        <f>IFERROR(__xludf.DUMMYFUNCTION("""COMPUTED_VALUE"""),"Session 7: IP-Posters")</f>
        <v>Session 7: IP-Posters</v>
      </c>
      <c r="J909" s="7" t="str">
        <f>IFERROR(__xludf.DUMMYFUNCTION("""COMPUTED_VALUE"""),"Findings Posters - In-Person 2")</f>
        <v>Findings Posters - In-Person 2</v>
      </c>
      <c r="K909" s="7"/>
      <c r="L909" s="8">
        <f>IFERROR(__xludf.DUMMYFUNCTION("""COMPUTED_VALUE"""),45867.0)</f>
        <v>45867</v>
      </c>
      <c r="M909" s="7" t="str">
        <f>IFERROR(__xludf.DUMMYFUNCTION("""COMPUTED_VALUE"""),"10:30-12:00")</f>
        <v>10:30-12:00</v>
      </c>
      <c r="N909" s="7"/>
    </row>
    <row r="910">
      <c r="A910" s="7" t="str">
        <f>IFERROR(__xludf.DUMMYFUNCTION("""COMPUTED_VALUE"""),"3203-FIND")</f>
        <v>3203-FIND</v>
      </c>
      <c r="B910" s="7" t="str">
        <f>IFERROR(__xludf.DUMMYFUNCTION("""COMPUTED_VALUE"""),"Generalizable Cross-Lingual Cognitive Distortion Detection with Standardized Annotations and Multi-Task Learning")</f>
        <v>Generalizable Cross-Lingual Cognitive Distortion Detection with Standardized Annotations and Multi-Task Learning</v>
      </c>
      <c r="C910" s="7" t="str">
        <f>IFERROR(__xludf.DUMMYFUNCTION("""COMPUTED_VALUE"""),"Cognitive distortion is a critical issue in psychology, with most existing studies based on Burns' cognitive distortion theory. However, differences in annotation standards lead to variations in building analysis tools, resulting in inconsistent analyses "&amp;"and limiting the generalizability of findings, especially in large-scale and cross-linguistic contexts. To address this issue, we collected all publicly available datasets (four in total) and conducted a series of experiments to evaluate the generalizabil"&amp;"ity of various cross-linguistic models. The results indicate that models exhibit significant performance differences across datasets, highlighting the generalization problem. To mitigate this issue, we propose two solutions. First, we propose a multi-task"&amp;" learning model based on teacher student architecture solution, which demonstrates improved generalization performance in our experiments. Second, we introduce a new dataset (~5,000 samples) derived from reannotating existing open datasets to ensure stand"&amp;"ardized alignment. The annotation process we provided is interpretable and grounded in psychological principles. Based on this, we constructed large language models with cognitive reasoning chains, enhancing both generalizability and interpretability. Thi"&amp;"s study identifies the generalization challenge in cognitive distortion research, and our experiments show that the proposed solutions significantly improve model performance. The dataset and code are publicly available at: https://github.com/HongzhiQ/Cro"&amp;"ssLinCD.")</f>
        <v>Cognitive distortion is a critical issue in psychology, with most existing studies based on Burns' cognitive distortion theory. However, differences in annotation standards lead to variations in building analysis tools, resulting in inconsistent analyses and limiting the generalizability of findings, especially in large-scale and cross-linguistic contexts. To address this issue, we collected all publicly available datasets (four in total) and conducted a series of experiments to evaluate the generalizability of various cross-linguistic models. The results indicate that models exhibit significant performance differences across datasets, highlighting the generalization problem. To mitigate this issue, we propose two solutions. First, we propose a multi-task learning model based on teacher student architecture solution, which demonstrates improved generalization performance in our experiments. Second, we introduce a new dataset (~5,000 samples) derived from reannotating existing open datasets to ensure standardized alignment. The annotation process we provided is interpretable and grounded in psychological principles. Based on this, we constructed large language models with cognitive reasoning chains, enhancing both generalizability and interpretability. This study identifies the generalization challenge in cognitive distortion research, and our experiments show that the proposed solutions significantly improve model performance. The dataset and code are publicly available at: https://github.com/HongzhiQ/CrossLinCD.</v>
      </c>
      <c r="D910" s="7" t="str">
        <f>IFERROR(__xludf.DUMMYFUNCTION("""COMPUTED_VALUE"""),"I do not plan to present.")</f>
        <v>I do not plan to present.</v>
      </c>
      <c r="E910" s="7" t="str">
        <f>IFERROR(__xludf.DUMMYFUNCTION("""COMPUTED_VALUE"""),"#N/A")</f>
        <v>#N/A</v>
      </c>
      <c r="F910" s="7" t="str">
        <f>IFERROR(__xludf.DUMMYFUNCTION("""COMPUTED_VALUE"""),"Not Pres. ")</f>
        <v>Not Pres. </v>
      </c>
      <c r="G910" s="7" t="str">
        <f>IFERROR(__xludf.DUMMYFUNCTION("""COMPUTED_VALUE"""),"NP Findings Not Presenting ")</f>
        <v>NP Findings Not Presenting </v>
      </c>
      <c r="H910" s="7"/>
      <c r="I910" s="7" t="str">
        <f>IFERROR(__xludf.DUMMYFUNCTION("""COMPUTED_VALUE"""),"NP-Find")</f>
        <v>NP-Find</v>
      </c>
      <c r="J910" s="7"/>
      <c r="K910" s="7"/>
      <c r="L910" s="8"/>
      <c r="M910" s="7"/>
      <c r="N910" s="7"/>
    </row>
    <row r="911">
      <c r="A911" s="7" t="str">
        <f>IFERROR(__xludf.DUMMYFUNCTION("""COMPUTED_VALUE"""),"3207-FIND")</f>
        <v>3207-FIND</v>
      </c>
      <c r="B911" s="7" t="str">
        <f>IFERROR(__xludf.DUMMYFUNCTION("""COMPUTED_VALUE"""),"How Do Multilingual Language Models Remember Facts?")</f>
        <v>How Do Multilingual Language Models Remember Facts?</v>
      </c>
      <c r="C911" s="7" t="str">
        <f>IFERROR(__xludf.DUMMYFUNCTION("""COMPUTED_VALUE"""),"Large Language Models (LLMs) store and retrieve vast amounts of factual knowledge acquired during pre-training. Prior research has localized and identified mechanisms behind knowledge recall; however, it has only focused on English monolingual models. The"&amp;" question of how these mechanisms generalize to non-English languages and multilingual LLMs remains unexplored. In this paper, we address this gap by conducting a comprehensive analysis of three multilingual LLMs. First, we show that previously identified"&amp;" recall mechanisms in English largely apply to multilingual contexts, with nuances based on language and architecture. Next, through patching intermediate representations, we localize the role of language during recall, finding that subject enrichment is "&amp;"language-independent, while object extraction is language-dependent. Additionally, we discover that the last token representation acts as a Function Vector (FV), encoding both the language of the query and the content to be extracted from the subject. Fur"&amp;"thermore, in decoder-only LLMs, FVs compose these two pieces of information in two separate stages. These insights reveal unique mechanisms in multilingual LLMs for recalling information, highlighting the need for new methodologies—such as knowledge evalu"&amp;"ation, fact editing, and knowledge acquisition—that are specifically tailored for multilingual LLMs.")</f>
        <v>Large Language Models (LLMs) store and retrieve vast amounts of factual knowledge acquired during pre-training. Prior research has localized and identified mechanisms behind knowledge recall; however, it has only focused on English monolingual models. The question of how these mechanisms generalize to non-English languages and multilingual LLMs remains unexplored. In this paper, we address this gap by conducting a comprehensive analysis of three multilingual LLMs. First, we show that previously identified recall mechanisms in English largely apply to multilingual contexts, with nuances based on language and architecture. Next, through patching intermediate representations, we localize the role of language during recall, finding that subject enrichment is language-independent, while object extraction is language-dependent. Additionally, we discover that the last token representation acts as a Function Vector (FV), encoding both the language of the query and the content to be extracted from the subject. Furthermore, in decoder-only LLMs, FVs compose these two pieces of information in two separate stages. These insights reveal unique mechanisms in multilingual LLMs for recalling information, highlighting the need for new methodologies—such as knowledge evaluation, fact editing, and knowledge acquisition—that are specifically tailored for multilingual LLMs.</v>
      </c>
      <c r="D911" s="7" t="str">
        <f>IFERROR(__xludf.DUMMYFUNCTION("""COMPUTED_VALUE"""),"Negar Foroutan, Desmond Elliott")</f>
        <v>Negar Foroutan, Desmond Elliott</v>
      </c>
      <c r="E911" s="7" t="str">
        <f>IFERROR(__xludf.DUMMYFUNCTION("""COMPUTED_VALUE"""),"Yes")</f>
        <v>Yes</v>
      </c>
      <c r="F911" s="7" t="str">
        <f>IFERROR(__xludf.DUMMYFUNCTION("""COMPUTED_VALUE"""),"IP-Poster")</f>
        <v>IP-Poster</v>
      </c>
      <c r="G911" s="7" t="str">
        <f>IFERROR(__xludf.DUMMYFUNCTION("""COMPUTED_VALUE"""),"In-Person")</f>
        <v>In-Person</v>
      </c>
      <c r="H911" s="7" t="str">
        <f>IFERROR(__xludf.DUMMYFUNCTION("""COMPUTED_VALUE"""),"Hall 4/5")</f>
        <v>Hall 4/5</v>
      </c>
      <c r="I911" s="7" t="str">
        <f>IFERROR(__xludf.DUMMYFUNCTION("""COMPUTED_VALUE"""),"Session 7: IP-Posters")</f>
        <v>Session 7: IP-Posters</v>
      </c>
      <c r="J911" s="7" t="str">
        <f>IFERROR(__xludf.DUMMYFUNCTION("""COMPUTED_VALUE"""),"Findings Posters - In-Person 2")</f>
        <v>Findings Posters - In-Person 2</v>
      </c>
      <c r="K911" s="7"/>
      <c r="L911" s="8">
        <f>IFERROR(__xludf.DUMMYFUNCTION("""COMPUTED_VALUE"""),45867.0)</f>
        <v>45867</v>
      </c>
      <c r="M911" s="7" t="str">
        <f>IFERROR(__xludf.DUMMYFUNCTION("""COMPUTED_VALUE"""),"10:30-12:00")</f>
        <v>10:30-12:00</v>
      </c>
      <c r="N911" s="7"/>
    </row>
    <row r="912">
      <c r="A912" s="7" t="str">
        <f>IFERROR(__xludf.DUMMYFUNCTION("""COMPUTED_VALUE"""),"3208-FIND")</f>
        <v>3208-FIND</v>
      </c>
      <c r="B912" s="7" t="str">
        <f>IFERROR(__xludf.DUMMYFUNCTION("""COMPUTED_VALUE"""),"SeqPO-SiMT: Sequential Policy Optimization for Simultaneous Machine Translation")</f>
        <v>SeqPO-SiMT: Sequential Policy Optimization for Simultaneous Machine Translation</v>
      </c>
      <c r="C912" s="7" t="str">
        <f>IFERROR(__xludf.DUMMYFUNCTION("""COMPUTED_VALUE"""),"We present Sequential Policy Optimization for Simultaneous Machine Translation (SeqPO-SiMT), a new policy optimization framework that defines the simultaneous machine translation (SiMT) task as a sequential decision making problem, incorporating a tailore"&amp;"d reward to enhance translation quality while reducing latency. In contrast to popular Reinforcement Learning from Human Feedback (RLHF) methods, such as PPO and DPO, which are typically applied in single-step tasks, SeqPO-SiMT effectively tackles the mul"&amp;"ti-step SiMT task. This intuitive framework allows the SiMT LLMs to simulate and refine the SiMT process using a tailored reward. We conduct experiments on six datasets from diverse domains for En → Zh and Zh → En SiMT tasks, demonstrating that SeqPO-SiMT"&amp;" consistently achieves significantly higher translation quality with lower latency. In particular, SeqPO-SiMT outperforms the supervised fine-tuning (SFT) model by 1.13 points in COMET, while reducing the Average Lagging by 6.17 in the NEWSTEST2021 En → Z"&amp;"h dataset. While SiMT operates with far less context than offline translation, the SiMT results of SeqPO-SiMT on 7B LLM surprisingly rival the offline translation of high-performing LLMs, including Qwen-2.5-7B-Instruct and LLaMA-3-8B-Instruct.")</f>
        <v>We present Sequential Policy Optimization for Simultaneous Machine Translation (SeqPO-SiMT), a new policy optimization framework that defines the simultaneous machine translation (SiMT) task as a sequential decision making problem, incorporating a tailored reward to enhance translation quality while reducing latency. In contrast to popular Reinforcement Learning from Human Feedback (RLHF) methods, such as PPO and DPO, which are typically applied in single-step tasks, SeqPO-SiMT effectively tackles the multi-step SiMT task. This intuitive framework allows the SiMT LLMs to simulate and refine the SiMT process using a tailored reward. We conduct experiments on six datasets from diverse domains for En → Zh and Zh → En SiMT tasks, demonstrating that SeqPO-SiMT consistently achieves significantly higher translation quality with lower latency. In particular, SeqPO-SiMT outperforms the supervised fine-tuning (SFT) model by 1.13 points in COMET, while reducing the Average Lagging by 6.17 in the NEWSTEST2021 En → Zh dataset. While SiMT operates with far less context than offline translation, the SiMT results of SeqPO-SiMT on 7B LLM surprisingly rival the offline translation of high-performing LLMs, including Qwen-2.5-7B-Instruct and LLaMA-3-8B-Instruct.</v>
      </c>
      <c r="D912" s="7" t="str">
        <f>IFERROR(__xludf.DUMMYFUNCTION("""COMPUTED_VALUE"""),"Ting Xu")</f>
        <v>Ting Xu</v>
      </c>
      <c r="E912" s="7" t="str">
        <f>IFERROR(__xludf.DUMMYFUNCTION("""COMPUTED_VALUE"""),"Yes")</f>
        <v>Yes</v>
      </c>
      <c r="F912" s="7" t="str">
        <f>IFERROR(__xludf.DUMMYFUNCTION("""COMPUTED_VALUE"""),"IP-Poster")</f>
        <v>IP-Poster</v>
      </c>
      <c r="G912" s="7" t="str">
        <f>IFERROR(__xludf.DUMMYFUNCTION("""COMPUTED_VALUE"""),"In-Person")</f>
        <v>In-Person</v>
      </c>
      <c r="H912" s="7" t="str">
        <f>IFERROR(__xludf.DUMMYFUNCTION("""COMPUTED_VALUE"""),"Hall 4/5")</f>
        <v>Hall 4/5</v>
      </c>
      <c r="I912" s="7" t="str">
        <f>IFERROR(__xludf.DUMMYFUNCTION("""COMPUTED_VALUE"""),"Session 5 :IP-Posters Find ")</f>
        <v>Session 5 :IP-Posters Find </v>
      </c>
      <c r="J912" s="7" t="str">
        <f>IFERROR(__xludf.DUMMYFUNCTION("""COMPUTED_VALUE"""),"Findings Posters - In-Person 1")</f>
        <v>Findings Posters - In-Person 1</v>
      </c>
      <c r="K912" s="7"/>
      <c r="L912" s="8">
        <f>IFERROR(__xludf.DUMMYFUNCTION("""COMPUTED_VALUE"""),45866.0)</f>
        <v>45866</v>
      </c>
      <c r="M912" s="7" t="str">
        <f>IFERROR(__xludf.DUMMYFUNCTION("""COMPUTED_VALUE"""),"18:00-19:30")</f>
        <v>18:00-19:30</v>
      </c>
      <c r="N912" s="7"/>
    </row>
    <row r="913">
      <c r="A913" s="7" t="str">
        <f>IFERROR(__xludf.DUMMYFUNCTION("""COMPUTED_VALUE"""),"3209-FIND")</f>
        <v>3209-FIND</v>
      </c>
      <c r="B913" s="7" t="str">
        <f>IFERROR(__xludf.DUMMYFUNCTION("""COMPUTED_VALUE"""),"Do Large Language Models Know Folktales? A Case Study of Yokai in Japanese Folktales")</f>
        <v>Do Large Language Models Know Folktales? A Case Study of Yokai in Japanese Folktales</v>
      </c>
      <c r="C913" s="7" t="str">
        <f>IFERROR(__xludf.DUMMYFUNCTION("""COMPUTED_VALUE"""),"Although Large Language Models (LLMs) have demonstrated strong language understanding and generation abilities across various languages, their cultural knowledge is often limited to English-speaking communities, which can marginalize the cultures of non-E"&amp;"nglish communities. To address the problem, the evaluation of the cultural awareness of the LLMs and the methods to develop culturally aware LLMs have been investigated. In this study, we focus on evaluating knowledge of folktales, a key medium for convey"&amp;"ing and circulating culture. In particular, we focus on Japanese folktales, specifically on knowledge of Yokai. Yokai are supernatural creatures originating from Japanese folktales that continue to be popular motifs in art and entertainment today. Yokai h"&amp;"ave long served as a medium for cultural expression, making them an ideal subject for assessing the cultural awareness of LLMs. We introduce YokaiEval, a benchmark dataset consisting of 809 multiple-choice questions (each with four options) designed to pr"&amp;"obe knowledge about yokai. We evaluate the performance of 31 Japanese and multilingual LLMs on this dataset. The results show that models trained with Japanese language resources achieve higher accuracy than English-centric models, with those that underwe"&amp;"nt continued pretraining in Japanese, particularly those based on Llama-3, performing especially well.")</f>
        <v>Although Large Language Models (LLMs) have demonstrated strong language understanding and generation abilities across various languages, their cultural knowledge is often limited to English-speaking communities, which can marginalize the cultures of non-English communities. To address the problem, the evaluation of the cultural awareness of the LLMs and the methods to develop culturally aware LLMs have been investigated. In this study, we focus on evaluating knowledge of folktales, a key medium for conveying and circulating culture. In particular, we focus on Japanese folktales, specifically on knowledge of Yokai. Yokai are supernatural creatures originating from Japanese folktales that continue to be popular motifs in art and entertainment today. Yokai have long served as a medium for cultural expression, making them an ideal subject for assessing the cultural awareness of LLMs. We introduce YokaiEval, a benchmark dataset consisting of 809 multiple-choice questions (each with four options) designed to probe knowledge about yokai. We evaluate the performance of 31 Japanese and multilingual LLMs on this dataset. The results show that models trained with Japanese language resources achieve higher accuracy than English-centric models, with those that underwent continued pretraining in Japanese, particularly those based on Llama-3, performing especially well.</v>
      </c>
      <c r="D913" s="7" t="str">
        <f>IFERROR(__xludf.DUMMYFUNCTION("""COMPUTED_VALUE"""),"Ayuto Tsutsumi")</f>
        <v>Ayuto Tsutsumi</v>
      </c>
      <c r="E913" s="7" t="str">
        <f>IFERROR(__xludf.DUMMYFUNCTION("""COMPUTED_VALUE"""),"Yes")</f>
        <v>Yes</v>
      </c>
      <c r="F913" s="7" t="str">
        <f>IFERROR(__xludf.DUMMYFUNCTION("""COMPUTED_VALUE"""),"IP-Poster")</f>
        <v>IP-Poster</v>
      </c>
      <c r="G913" s="7" t="str">
        <f>IFERROR(__xludf.DUMMYFUNCTION("""COMPUTED_VALUE"""),"In-Person")</f>
        <v>In-Person</v>
      </c>
      <c r="H913" s="7" t="str">
        <f>IFERROR(__xludf.DUMMYFUNCTION("""COMPUTED_VALUE"""),"Hall 4/5")</f>
        <v>Hall 4/5</v>
      </c>
      <c r="I913" s="7" t="str">
        <f>IFERROR(__xludf.DUMMYFUNCTION("""COMPUTED_VALUE"""),"Session 12: IP-Posters")</f>
        <v>Session 12: IP-Posters</v>
      </c>
      <c r="J913" s="7" t="str">
        <f>IFERROR(__xludf.DUMMYFUNCTION("""COMPUTED_VALUE"""),"Findings Posters - In-Person 4")</f>
        <v>Findings Posters - In-Person 4</v>
      </c>
      <c r="K913" s="7"/>
      <c r="L913" s="8">
        <f>IFERROR(__xludf.DUMMYFUNCTION("""COMPUTED_VALUE"""),45868.0)</f>
        <v>45868</v>
      </c>
      <c r="M913" s="7" t="str">
        <f>IFERROR(__xludf.DUMMYFUNCTION("""COMPUTED_VALUE"""),"11:00-12:30")</f>
        <v>11:00-12:30</v>
      </c>
      <c r="N913" s="7"/>
    </row>
    <row r="914">
      <c r="A914" s="7" t="str">
        <f>IFERROR(__xludf.DUMMYFUNCTION("""COMPUTED_VALUE"""),"3219-FIND")</f>
        <v>3219-FIND</v>
      </c>
      <c r="B914" s="7" t="str">
        <f>IFERROR(__xludf.DUMMYFUNCTION("""COMPUTED_VALUE"""),"BOSE: A Systematic Evaluation Method Optimized for Base Models")</f>
        <v>BOSE: A Systematic Evaluation Method Optimized for Base Models</v>
      </c>
      <c r="C914" s="7" t="str">
        <f>IFERROR(__xludf.DUMMYFUNCTION("""COMPUTED_VALUE"""),"This paper poses two critical issues in evaluating base models (without post-training): (1) Unstable evaluation during training: in the early stages of pre-training, the models lack the capability to answer questions as required, leading to unstable evalu"&amp;"ation results. This instability makes it difficult to provide solid conclusions to guide the training, especially for key experiments such as data ablation and scaling law. (2) Inconsistency between base and instruct models: base models generally exhibit "&amp;"poorer evaluation performance compared to corresponding instruct models. This gap poses a challenge for assessing whether a base model with better evaluation can truly lead to a better instruct model. To address these issues, we propose **B**ase model **O"&amp;"**riented **S**ystematic **E**valuation (**BOSE**), a method specifically designed to optimize the evaluation of base models. Specifically, BOSE introduces two key innovations: In-Context Light-instruction Prompt (**ICLiP**) for open-ended tasks and **Bla"&amp;"nk-ppl** for multi-choice tasks with candidate options, which transforms the standard perplexity (ppl) metric into a fill-in-the-blank format to mitigate early-stage evaluation fluctuations. Furthermore, we are the first to propose Kendall's rank correlat"&amp;"ion to quantitatively measure the evaluation stability and consistency. Experimental results demonstrate that BOSE significantly enhances both the stability of evaluations during pre-training and the consistency between base and instruct models, thereby p"&amp;"roviding more reliable guidance for the LLMs' training.")</f>
        <v>This paper poses two critical issues in evaluating base models (without post-training): (1) Unstable evaluation during training: in the early stages of pre-training, the models lack the capability to answer questions as required, leading to unstable evaluation results. This instability makes it difficult to provide solid conclusions to guide the training, especially for key experiments such as data ablation and scaling law. (2) Inconsistency between base and instruct models: base models generally exhibit poorer evaluation performance compared to corresponding instruct models. This gap poses a challenge for assessing whether a base model with better evaluation can truly lead to a better instruct model. To address these issues, we propose **B**ase model **O**riented **S**ystematic **E**valuation (**BOSE**), a method specifically designed to optimize the evaluation of base models. Specifically, BOSE introduces two key innovations: In-Context Light-instruction Prompt (**ICLiP**) for open-ended tasks and **Blank-ppl** for multi-choice tasks with candidate options, which transforms the standard perplexity (ppl) metric into a fill-in-the-blank format to mitigate early-stage evaluation fluctuations. Furthermore, we are the first to propose Kendall's rank correlation to quantitatively measure the evaluation stability and consistency. Experimental results demonstrate that BOSE significantly enhances both the stability of evaluations during pre-training and the consistency between base and instruct models, thereby providing more reliable guidance for the LLMs' training.</v>
      </c>
      <c r="D914" s="7" t="str">
        <f>IFERROR(__xludf.DUMMYFUNCTION("""COMPUTED_VALUE"""),"Changxin Tian")</f>
        <v>Changxin Tian</v>
      </c>
      <c r="E914" s="7" t="str">
        <f>IFERROR(__xludf.DUMMYFUNCTION("""COMPUTED_VALUE"""),"Yes")</f>
        <v>Yes</v>
      </c>
      <c r="F914" s="7" t="str">
        <f>IFERROR(__xludf.DUMMYFUNCTION("""COMPUTED_VALUE"""),"IP-Poster")</f>
        <v>IP-Poster</v>
      </c>
      <c r="G914" s="7" t="str">
        <f>IFERROR(__xludf.DUMMYFUNCTION("""COMPUTED_VALUE"""),"In-Person")</f>
        <v>In-Person</v>
      </c>
      <c r="H914" s="7" t="str">
        <f>IFERROR(__xludf.DUMMYFUNCTION("""COMPUTED_VALUE"""),"Hall 4/5")</f>
        <v>Hall 4/5</v>
      </c>
      <c r="I914" s="7" t="str">
        <f>IFERROR(__xludf.DUMMYFUNCTION("""COMPUTED_VALUE"""),"Session 7: IP-Posters")</f>
        <v>Session 7: IP-Posters</v>
      </c>
      <c r="J914" s="7" t="str">
        <f>IFERROR(__xludf.DUMMYFUNCTION("""COMPUTED_VALUE"""),"Findings Posters - In-Person 2")</f>
        <v>Findings Posters - In-Person 2</v>
      </c>
      <c r="K914" s="7"/>
      <c r="L914" s="8">
        <f>IFERROR(__xludf.DUMMYFUNCTION("""COMPUTED_VALUE"""),45867.0)</f>
        <v>45867</v>
      </c>
      <c r="M914" s="7" t="str">
        <f>IFERROR(__xludf.DUMMYFUNCTION("""COMPUTED_VALUE"""),"10:30-12:00")</f>
        <v>10:30-12:00</v>
      </c>
      <c r="N914" s="7"/>
    </row>
    <row r="915">
      <c r="A915" s="7" t="str">
        <f>IFERROR(__xludf.DUMMYFUNCTION("""COMPUTED_VALUE"""),"3224-FIND")</f>
        <v>3224-FIND</v>
      </c>
      <c r="B915" s="7" t="str">
        <f>IFERROR(__xludf.DUMMYFUNCTION("""COMPUTED_VALUE"""),"DPGA-TextSyn: Differentially Private Genetic Algorithm for Synthetic Text Generation")</f>
        <v>DPGA-TextSyn: Differentially Private Genetic Algorithm for Synthetic Text Generation</v>
      </c>
      <c r="C915" s="7" t="str">
        <f>IFERROR(__xludf.DUMMYFUNCTION("""COMPUTED_VALUE"""),"Using large language models (LLMs) has a potential risk of privacy leakage since the data with sensitive information may be used for fine-tuning the LLMs. Differential privacy (DP) provides theoretical guarantees of privacy protection, but its practical a"&amp;"pplication in LLMs still has the problem of privacy-utility trade-off. Researchers synthesized data with strong generation capabilities closed-source LLMs (i.e., GPT-4) under DP to alleviate this problem, but this method is not so flexible in fitting the "&amp;"given privacy distributions without fine-tuning. Besides, such methods can hardly balance the diversity of synthetic data and its relevance to target privacy data without accessing so much private data. To this end, this paper proposes DPGA-TextSyn, combi"&amp;"ning general LLMs with genetic algorithm (GA) to produce relevant and diverse synthetic text under DP constraints. First, we integrate the privacy gene (i.e., metadata) to generate better initial samples. Then, to achieve survival of the fittest and avoid"&amp;" homogeneity, we use privacy nearest neighbor voting and similarity suppression to select elite samples. In addition, we expand elite samples via genetic strategies such as mutation, crossover, and generation to expand the search scope of GA. Experiments "&amp;"show that this method significantly improves the performance of the model in downstream tasks while ensuring privacy.")</f>
        <v>Using large language models (LLMs) has a potential risk of privacy leakage since the data with sensitive information may be used for fine-tuning the LLMs. Differential privacy (DP) provides theoretical guarantees of privacy protection, but its practical application in LLMs still has the problem of privacy-utility trade-off. Researchers synthesized data with strong generation capabilities closed-source LLMs (i.e., GPT-4) under DP to alleviate this problem, but this method is not so flexible in fitting the given privacy distributions without fine-tuning. Besides, such methods can hardly balance the diversity of synthetic data and its relevance to target privacy data without accessing so much private data. To this end, this paper proposes DPGA-TextSyn, combining general LLMs with genetic algorithm (GA) to produce relevant and diverse synthetic text under DP constraints. First, we integrate the privacy gene (i.e., metadata) to generate better initial samples. Then, to achieve survival of the fittest and avoid homogeneity, we use privacy nearest neighbor voting and similarity suppression to select elite samples. In addition, we expand elite samples via genetic strategies such as mutation, crossover, and generation to expand the search scope of GA. Experiments show that this method significantly improves the performance of the model in downstream tasks while ensuring privacy.</v>
      </c>
      <c r="D915" s="7" t="str">
        <f>IFERROR(__xludf.DUMMYFUNCTION("""COMPUTED_VALUE"""),"Zhonghao Sun")</f>
        <v>Zhonghao Sun</v>
      </c>
      <c r="E915" s="7" t="str">
        <f>IFERROR(__xludf.DUMMYFUNCTION("""COMPUTED_VALUE"""),"N/A")</f>
        <v>N/A</v>
      </c>
      <c r="F915" s="7" t="str">
        <f>IFERROR(__xludf.DUMMYFUNCTION("""COMPUTED_VALUE"""),"Not Pres. ")</f>
        <v>Not Pres. </v>
      </c>
      <c r="G915" s="7" t="str">
        <f>IFERROR(__xludf.DUMMYFUNCTION("""COMPUTED_VALUE"""),"NP Findings Not Presenting ")</f>
        <v>NP Findings Not Presenting </v>
      </c>
      <c r="H915" s="7"/>
      <c r="I915" s="7"/>
      <c r="J915" s="7"/>
      <c r="K915" s="7"/>
      <c r="L915" s="8"/>
      <c r="M915" s="7"/>
      <c r="N915" s="7"/>
    </row>
    <row r="916">
      <c r="A916" s="7" t="str">
        <f>IFERROR(__xludf.DUMMYFUNCTION("""COMPUTED_VALUE"""),"3230-FIND")</f>
        <v>3230-FIND</v>
      </c>
      <c r="B916" s="7" t="str">
        <f>IFERROR(__xludf.DUMMYFUNCTION("""COMPUTED_VALUE"""),"Semantic Aware Linear Transfer by Recycling Pre-trained Language Models for Cross-lingual Transfer")</f>
        <v>Semantic Aware Linear Transfer by Recycling Pre-trained Language Models for Cross-lingual Transfer</v>
      </c>
      <c r="C916" s="7" t="str">
        <f>IFERROR(__xludf.DUMMYFUNCTION("""COMPUTED_VALUE"""),"Large Language Models (LLMs) increasingly incorporate multilingual capabilities, fueling the demand to transfer them into target language-specific models. However, most approaches, which blend the source model’s embedding by replacing the source vocabular"&amp;"y with the target language-specific vocabulary, may constrain expressive capacity in the target language since the source model is predominantly trained on English data. In this paper, we propose Semantic Aware Linear Transfer (SALT), a novel cross-lingua"&amp;"l transfer technique that recycles embeddings from target language Pre-trained Language Models (PLMs) to transmit the deep representational strengths of PLM-derived embedding to LLMs. SALT derives unique regression lines based on the similarity in the ove"&amp;"rlap of the source and target vocabularies, to handle each non-overlapping token's embedding space. Our extensive experiments show that SALT significantly outperforms other transfer methods and achieves lower loss with accelerating faster convergence duri"&amp;"ng language adaptation. Notably, SALT obtains remarkable performance in cross-lingual understanding setups compared to other methods. Furthermore, we highlight the scalable use of PLMs to enhance the functionality of contemporary LLMs by conducting experi"&amp;"ments with varying architectures.")</f>
        <v>Large Language Models (LLMs) increasingly incorporate multilingual capabilities, fueling the demand to transfer them into target language-specific models. However, most approaches, which blend the source model’s embedding by replacing the source vocabulary with the target language-specific vocabulary, may constrain expressive capacity in the target language since the source model is predominantly trained on English data. In this paper, we propose Semantic Aware Linear Transfer (SALT), a novel cross-lingual transfer technique that recycles embeddings from target language Pre-trained Language Models (PLMs) to transmit the deep representational strengths of PLM-derived embedding to LLMs. SALT derives unique regression lines based on the similarity in the overlap of the source and target vocabularies, to handle each non-overlapping token's embedding space. Our extensive experiments show that SALT significantly outperforms other transfer methods and achieves lower loss with accelerating faster convergence during language adaptation. Notably, SALT obtains remarkable performance in cross-lingual understanding setups compared to other methods. Furthermore, we highlight the scalable use of PLMs to enhance the functionality of contemporary LLMs by conducting experiments with varying architectures.</v>
      </c>
      <c r="D916" s="7" t="str">
        <f>IFERROR(__xludf.DUMMYFUNCTION("""COMPUTED_VALUE"""),"Seungyoon Lee")</f>
        <v>Seungyoon Lee</v>
      </c>
      <c r="E916" s="7" t="str">
        <f>IFERROR(__xludf.DUMMYFUNCTION("""COMPUTED_VALUE"""),"Yes")</f>
        <v>Yes</v>
      </c>
      <c r="F916" s="7" t="str">
        <f>IFERROR(__xludf.DUMMYFUNCTION("""COMPUTED_VALUE"""),"IP-Poster")</f>
        <v>IP-Poster</v>
      </c>
      <c r="G916" s="7" t="str">
        <f>IFERROR(__xludf.DUMMYFUNCTION("""COMPUTED_VALUE"""),"In-Person")</f>
        <v>In-Person</v>
      </c>
      <c r="H916" s="7" t="str">
        <f>IFERROR(__xludf.DUMMYFUNCTION("""COMPUTED_VALUE"""),"Hall 4/5")</f>
        <v>Hall 4/5</v>
      </c>
      <c r="I916" s="7" t="str">
        <f>IFERROR(__xludf.DUMMYFUNCTION("""COMPUTED_VALUE"""),"Session 5 :IP-Posters Find ")</f>
        <v>Session 5 :IP-Posters Find </v>
      </c>
      <c r="J916" s="7" t="str">
        <f>IFERROR(__xludf.DUMMYFUNCTION("""COMPUTED_VALUE"""),"Findings Posters - In-Person 1")</f>
        <v>Findings Posters - In-Person 1</v>
      </c>
      <c r="K916" s="7"/>
      <c r="L916" s="8">
        <f>IFERROR(__xludf.DUMMYFUNCTION("""COMPUTED_VALUE"""),45866.0)</f>
        <v>45866</v>
      </c>
      <c r="M916" s="7" t="str">
        <f>IFERROR(__xludf.DUMMYFUNCTION("""COMPUTED_VALUE"""),"18:00-19:30")</f>
        <v>18:00-19:30</v>
      </c>
      <c r="N916" s="7"/>
    </row>
    <row r="917">
      <c r="A917" s="7" t="str">
        <f>IFERROR(__xludf.DUMMYFUNCTION("""COMPUTED_VALUE"""),"3231-FIND")</f>
        <v>3231-FIND</v>
      </c>
      <c r="B917" s="7" t="str">
        <f>IFERROR(__xludf.DUMMYFUNCTION("""COMPUTED_VALUE"""),"Boost, Disentangle, and Customize: A Robust System2-to-System1 Pipeline for Code Generation")</f>
        <v>Boost, Disentangle, and Customize: A Robust System2-to-System1 Pipeline for Code Generation</v>
      </c>
      <c r="C917" s="7" t="str">
        <f>IFERROR(__xludf.DUMMYFUNCTION("""COMPUTED_VALUE"""),"Large language models (LLMs) have demonstrated remarkable capabilities in various domains, particularly in system 1 tasks, yet the intricacies of their problem-solving mechanisms in system 2 tasks are not sufficiently explored. Recent research on System2-"&amp;"to-System1 methods surge, exploring the System 2 reasoning knowledge via inference-time computation and compressing the explored knowledge into System 1 process. In this paper, we focus on code generation, which is a representative System 2 task, and iden"&amp;"tify two primary challenges: (1) the complex hidden reasoning processes and (2) the heterogeneous data distributions that complicate the exploration and training of robust LLM solvers. To tackle these issues, we propose a novel BDC framework that explores"&amp;" insightful System 2 knowledge of LLMs using a MC-Tree-Of-Agents algorithm with mutual \textbf{B}oosting, \textbf{D}isentangles the heterogeneous training data for composable LoRA-experts, and obtain \textbf{C}ustomized problem solver for each data instan"&amp;"ce with an input-aware hypernetwork to weight over the LoRA-experts, offering effectiveness, flexibility, and robustness. This framework leverages multiple LLMs through mutual verification and boosting, integrated into a Monte-Carlo Tree Search process en"&amp;"hanced by reflection-based pruning and refinement. Additionally, we introduce the DisenLora algorithm, which clusters heterogeneous data to fine-tune LLMs into composable Lora experts, enabling the adaptive generation of customized problem solvers through"&amp;" an input-aware hypernetwork. Our contributions include the identification of critical challenges in existing methodologies, the development of the MC-Tree-of-Agents algorithm for insightful data collection, and the creation of a robust and flexible solut"&amp;"ion for code generation. This work lays the groundwork for advancing LLM capabilities in complex reasoning tasks, offering a novel System2-to-System1 solution.")</f>
        <v>Large language models (LLMs) have demonstrated remarkable capabilities in various domains, particularly in system 1 tasks, yet the intricacies of their problem-solving mechanisms in system 2 tasks are not sufficiently explored. Recent research on System2-to-System1 methods surge, exploring the System 2 reasoning knowledge via inference-time computation and compressing the explored knowledge into System 1 process. In this paper, we focus on code generation, which is a representative System 2 task, and identify two primary challenges: (1) the complex hidden reasoning processes and (2) the heterogeneous data distributions that complicate the exploration and training of robust LLM solvers. To tackle these issues, we propose a novel BDC framework that explores insightful System 2 knowledge of LLMs using a MC-Tree-Of-Agents algorithm with mutual \textbf{B}oosting, \textbf{D}isentangles the heterogeneous training data for composable LoRA-experts, and obtain \textbf{C}ustomized problem solver for each data instance with an input-aware hypernetwork to weight over the LoRA-experts, offering effectiveness, flexibility, and robustness. This framework leverages multiple LLMs through mutual verification and boosting, integrated into a Monte-Carlo Tree Search process enhanced by reflection-based pruning and refinement. Additionally, we introduce the DisenLora algorithm, which clusters heterogeneous data to fine-tune LLMs into composable Lora experts, enabling the adaptive generation of customized problem solvers through an input-aware hypernetwork. Our contributions include the identification of critical challenges in existing methodologies, the development of the MC-Tree-of-Agents algorithm for insightful data collection, and the creation of a robust and flexible solution for code generation. This work lays the groundwork for advancing LLM capabilities in complex reasoning tasks, offering a novel System2-to-System1 solution.</v>
      </c>
      <c r="D917" s="7" t="str">
        <f>IFERROR(__xludf.DUMMYFUNCTION("""COMPUTED_VALUE"""),"Kounianhua Du")</f>
        <v>Kounianhua Du</v>
      </c>
      <c r="E917" s="7" t="str">
        <f>IFERROR(__xludf.DUMMYFUNCTION("""COMPUTED_VALUE"""),"Yes")</f>
        <v>Yes</v>
      </c>
      <c r="F917" s="7" t="str">
        <f>IFERROR(__xludf.DUMMYFUNCTION("""COMPUTED_VALUE"""),"IP-Poster")</f>
        <v>IP-Poster</v>
      </c>
      <c r="G917" s="7" t="str">
        <f>IFERROR(__xludf.DUMMYFUNCTION("""COMPUTED_VALUE"""),"In-Person")</f>
        <v>In-Person</v>
      </c>
      <c r="H917" s="7" t="str">
        <f>IFERROR(__xludf.DUMMYFUNCTION("""COMPUTED_VALUE"""),"Hall 4/5")</f>
        <v>Hall 4/5</v>
      </c>
      <c r="I917" s="7" t="str">
        <f>IFERROR(__xludf.DUMMYFUNCTION("""COMPUTED_VALUE"""),"Session 10: IP-Posters")</f>
        <v>Session 10: IP-Posters</v>
      </c>
      <c r="J917" s="7" t="str">
        <f>IFERROR(__xludf.DUMMYFUNCTION("""COMPUTED_VALUE"""),"Findings Posters - In-Person 3")</f>
        <v>Findings Posters - In-Person 3</v>
      </c>
      <c r="K917" s="7"/>
      <c r="L917" s="8">
        <f>IFERROR(__xludf.DUMMYFUNCTION("""COMPUTED_VALUE"""),45867.0)</f>
        <v>45867</v>
      </c>
      <c r="M917" s="7" t="str">
        <f>IFERROR(__xludf.DUMMYFUNCTION("""COMPUTED_VALUE"""),"16:00-17:30")</f>
        <v>16:00-17:30</v>
      </c>
      <c r="N917" s="7"/>
    </row>
    <row r="918">
      <c r="A918" s="7" t="str">
        <f>IFERROR(__xludf.DUMMYFUNCTION("""COMPUTED_VALUE"""),"3234-FIND")</f>
        <v>3234-FIND</v>
      </c>
      <c r="B918" s="7" t="str">
        <f>IFERROR(__xludf.DUMMYFUNCTION("""COMPUTED_VALUE"""),"On the Consistency of Commonsense in Large Language Models")</f>
        <v>On the Consistency of Commonsense in Large Language Models</v>
      </c>
      <c r="C918" s="7" t="str">
        <f>IFERROR(__xludf.DUMMYFUNCTION("""COMPUTED_VALUE"""),"Commonsense, humans' implicit understanding of everyday situations, is crucial for large language models (LLMs). Existing commonsense evaluations for LLMs primarily focus on downstream knowledge tasks, failing to probe whether LLMs truly understand and ut"&amp;"ilize knowledge or merely memorize it. They also rely heavily on human annotation and lack automated large-scale data generation. To address this, we propose to automatically construct a large benchmark named CoCo (Consistency of Commonsense) comprising 3"&amp;"9K samples derived from commonsense knowledge graphs (CSKGs), paired with symbolic questions and ground-truth answers, which systematically assesses LLMs' knowledge memorization, comprehension, and application and examines the consistency between these ta"&amp;"sks. To enhance our evaluation, we also propose novel metrics and prompting strategies. Experimental results on multiple LLMs reveal that CoCo presents significant challenges, and our detailed analysis provides deeper insights into the strengths and limit"&amp;"ations of LLMs' commonsense abilities.")</f>
        <v>Commonsense, humans' implicit understanding of everyday situations, is crucial for large language models (LLMs). Existing commonsense evaluations for LLMs primarily focus on downstream knowledge tasks, failing to probe whether LLMs truly understand and utilize knowledge or merely memorize it. They also rely heavily on human annotation and lack automated large-scale data generation. To address this, we propose to automatically construct a large benchmark named CoCo (Consistency of Commonsense) comprising 39K samples derived from commonsense knowledge graphs (CSKGs), paired with symbolic questions and ground-truth answers, which systematically assesses LLMs' knowledge memorization, comprehension, and application and examines the consistency between these tasks. To enhance our evaluation, we also propose novel metrics and prompting strategies. Experimental results on multiple LLMs reveal that CoCo presents significant challenges, and our detailed analysis provides deeper insights into the strengths and limitations of LLMs' commonsense abilities.</v>
      </c>
      <c r="D918" s="7" t="str">
        <f>IFERROR(__xludf.DUMMYFUNCTION("""COMPUTED_VALUE"""),"NA")</f>
        <v>NA</v>
      </c>
      <c r="E918" s="7" t="str">
        <f>IFERROR(__xludf.DUMMYFUNCTION("""COMPUTED_VALUE"""),"#N/A")</f>
        <v>#N/A</v>
      </c>
      <c r="F918" s="7" t="str">
        <f>IFERROR(__xludf.DUMMYFUNCTION("""COMPUTED_VALUE"""),"Not Pres. ")</f>
        <v>Not Pres. </v>
      </c>
      <c r="G918" s="7" t="str">
        <f>IFERROR(__xludf.DUMMYFUNCTION("""COMPUTED_VALUE"""),"NP Findings Not Presenting ")</f>
        <v>NP Findings Not Presenting </v>
      </c>
      <c r="H918" s="7"/>
      <c r="I918" s="7" t="str">
        <f>IFERROR(__xludf.DUMMYFUNCTION("""COMPUTED_VALUE"""),"NP-Find")</f>
        <v>NP-Find</v>
      </c>
      <c r="J918" s="7"/>
      <c r="K918" s="7"/>
      <c r="L918" s="8"/>
      <c r="M918" s="7"/>
      <c r="N918" s="7"/>
    </row>
    <row r="919">
      <c r="A919" s="7" t="str">
        <f>IFERROR(__xludf.DUMMYFUNCTION("""COMPUTED_VALUE"""),"3238-FIND")</f>
        <v>3238-FIND</v>
      </c>
      <c r="B919" s="7" t="str">
        <f>IFERROR(__xludf.DUMMYFUNCTION("""COMPUTED_VALUE"""),"Statement-Tuning Enables Efficient Cross-lingual Generalization in Encoder-only Models")</f>
        <v>Statement-Tuning Enables Efficient Cross-lingual Generalization in Encoder-only Models</v>
      </c>
      <c r="C919" s="7" t="str">
        <f>IFERROR(__xludf.DUMMYFUNCTION("""COMPUTED_VALUE"""),"Large Language Models (LLMs) excel in zero-shot and few-shot tasks, but achieving similar performance with encoder-only models like BERT and RoBERTa has been challenging due to their architecture. However, encoders offer advantages such as lower computati"&amp;"onal and memory costs. Recent work adapts them for zero-shot generalization using Statement Tuning, which reformulates tasks into finite templates. We extend this approach to multilingual NLP, exploring whether encoders can achieve zero-shot cross-lingual"&amp;" generalization and serve as efficient alternatives to memory-intensive LLMs for low-resource languages. Our results show that state-of-the-art encoder models generalize well across languages, rivaling multilingual LLMs while being more efficient. We also"&amp;" analyze multilingual Statement Tuning dataset design, efficiency gains, and language-specific generalization, contributing to more inclusive and resource-efficient NLP models.")</f>
        <v>Large Language Models (LLMs) excel in zero-shot and few-shot tasks, but achieving similar performance with encoder-only models like BERT and RoBERTa has been challenging due to their architecture. However, encoders offer advantages such as lower computational and memory costs. Recent work adapts them for zero-shot generalization using Statement Tuning, which reformulates tasks into finite templates. We extend this approach to multilingual NLP, exploring whether encoders can achieve zero-shot cross-lingual generalization and serve as efficient alternatives to memory-intensive LLMs for low-resource languages. Our results show that state-of-the-art encoder models generalize well across languages, rivaling multilingual LLMs while being more efficient. We also analyze multilingual Statement Tuning dataset design, efficiency gains, and language-specific generalization, contributing to more inclusive and resource-efficient NLP models.</v>
      </c>
      <c r="D919" s="7" t="str">
        <f>IFERROR(__xludf.DUMMYFUNCTION("""COMPUTED_VALUE"""),"Ahmed Elshabrawy")</f>
        <v>Ahmed Elshabrawy</v>
      </c>
      <c r="E919" s="7" t="str">
        <f>IFERROR(__xludf.DUMMYFUNCTION("""COMPUTED_VALUE"""),"Yes")</f>
        <v>Yes</v>
      </c>
      <c r="F919" s="7" t="str">
        <f>IFERROR(__xludf.DUMMYFUNCTION("""COMPUTED_VALUE"""),"IP-Poster")</f>
        <v>IP-Poster</v>
      </c>
      <c r="G919" s="7" t="str">
        <f>IFERROR(__xludf.DUMMYFUNCTION("""COMPUTED_VALUE"""),"In-Person")</f>
        <v>In-Person</v>
      </c>
      <c r="H919" s="7" t="str">
        <f>IFERROR(__xludf.DUMMYFUNCTION("""COMPUTED_VALUE"""),"Hall 4/5")</f>
        <v>Hall 4/5</v>
      </c>
      <c r="I919" s="7" t="str">
        <f>IFERROR(__xludf.DUMMYFUNCTION("""COMPUTED_VALUE"""),"Session 5 :IP-Posters Find ")</f>
        <v>Session 5 :IP-Posters Find </v>
      </c>
      <c r="J919" s="7" t="str">
        <f>IFERROR(__xludf.DUMMYFUNCTION("""COMPUTED_VALUE"""),"Findings Posters - In-Person 1")</f>
        <v>Findings Posters - In-Person 1</v>
      </c>
      <c r="K919" s="7"/>
      <c r="L919" s="8">
        <f>IFERROR(__xludf.DUMMYFUNCTION("""COMPUTED_VALUE"""),45866.0)</f>
        <v>45866</v>
      </c>
      <c r="M919" s="7" t="str">
        <f>IFERROR(__xludf.DUMMYFUNCTION("""COMPUTED_VALUE"""),"18:00-19:30")</f>
        <v>18:00-19:30</v>
      </c>
      <c r="N919" s="7"/>
    </row>
    <row r="920">
      <c r="A920" s="7" t="str">
        <f>IFERROR(__xludf.DUMMYFUNCTION("""COMPUTED_VALUE"""),"3241-FIND")</f>
        <v>3241-FIND</v>
      </c>
      <c r="B920" s="7" t="str">
        <f>IFERROR(__xludf.DUMMYFUNCTION("""COMPUTED_VALUE"""),"Evaluating Large Language Models for Confidence-based Check Set Selection")</f>
        <v>Evaluating Large Language Models for Confidence-based Check Set Selection</v>
      </c>
      <c r="C920" s="7" t="str">
        <f>IFERROR(__xludf.DUMMYFUNCTION("""COMPUTED_VALUE"""),"Large Language Models (LLMs) have shown promise in automating high-labor data tasks, but the adoption of LLMs in high-stake scenarios faces two key challenges: their tendency to answer despite uncertainty and their difficulty handling long input contexts "&amp;"robustly.
We investigate commonly used off-the-shelf LLMs' ability to identify low-confidence outputs for human review through ""check set selection""--a process where LLMs prioritize information needing human judgment.
Using a case study on social media "&amp;"monitoring for disaster risk management,
we define the “check set” as a list of tweets escalated to the disaster manager when the LLM has the least confidence, enabling human oversight within budgeted effort.
We test two strategies for LLM check set selec"&amp;"tion: *individual confidence elicitation* -- LLMs assesses confidence for each tweet classification individually, requiring more prompts with shorter contexts, and *direct set confidence elicitation* -- LLM evaluates confidence for a list of tweet classif"&amp;"ications at once, using less prompts but longer contexts.
Our results reveal that set selection via individual probabilities is more reliable but that direct set confidence merits further investigation.
Direct set selection challenges include inconsistent"&amp;" outputs, incorrect check set size, and low inter-annotator agreement. 
Despite these challenges, our approach improves collaborative disaster tweet classification by outperforming random-sample check set selection, demonstrating the potential of human-LL"&amp;"M collaboration.")</f>
        <v>Large Language Models (LLMs) have shown promise in automating high-labor data tasks, but the adoption of LLMs in high-stake scenarios faces two key challenges: their tendency to answer despite uncertainty and their difficulty handling long input contexts robustly.
We investigate commonly used off-the-shelf LLMs' ability to identify low-confidence outputs for human review through "check set selection"--a process where LLMs prioritize information needing human judgment.
Using a case study on social media monitoring for disaster risk management,
we define the “check set” as a list of tweets escalated to the disaster manager when the LLM has the least confidence, enabling human oversight within budgeted effort.
We test two strategies for LLM check set selection: *individual confidence elicitation* -- LLMs assesses confidence for each tweet classification individually, requiring more prompts with shorter contexts, and *direct set confidence elicitation* -- LLM evaluates confidence for a list of tweet classifications at once, using less prompts but longer contexts.
Our results reveal that set selection via individual probabilities is more reliable but that direct set confidence merits further investigation.
Direct set selection challenges include inconsistent outputs, incorrect check set size, and low inter-annotator agreement. 
Despite these challenges, our approach improves collaborative disaster tweet classification by outperforming random-sample check set selection, demonstrating the potential of human-LLM collaboration.</v>
      </c>
      <c r="D920" s="7" t="str">
        <f>IFERROR(__xludf.DUMMYFUNCTION("""COMPUTED_VALUE"""),"Jane Arleth dela Cruz")</f>
        <v>Jane Arleth dela Cruz</v>
      </c>
      <c r="E920" s="7" t="str">
        <f>IFERROR(__xludf.DUMMYFUNCTION("""COMPUTED_VALUE"""),"Yes")</f>
        <v>Yes</v>
      </c>
      <c r="F920" s="7" t="str">
        <f>IFERROR(__xludf.DUMMYFUNCTION("""COMPUTED_VALUE"""),"IP-Poster")</f>
        <v>IP-Poster</v>
      </c>
      <c r="G920" s="7" t="str">
        <f>IFERROR(__xludf.DUMMYFUNCTION("""COMPUTED_VALUE"""),"In-Person")</f>
        <v>In-Person</v>
      </c>
      <c r="H920" s="7" t="str">
        <f>IFERROR(__xludf.DUMMYFUNCTION("""COMPUTED_VALUE"""),"Hall 4/5")</f>
        <v>Hall 4/5</v>
      </c>
      <c r="I920" s="7" t="str">
        <f>IFERROR(__xludf.DUMMYFUNCTION("""COMPUTED_VALUE"""),"Session 7: IP-Posters")</f>
        <v>Session 7: IP-Posters</v>
      </c>
      <c r="J920" s="7" t="str">
        <f>IFERROR(__xludf.DUMMYFUNCTION("""COMPUTED_VALUE"""),"Findings Posters - In-Person 2")</f>
        <v>Findings Posters - In-Person 2</v>
      </c>
      <c r="K920" s="7"/>
      <c r="L920" s="8">
        <f>IFERROR(__xludf.DUMMYFUNCTION("""COMPUTED_VALUE"""),45867.0)</f>
        <v>45867</v>
      </c>
      <c r="M920" s="7" t="str">
        <f>IFERROR(__xludf.DUMMYFUNCTION("""COMPUTED_VALUE"""),"10:30-12:00")</f>
        <v>10:30-12:00</v>
      </c>
      <c r="N920" s="7"/>
    </row>
    <row r="921">
      <c r="A921" s="7" t="str">
        <f>IFERROR(__xludf.DUMMYFUNCTION("""COMPUTED_VALUE"""),"3244-FIND")</f>
        <v>3244-FIND</v>
      </c>
      <c r="B921" s="7" t="str">
        <f>IFERROR(__xludf.DUMMYFUNCTION("""COMPUTED_VALUE"""),"Training Multi-Modal LLMs through Dialogue Planning for HRI")</f>
        <v>Training Multi-Modal LLMs through Dialogue Planning for HRI</v>
      </c>
      <c r="C921" s="7" t="str">
        <f>IFERROR(__xludf.DUMMYFUNCTION("""COMPUTED_VALUE"""),"Grounded natural language understanding in Human-Robot Interaction (HRI) requires integrating linguistic, visual, and world knowledge to ensure effective task execution. We propose an approach that enhances Multi-Modal Large Language Models (MLLMs) with a"&amp;" novel explicit dialogue planning phase, allowing robotic agents to systematically refine their understanding of ambiguous commands through structured clarification steps. This reduces hallucinations and improves task feasibility.
To evaluate this approac"&amp;"h, we introduce a novel dataset of over 1,100 annotated dialogues in English and Italian, designed for fine-tuning and assessing Multi-Modal models in HRI scenarios. Experimental results show that dialogue planning improves response accuracy and quality, "&amp;"and contributes to cross-lingual generalisation, enabling models trained in one language to transfer effectively to another. To the best of our knowledge, this is the first application of structured, goal-driven, and explicit dialogue planning in Multi-Mo"&amp;"dal LLMs for grounded interaction.")</f>
        <v>Grounded natural language understanding in Human-Robot Interaction (HRI) requires integrating linguistic, visual, and world knowledge to ensure effective task execution. We propose an approach that enhances Multi-Modal Large Language Models (MLLMs) with a novel explicit dialogue planning phase, allowing robotic agents to systematically refine their understanding of ambiguous commands through structured clarification steps. This reduces hallucinations and improves task feasibility.
To evaluate this approach, we introduce a novel dataset of over 1,100 annotated dialogues in English and Italian, designed for fine-tuning and assessing Multi-Modal models in HRI scenarios. Experimental results show that dialogue planning improves response accuracy and quality, and contributes to cross-lingual generalisation, enabling models trained in one language to transfer effectively to another. To the best of our knowledge, this is the first application of structured, goal-driven, and explicit dialogue planning in Multi-Modal LLMs for grounded interaction.</v>
      </c>
      <c r="D921" s="7" t="str">
        <f>IFERROR(__xludf.DUMMYFUNCTION("""COMPUTED_VALUE"""),"Claudiu Daniel Hromei")</f>
        <v>Claudiu Daniel Hromei</v>
      </c>
      <c r="E921" s="7" t="str">
        <f>IFERROR(__xludf.DUMMYFUNCTION("""COMPUTED_VALUE"""),"Yes")</f>
        <v>Yes</v>
      </c>
      <c r="F921" s="7" t="str">
        <f>IFERROR(__xludf.DUMMYFUNCTION("""COMPUTED_VALUE"""),"IP-Poster")</f>
        <v>IP-Poster</v>
      </c>
      <c r="G921" s="7" t="str">
        <f>IFERROR(__xludf.DUMMYFUNCTION("""COMPUTED_VALUE"""),"In-Person")</f>
        <v>In-Person</v>
      </c>
      <c r="H921" s="7" t="str">
        <f>IFERROR(__xludf.DUMMYFUNCTION("""COMPUTED_VALUE"""),"Hall 4/5")</f>
        <v>Hall 4/5</v>
      </c>
      <c r="I921" s="7" t="str">
        <f>IFERROR(__xludf.DUMMYFUNCTION("""COMPUTED_VALUE"""),"Session 5 :IP-Posters Find ")</f>
        <v>Session 5 :IP-Posters Find </v>
      </c>
      <c r="J921" s="7" t="str">
        <f>IFERROR(__xludf.DUMMYFUNCTION("""COMPUTED_VALUE"""),"Findings Posters - In-Person 1")</f>
        <v>Findings Posters - In-Person 1</v>
      </c>
      <c r="K921" s="7"/>
      <c r="L921" s="8">
        <f>IFERROR(__xludf.DUMMYFUNCTION("""COMPUTED_VALUE"""),45866.0)</f>
        <v>45866</v>
      </c>
      <c r="M921" s="7" t="str">
        <f>IFERROR(__xludf.DUMMYFUNCTION("""COMPUTED_VALUE"""),"18:00-19:30")</f>
        <v>18:00-19:30</v>
      </c>
      <c r="N921" s="7"/>
    </row>
    <row r="922">
      <c r="A922" s="7" t="str">
        <f>IFERROR(__xludf.DUMMYFUNCTION("""COMPUTED_VALUE"""),"3249-FIND")</f>
        <v>3249-FIND</v>
      </c>
      <c r="B922" s="7" t="str">
        <f>IFERROR(__xludf.DUMMYFUNCTION("""COMPUTED_VALUE"""),"MVL-SIB: A Massively Multilingual Vision-Language Benchmark for Cross-Modal Topical Matching")</f>
        <v>MVL-SIB: A Massively Multilingual Vision-Language Benchmark for Cross-Modal Topical Matching</v>
      </c>
      <c r="C922" s="7" t="str">
        <f>IFERROR(__xludf.DUMMYFUNCTION("""COMPUTED_VALUE"""),"Existing multilingual vision-language (VL) benchmarks often only cover a handful of languages. Consequently, evaluations of large vision-language models (LVLMs) predominantly target high-resource languages, underscoring the need for evaluation data for lo"&amp;"w-resource languages. To address this limitation, we introduce MVL-SIB, a massively multilingual vision-language benchmark that evaluates both cross-modal and text-only topical matching across 205 languages -- over 100 more than the most multilingual exis"&amp;"ting VL benchmarks encompass. We then benchmark a range of of open-weight LVLMs together with GPT-4o(-mini) on MVL-SIB. Our results reveal that LVLMs struggle in cross-modal topic matching in lower-resource languages, performing no better than chance on l"&amp;"anguages like N'Koo. Our analysis further reveals that VL support in LVLMs declines disproportionately relative to textual support for lower-resource languages, as evidenced by comparison of cross-modal and text-only topical matching performance. We furth"&amp;"er observe that open-weight LVLMs do not benefit from representing a topic with more than one image, suggesting that these models are not yet fully effective at handling multi-image tasks. By correlating performance on MVL-SIB with other multilingual VL b"&amp;"enchmarks, we highlight that MVL-SIB serves as a comprehensive probe of multilingual VL understanding in LVLMs.")</f>
        <v>Existing multilingual vision-language (VL) benchmarks often only cover a handful of languages. Consequently, evaluations of large vision-language models (LVLMs) predominantly target high-resource languages, underscoring the need for evaluation data for low-resource languages. To address this limitation, we introduce MVL-SIB, a massively multilingual vision-language benchmark that evaluates both cross-modal and text-only topical matching across 205 languages -- over 100 more than the most multilingual existing VL benchmarks encompass. We then benchmark a range of of open-weight LVLMs together with GPT-4o(-mini) on MVL-SIB. Our results reveal that LVLMs struggle in cross-modal topic matching in lower-resource languages, performing no better than chance on languages like N'Koo. Our analysis further reveals that VL support in LVLMs declines disproportionately relative to textual support for lower-resource languages, as evidenced by comparison of cross-modal and text-only topical matching performance. We further observe that open-weight LVLMs do not benefit from representing a topic with more than one image, suggesting that these models are not yet fully effective at handling multi-image tasks. By correlating performance on MVL-SIB with other multilingual VL benchmarks, we highlight that MVL-SIB serves as a comprehensive probe of multilingual VL understanding in LVLMs.</v>
      </c>
      <c r="D922" s="7" t="str">
        <f>IFERROR(__xludf.DUMMYFUNCTION("""COMPUTED_VALUE"""),"Fabian David Schmidt")</f>
        <v>Fabian David Schmidt</v>
      </c>
      <c r="E922" s="7" t="str">
        <f>IFERROR(__xludf.DUMMYFUNCTION("""COMPUTED_VALUE"""),"Yes")</f>
        <v>Yes</v>
      </c>
      <c r="F922" s="7" t="str">
        <f>IFERROR(__xludf.DUMMYFUNCTION("""COMPUTED_VALUE"""),"IP-Poster")</f>
        <v>IP-Poster</v>
      </c>
      <c r="G922" s="7" t="str">
        <f>IFERROR(__xludf.DUMMYFUNCTION("""COMPUTED_VALUE"""),"In-Person")</f>
        <v>In-Person</v>
      </c>
      <c r="H922" s="7" t="str">
        <f>IFERROR(__xludf.DUMMYFUNCTION("""COMPUTED_VALUE"""),"Hall 4/5")</f>
        <v>Hall 4/5</v>
      </c>
      <c r="I922" s="7" t="str">
        <f>IFERROR(__xludf.DUMMYFUNCTION("""COMPUTED_VALUE"""),"Session 5 :IP-Posters Find ")</f>
        <v>Session 5 :IP-Posters Find </v>
      </c>
      <c r="J922" s="7" t="str">
        <f>IFERROR(__xludf.DUMMYFUNCTION("""COMPUTED_VALUE"""),"Findings Posters - In-Person 1")</f>
        <v>Findings Posters - In-Person 1</v>
      </c>
      <c r="K922" s="7"/>
      <c r="L922" s="8">
        <f>IFERROR(__xludf.DUMMYFUNCTION("""COMPUTED_VALUE"""),45866.0)</f>
        <v>45866</v>
      </c>
      <c r="M922" s="7" t="str">
        <f>IFERROR(__xludf.DUMMYFUNCTION("""COMPUTED_VALUE"""),"18:00-19:30")</f>
        <v>18:00-19:30</v>
      </c>
      <c r="N922" s="7"/>
    </row>
    <row r="923">
      <c r="A923" s="7" t="str">
        <f>IFERROR(__xludf.DUMMYFUNCTION("""COMPUTED_VALUE"""),"3254-FIND")</f>
        <v>3254-FIND</v>
      </c>
      <c r="B923" s="7" t="str">
        <f>IFERROR(__xludf.DUMMYFUNCTION("""COMPUTED_VALUE"""),"The Rise of Darkness: Safety-Utility Trade-Offs in Role-Playing Dialogue Agents")</f>
        <v>The Rise of Darkness: Safety-Utility Trade-Offs in Role-Playing Dialogue Agents</v>
      </c>
      <c r="C923" s="7" t="str">
        <f>IFERROR(__xludf.DUMMYFUNCTION("""COMPUTED_VALUE"""),"Large Language Models (LLMs) have made remarkable advances in role-playing dialogue agents, demonstrating their utility in character simulations. However, it remains challenging for these agents to balance character portrayal utility with content safety b"&amp;"ecause this essential character simulation often comes with the risk of generating unsafe content. To address this issue, we first conduct a systematic exploration of the safety-utility trade-off across multiple LLMs. Our analysis reveals that risk scenar"&amp;"ios created by villain characters and user queries (referred to as risk coupling) contribute to this trade-off. Building on this, we propose a novel Adaptive Dynamic Multi-Preference (ADMP) method, which dynamically adjusts safety-utility preferences base"&amp;"d on the degree of risk coupling and guides the model to generate responses biased toward utility or safety. We further introduce Coupling Margin Sampling (CMS) into coupling detection to enhance the model’s ability to handle high-risk scenarios. Experime"&amp;"ntal results demonstrate that our approach improves safety metrics while maintaining utility.")</f>
        <v>Large Language Models (LLMs) have made remarkable advances in role-playing dialogue agents, demonstrating their utility in character simulations. However, it remains challenging for these agents to balance character portrayal utility with content safety because this essential character simulation often comes with the risk of generating unsafe content. To address this issue, we first conduct a systematic exploration of the safety-utility trade-off across multiple LLMs. Our analysis reveals that risk scenarios created by villain characters and user queries (referred to as risk coupling) contribute to this trade-off. Building on this, we propose a novel Adaptive Dynamic Multi-Preference (ADMP) method, which dynamically adjusts safety-utility preferences based on the degree of risk coupling and guides the model to generate responses biased toward utility or safety. We further introduce Coupling Margin Sampling (CMS) into coupling detection to enhance the model’s ability to handle high-risk scenarios. Experimental results demonstrate that our approach improves safety metrics while maintaining utility.</v>
      </c>
      <c r="D923" s="7" t="str">
        <f>IFERROR(__xludf.DUMMYFUNCTION("""COMPUTED_VALUE"""),"N/A")</f>
        <v>N/A</v>
      </c>
      <c r="E923" s="7" t="str">
        <f>IFERROR(__xludf.DUMMYFUNCTION("""COMPUTED_VALUE"""),"Yes")</f>
        <v>Yes</v>
      </c>
      <c r="F923" s="7" t="str">
        <f>IFERROR(__xludf.DUMMYFUNCTION("""COMPUTED_VALUE"""),"Not Pres. ")</f>
        <v>Not Pres. </v>
      </c>
      <c r="G923" s="7" t="str">
        <f>IFERROR(__xludf.DUMMYFUNCTION("""COMPUTED_VALUE"""),"NP Findings Not Presenting ")</f>
        <v>NP Findings Not Presenting </v>
      </c>
      <c r="H923" s="7"/>
      <c r="I923" s="7"/>
      <c r="J923" s="7"/>
      <c r="K923" s="7"/>
      <c r="L923" s="8"/>
      <c r="M923" s="7"/>
      <c r="N923" s="7"/>
    </row>
    <row r="924">
      <c r="A924" s="7" t="str">
        <f>IFERROR(__xludf.DUMMYFUNCTION("""COMPUTED_VALUE"""),"3259-FIND")</f>
        <v>3259-FIND</v>
      </c>
      <c r="B924" s="7" t="str">
        <f>IFERROR(__xludf.DUMMYFUNCTION("""COMPUTED_VALUE"""),"SynGraph: A Dynamic Graph-LLM Synthesis Framework for Sparse Streaming User Sentiment Modeling")</f>
        <v>SynGraph: A Dynamic Graph-LLM Synthesis Framework for Sparse Streaming User Sentiment Modeling</v>
      </c>
      <c r="C924" s="7" t="str">
        <f>IFERROR(__xludf.DUMMYFUNCTION("""COMPUTED_VALUE"""),"User reviews on e-commerce platforms exhibit dynamic sentiment patterns driven by temporal and contextual factors. Traditional sentiment analysis methods focus on static reviews, failing to capture the evolving temporal relationship between user sentiment"&amp;" rating and textual content. Sentiment analysis on streaming reviews addresses this limitation by modeling and predicting the temporal evolution of user sentiments. However, it suffers from data sparsity, manifesting in temporal, spatial, and combined for"&amp;"ms. In this paper, we introduce SynGraph, a novel framework designed to address data sparsity in sentiment analysis on streaming reviews. SynGraph alleviates data sparsity by categorizing users into mid-tail, long-tail, and extreme scenarios and incorpora"&amp;"ting LLM-augmented enhancements within a dynamic graph-based structure. Experiments on real-world datasets demonstrate its effectiveness in addressing sparsity and improving sentiment modeling in streaming reviews.")</f>
        <v>User reviews on e-commerce platforms exhibit dynamic sentiment patterns driven by temporal and contextual factors. Traditional sentiment analysis methods focus on static reviews, failing to capture the evolving temporal relationship between user sentiment rating and textual content. Sentiment analysis on streaming reviews addresses this limitation by modeling and predicting the temporal evolution of user sentiments. However, it suffers from data sparsity, manifesting in temporal, spatial, and combined forms. In this paper, we introduce SynGraph, a novel framework designed to address data sparsity in sentiment analysis on streaming reviews. SynGraph alleviates data sparsity by categorizing users into mid-tail, long-tail, and extreme scenarios and incorporating LLM-augmented enhancements within a dynamic graph-based structure. Experiments on real-world datasets demonstrate its effectiveness in addressing sparsity and improving sentiment modeling in streaming reviews.</v>
      </c>
      <c r="D924" s="7" t="str">
        <f>IFERROR(__xludf.DUMMYFUNCTION("""COMPUTED_VALUE"""),"Xin Zhang")</f>
        <v>Xin Zhang</v>
      </c>
      <c r="E924" s="7" t="str">
        <f>IFERROR(__xludf.DUMMYFUNCTION("""COMPUTED_VALUE"""),"Yes")</f>
        <v>Yes</v>
      </c>
      <c r="F924" s="7" t="str">
        <f>IFERROR(__xludf.DUMMYFUNCTION("""COMPUTED_VALUE"""),"IP-Poster")</f>
        <v>IP-Poster</v>
      </c>
      <c r="G924" s="7" t="str">
        <f>IFERROR(__xludf.DUMMYFUNCTION("""COMPUTED_VALUE"""),"In-Person")</f>
        <v>In-Person</v>
      </c>
      <c r="H924" s="7" t="str">
        <f>IFERROR(__xludf.DUMMYFUNCTION("""COMPUTED_VALUE"""),"Hall 4/5")</f>
        <v>Hall 4/5</v>
      </c>
      <c r="I924" s="7" t="str">
        <f>IFERROR(__xludf.DUMMYFUNCTION("""COMPUTED_VALUE"""),"Session 5 :IP-Posters Find ")</f>
        <v>Session 5 :IP-Posters Find </v>
      </c>
      <c r="J924" s="7" t="str">
        <f>IFERROR(__xludf.DUMMYFUNCTION("""COMPUTED_VALUE"""),"Findings Posters - In-Person 1")</f>
        <v>Findings Posters - In-Person 1</v>
      </c>
      <c r="K924" s="7"/>
      <c r="L924" s="8">
        <f>IFERROR(__xludf.DUMMYFUNCTION("""COMPUTED_VALUE"""),45866.0)</f>
        <v>45866</v>
      </c>
      <c r="M924" s="7" t="str">
        <f>IFERROR(__xludf.DUMMYFUNCTION("""COMPUTED_VALUE"""),"18:00-19:30")</f>
        <v>18:00-19:30</v>
      </c>
      <c r="N924" s="7"/>
    </row>
    <row r="925">
      <c r="A925" s="7" t="str">
        <f>IFERROR(__xludf.DUMMYFUNCTION("""COMPUTED_VALUE"""),"3260-FIND")</f>
        <v>3260-FIND</v>
      </c>
      <c r="B925" s="7" t="str">
        <f>IFERROR(__xludf.DUMMYFUNCTION("""COMPUTED_VALUE"""),"Enhancing Tool Learning in Large Language Models with Hierarchical Error Checklists")</f>
        <v>Enhancing Tool Learning in Large Language Models with Hierarchical Error Checklists</v>
      </c>
      <c r="C925" s="7" t="str">
        <f>IFERROR(__xludf.DUMMYFUNCTION("""COMPUTED_VALUE"""),"Large language models (LLMs) have significantly advanced natural language processing, particularly through the integration of external tools and APIs. However, their effectiveness is frequently hampered by parameter mis-filling during tool calling. In thi"&amp;"s paper, we propose the Hierarchical Tool Error Checklist (HiTEC) framework to systematically diagnose and mitigate tool-calling errors without relying on extensive real-world interactions. HiTEC introduces a two-tiered approach: a global error checklist "&amp;"that identifies common, cross-tool issues, and a local error checklist that targets tool-specific and contextual failures. Building on this structure, we propose two deployments: HiTEC-In Context Learning (HiTEC-ICL) and HiTEC-Kahneman-Tversky Optimizatio"&amp;"n (HiTEC-KTO). HiTEC-ICL embeds the global checklist in the initial prompts and leverages a two-round conversational interaction to dynamically refine parameter handling, while HiTEC-KTO generates high-quality negative examples to drive fine-tuning via pr"&amp;"eference-based optimization. Extensive experiments across five public datasets demonstrate that our framework significantly improves parameter-filling accuracy and tool-calling success rates compared to baseline methods.")</f>
        <v>Large language models (LLMs) have significantly advanced natural language processing, particularly through the integration of external tools and APIs. However, their effectiveness is frequently hampered by parameter mis-filling during tool calling. In this paper, we propose the Hierarchical Tool Error Checklist (HiTEC) framework to systematically diagnose and mitigate tool-calling errors without relying on extensive real-world interactions. HiTEC introduces a two-tiered approach: a global error checklist that identifies common, cross-tool issues, and a local error checklist that targets tool-specific and contextual failures. Building on this structure, we propose two deployments: HiTEC-In Context Learning (HiTEC-ICL) and HiTEC-Kahneman-Tversky Optimization (HiTEC-KTO). HiTEC-ICL embeds the global checklist in the initial prompts and leverages a two-round conversational interaction to dynamically refine parameter handling, while HiTEC-KTO generates high-quality negative examples to drive fine-tuning via preference-based optimization. Extensive experiments across five public datasets demonstrate that our framework significantly improves parameter-filling accuracy and tool-calling success rates compared to baseline methods.</v>
      </c>
      <c r="D925" s="7" t="str">
        <f>IFERROR(__xludf.DUMMYFUNCTION("""COMPUTED_VALUE"""),"Yue Cui")</f>
        <v>Yue Cui</v>
      </c>
      <c r="E925" s="7" t="str">
        <f>IFERROR(__xludf.DUMMYFUNCTION("""COMPUTED_VALUE"""),"Yes")</f>
        <v>Yes</v>
      </c>
      <c r="F925" s="7" t="str">
        <f>IFERROR(__xludf.DUMMYFUNCTION("""COMPUTED_VALUE"""),"IP-Poster")</f>
        <v>IP-Poster</v>
      </c>
      <c r="G925" s="7" t="str">
        <f>IFERROR(__xludf.DUMMYFUNCTION("""COMPUTED_VALUE"""),"In-Person")</f>
        <v>In-Person</v>
      </c>
      <c r="H925" s="7" t="str">
        <f>IFERROR(__xludf.DUMMYFUNCTION("""COMPUTED_VALUE"""),"Hall 4/5")</f>
        <v>Hall 4/5</v>
      </c>
      <c r="I925" s="7" t="str">
        <f>IFERROR(__xludf.DUMMYFUNCTION("""COMPUTED_VALUE"""),"Session 5 :IP-Posters Find ")</f>
        <v>Session 5 :IP-Posters Find </v>
      </c>
      <c r="J925" s="7" t="str">
        <f>IFERROR(__xludf.DUMMYFUNCTION("""COMPUTED_VALUE"""),"Findings Posters - In-Person 1")</f>
        <v>Findings Posters - In-Person 1</v>
      </c>
      <c r="K925" s="7"/>
      <c r="L925" s="8">
        <f>IFERROR(__xludf.DUMMYFUNCTION("""COMPUTED_VALUE"""),45866.0)</f>
        <v>45866</v>
      </c>
      <c r="M925" s="7" t="str">
        <f>IFERROR(__xludf.DUMMYFUNCTION("""COMPUTED_VALUE"""),"18:00-19:30")</f>
        <v>18:00-19:30</v>
      </c>
      <c r="N925" s="7"/>
    </row>
    <row r="926">
      <c r="A926" s="7" t="str">
        <f>IFERROR(__xludf.DUMMYFUNCTION("""COMPUTED_VALUE"""),"3266-FIND")</f>
        <v>3266-FIND</v>
      </c>
      <c r="B926" s="7" t="str">
        <f>IFERROR(__xludf.DUMMYFUNCTION("""COMPUTED_VALUE"""),"A Large and Balanced Corpus for Fine-grained Arabic Readability Assessment")</f>
        <v>A Large and Balanced Corpus for Fine-grained Arabic Readability Assessment</v>
      </c>
      <c r="C926" s="7" t="str">
        <f>IFERROR(__xludf.DUMMYFUNCTION("""COMPUTED_VALUE"""),"This paper introduces the Balanced Arabic Readability Evaluation Corpus BAREC, a large-scale, fine-grained dataset for Arabic readability assessment. BAREC consists of 68,182 sentences spanning 1+ million words, carefully curated to cover 19 readability l"&amp;"evels, from kindergarten to postgraduate comprehension. The corpus balances genre diversity, topical coverage, and target audiences, offering a comprehensive resource for evaluating Arabic text complexity. The corpus was fully manually annotated by a larg"&amp;"e team of annotators. The average pairwise inter-annotator agreement, measured by Quadratic Weighted Kappa, is 81.3%, reflecting a high level of substantial agreement. Beyond presenting the corpus, we benchmark automatic readability assessment across diff"&amp;"erent granularity levels, comparing a range of techniques. Our results highlight the challenges and opportunities in Arabic readability modeling, demonstrating competitive performance across various methods. To support research and education, we will make"&amp;" BAREC openly available, along with detailed annotation guidelines and benchmark results.")</f>
        <v>This paper introduces the Balanced Arabic Readability Evaluation Corpus BAREC, a large-scale, fine-grained dataset for Arabic readability assessment. BAREC consists of 68,182 sentences spanning 1+ million words, carefully curated to cover 19 readability levels, from kindergarten to postgraduate comprehension. The corpus balances genre diversity, topical coverage, and target audiences, offering a comprehensive resource for evaluating Arabic text complexity. The corpus was fully manually annotated by a large team of annotators. The average pairwise inter-annotator agreement, measured by Quadratic Weighted Kappa, is 81.3%, reflecting a high level of substantial agreement. Beyond presenting the corpus, we benchmark automatic readability assessment across different granularity levels, comparing a range of techniques. Our results highlight the challenges and opportunities in Arabic readability modeling, demonstrating competitive performance across various methods. To support research and education, we will make BAREC openly available, along with detailed annotation guidelines and benchmark results.</v>
      </c>
      <c r="D926" s="7" t="str">
        <f>IFERROR(__xludf.DUMMYFUNCTION("""COMPUTED_VALUE"""),"Khalid Elmadani")</f>
        <v>Khalid Elmadani</v>
      </c>
      <c r="E926" s="7" t="str">
        <f>IFERROR(__xludf.DUMMYFUNCTION("""COMPUTED_VALUE"""),"Yes")</f>
        <v>Yes</v>
      </c>
      <c r="F926" s="7" t="str">
        <f>IFERROR(__xludf.DUMMYFUNCTION("""COMPUTED_VALUE"""),"IP-Poster")</f>
        <v>IP-Poster</v>
      </c>
      <c r="G926" s="7" t="str">
        <f>IFERROR(__xludf.DUMMYFUNCTION("""COMPUTED_VALUE"""),"In-Person")</f>
        <v>In-Person</v>
      </c>
      <c r="H926" s="7" t="str">
        <f>IFERROR(__xludf.DUMMYFUNCTION("""COMPUTED_VALUE"""),"Hall 4/5")</f>
        <v>Hall 4/5</v>
      </c>
      <c r="I926" s="7" t="str">
        <f>IFERROR(__xludf.DUMMYFUNCTION("""COMPUTED_VALUE"""),"Session 7: IP-Posters")</f>
        <v>Session 7: IP-Posters</v>
      </c>
      <c r="J926" s="7" t="str">
        <f>IFERROR(__xludf.DUMMYFUNCTION("""COMPUTED_VALUE"""),"Findings Posters - In-Person 2")</f>
        <v>Findings Posters - In-Person 2</v>
      </c>
      <c r="K926" s="7"/>
      <c r="L926" s="8">
        <f>IFERROR(__xludf.DUMMYFUNCTION("""COMPUTED_VALUE"""),45867.0)</f>
        <v>45867</v>
      </c>
      <c r="M926" s="7" t="str">
        <f>IFERROR(__xludf.DUMMYFUNCTION("""COMPUTED_VALUE"""),"10:30-12:00")</f>
        <v>10:30-12:00</v>
      </c>
      <c r="N926" s="7"/>
    </row>
    <row r="927">
      <c r="A927" s="7" t="str">
        <f>IFERROR(__xludf.DUMMYFUNCTION("""COMPUTED_VALUE"""),"3267-FIND")</f>
        <v>3267-FIND</v>
      </c>
      <c r="B927" s="7" t="str">
        <f>IFERROR(__xludf.DUMMYFUNCTION("""COMPUTED_VALUE"""),"Can Medical Vision-Language Pre-training Succeed with Purely Synthetic Data?")</f>
        <v>Can Medical Vision-Language Pre-training Succeed with Purely Synthetic Data?</v>
      </c>
      <c r="C927" s="7" t="str">
        <f>IFERROR(__xludf.DUMMYFUNCTION("""COMPUTED_VALUE"""),"Medical Vision-Language Pre-training (MedVLP) has made significant progress in enabling zero-shot tasks for medical image understanding. However, training MedVLP models typically requires large-scale datasets with paired, high-quality image-text data, whi"&amp;"ch are scarce in the medical domain. Recent advancements in Large Language Models (LLMs) and diffusion models have made it possible to generate large-scale synthetic image-text pairs. This raises the question: Can MedVLP succeed using purely synthetic dat"&amp;"a? To address this, we use off-the-shelf generative models to create synthetic radiology reports and paired Chest X-ray (CXR) images, and propose an automated pipeline to build a diverse, high-quality synthetic dataset, enabling a rigorous study that isol"&amp;"ates model and training settings, focusing entirely from the data perspective.
Our results show that MedVLP models trained exclusively on synthetic data outperform those trained on real data by 3.8% in averaged AUC on zero-shot classification. Moreover, "&amp;"using a combination of synthetic and real data leads to a further improvement of 9.07%. Additionally, MedVLP models trained on synthetic or mixed data consistently outperform those trained on real data in zero-shot grounding, as well as in fine-tuned clas"&amp;"sification and segmentation tasks.
Our analysis suggests MedVLP trained on well-designed synthetic data can outperform models trained on real datasets, which may be limited by low-quality samples and long-tailed distributions[^1].
[^1]: All data and cod"&amp;"e will be released upon acceptance.")</f>
        <v>Medical Vision-Language Pre-training (MedVLP) has made significant progress in enabling zero-shot tasks for medical image understanding. However, training MedVLP models typically requires large-scale datasets with paired, high-quality image-text data, which are scarce in the medical domain. Recent advancements in Large Language Models (LLMs) and diffusion models have made it possible to generate large-scale synthetic image-text pairs. This raises the question: Can MedVLP succeed using purely synthetic data? To address this, we use off-the-shelf generative models to create synthetic radiology reports and paired Chest X-ray (CXR) images, and propose an automated pipeline to build a diverse, high-quality synthetic dataset, enabling a rigorous study that isolates model and training settings, focusing entirely from the data perspective.
Our results show that MedVLP models trained exclusively on synthetic data outperform those trained on real data by 3.8% in averaged AUC on zero-shot classification. Moreover, using a combination of synthetic and real data leads to a further improvement of 9.07%. Additionally, MedVLP models trained on synthetic or mixed data consistently outperform those trained on real data in zero-shot grounding, as well as in fine-tuned classification and segmentation tasks.
Our analysis suggests MedVLP trained on well-designed synthetic data can outperform models trained on real datasets, which may be limited by low-quality samples and long-tailed distributions[^1].
[^1]: All data and code will be released upon acceptance.</v>
      </c>
      <c r="D927" s="7" t="str">
        <f>IFERROR(__xludf.DUMMYFUNCTION("""COMPUTED_VALUE"""),"N/A")</f>
        <v>N/A</v>
      </c>
      <c r="E927" s="7" t="str">
        <f>IFERROR(__xludf.DUMMYFUNCTION("""COMPUTED_VALUE"""),"#N/A")</f>
        <v>#N/A</v>
      </c>
      <c r="F927" s="7" t="str">
        <f>IFERROR(__xludf.DUMMYFUNCTION("""COMPUTED_VALUE"""),"Not Pres. ")</f>
        <v>Not Pres. </v>
      </c>
      <c r="G927" s="7" t="str">
        <f>IFERROR(__xludf.DUMMYFUNCTION("""COMPUTED_VALUE"""),"NP Findings Not Presenting ")</f>
        <v>NP Findings Not Presenting </v>
      </c>
      <c r="H927" s="7"/>
      <c r="I927" s="7" t="str">
        <f>IFERROR(__xludf.DUMMYFUNCTION("""COMPUTED_VALUE"""),"NP-Find")</f>
        <v>NP-Find</v>
      </c>
      <c r="J927" s="7"/>
      <c r="K927" s="7"/>
      <c r="L927" s="8"/>
      <c r="M927" s="7"/>
      <c r="N927" s="7"/>
    </row>
    <row r="928">
      <c r="A928" s="7" t="str">
        <f>IFERROR(__xludf.DUMMYFUNCTION("""COMPUTED_VALUE"""),"3271-FIND")</f>
        <v>3271-FIND</v>
      </c>
      <c r="B928" s="7" t="str">
        <f>IFERROR(__xludf.DUMMYFUNCTION("""COMPUTED_VALUE"""),"See the World, Discover Knowledge: A Chinese Factuality Evaluation for Large Vision Language Models")</f>
        <v>See the World, Discover Knowledge: A Chinese Factuality Evaluation for Large Vision Language Models</v>
      </c>
      <c r="C928" s="7" t="str">
        <f>IFERROR(__xludf.DUMMYFUNCTION("""COMPUTED_VALUE"""),"The evaluation of factual accuracy in large vision language models (LVLMs) has lagged behind their rapid development, making it challenging to fully reflect these models' knowledge capacity and reliability. In this paper, we introduce the first factuality"&amp;"-based visual question-answering benchmark in Chinese, named \textbf{ChineseSimpleVQA}, aimed at assessing the visual factuality of LVLMs across 8 major topics and 56 subtopics. The key features of this benchmark include a focus on the \textbf{Chinese} la"&amp;"nguage, \textbf{diverse} knowledge types, a \textbf{multi-hop} question construction, \textbf{high-quality} data, \textbf{static} consistency, and \textbf{easy-to-evaluate} through short answers. Moreover, we contribute a rigorous data construction pipeli"&amp;"ne and decouple the visual factuality into two parts: seeing the world (i.e., object recognition) and discovering knowledge. This decoupling allows us to analyze the capability boundaries and execution mechanisms of LVLMs. Subsequently, we evaluate 34 adv"&amp;"anced open-source and closed-source models, revealing critical performance gaps within this field.")</f>
        <v>The evaluation of factual accuracy in large vision language models (LVLMs) has lagged behind their rapid development, making it challenging to fully reflect these models' knowledge capacity and reliability. In this paper, we introduce the first factuality-based visual question-answering benchmark in Chinese, named \textbf{ChineseSimpleVQA}, aimed at assessing the visual factuality of LVLMs across 8 major topics and 56 subtopics. The key features of this benchmark include a focus on the \textbf{Chinese} language, \textbf{diverse} knowledge types, a \textbf{multi-hop} question construction, \textbf{high-quality} data, \textbf{static} consistency, and \textbf{easy-to-evaluate} through short answers. Moreover, we contribute a rigorous data construction pipeline and decouple the visual factuality into two parts: seeing the world (i.e., object recognition) and discovering knowledge. This decoupling allows us to analyze the capability boundaries and execution mechanisms of LVLMs. Subsequently, we evaluate 34 advanced open-source and closed-source models, revealing critical performance gaps within this field.</v>
      </c>
      <c r="D928" s="7" t="str">
        <f>IFERROR(__xludf.DUMMYFUNCTION("""COMPUTED_VALUE"""),"I do not plan to present")</f>
        <v>I do not plan to present</v>
      </c>
      <c r="E928" s="7" t="str">
        <f>IFERROR(__xludf.DUMMYFUNCTION("""COMPUTED_VALUE"""),"#N/A")</f>
        <v>#N/A</v>
      </c>
      <c r="F928" s="7" t="str">
        <f>IFERROR(__xludf.DUMMYFUNCTION("""COMPUTED_VALUE"""),"Not Pres. ")</f>
        <v>Not Pres. </v>
      </c>
      <c r="G928" s="7" t="str">
        <f>IFERROR(__xludf.DUMMYFUNCTION("""COMPUTED_VALUE"""),"NP Findings Not Presenting ")</f>
        <v>NP Findings Not Presenting </v>
      </c>
      <c r="H928" s="7"/>
      <c r="I928" s="7" t="str">
        <f>IFERROR(__xludf.DUMMYFUNCTION("""COMPUTED_VALUE"""),"NP-Find")</f>
        <v>NP-Find</v>
      </c>
      <c r="J928" s="7"/>
      <c r="K928" s="7"/>
      <c r="L928" s="8"/>
      <c r="M928" s="7"/>
      <c r="N928" s="7"/>
    </row>
    <row r="929">
      <c r="A929" s="7" t="str">
        <f>IFERROR(__xludf.DUMMYFUNCTION("""COMPUTED_VALUE"""),"3273-FIND")</f>
        <v>3273-FIND</v>
      </c>
      <c r="B929" s="7" t="str">
        <f>IFERROR(__xludf.DUMMYFUNCTION("""COMPUTED_VALUE"""),"Argus: Benchmarking and Enhancing Vision-Language Models for 3D Radiology Report Generation")</f>
        <v>Argus: Benchmarking and Enhancing Vision-Language Models for 3D Radiology Report Generation</v>
      </c>
      <c r="C929" s="7" t="str">
        <f>IFERROR(__xludf.DUMMYFUNCTION("""COMPUTED_VALUE"""),"Automatic radiology report generation holds significant potential to streamline the labor-intensive process of report writing by radiologists, particularly for 3D radiographs such as CT scans. While CT scans are critical for clinical diagnostics, they rem"&amp;"ain less explored compared to 2D radiographs. To date, there has been no comprehensive benchmark for 3D radiograph report generation (3DRRG), nor sufficient investigation into the optimal training strategies for Vision Language Models (VLMs) in this conte"&amp;"xt, particularly with respect to vision encoder choices, visual token compression, and model scaling.
In this work, we make two three contributions. We curate CT-3DRRG, the largest publicly available 3D CT-report dataset, establishing a robust and divers"&amp;"e benchmark for evaluating VLM performance on 3DRRG. Furthermore, we propose a comprehensive training recipe for building high-performing VLMs for 3DRRG, exploring key factors such as vision encoder pretraining strategies, visual token compression, and th"&amp;"e impact of data &amp; model scale. Guided by these findings, we introduce Argus, a state-of-the-art family of VLMs that achieve superior performance across different model sizes and input 3D medical image resolutions, efficiently processing high-resolution 3"&amp;"D images up to 512 × 512 × 256.")</f>
        <v>Automatic radiology report generation holds significant potential to streamline the labor-intensive process of report writing by radiologists, particularly for 3D radiographs such as CT scans. While CT scans are critical for clinical diagnostics, they remain less explored compared to 2D radiographs. To date, there has been no comprehensive benchmark for 3D radiograph report generation (3DRRG), nor sufficient investigation into the optimal training strategies for Vision Language Models (VLMs) in this context, particularly with respect to vision encoder choices, visual token compression, and model scaling.
In this work, we make two three contributions. We curate CT-3DRRG, the largest publicly available 3D CT-report dataset, establishing a robust and diverse benchmark for evaluating VLM performance on 3DRRG. Furthermore, we propose a comprehensive training recipe for building high-performing VLMs for 3DRRG, exploring key factors such as vision encoder pretraining strategies, visual token compression, and the impact of data &amp; model scale. Guided by these findings, we introduce Argus, a state-of-the-art family of VLMs that achieve superior performance across different model sizes and input 3D medical image resolutions, efficiently processing high-resolution 3D images up to 512 × 512 × 256.</v>
      </c>
      <c r="D929" s="7" t="str">
        <f>IFERROR(__xludf.DUMMYFUNCTION("""COMPUTED_VALUE"""),"N/A")</f>
        <v>N/A</v>
      </c>
      <c r="E929" s="7" t="str">
        <f>IFERROR(__xludf.DUMMYFUNCTION("""COMPUTED_VALUE"""),"#N/A")</f>
        <v>#N/A</v>
      </c>
      <c r="F929" s="7" t="str">
        <f>IFERROR(__xludf.DUMMYFUNCTION("""COMPUTED_VALUE"""),"Not Pres. ")</f>
        <v>Not Pres. </v>
      </c>
      <c r="G929" s="7" t="str">
        <f>IFERROR(__xludf.DUMMYFUNCTION("""COMPUTED_VALUE"""),"NP Findings Not Presenting ")</f>
        <v>NP Findings Not Presenting </v>
      </c>
      <c r="H929" s="7"/>
      <c r="I929" s="7" t="str">
        <f>IFERROR(__xludf.DUMMYFUNCTION("""COMPUTED_VALUE"""),"NP-Find")</f>
        <v>NP-Find</v>
      </c>
      <c r="J929" s="7"/>
      <c r="K929" s="7"/>
      <c r="L929" s="8"/>
      <c r="M929" s="7"/>
      <c r="N929" s="7"/>
    </row>
    <row r="930">
      <c r="A930" s="7" t="str">
        <f>IFERROR(__xludf.DUMMYFUNCTION("""COMPUTED_VALUE"""),"3274-FIND")</f>
        <v>3274-FIND</v>
      </c>
      <c r="B930" s="7" t="str">
        <f>IFERROR(__xludf.DUMMYFUNCTION("""COMPUTED_VALUE"""),"Resource-Friendly Dynamic Enhancement Chain for Multi-Hop Question Answering")</f>
        <v>Resource-Friendly Dynamic Enhancement Chain for Multi-Hop Question Answering</v>
      </c>
      <c r="C930" s="7" t="str">
        <f>IFERROR(__xludf.DUMMYFUNCTION("""COMPUTED_VALUE"""),"Knowledge-intensive multi-hop question answering (QA) tasks, which require integrating evidence from multiple sources to address complex queries, often necessitate multiple rounds of retrieval and iterative generation by large language models (LLMs). Howe"&amp;"ver, incorporating many documents and extended contexts poses challenges—such as hallucinations and semantic drift—for lightweight LLMs with fewer parameters. This work proposes a novel framework called DEC (Dynamic Enhancement Chain). DEC first decompose"&amp;"s complex questions into logically coherent subquestions to form a hallucination-free reasoning chain. It then iteratively refines these subquestions through context-aware rewriting to generate effective query formulations. For retrieval, we introduce a l"&amp;"ightweight discriminative keyword extraction module that leverages extracted keywords to achieve targeted, precise document recall with relatively low computational overhead. Extensive experiments on three multi-hop QA datasets demonstrate that DEC perfor"&amp;"ms on par with or surpasses state-of-the-art benchmarks while significantly reducing token consumption. Notably, our approach attains state-of-the-art results on models with 8B parameters, showcasing its effectiveness in various scenarios, particularly in"&amp;" resource-constrained environments.")</f>
        <v>Knowledge-intensive multi-hop question answering (QA) tasks, which require integrating evidence from multiple sources to address complex queries, often necessitate multiple rounds of retrieval and iterative generation by large language models (LLMs). However, incorporating many documents and extended contexts poses challenges—such as hallucinations and semantic drift—for lightweight LLMs with fewer parameters. This work proposes a novel framework called DEC (Dynamic Enhancement Chain). DEC first decomposes complex questions into logically coherent subquestions to form a hallucination-free reasoning chain. It then iteratively refines these subquestions through context-aware rewriting to generate effective query formulations. For retrieval, we introduce a lightweight discriminative keyword extraction module that leverages extracted keywords to achieve targeted, precise document recall with relatively low computational overhead. Extensive experiments on three multi-hop QA datasets demonstrate that DEC performs on par with or surpasses state-of-the-art benchmarks while significantly reducing token consumption. Notably, our approach attains state-of-the-art results on models with 8B parameters, showcasing its effectiveness in various scenarios, particularly in resource-constrained environments.</v>
      </c>
      <c r="D930" s="7" t="str">
        <f>IFERROR(__xludf.DUMMYFUNCTION("""COMPUTED_VALUE"""),"Binquan Ji")</f>
        <v>Binquan Ji</v>
      </c>
      <c r="E930" s="7" t="str">
        <f>IFERROR(__xludf.DUMMYFUNCTION("""COMPUTED_VALUE"""),"#N/A")</f>
        <v>#N/A</v>
      </c>
      <c r="F930" s="7" t="str">
        <f>IFERROR(__xludf.DUMMYFUNCTION("""COMPUTED_VALUE"""),"Not Pres. ")</f>
        <v>Not Pres. </v>
      </c>
      <c r="G930" s="7" t="str">
        <f>IFERROR(__xludf.DUMMYFUNCTION("""COMPUTED_VALUE"""),"NP Findings Not Presenting ")</f>
        <v>NP Findings Not Presenting </v>
      </c>
      <c r="H930" s="7"/>
      <c r="I930" s="7" t="str">
        <f>IFERROR(__xludf.DUMMYFUNCTION("""COMPUTED_VALUE"""),"NP-Find")</f>
        <v>NP-Find</v>
      </c>
      <c r="J930" s="7"/>
      <c r="K930" s="7"/>
      <c r="L930" s="8"/>
      <c r="M930" s="7"/>
      <c r="N930" s="7"/>
    </row>
    <row r="931">
      <c r="A931" s="7" t="str">
        <f>IFERROR(__xludf.DUMMYFUNCTION("""COMPUTED_VALUE"""),"3276-FIND")</f>
        <v>3276-FIND</v>
      </c>
      <c r="B931" s="7" t="str">
        <f>IFERROR(__xludf.DUMMYFUNCTION("""COMPUTED_VALUE"""),"Evaluating LLMs’ Assessment of Mixed-Context Hallucination Through the Lens of Summarization")</f>
        <v>Evaluating LLMs’ Assessment of Mixed-Context Hallucination Through the Lens of Summarization</v>
      </c>
      <c r="C931" s="7" t="str">
        <f>IFERROR(__xludf.DUMMYFUNCTION("""COMPUTED_VALUE"""),"With the rapid development of large language models (LLMs), LLM-as-a-judge has emerged as a widely adopted approach for text quality evaluation, including hallucination evaluation. While previous studies have focused exclusively on single-context evaluati"&amp;"on (e.g., discourse faithfulness or world factuality), real-world hallucinations typically involve mixed contexts, which remains inadequately evaluated. In this study, we use summarization as a representative task to comprehensively evaluate LLMs' capabil"&amp;"ity in detecting mixed-context hallucinations, specifically distinguishing between factual and non-factual hallucinations. Through extensive experiments across direct generation and retrieval-based models of varying scales, our main observations are: (1) "&amp;"LLMs' intrinsic knowledge introduces inherent biases in hallucination evaluation; (2) These biases particularly impact the detection of factual hallucinations, yielding a significant performance bottleneck; (3) The fundamental challenge lies in effective "&amp;"knowledge utilization, balancing between LLMs' intrinsic knowledge and external context for accurate mixed-context hallucination evaluation.")</f>
        <v>With the rapid development of large language models (LLMs), LLM-as-a-judge has emerged as a widely adopted approach for text quality evaluation, including hallucination evaluation. While previous studies have focused exclusively on single-context evaluation (e.g., discourse faithfulness or world factuality), real-world hallucinations typically involve mixed contexts, which remains inadequately evaluated. In this study, we use summarization as a representative task to comprehensively evaluate LLMs' capability in detecting mixed-context hallucinations, specifically distinguishing between factual and non-factual hallucinations. Through extensive experiments across direct generation and retrieval-based models of varying scales, our main observations are: (1) LLMs' intrinsic knowledge introduces inherent biases in hallucination evaluation; (2) These biases particularly impact the detection of factual hallucinations, yielding a significant performance bottleneck; (3) The fundamental challenge lies in effective knowledge utilization, balancing between LLMs' intrinsic knowledge and external context for accurate mixed-context hallucination evaluation.</v>
      </c>
      <c r="D931" s="7" t="str">
        <f>IFERROR(__xludf.DUMMYFUNCTION("""COMPUTED_VALUE"""),"Siya Qi")</f>
        <v>Siya Qi</v>
      </c>
      <c r="E931" s="7" t="str">
        <f>IFERROR(__xludf.DUMMYFUNCTION("""COMPUTED_VALUE"""),"Yes")</f>
        <v>Yes</v>
      </c>
      <c r="F931" s="7" t="str">
        <f>IFERROR(__xludf.DUMMYFUNCTION("""COMPUTED_VALUE"""),"IP-Poster")</f>
        <v>IP-Poster</v>
      </c>
      <c r="G931" s="7" t="str">
        <f>IFERROR(__xludf.DUMMYFUNCTION("""COMPUTED_VALUE"""),"In-Person")</f>
        <v>In-Person</v>
      </c>
      <c r="H931" s="7" t="str">
        <f>IFERROR(__xludf.DUMMYFUNCTION("""COMPUTED_VALUE"""),"Hall 4/5")</f>
        <v>Hall 4/5</v>
      </c>
      <c r="I931" s="7" t="str">
        <f>IFERROR(__xludf.DUMMYFUNCTION("""COMPUTED_VALUE"""),"Session 7: IP-Posters")</f>
        <v>Session 7: IP-Posters</v>
      </c>
      <c r="J931" s="7" t="str">
        <f>IFERROR(__xludf.DUMMYFUNCTION("""COMPUTED_VALUE"""),"Findings Posters - In-Person 2")</f>
        <v>Findings Posters - In-Person 2</v>
      </c>
      <c r="K931" s="7"/>
      <c r="L931" s="8">
        <f>IFERROR(__xludf.DUMMYFUNCTION("""COMPUTED_VALUE"""),45867.0)</f>
        <v>45867</v>
      </c>
      <c r="M931" s="7" t="str">
        <f>IFERROR(__xludf.DUMMYFUNCTION("""COMPUTED_VALUE"""),"10:30-12:00")</f>
        <v>10:30-12:00</v>
      </c>
      <c r="N931" s="7"/>
    </row>
    <row r="932">
      <c r="A932" s="7" t="str">
        <f>IFERROR(__xludf.DUMMYFUNCTION("""COMPUTED_VALUE"""),"3278-FIND")</f>
        <v>3278-FIND</v>
      </c>
      <c r="B932" s="7" t="str">
        <f>IFERROR(__xludf.DUMMYFUNCTION("""COMPUTED_VALUE"""),"TUBA: Cross-Lingual Transferability of Backdoor Attacks in LLMs with Instruction Tuning")</f>
        <v>TUBA: Cross-Lingual Transferability of Backdoor Attacks in LLMs with Instruction Tuning</v>
      </c>
      <c r="C932" s="7" t="str">
        <f>IFERROR(__xludf.DUMMYFUNCTION("""COMPUTED_VALUE"""),"The implications of backdoor attacks on English-centric large language models (LLMs) have been widely examined — such attacks can be achieved by embedding malicious behaviors during training and activated under specific conditions that trigger malicious o"&amp;"utputs. Despite the increasing support for multilingual capabilities in open-source and proprietary LLMs, the impact of backdoor attacks on these systems remains largely under-explored. Our research focuses on crosslingual backdoor attacks against multili"&amp;"ngual LLMs, particularly investigating how poisoning the instruction-tuning data for one or two languages can affect the outputs for languages whose instruction-tuning data was not poisoned. Despite its simplicity, our empirical analysis reveals that our "&amp;"method exhibits remarkable efficacy in models like BLOOM and GPT-4o, with high attack success rates, surpassing 90% in more than 7 out of 12 languages across various scenarios. Our findings also indicate that more powerful models show increased susceptibi"&amp;"lity to transferable cross-lingual backdoor attacks, which also applies to LLMs predominantly pre-trained on English data, such as Llama2, Llama3, and Gemma. Moreover, our experiments demonstrate the high transferability of the proposed attack: 1) the bac"&amp;"kdoor mechanism successfully operates in cross-lingual response scenarios across 26 languages, achieving an average attack success rate of 99%, and 2) the proposed attack remains effective even after defenses are applied. These findings expose critical se"&amp;"curity vulnerabilities in multilingual LLMs and highlight the urgent need for more robust, targeted defense strategies to address the unique challenges posed by cross-lingual backdoor transfer.")</f>
        <v>The implications of backdoor attacks on English-centric large language models (LLMs) have been widely examined — such attacks can be achieved by embedding malicious behaviors during training and activated under specific conditions that trigger malicious outputs. Despite the increasing support for multilingual capabilities in open-source and proprietary LLMs, the impact of backdoor attacks on these systems remains largely under-explored. Our research focuses on crosslingual backdoor attacks against multilingual LLMs, particularly investigating how poisoning the instruction-tuning data for one or two languages can affect the outputs for languages whose instruction-tuning data was not poisoned. Despite its simplicity, our empirical analysis reveals that our method exhibits remarkable efficacy in models like BLOOM and GPT-4o, with high attack success rates, surpassing 90% in more than 7 out of 12 languages across various scenarios. Our findings also indicate that more powerful models show increased susceptibility to transferable cross-lingual backdoor attacks, which also applies to LLMs predominantly pre-trained on English data, such as Llama2, Llama3, and Gemma. Moreover, our experiments demonstrate the high transferability of the proposed attack: 1) the backdoor mechanism successfully operates in cross-lingual response scenarios across 26 languages, achieving an average attack success rate of 99%, and 2) the proposed attack remains effective even after defenses are applied. These findings expose critical security vulnerabilities in multilingual LLMs and highlight the urgent need for more robust, targeted defense strategies to address the unique challenges posed by cross-lingual backdoor transfer.</v>
      </c>
      <c r="D932" s="7" t="str">
        <f>IFERROR(__xludf.DUMMYFUNCTION("""COMPUTED_VALUE"""),"Jun Wang
Qiongkai Xu")</f>
        <v>Jun Wang
Qiongkai Xu</v>
      </c>
      <c r="E932" s="7" t="str">
        <f>IFERROR(__xludf.DUMMYFUNCTION("""COMPUTED_VALUE"""),"Yes")</f>
        <v>Yes</v>
      </c>
      <c r="F932" s="7" t="str">
        <f>IFERROR(__xludf.DUMMYFUNCTION("""COMPUTED_VALUE"""),"IP-Poster")</f>
        <v>IP-Poster</v>
      </c>
      <c r="G932" s="7" t="str">
        <f>IFERROR(__xludf.DUMMYFUNCTION("""COMPUTED_VALUE"""),"In-Person")</f>
        <v>In-Person</v>
      </c>
      <c r="H932" s="7" t="str">
        <f>IFERROR(__xludf.DUMMYFUNCTION("""COMPUTED_VALUE"""),"Hall 4/5")</f>
        <v>Hall 4/5</v>
      </c>
      <c r="I932" s="7" t="str">
        <f>IFERROR(__xludf.DUMMYFUNCTION("""COMPUTED_VALUE"""),"Session 5 :IP-Posters Find ")</f>
        <v>Session 5 :IP-Posters Find </v>
      </c>
      <c r="J932" s="7" t="str">
        <f>IFERROR(__xludf.DUMMYFUNCTION("""COMPUTED_VALUE"""),"Findings Posters - In-Person 1")</f>
        <v>Findings Posters - In-Person 1</v>
      </c>
      <c r="K932" s="7"/>
      <c r="L932" s="8">
        <f>IFERROR(__xludf.DUMMYFUNCTION("""COMPUTED_VALUE"""),45866.0)</f>
        <v>45866</v>
      </c>
      <c r="M932" s="7" t="str">
        <f>IFERROR(__xludf.DUMMYFUNCTION("""COMPUTED_VALUE"""),"18:00-19:30")</f>
        <v>18:00-19:30</v>
      </c>
      <c r="N932" s="7"/>
    </row>
    <row r="933">
      <c r="A933" s="7" t="str">
        <f>IFERROR(__xludf.DUMMYFUNCTION("""COMPUTED_VALUE"""),"3280-FIND")</f>
        <v>3280-FIND</v>
      </c>
      <c r="B933" s="7" t="str">
        <f>IFERROR(__xludf.DUMMYFUNCTION("""COMPUTED_VALUE"""),"Eliciting Textual Descriptions from Representations of Continuous Prompts")</f>
        <v>Eliciting Textual Descriptions from Representations of Continuous Prompts</v>
      </c>
      <c r="C933" s="7" t="str">
        <f>IFERROR(__xludf.DUMMYFUNCTION("""COMPUTED_VALUE"""),"Continuous prompts, or ""soft prompts"", are a widely-adopted parameter-efficient tuning strategy for large language models, but are often less favorable due to their opaque nature. Prior attempts to interpret continuous prompts relied on projecting indiv"&amp;"idual prompt tokens onto the vocabulary space. However, this approach is problematic as performant prompts can yield arbitrary or contradictory text, and it individually interprets each prompt token. In this work, we propose a new approach to interpret co"&amp;"ntinuous prompts that elicits textual descriptions from their representations during model inference. Using a Patchscopes variant (Ghandeharioun et al., 2024) called InSPEcT over various tasks, we show our method often yields accurate task descriptions wh"&amp;"ich become more faithful as task performance increases. Moreover, an elaborated version of InSPEcT reveals biased features in continuous prompts, whose presence correlates with biased model predictions. Providing an effective interpretability solution, In"&amp;"SPEcT can be leveraged to debug unwanted properties in continuous prompts and inform developers on ways to mitigate them.")</f>
        <v>Continuous prompts, or "soft prompts", are a widely-adopted parameter-efficient tuning strategy for large language models, but are often less favorable due to their opaque nature. Prior attempts to interpret continuous prompts relied on projecting individual prompt tokens onto the vocabulary space. However, this approach is problematic as performant prompts can yield arbitrary or contradictory text, and it individually interprets each prompt token. In this work, we propose a new approach to interpret continuous prompts that elicits textual descriptions from their representations during model inference. Using a Patchscopes variant (Ghandeharioun et al., 2024) called InSPEcT over various tasks, we show our method often yields accurate task descriptions which become more faithful as task performance increases. Moreover, an elaborated version of InSPEcT reveals biased features in continuous prompts, whose presence correlates with biased model predictions. Providing an effective interpretability solution, InSPEcT can be leveraged to debug unwanted properties in continuous prompts and inform developers on ways to mitigate them.</v>
      </c>
      <c r="D933" s="7" t="str">
        <f>IFERROR(__xludf.DUMMYFUNCTION("""COMPUTED_VALUE"""),"Daniela Gottesman")</f>
        <v>Daniela Gottesman</v>
      </c>
      <c r="E933" s="7" t="str">
        <f>IFERROR(__xludf.DUMMYFUNCTION("""COMPUTED_VALUE"""),"Yes")</f>
        <v>Yes</v>
      </c>
      <c r="F933" s="7" t="str">
        <f>IFERROR(__xludf.DUMMYFUNCTION("""COMPUTED_VALUE"""),"V-Presentation")</f>
        <v>V-Presentation</v>
      </c>
      <c r="G933" s="7" t="str">
        <f>IFERROR(__xludf.DUMMYFUNCTION("""COMPUTED_VALUE"""),"Virtual/Gather")</f>
        <v>Virtual/Gather</v>
      </c>
      <c r="H933" s="7" t="str">
        <f>IFERROR(__xludf.DUMMYFUNCTION("""COMPUTED_VALUE"""),"Gather")</f>
        <v>Gather</v>
      </c>
      <c r="I933" s="7" t="str">
        <f>IFERROR(__xludf.DUMMYFUNCTION("""COMPUTED_VALUE"""),"Session5: V-Gather Find")</f>
        <v>Session5: V-Gather Find</v>
      </c>
      <c r="J933" s="7" t="str">
        <f>IFERROR(__xludf.DUMMYFUNCTION("""COMPUTED_VALUE"""),"Findings Posters - Virtual")</f>
        <v>Findings Posters - Virtual</v>
      </c>
      <c r="K933" s="7"/>
      <c r="L933" s="8">
        <f>IFERROR(__xludf.DUMMYFUNCTION("""COMPUTED_VALUE"""),45866.0)</f>
        <v>45866</v>
      </c>
      <c r="M933" s="7" t="str">
        <f>IFERROR(__xludf.DUMMYFUNCTION("""COMPUTED_VALUE"""),"18:00-19:30")</f>
        <v>18:00-19:30</v>
      </c>
      <c r="N933" s="7"/>
    </row>
    <row r="934">
      <c r="A934" s="7" t="str">
        <f>IFERROR(__xludf.DUMMYFUNCTION("""COMPUTED_VALUE"""),"3281-FIND")</f>
        <v>3281-FIND</v>
      </c>
      <c r="B934" s="7" t="str">
        <f>IFERROR(__xludf.DUMMYFUNCTION("""COMPUTED_VALUE"""),"Mitigating Hallucination in Multimodal Large Language Model via Hallucination-targeted Direct Preference Optimization")</f>
        <v>Mitigating Hallucination in Multimodal Large Language Model via Hallucination-targeted Direct Preference Optimization</v>
      </c>
      <c r="C934" s="7" t="str">
        <f>IFERROR(__xludf.DUMMYFUNCTION("""COMPUTED_VALUE"""),"Multimodal Large Language Models (MLLMs) are known to hallucinate, which limits their practical applications. Recent works have attempted to apply Direct Preference Optimization (DPO) to enhance the performance of MLLMs, but have shown inconsistent improv"&amp;"ements in mitigating hallucinations. To address this issue more effectively, we introduce Hallucination-targeted Direct Preference Optimization (HDPO) to reduce hallucinations in MLLMs. Unlike previous approaches, our method tackles hallucinations from th"&amp;"eir diverse forms and causes. Specifically, we develop three types of preference pair data targeting the following causes of MLLM hallucinations: (1) insufficient visual capabilities, (2) long context generation, and (3) multimodal conflicts. Experimental"&amp;" results demonstrate that our method achieves superior performance across multiple hallucination evaluation datasets, surpassing most state-of-the-art (SOTA) methods and highlighting the potential of our approach. Ablation studies and in-depth analyses fu"&amp;"rther confirm the effectiveness of our method and suggest the potential for further improvements through scaling up.")</f>
        <v>Multimodal Large Language Models (MLLMs) are known to hallucinate, which limits their practical applications. Recent works have attempted to apply Direct Preference Optimization (DPO) to enhance the performance of MLLMs, but have shown inconsistent improvements in mitigating hallucinations. To address this issue more effectively, we introduce Hallucination-targeted Direct Preference Optimization (HDPO) to reduce hallucinations in MLLMs. Unlike previous approaches, our method tackles hallucinations from their diverse forms and causes. Specifically, we develop three types of preference pair data targeting the following causes of MLLM hallucinations: (1) insufficient visual capabilities, (2) long context generation, and (3) multimodal conflicts. Experimental results demonstrate that our method achieves superior performance across multiple hallucination evaluation datasets, surpassing most state-of-the-art (SOTA) methods and highlighting the potential of our approach. Ablation studies and in-depth analyses further confirm the effectiveness of our method and suggest the potential for further improvements through scaling up.</v>
      </c>
      <c r="D934" s="7" t="str">
        <f>IFERROR(__xludf.DUMMYFUNCTION("""COMPUTED_VALUE"""),"Yuhan Fu")</f>
        <v>Yuhan Fu</v>
      </c>
      <c r="E934" s="7" t="str">
        <f>IFERROR(__xludf.DUMMYFUNCTION("""COMPUTED_VALUE"""),"#N/A")</f>
        <v>#N/A</v>
      </c>
      <c r="F934" s="7" t="str">
        <f>IFERROR(__xludf.DUMMYFUNCTION("""COMPUTED_VALUE"""),"Not Pres. ")</f>
        <v>Not Pres. </v>
      </c>
      <c r="G934" s="7" t="str">
        <f>IFERROR(__xludf.DUMMYFUNCTION("""COMPUTED_VALUE"""),"NP Findings Not Presenting ")</f>
        <v>NP Findings Not Presenting </v>
      </c>
      <c r="H934" s="7"/>
      <c r="I934" s="7" t="str">
        <f>IFERROR(__xludf.DUMMYFUNCTION("""COMPUTED_VALUE"""),"NP-Find")</f>
        <v>NP-Find</v>
      </c>
      <c r="J934" s="7"/>
      <c r="K934" s="7"/>
      <c r="L934" s="8"/>
      <c r="M934" s="7"/>
      <c r="N934" s="7"/>
    </row>
    <row r="935">
      <c r="A935" s="7" t="str">
        <f>IFERROR(__xludf.DUMMYFUNCTION("""COMPUTED_VALUE"""),"3285-FIND")</f>
        <v>3285-FIND</v>
      </c>
      <c r="B935" s="7" t="str">
        <f>IFERROR(__xludf.DUMMYFUNCTION("""COMPUTED_VALUE"""),"Review-Instruct: A Review-Driven Multi-Turn Conversations Generation Method for Large Language Models")</f>
        <v>Review-Instruct: A Review-Driven Multi-Turn Conversations Generation Method for Large Language Models</v>
      </c>
      <c r="C935" s="7" t="str">
        <f>IFERROR(__xludf.DUMMYFUNCTION("""COMPUTED_VALUE"""),"The effectiveness of large language models (LLMs) in conversational AI is hindered by their reliance on single-turn supervised fine-tuning (SFT) data, which limits contextual coherence in multi-turn dialogues. Existing methods for generating multi-turn di"&amp;"alogue data struggle to ensure both diversity and quality in instructions. To address this, we propose Review-Instruct, a novel framework that synthesizes multi-turn conversations through an iterative ""Ask-Respond-Review"" process involving three agent r"&amp;"oles: a Candidate, multiple Reviewers, and a Chairman. The framework iteratively refines instructions by incorporating Reviewer feedback, enhancing dialogue diversity and difficulty. We construct a multi-turn dataset using the Alpaca dataset and fine-tune"&amp;" the LLaMA2-13B model. Evaluations on MT-Bench, MMLU-Pro, and Auto-Arena demonstrate significant improvements, achieving absolute gains of 2.9\% on MMLU-Pro and 2\% on MT-Bench compared to prior state-of-the-art models based on LLaMA2-13B. Ablation studie"&amp;"s confirm the critical role of the Review stage and the use of multiple Reviewers in boosting instruction diversity and difficulty. Our work highlights the potential of review-driven, multi-agent frameworks for generating high-quality conversational data "&amp;"at scale.")</f>
        <v>The effectiveness of large language models (LLMs) in conversational AI is hindered by their reliance on single-turn supervised fine-tuning (SFT) data, which limits contextual coherence in multi-turn dialogues. Existing methods for generating multi-turn dialogue data struggle to ensure both diversity and quality in instructions. To address this, we propose Review-Instruct, a novel framework that synthesizes multi-turn conversations through an iterative "Ask-Respond-Review" process involving three agent roles: a Candidate, multiple Reviewers, and a Chairman. The framework iteratively refines instructions by incorporating Reviewer feedback, enhancing dialogue diversity and difficulty. We construct a multi-turn dataset using the Alpaca dataset and fine-tune the LLaMA2-13B model. Evaluations on MT-Bench, MMLU-Pro, and Auto-Arena demonstrate significant improvements, achieving absolute gains of 2.9\% on MMLU-Pro and 2\% on MT-Bench compared to prior state-of-the-art models based on LLaMA2-13B. Ablation studies confirm the critical role of the Review stage and the use of multiple Reviewers in boosting instruction diversity and difficulty. Our work highlights the potential of review-driven, multi-agent frameworks for generating high-quality conversational data at scale.</v>
      </c>
      <c r="D935" s="7" t="str">
        <f>IFERROR(__xludf.DUMMYFUNCTION("""COMPUTED_VALUE"""),"Jiangxu Wu")</f>
        <v>Jiangxu Wu</v>
      </c>
      <c r="E935" s="7" t="str">
        <f>IFERROR(__xludf.DUMMYFUNCTION("""COMPUTED_VALUE"""),"Balance Due $200")</f>
        <v>Balance Due $200</v>
      </c>
      <c r="F935" s="7" t="str">
        <f>IFERROR(__xludf.DUMMYFUNCTION("""COMPUTED_VALUE"""),"IP-Poster")</f>
        <v>IP-Poster</v>
      </c>
      <c r="G935" s="7" t="str">
        <f>IFERROR(__xludf.DUMMYFUNCTION("""COMPUTED_VALUE"""),"In-Person")</f>
        <v>In-Person</v>
      </c>
      <c r="H935" s="7" t="str">
        <f>IFERROR(__xludf.DUMMYFUNCTION("""COMPUTED_VALUE"""),"Hall 4/5")</f>
        <v>Hall 4/5</v>
      </c>
      <c r="I935" s="7" t="str">
        <f>IFERROR(__xludf.DUMMYFUNCTION("""COMPUTED_VALUE"""),"Session 7: IP-Posters")</f>
        <v>Session 7: IP-Posters</v>
      </c>
      <c r="J935" s="7" t="str">
        <f>IFERROR(__xludf.DUMMYFUNCTION("""COMPUTED_VALUE"""),"Findings Posters - In-Person 2")</f>
        <v>Findings Posters - In-Person 2</v>
      </c>
      <c r="K935" s="7"/>
      <c r="L935" s="8">
        <f>IFERROR(__xludf.DUMMYFUNCTION("""COMPUTED_VALUE"""),45867.0)</f>
        <v>45867</v>
      </c>
      <c r="M935" s="7" t="str">
        <f>IFERROR(__xludf.DUMMYFUNCTION("""COMPUTED_VALUE"""),"10:30-12:00")</f>
        <v>10:30-12:00</v>
      </c>
      <c r="N935" s="7"/>
    </row>
    <row r="936">
      <c r="A936" s="7" t="str">
        <f>IFERROR(__xludf.DUMMYFUNCTION("""COMPUTED_VALUE"""),"3292-FIND")</f>
        <v>3292-FIND</v>
      </c>
      <c r="B936" s="7" t="str">
        <f>IFERROR(__xludf.DUMMYFUNCTION("""COMPUTED_VALUE"""),"Axiomatic Analysis of Uncertainty Estimation For Retrieval Augmented Generation")</f>
        <v>Axiomatic Analysis of Uncertainty Estimation For Retrieval Augmented Generation</v>
      </c>
      <c r="C936" s="7" t="str">
        <f>IFERROR(__xludf.DUMMYFUNCTION("""COMPUTED_VALUE"""),"Large Language Models (LLMs) are valued for their strong performance across various tasks, but they also produce inaccurate or misleading outputs. Uncertainty Estimation (UE) quantifies the model's confidence and helps users assess response reliability. H"&amp;"owever, existing UE methods have not been thoroughly examined in scenarios like Retrieval-Augmented Generation (RAG), where the input prompt includes non-parametric knowledge. This paper shows that current UE methods cannot reliably assess correctness in "&amp;"the RAG setting. We further propose an axiomatic framework to identify deficiencies in existing methods and guide the development of improved approaches. Our framework introduces five constraints that an effective UE method should meet after incorporating"&amp;" retrieved documents into the LLM's prompt. Experimental results reveal that no existing UE method fully satisfies all the axioms, explaining their suboptimal performance in RAG. We further introduce a simple yet effective calibration function based on ou"&amp;"r framework, which not only satisfies more axioms than baseline methods but also improves the correlation between uncertainty estimates and correctness.")</f>
        <v>Large Language Models (LLMs) are valued for their strong performance across various tasks, but they also produce inaccurate or misleading outputs. Uncertainty Estimation (UE) quantifies the model's confidence and helps users assess response reliability. However, existing UE methods have not been thoroughly examined in scenarios like Retrieval-Augmented Generation (RAG), where the input prompt includes non-parametric knowledge. This paper shows that current UE methods cannot reliably assess correctness in the RAG setting. We further propose an axiomatic framework to identify deficiencies in existing methods and guide the development of improved approaches. Our framework introduces five constraints that an effective UE method should meet after incorporating retrieved documents into the LLM's prompt. Experimental results reveal that no existing UE method fully satisfies all the axioms, explaining their suboptimal performance in RAG. We further introduce a simple yet effective calibration function based on our framework, which not only satisfies more axioms than baseline methods but also improves the correlation between uncertainty estimates and correctness.</v>
      </c>
      <c r="D936" s="7" t="str">
        <f>IFERROR(__xludf.DUMMYFUNCTION("""COMPUTED_VALUE"""),"Heydar Soudani")</f>
        <v>Heydar Soudani</v>
      </c>
      <c r="E936" s="7" t="str">
        <f>IFERROR(__xludf.DUMMYFUNCTION("""COMPUTED_VALUE"""),"Yes")</f>
        <v>Yes</v>
      </c>
      <c r="F936" s="7" t="str">
        <f>IFERROR(__xludf.DUMMYFUNCTION("""COMPUTED_VALUE"""),"IP-Poster")</f>
        <v>IP-Poster</v>
      </c>
      <c r="G936" s="7" t="str">
        <f>IFERROR(__xludf.DUMMYFUNCTION("""COMPUTED_VALUE"""),"In-Person")</f>
        <v>In-Person</v>
      </c>
      <c r="H936" s="7" t="str">
        <f>IFERROR(__xludf.DUMMYFUNCTION("""COMPUTED_VALUE"""),"Hall 4/5")</f>
        <v>Hall 4/5</v>
      </c>
      <c r="I936" s="7" t="str">
        <f>IFERROR(__xludf.DUMMYFUNCTION("""COMPUTED_VALUE"""),"Session 7: IP-Posters")</f>
        <v>Session 7: IP-Posters</v>
      </c>
      <c r="J936" s="7" t="str">
        <f>IFERROR(__xludf.DUMMYFUNCTION("""COMPUTED_VALUE"""),"Findings Posters - In-Person 2")</f>
        <v>Findings Posters - In-Person 2</v>
      </c>
      <c r="K936" s="7"/>
      <c r="L936" s="8">
        <f>IFERROR(__xludf.DUMMYFUNCTION("""COMPUTED_VALUE"""),45867.0)</f>
        <v>45867</v>
      </c>
      <c r="M936" s="7" t="str">
        <f>IFERROR(__xludf.DUMMYFUNCTION("""COMPUTED_VALUE"""),"10:30-12:00")</f>
        <v>10:30-12:00</v>
      </c>
      <c r="N936" s="7"/>
    </row>
    <row r="937">
      <c r="A937" s="7" t="str">
        <f>IFERROR(__xludf.DUMMYFUNCTION("""COMPUTED_VALUE"""),"3293-FIND")</f>
        <v>3293-FIND</v>
      </c>
      <c r="B937" s="7" t="str">
        <f>IFERROR(__xludf.DUMMYFUNCTION("""COMPUTED_VALUE"""),"EuroVerdict: A Multilingual Dataset for Verdict Generation Against Misinformation")</f>
        <v>EuroVerdict: A Multilingual Dataset for Verdict Generation Against Misinformation</v>
      </c>
      <c r="C937" s="7" t="str">
        <f>IFERROR(__xludf.DUMMYFUNCTION("""COMPUTED_VALUE"""),"Misinformation is a global issue that shapes public discourse, influencing opinions and decision-making across various domains. While automated fact-checking (AFC) has become essential in combating misinformation, most work in multilingual settings has fo"&amp;"cused on claim verification rather than generating explanatory verdicts, leaving a gap in AFC resources beyond English. To address this, we introduce EuroVerdict, a multilingual dataset designed for verdict generation, covering eight European languages. D"&amp;"eveloped in collaboration with professional fact-checkers, the dataset includes claims, manually written verdicts, and supporting evidence, consisting of fact-checking articles and additional secondary sources. We evaluate EuroVerdict with Llama-3.1-8B-In"&amp;"struct on verdict generation under different settings, varying the prompt language, input article language, and training approach. Our results show that fine-tuning consistently improves performance, with models fine-tuned on original-language articles ac"&amp;"hieving the highest scores in both automatic and human evaluations. Using articles in a different language than the claim slightly lowers performance; however, pairing them with language-specific prompts improves results. Zero-shot and Chain of Thought co"&amp;"nfigurations perform worse, reinforcing the benefits of fine-tuning for multilingual verdict generation.")</f>
        <v>Misinformation is a global issue that shapes public discourse, influencing opinions and decision-making across various domains. While automated fact-checking (AFC) has become essential in combating misinformation, most work in multilingual settings has focused on claim verification rather than generating explanatory verdicts, leaving a gap in AFC resources beyond English. To address this, we introduce EuroVerdict, a multilingual dataset designed for verdict generation, covering eight European languages. Developed in collaboration with professional fact-checkers, the dataset includes claims, manually written verdicts, and supporting evidence, consisting of fact-checking articles and additional secondary sources. We evaluate EuroVerdict with Llama-3.1-8B-Instruct on verdict generation under different settings, varying the prompt language, input article language, and training approach. Our results show that fine-tuning consistently improves performance, with models fine-tuned on original-language articles achieving the highest scores in both automatic and human evaluations. Using articles in a different language than the claim slightly lowers performance; however, pairing them with language-specific prompts improves results. Zero-shot and Chain of Thought configurations perform worse, reinforcing the benefits of fine-tuning for multilingual verdict generation.</v>
      </c>
      <c r="D937" s="7" t="str">
        <f>IFERROR(__xludf.DUMMYFUNCTION("""COMPUTED_VALUE"""),"Daniel Russo")</f>
        <v>Daniel Russo</v>
      </c>
      <c r="E937" s="7" t="str">
        <f>IFERROR(__xludf.DUMMYFUNCTION("""COMPUTED_VALUE"""),"Yes")</f>
        <v>Yes</v>
      </c>
      <c r="F937" s="7" t="str">
        <f>IFERROR(__xludf.DUMMYFUNCTION("""COMPUTED_VALUE"""),"IP-Poster")</f>
        <v>IP-Poster</v>
      </c>
      <c r="G937" s="7" t="str">
        <f>IFERROR(__xludf.DUMMYFUNCTION("""COMPUTED_VALUE"""),"In-Person")</f>
        <v>In-Person</v>
      </c>
      <c r="H937" s="7" t="str">
        <f>IFERROR(__xludf.DUMMYFUNCTION("""COMPUTED_VALUE"""),"Hall 4/5")</f>
        <v>Hall 4/5</v>
      </c>
      <c r="I937" s="7" t="str">
        <f>IFERROR(__xludf.DUMMYFUNCTION("""COMPUTED_VALUE"""),"Session 7: IP-Posters")</f>
        <v>Session 7: IP-Posters</v>
      </c>
      <c r="J937" s="7" t="str">
        <f>IFERROR(__xludf.DUMMYFUNCTION("""COMPUTED_VALUE"""),"Findings Posters - In-Person 2")</f>
        <v>Findings Posters - In-Person 2</v>
      </c>
      <c r="K937" s="7"/>
      <c r="L937" s="8">
        <f>IFERROR(__xludf.DUMMYFUNCTION("""COMPUTED_VALUE"""),45867.0)</f>
        <v>45867</v>
      </c>
      <c r="M937" s="7" t="str">
        <f>IFERROR(__xludf.DUMMYFUNCTION("""COMPUTED_VALUE"""),"10:30-12:00")</f>
        <v>10:30-12:00</v>
      </c>
      <c r="N937" s="7"/>
    </row>
    <row r="938">
      <c r="A938" s="7" t="str">
        <f>IFERROR(__xludf.DUMMYFUNCTION("""COMPUTED_VALUE"""),"3302-FIND")</f>
        <v>3302-FIND</v>
      </c>
      <c r="B938" s="7" t="str">
        <f>IFERROR(__xludf.DUMMYFUNCTION("""COMPUTED_VALUE"""),"LoFTI: Localization and Factuality Transfer to Indian Locales")</f>
        <v>LoFTI: Localization and Factuality Transfer to Indian Locales</v>
      </c>
      <c r="C938" s="7" t="str">
        <f>IFERROR(__xludf.DUMMYFUNCTION("""COMPUTED_VALUE"""),"Large language models (LLMs) encode vast amounts of world knowledge acquired via training on large web-scale datasets crawled from the internet. However, the datasets used to train the LLMs typically exhibit a geographical bias towards English-speaking We"&amp;"stern countries. This results in LLMs producing biased or hallucinated responses to queries that require answers localized to other geographical regions. In this work, we introduce a new benchmark named LoFTI (Localization and Factuality Transfer to India"&amp;"n Locales) that can be used to evaluate an LLM's contextual localization and factual text transfer capabilities. LoFTI consists of factual statements about entities in source and target locations; the source locations are spread across the globe and the t"&amp;"arget locations are all within India with varying degrees of hyperlocality (country, states, cities). The entities span a wide variety of categories. We use LoFTI to evaluate Mixtral, Llama3.3-70B, GPT-4 and two other Mixtral-based approaches well-suited "&amp;"to the task of localized factual transfer. We demonstrate that LoFTI is a high-quality evaluation benchmark and all the models, including GPT-4, produce skewed results across varying levels of hyperlocality.")</f>
        <v>Large language models (LLMs) encode vast amounts of world knowledge acquired via training on large web-scale datasets crawled from the internet. However, the datasets used to train the LLMs typically exhibit a geographical bias towards English-speaking Western countries. This results in LLMs producing biased or hallucinated responses to queries that require answers localized to other geographical regions. In this work, we introduce a new benchmark named LoFTI (Localization and Factuality Transfer to Indian Locales) that can be used to evaluate an LLM's contextual localization and factual text transfer capabilities. LoFTI consists of factual statements about entities in source and target locations; the source locations are spread across the globe and the target locations are all within India with varying degrees of hyperlocality (country, states, cities). The entities span a wide variety of categories. We use LoFTI to evaluate Mixtral, Llama3.3-70B, GPT-4 and two other Mixtral-based approaches well-suited to the task of localized factual transfer. We demonstrate that LoFTI is a high-quality evaluation benchmark and all the models, including GPT-4, produce skewed results across varying levels of hyperlocality.</v>
      </c>
      <c r="D938" s="7" t="str">
        <f>IFERROR(__xludf.DUMMYFUNCTION("""COMPUTED_VALUE"""),"Sona Elza Simon")</f>
        <v>Sona Elza Simon</v>
      </c>
      <c r="E938" s="7" t="str">
        <f>IFERROR(__xludf.DUMMYFUNCTION("""COMPUTED_VALUE"""),"Yes")</f>
        <v>Yes</v>
      </c>
      <c r="F938" s="7" t="str">
        <f>IFERROR(__xludf.DUMMYFUNCTION("""COMPUTED_VALUE"""),"IP-Poster")</f>
        <v>IP-Poster</v>
      </c>
      <c r="G938" s="7" t="str">
        <f>IFERROR(__xludf.DUMMYFUNCTION("""COMPUTED_VALUE"""),"In-Person")</f>
        <v>In-Person</v>
      </c>
      <c r="H938" s="7" t="str">
        <f>IFERROR(__xludf.DUMMYFUNCTION("""COMPUTED_VALUE"""),"Hall 4/5")</f>
        <v>Hall 4/5</v>
      </c>
      <c r="I938" s="7" t="str">
        <f>IFERROR(__xludf.DUMMYFUNCTION("""COMPUTED_VALUE"""),"Session 7: IP-Posters")</f>
        <v>Session 7: IP-Posters</v>
      </c>
      <c r="J938" s="7" t="str">
        <f>IFERROR(__xludf.DUMMYFUNCTION("""COMPUTED_VALUE"""),"Findings Posters - In-Person 2")</f>
        <v>Findings Posters - In-Person 2</v>
      </c>
      <c r="K938" s="7"/>
      <c r="L938" s="8">
        <f>IFERROR(__xludf.DUMMYFUNCTION("""COMPUTED_VALUE"""),45867.0)</f>
        <v>45867</v>
      </c>
      <c r="M938" s="7" t="str">
        <f>IFERROR(__xludf.DUMMYFUNCTION("""COMPUTED_VALUE"""),"10:30-12:00")</f>
        <v>10:30-12:00</v>
      </c>
      <c r="N938" s="7"/>
    </row>
    <row r="939">
      <c r="A939" s="7" t="str">
        <f>IFERROR(__xludf.DUMMYFUNCTION("""COMPUTED_VALUE"""),"3305-FIND")</f>
        <v>3305-FIND</v>
      </c>
      <c r="B939" s="7" t="str">
        <f>IFERROR(__xludf.DUMMYFUNCTION("""COMPUTED_VALUE"""),"Hierarchical Retrieval with Evidence Curation for Open-Domain Financial Question Answering on Standardized Documents")</f>
        <v>Hierarchical Retrieval with Evidence Curation for Open-Domain Financial Question Answering on Standardized Documents</v>
      </c>
      <c r="C939" s="7" t="str">
        <f>IFERROR(__xludf.DUMMYFUNCTION("""COMPUTED_VALUE"""),"Retrieval-augmented generation (RAG) based large language models (LLMs) are widely used in finance for their excellent performance on knowledge-intensive tasks. However, standardized documents (e.g., SEC filing) share similar formats such as repetitive bo"&amp;"ilerplate texts,
and similar table structures. This similarity forces traditional RAG methods to misidentify near-duplicate text, leading to duplicate retrieval that undermines accuracy and completeness. To address these issues, we propose the Hierarchica"&amp;"l Retrieval with Evidence Curation (HiREC) framework. Our approach first performs hierarchical retrieval to reduce confusion among similar texts. It first retrieve related documents and then selects the most relevant passages from the documents. The evide"&amp;"nce curation process removes irrelevant passages. When necessary, it automatically generates complementary queries to collect missing information. To evaluate our approach, we construct and release a Large-scale Open-domain Financial (LOFin) question answ"&amp;"ering benchmark that includes 145,897 SEC documents and 1,595 question-answer pairs. Our code and data are available at https://github.com/deep-over/LOFin-bench-HiREC.")</f>
        <v>Retrieval-augmented generation (RAG) based large language models (LLMs) are widely used in finance for their excellent performance on knowledge-intensive tasks. However, standardized documents (e.g., SEC filing) share similar formats such as repetitive boilerplate texts,
and similar table structures. This similarity forces traditional RAG methods to misidentify near-duplicate text, leading to duplicate retrieval that undermines accuracy and completeness. To address these issues, we propose the Hierarchical Retrieval with Evidence Curation (HiREC) framework. Our approach first performs hierarchical retrieval to reduce confusion among similar texts. It first retrieve related documents and then selects the most relevant passages from the documents. The evidence curation process removes irrelevant passages. When necessary, it automatically generates complementary queries to collect missing information. To evaluate our approach, we construct and release a Large-scale Open-domain Financial (LOFin) question answering benchmark that includes 145,897 SEC documents and 1,595 question-answer pairs. Our code and data are available at https://github.com/deep-over/LOFin-bench-HiREC.</v>
      </c>
      <c r="D939" s="7" t="str">
        <f>IFERROR(__xludf.DUMMYFUNCTION("""COMPUTED_VALUE"""),"Jaeyoung Choe")</f>
        <v>Jaeyoung Choe</v>
      </c>
      <c r="E939" s="7" t="str">
        <f>IFERROR(__xludf.DUMMYFUNCTION("""COMPUTED_VALUE"""),"#N/A")</f>
        <v>#N/A</v>
      </c>
      <c r="F939" s="7" t="str">
        <f>IFERROR(__xludf.DUMMYFUNCTION("""COMPUTED_VALUE"""),"Not Pres. ")</f>
        <v>Not Pres. </v>
      </c>
      <c r="G939" s="7" t="str">
        <f>IFERROR(__xludf.DUMMYFUNCTION("""COMPUTED_VALUE"""),"NP Findings Not Presenting ")</f>
        <v>NP Findings Not Presenting </v>
      </c>
      <c r="H939" s="7"/>
      <c r="I939" s="7" t="str">
        <f>IFERROR(__xludf.DUMMYFUNCTION("""COMPUTED_VALUE"""),"NP-Find")</f>
        <v>NP-Find</v>
      </c>
      <c r="J939" s="7"/>
      <c r="K939" s="7"/>
      <c r="L939" s="8"/>
      <c r="M939" s="7"/>
      <c r="N939" s="7"/>
    </row>
    <row r="940">
      <c r="A940" s="7" t="str">
        <f>IFERROR(__xludf.DUMMYFUNCTION("""COMPUTED_VALUE"""),"3308-FIND")</f>
        <v>3308-FIND</v>
      </c>
      <c r="B940" s="7" t="str">
        <f>IFERROR(__xludf.DUMMYFUNCTION("""COMPUTED_VALUE"""),"GNN-RAG: Graph Neural Retrieval for Efficient Large Language Model Reasoning on Knowledge Graphs")</f>
        <v>GNN-RAG: Graph Neural Retrieval for Efficient Large Language Model Reasoning on Knowledge Graphs</v>
      </c>
      <c r="C940" s="7" t="str">
        <f>IFERROR(__xludf.DUMMYFUNCTION("""COMPUTED_VALUE"""),"Retrieval-augmented generation (RAG) in Knowledge Graph Question Answering (KGQA) enhances the context of Large Language Models (LLMs) by incorporating information retrieved from the Knowledge Graph (KG). Most recent approaches rely on costly LLM calls to"&amp;" generate executable relation paths or traverse the KG, which is inefficient in complex KGQA tasks, such as those involving multi-hop or multi-entity questions. We introduce the GNN-RAG framework, which utilizes lightweight Graph Neural Networks (GNNs) fo"&amp;"r effective and efficient graph retrieval. The GNN learns to assign importance weights to nodes based on their relevance to the question, as well as the relevance of their neighboring nodes. This enables the framework to effectively handle context from de"&amp;"eper parts of the graph, improving retrieval performance. GNN-RAG retrieves the shortest paths connecting question entities to GNN answer candidates, providing this information as context for the LLM. Experimental results show that GNN-RAG achieves effect"&amp;"ive retrieval on two widely used KGQA benchmarks (WebQSP and CWQ), outperforming or matching GPT-4 performance with a 7B tuned LLM. Additionally, GNN-RAG excels on multi-hop and multi-entity questions outperforming LLM-based retrieval approaches by 8.9--1"&amp;"5.5% points at answer F1. Furthermore, it surpasses long-context inference while using 9x fewer KG tokens.")</f>
        <v>Retrieval-augmented generation (RAG) in Knowledge Graph Question Answering (KGQA) enhances the context of Large Language Models (LLMs) by incorporating information retrieved from the Knowledge Graph (KG). Most recent approaches rely on costly LLM calls to generate executable relation paths or traverse the KG, which is inefficient in complex KGQA tasks, such as those involving multi-hop or multi-entity questions. We introduce the GNN-RAG framework, which utilizes lightweight Graph Neural Networks (GNNs) for effective and efficient graph retrieval. The GNN learns to assign importance weights to nodes based on their relevance to the question, as well as the relevance of their neighboring nodes. This enables the framework to effectively handle context from deeper parts of the graph, improving retrieval performance. GNN-RAG retrieves the shortest paths connecting question entities to GNN answer candidates, providing this information as context for the LLM. Experimental results show that GNN-RAG achieves effective retrieval on two widely used KGQA benchmarks (WebQSP and CWQ), outperforming or matching GPT-4 performance with a 7B tuned LLM. Additionally, GNN-RAG excels on multi-hop and multi-entity questions outperforming LLM-based retrieval approaches by 8.9--15.5% points at answer F1. Furthermore, it surpasses long-context inference while using 9x fewer KG tokens.</v>
      </c>
      <c r="D940" s="7" t="str">
        <f>IFERROR(__xludf.DUMMYFUNCTION("""COMPUTED_VALUE"""),"Costas Mavromatis")</f>
        <v>Costas Mavromatis</v>
      </c>
      <c r="E940" s="7" t="str">
        <f>IFERROR(__xludf.DUMMYFUNCTION("""COMPUTED_VALUE"""),"Yes")</f>
        <v>Yes</v>
      </c>
      <c r="F940" s="7" t="str">
        <f>IFERROR(__xludf.DUMMYFUNCTION("""COMPUTED_VALUE"""),"IP-Poster")</f>
        <v>IP-Poster</v>
      </c>
      <c r="G940" s="7" t="str">
        <f>IFERROR(__xludf.DUMMYFUNCTION("""COMPUTED_VALUE"""),"In-Person")</f>
        <v>In-Person</v>
      </c>
      <c r="H940" s="7" t="str">
        <f>IFERROR(__xludf.DUMMYFUNCTION("""COMPUTED_VALUE"""),"Hall 4/5")</f>
        <v>Hall 4/5</v>
      </c>
      <c r="I940" s="7" t="str">
        <f>IFERROR(__xludf.DUMMYFUNCTION("""COMPUTED_VALUE"""),"Session 5 :IP-Posters Find ")</f>
        <v>Session 5 :IP-Posters Find </v>
      </c>
      <c r="J940" s="7" t="str">
        <f>IFERROR(__xludf.DUMMYFUNCTION("""COMPUTED_VALUE"""),"Findings Posters - In-Person 1")</f>
        <v>Findings Posters - In-Person 1</v>
      </c>
      <c r="K940" s="7"/>
      <c r="L940" s="8">
        <f>IFERROR(__xludf.DUMMYFUNCTION("""COMPUTED_VALUE"""),45866.0)</f>
        <v>45866</v>
      </c>
      <c r="M940" s="7" t="str">
        <f>IFERROR(__xludf.DUMMYFUNCTION("""COMPUTED_VALUE"""),"18:00-19:30")</f>
        <v>18:00-19:30</v>
      </c>
      <c r="N940" s="7"/>
    </row>
    <row r="941">
      <c r="A941" s="7" t="str">
        <f>IFERROR(__xludf.DUMMYFUNCTION("""COMPUTED_VALUE"""),"3310-FIND")</f>
        <v>3310-FIND</v>
      </c>
      <c r="B941" s="7" t="str">
        <f>IFERROR(__xludf.DUMMYFUNCTION("""COMPUTED_VALUE"""),"ASTRID - An Automated and Scalable TRIaD for the Evaluation of RAG-based Clinical Question Answering Systems")</f>
        <v>ASTRID - An Automated and Scalable TRIaD for the Evaluation of RAG-based Clinical Question Answering Systems</v>
      </c>
      <c r="C941" s="7" t="str">
        <f>IFERROR(__xludf.DUMMYFUNCTION("""COMPUTED_VALUE"""),"Large Language Models (LLMs) have shown impressive potential in clinical question answering (QA), with Retrieval Augmented Generation (RAG) emerging as a leading approach for ensuring the factual accuracy of model responses. However, current automated RAG"&amp;" metrics perform poorly in clinical and conversational use cases. Using clinical human evaluations of responses is expensive, unscalable, and not conducive to the continuous iterative development of RAG systems. To address these challenges, we introduce A"&amp;"STRID - an Automated and Scalable TRIaD for evaluating clinical QA systems leveraging RAG - consisting of three metrics: Context Relevance (CR), Refusal Accuracy (RA), and Conversational Faithfulness (CF). Our novel evaluation metric, CF, is designed to b"&amp;"etter capture the faithfulness of a model’s response to the knowledge base without penalising conversational elements. Additionally, our metric RA captures the refusal to address questions outside of the system’s scope of practice. To validate our triad, "&amp;"we curate a dataset of over 200 real-world patient questions posed to an LLM-based QA agent during surgical follow-up for cataract surgery - the highest volume operation in the world - augmented with clinician-selected questions for emergency, and clinica"&amp;"l and non-clinical out-of-domain scenarios. We demonstrate that CF predicts human ratings of faithfulness more accurately than existing definitions in conversational settings. Furthermore, using eight different LLMs, we demonstrate that the three metrics "&amp;"can closely agree with human evaluations, highlighting the potential of these metrics for use in LLM-driven automated evaluation pipelines. Finally, we show that evaluation using our triad of CF, RA, and CR exhibits alignment with clinician assessment for"&amp;" inappropriate, harmful, or unhelpful responses. We also publish the prompts and datasets for these experiments, providing valuable resources for further research and development.")</f>
        <v>Large Language Models (LLMs) have shown impressive potential in clinical question answering (QA), with Retrieval Augmented Generation (RAG) emerging as a leading approach for ensuring the factual accuracy of model responses. However, current automated RAG metrics perform poorly in clinical and conversational use cases. Using clinical human evaluations of responses is expensive, unscalable, and not conducive to the continuous iterative development of RAG systems. To address these challenges, we introduce ASTRID - an Automated and Scalable TRIaD for evaluating clinical QA systems leveraging RAG - consisting of three metrics: Context Relevance (CR), Refusal Accuracy (RA), and Conversational Faithfulness (CF). Our novel evaluation metric, CF, is designed to better capture the faithfulness of a model’s response to the knowledge base without penalising conversational elements. Additionally, our metric RA captures the refusal to address questions outside of the system’s scope of practice. To validate our triad, we curate a dataset of over 200 real-world patient questions posed to an LLM-based QA agent during surgical follow-up for cataract surgery - the highest volume operation in the world - augmented with clinician-selected questions for emergency, and clinical and non-clinical out-of-domain scenarios. We demonstrate that CF predicts human ratings of faithfulness more accurately than existing definitions in conversational settings. Furthermore, using eight different LLMs, we demonstrate that the three metrics can closely agree with human evaluations, highlighting the potential of these metrics for use in LLM-driven automated evaluation pipelines. Finally, we show that evaluation using our triad of CF, RA, and CR exhibits alignment with clinician assessment for inappropriate, harmful, or unhelpful responses. We also publish the prompts and datasets for these experiments, providing valuable resources for further research and development.</v>
      </c>
      <c r="D941" s="7" t="str">
        <f>IFERROR(__xludf.DUMMYFUNCTION("""COMPUTED_VALUE"""),"Yajie Vera He")</f>
        <v>Yajie Vera He</v>
      </c>
      <c r="E941" s="7" t="str">
        <f>IFERROR(__xludf.DUMMYFUNCTION("""COMPUTED_VALUE"""),"Yes")</f>
        <v>Yes</v>
      </c>
      <c r="F941" s="7" t="str">
        <f>IFERROR(__xludf.DUMMYFUNCTION("""COMPUTED_VALUE"""),"IP-Poster")</f>
        <v>IP-Poster</v>
      </c>
      <c r="G941" s="7" t="str">
        <f>IFERROR(__xludf.DUMMYFUNCTION("""COMPUTED_VALUE"""),"In-Person")</f>
        <v>In-Person</v>
      </c>
      <c r="H941" s="7" t="str">
        <f>IFERROR(__xludf.DUMMYFUNCTION("""COMPUTED_VALUE"""),"Hall 4/5")</f>
        <v>Hall 4/5</v>
      </c>
      <c r="I941" s="7" t="str">
        <f>IFERROR(__xludf.DUMMYFUNCTION("""COMPUTED_VALUE"""),"Session 7: IP-Posters")</f>
        <v>Session 7: IP-Posters</v>
      </c>
      <c r="J941" s="7" t="str">
        <f>IFERROR(__xludf.DUMMYFUNCTION("""COMPUTED_VALUE"""),"Findings Posters - In-Person 2")</f>
        <v>Findings Posters - In-Person 2</v>
      </c>
      <c r="K941" s="7"/>
      <c r="L941" s="8">
        <f>IFERROR(__xludf.DUMMYFUNCTION("""COMPUTED_VALUE"""),45867.0)</f>
        <v>45867</v>
      </c>
      <c r="M941" s="7" t="str">
        <f>IFERROR(__xludf.DUMMYFUNCTION("""COMPUTED_VALUE"""),"10:30-12:00")</f>
        <v>10:30-12:00</v>
      </c>
      <c r="N941" s="7"/>
    </row>
    <row r="942">
      <c r="A942" s="7" t="str">
        <f>IFERROR(__xludf.DUMMYFUNCTION("""COMPUTED_VALUE"""),"3311-FIND")</f>
        <v>3311-FIND</v>
      </c>
      <c r="B942" s="7" t="str">
        <f>IFERROR(__xludf.DUMMYFUNCTION("""COMPUTED_VALUE"""),"On Entity Identification in Language Models")</f>
        <v>On Entity Identification in Language Models</v>
      </c>
      <c r="C942" s="7" t="str">
        <f>IFERROR(__xludf.DUMMYFUNCTION("""COMPUTED_VALUE"""),"This study investigates the condition under which Transformer-based language models (LMs) identify and distinguish entities, such as individuals and organizations, with their internal representations, focusing on the many-to-many correspondence between en"&amp;"tities and their mentions. We first formulate two problems, ambiguity and variability of entity mentions, and propose a framework analogous to clustering quality metrics to measure how well the models resolve these issues. Our experiments examine four Tra"&amp;"nsformer-based autoregressive models, showing that they effectively identify and distinguish entities with metrics analogous to precision and recall exceeding 0.8. Further analysis reveals that entity-related information is compactly represented in a low-"&amp;"dimensional linear subspace at early LM layers and provides potential interpretations of these findings through the lens of isomorphism between LM representations and entity-centric knowledge structures in the real world.")</f>
        <v>This study investigates the condition under which Transformer-based language models (LMs) identify and distinguish entities, such as individuals and organizations, with their internal representations, focusing on the many-to-many correspondence between entities and their mentions. We first formulate two problems, ambiguity and variability of entity mentions, and propose a framework analogous to clustering quality metrics to measure how well the models resolve these issues. Our experiments examine four Transformer-based autoregressive models, showing that they effectively identify and distinguish entities with metrics analogous to precision and recall exceeding 0.8. Further analysis reveals that entity-related information is compactly represented in a low-dimensional linear subspace at early LM layers and provides potential interpretations of these findings through the lens of isomorphism between LM representations and entity-centric knowledge structures in the real world.</v>
      </c>
      <c r="D942" s="7" t="str">
        <f>IFERROR(__xludf.DUMMYFUNCTION("""COMPUTED_VALUE"""),"Masaki Sakata")</f>
        <v>Masaki Sakata</v>
      </c>
      <c r="E942" s="7" t="str">
        <f>IFERROR(__xludf.DUMMYFUNCTION("""COMPUTED_VALUE"""),"Yes")</f>
        <v>Yes</v>
      </c>
      <c r="F942" s="7" t="str">
        <f>IFERROR(__xludf.DUMMYFUNCTION("""COMPUTED_VALUE"""),"IP-Poster")</f>
        <v>IP-Poster</v>
      </c>
      <c r="G942" s="7" t="str">
        <f>IFERROR(__xludf.DUMMYFUNCTION("""COMPUTED_VALUE"""),"In-Person")</f>
        <v>In-Person</v>
      </c>
      <c r="H942" s="7" t="str">
        <f>IFERROR(__xludf.DUMMYFUNCTION("""COMPUTED_VALUE"""),"Hall 4/5")</f>
        <v>Hall 4/5</v>
      </c>
      <c r="I942" s="7" t="str">
        <f>IFERROR(__xludf.DUMMYFUNCTION("""COMPUTED_VALUE"""),"Session 7: IP-Posters")</f>
        <v>Session 7: IP-Posters</v>
      </c>
      <c r="J942" s="7" t="str">
        <f>IFERROR(__xludf.DUMMYFUNCTION("""COMPUTED_VALUE"""),"Findings Posters - In-Person 2")</f>
        <v>Findings Posters - In-Person 2</v>
      </c>
      <c r="K942" s="7"/>
      <c r="L942" s="8">
        <f>IFERROR(__xludf.DUMMYFUNCTION("""COMPUTED_VALUE"""),45867.0)</f>
        <v>45867</v>
      </c>
      <c r="M942" s="7" t="str">
        <f>IFERROR(__xludf.DUMMYFUNCTION("""COMPUTED_VALUE"""),"10:30-12:00")</f>
        <v>10:30-12:00</v>
      </c>
      <c r="N942" s="7"/>
    </row>
    <row r="943">
      <c r="A943" s="7" t="str">
        <f>IFERROR(__xludf.DUMMYFUNCTION("""COMPUTED_VALUE"""),"3316-FIND")</f>
        <v>3316-FIND</v>
      </c>
      <c r="B943" s="7" t="str">
        <f>IFERROR(__xludf.DUMMYFUNCTION("""COMPUTED_VALUE"""),"RAPID: Efficient Retrieval-Augmented Long Text Generation with Writing Planning and Information Discovery")</f>
        <v>RAPID: Efficient Retrieval-Augmented Long Text Generation with Writing Planning and Information Discovery</v>
      </c>
      <c r="C943" s="7" t="str">
        <f>IFERROR(__xludf.DUMMYFUNCTION("""COMPUTED_VALUE"""),"Generating knowledge-intensive and comprehensive long texts, such as encyclopedia articles, remains significant challenges for Large Language Models. It requires not only the precise integration of facts but also the maintenance of thematic coherence thro"&amp;"ughout the article. Existing methods, such as multi-agent discussion, often struggle with issues like hallucinations, topic incoherence, and significant latency. To address these challenges, we propose RAPID, an efficient **R**etrieval-**A**ugmented long "&amp;"text generation framework with writing **P**lanning and **I**nformation **D**iscovery. RAPID consists of three main modules: (1) Retrieval-augmented preliminary outline generation to reduce hallucinations, (2) Attribute-constrained search for efficient in"&amp;"formation discovery, (3) Plan-guided article generation for enhanced coherence. Extensive experiments on our newly compiled benchmark dataset, FreshWiki-2024, demonstrate that RAPID significantly outperforms state-of-the-art methods across a wide range of"&amp;" evaluation metrics (\eg long-text generation, outline quality, latency, etc). Our work provides a robust and efficient solution to the challenges of automated long-text generation.")</f>
        <v>Generating knowledge-intensive and comprehensive long texts, such as encyclopedia articles, remains significant challenges for Large Language Models. It requires not only the precise integration of facts but also the maintenance of thematic coherence throughout the article. Existing methods, such as multi-agent discussion, often struggle with issues like hallucinations, topic incoherence, and significant latency. To address these challenges, we propose RAPID, an efficient **R**etrieval-**A**ugmented long text generation framework with writing **P**lanning and **I**nformation **D**iscovery. RAPID consists of three main modules: (1) Retrieval-augmented preliminary outline generation to reduce hallucinations, (2) Attribute-constrained search for efficient information discovery, (3) Plan-guided article generation for enhanced coherence. Extensive experiments on our newly compiled benchmark dataset, FreshWiki-2024, demonstrate that RAPID significantly outperforms state-of-the-art methods across a wide range of evaluation metrics (\eg long-text generation, outline quality, latency, etc). Our work provides a robust and efficient solution to the challenges of automated long-text generation.</v>
      </c>
      <c r="D943" s="7" t="str">
        <f>IFERROR(__xludf.DUMMYFUNCTION("""COMPUTED_VALUE"""),"Hongchao Gu")</f>
        <v>Hongchao Gu</v>
      </c>
      <c r="E943" s="7" t="str">
        <f>IFERROR(__xludf.DUMMYFUNCTION("""COMPUTED_VALUE"""),"Yes")</f>
        <v>Yes</v>
      </c>
      <c r="F943" s="7" t="str">
        <f>IFERROR(__xludf.DUMMYFUNCTION("""COMPUTED_VALUE"""),"IP-Poster")</f>
        <v>IP-Poster</v>
      </c>
      <c r="G943" s="7" t="str">
        <f>IFERROR(__xludf.DUMMYFUNCTION("""COMPUTED_VALUE"""),"In-Person")</f>
        <v>In-Person</v>
      </c>
      <c r="H943" s="7" t="str">
        <f>IFERROR(__xludf.DUMMYFUNCTION("""COMPUTED_VALUE"""),"Hall 4/5")</f>
        <v>Hall 4/5</v>
      </c>
      <c r="I943" s="7" t="str">
        <f>IFERROR(__xludf.DUMMYFUNCTION("""COMPUTED_VALUE"""),"Session 10: IP-Posters")</f>
        <v>Session 10: IP-Posters</v>
      </c>
      <c r="J943" s="7" t="str">
        <f>IFERROR(__xludf.DUMMYFUNCTION("""COMPUTED_VALUE"""),"Findings Posters - In-Person 3")</f>
        <v>Findings Posters - In-Person 3</v>
      </c>
      <c r="K943" s="7"/>
      <c r="L943" s="8">
        <f>IFERROR(__xludf.DUMMYFUNCTION("""COMPUTED_VALUE"""),45867.0)</f>
        <v>45867</v>
      </c>
      <c r="M943" s="7" t="str">
        <f>IFERROR(__xludf.DUMMYFUNCTION("""COMPUTED_VALUE"""),"16:00-17:30")</f>
        <v>16:00-17:30</v>
      </c>
      <c r="N943" s="7"/>
    </row>
    <row r="944">
      <c r="A944" s="7" t="str">
        <f>IFERROR(__xludf.DUMMYFUNCTION("""COMPUTED_VALUE"""),"3317-FIND")</f>
        <v>3317-FIND</v>
      </c>
      <c r="B944" s="7" t="str">
        <f>IFERROR(__xludf.DUMMYFUNCTION("""COMPUTED_VALUE"""),"CHARPEVAL: Benchmarking Large Language Models' Contextual Reasoning in Knowledge-Grounded Dialogue")</f>
        <v>CHARPEVAL: Benchmarking Large Language Models' Contextual Reasoning in Knowledge-Grounded Dialogue</v>
      </c>
      <c r="C944" s="7" t="str">
        <f>IFERROR(__xludf.DUMMYFUNCTION("""COMPUTED_VALUE"""),"This paper presents CHARPEVAL, a challenging benchmark specifically designed to evaluate the ability of Large Language Models (LLMs) to perform contextualized reasoning in knowledge-grounded dialogue scenarios. The task involves selecting the correct resp"&amp;"onse from 6 options, including 5 manually crafted distractors, given the conversation history. Extensive benchmarking experiments with a diverse set of state-of-the-art open-weight LLMs show poor performance on CHARPEVAL due to their inability to effectiv"&amp;"ely reason over discontinuous chunks of text across the input. Our analysis reveals systematic error patterns across models with different properties, highlighting the need to improve LLMs beyond simply scaling-up data and compute. CHARPEVAL is publicly a"&amp;"vailable at https://huggingface.co/datasets/huawei-noah/CHARP.")</f>
        <v>This paper presents CHARPEVAL, a challenging benchmark specifically designed to evaluate the ability of Large Language Models (LLMs) to perform contextualized reasoning in knowledge-grounded dialogue scenarios. The task involves selecting the correct response from 6 options, including 5 manually crafted distractors, given the conversation history. Extensive benchmarking experiments with a diverse set of state-of-the-art open-weight LLMs show poor performance on CHARPEVAL due to their inability to effectively reason over discontinuous chunks of text across the input. Our analysis reveals systematic error patterns across models with different properties, highlighting the need to improve LLMs beyond simply scaling-up data and compute. CHARPEVAL is publicly available at https://huggingface.co/datasets/huawei-noah/CHARP.</v>
      </c>
      <c r="D944" s="7" t="str">
        <f>IFERROR(__xludf.DUMMYFUNCTION("""COMPUTED_VALUE"""),"Abbas Ghaddar")</f>
        <v>Abbas Ghaddar</v>
      </c>
      <c r="E944" s="7" t="str">
        <f>IFERROR(__xludf.DUMMYFUNCTION("""COMPUTED_VALUE"""),"Yes")</f>
        <v>Yes</v>
      </c>
      <c r="F944" s="7" t="str">
        <f>IFERROR(__xludf.DUMMYFUNCTION("""COMPUTED_VALUE"""),"Not Pres. ")</f>
        <v>Not Pres. </v>
      </c>
      <c r="G944" s="7" t="str">
        <f>IFERROR(__xludf.DUMMYFUNCTION("""COMPUTED_VALUE"""),"NP Findings Not Presenting ")</f>
        <v>NP Findings Not Presenting </v>
      </c>
      <c r="H944" s="7"/>
      <c r="I944" s="7"/>
      <c r="J944" s="7"/>
      <c r="K944" s="7"/>
      <c r="L944" s="8"/>
      <c r="M944" s="7"/>
      <c r="N944" s="7"/>
    </row>
    <row r="945">
      <c r="A945" s="7" t="str">
        <f>IFERROR(__xludf.DUMMYFUNCTION("""COMPUTED_VALUE"""),"3318-FIND")</f>
        <v>3318-FIND</v>
      </c>
      <c r="B945" s="7" t="str">
        <f>IFERROR(__xludf.DUMMYFUNCTION("""COMPUTED_VALUE"""),"Ask in Any Modality: A Comprehensive Survey on Multimodal Retrieval-Augmented Generation")</f>
        <v>Ask in Any Modality: A Comprehensive Survey on Multimodal Retrieval-Augmented Generation</v>
      </c>
      <c r="C945" s="7" t="str">
        <f>IFERROR(__xludf.DUMMYFUNCTION("""COMPUTED_VALUE"""),"Large Language Models (LLMs) suffer from hallucinations and outdated knowledge due to their reliance on static training data. Retrieval-Augmented Generation (RAG) mitigates these issues by integrating external dynamic information for improved factual grou"&amp;"nding. With advances in multimodal learning, Multimodal RAG extends this approach by incorporating multiple modalities such as text, images, audio, and video to enhance the generated outputs. However, cross-modal alignment and reasoning introduce challeng"&amp;"es beyond those in unimodal RAG. This survey offers a structured and comprehensive analysis of Multimodal RAG systems, covering datasets, benchmarks, metrics, evaluation, methodologies, and innovations in retrieval, fusion, augmentation, and generation. W"&amp;"e precisely review training strategies, robustness enhancements, and loss functions, while also exploring the diverse Multimodal RAG scenarios. In addition, we outline open challenges and future directions to guide research in this evolving field. This su"&amp;"rvey lays the foundation for developing more reliable AI systems that effectively leverage multimodal dynamic external knowledge bases. To support further research, all resources are publicly available.")</f>
        <v>Large Language Models (LLMs) suffer from hallucinations and outdated knowledge due to their reliance on static training data. Retrieval-Augmented Generation (RAG) mitigates these issues by integrating external dynamic information for improved factual grounding. With advances in multimodal learning, Multimodal RAG extends this approach by incorporating multiple modalities such as text, images, audio, and video to enhance the generated outputs. However, cross-modal alignment and reasoning introduce challenges beyond those in unimodal RAG. This survey offers a structured and comprehensive analysis of Multimodal RAG systems, covering datasets, benchmarks, metrics, evaluation, methodologies, and innovations in retrieval, fusion, augmentation, and generation. We precisely review training strategies, robustness enhancements, and loss functions, while also exploring the diverse Multimodal RAG scenarios. In addition, we outline open challenges and future directions to guide research in this evolving field. This survey lays the foundation for developing more reliable AI systems that effectively leverage multimodal dynamic external knowledge bases. To support further research, all resources are publicly available.</v>
      </c>
      <c r="D945" s="7" t="str">
        <f>IFERROR(__xludf.DUMMYFUNCTION("""COMPUTED_VALUE"""),"Mohammad Mahdi Abootorabi,
Ehsaneddin Asgari")</f>
        <v>Mohammad Mahdi Abootorabi,
Ehsaneddin Asgari</v>
      </c>
      <c r="E945" s="7" t="str">
        <f>IFERROR(__xludf.DUMMYFUNCTION("""COMPUTED_VALUE"""),"Yes")</f>
        <v>Yes</v>
      </c>
      <c r="F945" s="7" t="str">
        <f>IFERROR(__xludf.DUMMYFUNCTION("""COMPUTED_VALUE"""),"IP-Poster")</f>
        <v>IP-Poster</v>
      </c>
      <c r="G945" s="7" t="str">
        <f>IFERROR(__xludf.DUMMYFUNCTION("""COMPUTED_VALUE"""),"In-Person")</f>
        <v>In-Person</v>
      </c>
      <c r="H945" s="7" t="str">
        <f>IFERROR(__xludf.DUMMYFUNCTION("""COMPUTED_VALUE"""),"Hall 4/5")</f>
        <v>Hall 4/5</v>
      </c>
      <c r="I945" s="7" t="str">
        <f>IFERROR(__xludf.DUMMYFUNCTION("""COMPUTED_VALUE"""),"Session 5 :IP-Posters Find ")</f>
        <v>Session 5 :IP-Posters Find </v>
      </c>
      <c r="J945" s="7" t="str">
        <f>IFERROR(__xludf.DUMMYFUNCTION("""COMPUTED_VALUE"""),"Findings Posters - In-Person 1")</f>
        <v>Findings Posters - In-Person 1</v>
      </c>
      <c r="K945" s="7"/>
      <c r="L945" s="8">
        <f>IFERROR(__xludf.DUMMYFUNCTION("""COMPUTED_VALUE"""),45866.0)</f>
        <v>45866</v>
      </c>
      <c r="M945" s="7" t="str">
        <f>IFERROR(__xludf.DUMMYFUNCTION("""COMPUTED_VALUE"""),"18:00-19:30")</f>
        <v>18:00-19:30</v>
      </c>
      <c r="N945" s="7"/>
    </row>
    <row r="946">
      <c r="A946" s="7" t="str">
        <f>IFERROR(__xludf.DUMMYFUNCTION("""COMPUTED_VALUE"""),"3319-FIND")</f>
        <v>3319-FIND</v>
      </c>
      <c r="B946" s="7" t="str">
        <f>IFERROR(__xludf.DUMMYFUNCTION("""COMPUTED_VALUE"""),"Debate4MATH: Multi-Agent Debate for Fine-Grained Reasoning in Math")</f>
        <v>Debate4MATH: Multi-Agent Debate for Fine-Grained Reasoning in Math</v>
      </c>
      <c r="C946" s="7" t="str">
        <f>IFERROR(__xludf.DUMMYFUNCTION("""COMPUTED_VALUE"""),"Large language models (LLMs) have demonstrated impressive performance in reasoning. However, existing data annotation methods usually suffer from high annotation cost and the lack of effective automatic validation. To address these issues, we propose a Fi"&amp;"ne-grained Multi-Agent Debate framework (FMAD) and MMATH-Data, a dataset created by FMAD, which consists of 46K reasoning steps. By prompting multiple agents to debate, FMAD assesses the contribution of each reasoning step to the final solution, with labe"&amp;"ls based on the judge’s confidence score and the winner’s position. To facilitate reasoning in math and examine FMAD and MMATH-Data, we further propose two key components: a Multi-Agent Debate Reward Model (MRM) trained on MMATH-Data, which serves as a re"&amp;"ward model to provide robust feedback during the optimization process, and MMATH-LLM, a model designed specifically for mathematical reasoning. MMATH-LLM is fine-tuned using reinforcement learning with supervised feedback from MRM, aiming at improving its"&amp;" mathematical reasoning capabilities. Extensive experiments demonstrate that our model achieves 83.4\% accuracy on the GSM8K dataset and 45.1\% on the MATH dataset, outperforming the state-of-the-art methods by 1.2\% and 3.5\%, respectively. All data and "&amp;"code will be available soon at GitHub.")</f>
        <v>Large language models (LLMs) have demonstrated impressive performance in reasoning. However, existing data annotation methods usually suffer from high annotation cost and the lack of effective automatic validation. To address these issues, we propose a Fine-grained Multi-Agent Debate framework (FMAD) and MMATH-Data, a dataset created by FMAD, which consists of 46K reasoning steps. By prompting multiple agents to debate, FMAD assesses the contribution of each reasoning step to the final solution, with labels based on the judge’s confidence score and the winner’s position. To facilitate reasoning in math and examine FMAD and MMATH-Data, we further propose two key components: a Multi-Agent Debate Reward Model (MRM) trained on MMATH-Data, which serves as a reward model to provide robust feedback during the optimization process, and MMATH-LLM, a model designed specifically for mathematical reasoning. MMATH-LLM is fine-tuned using reinforcement learning with supervised feedback from MRM, aiming at improving its mathematical reasoning capabilities. Extensive experiments demonstrate that our model achieves 83.4\% accuracy on the GSM8K dataset and 45.1\% on the MATH dataset, outperforming the state-of-the-art methods by 1.2\% and 3.5\%, respectively. All data and code will be available soon at GitHub.</v>
      </c>
      <c r="D946" s="7" t="str">
        <f>IFERROR(__xludf.DUMMYFUNCTION("""COMPUTED_VALUE"""),"I do not plan to present")</f>
        <v>I do not plan to present</v>
      </c>
      <c r="E946" s="7" t="str">
        <f>IFERROR(__xludf.DUMMYFUNCTION("""COMPUTED_VALUE"""),"#N/A")</f>
        <v>#N/A</v>
      </c>
      <c r="F946" s="7" t="str">
        <f>IFERROR(__xludf.DUMMYFUNCTION("""COMPUTED_VALUE"""),"Not Pres. ")</f>
        <v>Not Pres. </v>
      </c>
      <c r="G946" s="7" t="str">
        <f>IFERROR(__xludf.DUMMYFUNCTION("""COMPUTED_VALUE"""),"NP Findings Not Presenting ")</f>
        <v>NP Findings Not Presenting </v>
      </c>
      <c r="H946" s="7"/>
      <c r="I946" s="7" t="str">
        <f>IFERROR(__xludf.DUMMYFUNCTION("""COMPUTED_VALUE"""),"NP-Find")</f>
        <v>NP-Find</v>
      </c>
      <c r="J946" s="7"/>
      <c r="K946" s="7"/>
      <c r="L946" s="8"/>
      <c r="M946" s="7"/>
      <c r="N946" s="7"/>
    </row>
    <row r="947">
      <c r="A947" s="7" t="str">
        <f>IFERROR(__xludf.DUMMYFUNCTION("""COMPUTED_VALUE"""),"3320-FIND")</f>
        <v>3320-FIND</v>
      </c>
      <c r="B947" s="7" t="str">
        <f>IFERROR(__xludf.DUMMYFUNCTION("""COMPUTED_VALUE"""),"Disambiguate First Parse Later: Generating Interpretations for Ambiguity Resolution in Semantic Parsing")</f>
        <v>Disambiguate First Parse Later: Generating Interpretations for Ambiguity Resolution in Semantic Parsing</v>
      </c>
      <c r="C947" s="7" t="str">
        <f>IFERROR(__xludf.DUMMYFUNCTION("""COMPUTED_VALUE"""),"Handling ambiguity and underspecification is an important challenge in natural language interfaces, particularly for tasks like text-to-SQL semantic parsing. We propose a modular approach that resolves ambiguity using natural language interpretations befo"&amp;"re mapping these to logical forms (e.g., SQL queries). Although LLMs excel at parsing unambiguous utterances, they show strong biases for ambiguous ones, typically predicting only preferred interpretations. We constructively exploit this bias to generate "&amp;"an initial set of preferred disambiguations and then apply a specialized infilling model to identify and generate missing interpretations. To train the infilling model, we introduce an annotation method that uses SQL execution to validate different meanin"&amp;"gs. Our approach improves interpretation coverage and generalizes across datasets with different annotation styles, database structures, and ambiguity types.")</f>
        <v>Handling ambiguity and underspecification is an important challenge in natural language interfaces, particularly for tasks like text-to-SQL semantic parsing. We propose a modular approach that resolves ambiguity using natural language interpretations before mapping these to logical forms (e.g., SQL queries). Although LLMs excel at parsing unambiguous utterances, they show strong biases for ambiguous ones, typically predicting only preferred interpretations. We constructively exploit this bias to generate an initial set of preferred disambiguations and then apply a specialized infilling model to identify and generate missing interpretations. To train the infilling model, we introduce an annotation method that uses SQL execution to validate different meanings. Our approach improves interpretation coverage and generalizes across datasets with different annotation styles, database structures, and ambiguity types.</v>
      </c>
      <c r="D947" s="7" t="str">
        <f>IFERROR(__xludf.DUMMYFUNCTION("""COMPUTED_VALUE"""),"Irina Saparina")</f>
        <v>Irina Saparina</v>
      </c>
      <c r="E947" s="7" t="str">
        <f>IFERROR(__xludf.DUMMYFUNCTION("""COMPUTED_VALUE"""),"Yes")</f>
        <v>Yes</v>
      </c>
      <c r="F947" s="7" t="str">
        <f>IFERROR(__xludf.DUMMYFUNCTION("""COMPUTED_VALUE"""),"IP-Poster")</f>
        <v>IP-Poster</v>
      </c>
      <c r="G947" s="7" t="str">
        <f>IFERROR(__xludf.DUMMYFUNCTION("""COMPUTED_VALUE"""),"In-Person")</f>
        <v>In-Person</v>
      </c>
      <c r="H947" s="7" t="str">
        <f>IFERROR(__xludf.DUMMYFUNCTION("""COMPUTED_VALUE"""),"Hall 4/5")</f>
        <v>Hall 4/5</v>
      </c>
      <c r="I947" s="7" t="str">
        <f>IFERROR(__xludf.DUMMYFUNCTION("""COMPUTED_VALUE"""),"Session 7: IP-Posters")</f>
        <v>Session 7: IP-Posters</v>
      </c>
      <c r="J947" s="7" t="str">
        <f>IFERROR(__xludf.DUMMYFUNCTION("""COMPUTED_VALUE"""),"Findings Posters - In-Person 2")</f>
        <v>Findings Posters - In-Person 2</v>
      </c>
      <c r="K947" s="7"/>
      <c r="L947" s="8">
        <f>IFERROR(__xludf.DUMMYFUNCTION("""COMPUTED_VALUE"""),45867.0)</f>
        <v>45867</v>
      </c>
      <c r="M947" s="7" t="str">
        <f>IFERROR(__xludf.DUMMYFUNCTION("""COMPUTED_VALUE"""),"10:30-12:00")</f>
        <v>10:30-12:00</v>
      </c>
      <c r="N947" s="7"/>
    </row>
    <row r="948">
      <c r="A948" s="7" t="str">
        <f>IFERROR(__xludf.DUMMYFUNCTION("""COMPUTED_VALUE"""),"3326-FIND")</f>
        <v>3326-FIND</v>
      </c>
      <c r="B948" s="7" t="str">
        <f>IFERROR(__xludf.DUMMYFUNCTION("""COMPUTED_VALUE"""),"The anatomy of evidence: An investigation into explainable ICD coding")</f>
        <v>The anatomy of evidence: An investigation into explainable ICD coding</v>
      </c>
      <c r="C948" s="7" t="str">
        <f>IFERROR(__xludf.DUMMYFUNCTION("""COMPUTED_VALUE"""),"Automatic medical coding has the potential to ease documentation and billing processes. For this task, transparency plays an important role for medical coders and regulatory bodies, which can be achieved using explainability methods. However, the evaluati"&amp;"on of these approaches has been mostly limited to short text and binary settings due to a scarcity of annotated data. Recent efforts by Cheng et al. (2023) have introduced the MDACE dataset, which provides a valuable resource containing code evidence in c"&amp;"linical records. In this work, we conduct an in-depth analysis of the MDACE dataset and perform plausibility evaluation of current explainable ICD coding systems from an applied perspective. With this, we contribute to a deeper understanding of automatic "&amp;"ICD coding and evidence extraction. Our findings reveal that ground truth evidence aligns with code descriptions to a certain degree. An investigation into state-of-the-art approaches shows a high overlap with ground truth evidence. We propose introduce m"&amp;"atch measures and highlight success and failure cases. Based on our findings, we provide recommendations for developing and evaluating explainable ICD coding systems.")</f>
        <v>Automatic medical coding has the potential to ease documentation and billing processes. For this task, transparency plays an important role for medical coders and regulatory bodies, which can be achieved using explainability methods. However, the evaluation of these approaches has been mostly limited to short text and binary settings due to a scarcity of annotated data. Recent efforts by Cheng et al. (2023) have introduced the MDACE dataset, which provides a valuable resource containing code evidence in clinical records. In this work, we conduct an in-depth analysis of the MDACE dataset and perform plausibility evaluation of current explainable ICD coding systems from an applied perspective. With this, we contribute to a deeper understanding of automatic ICD coding and evidence extraction. Our findings reveal that ground truth evidence aligns with code descriptions to a certain degree. An investigation into state-of-the-art approaches shows a high overlap with ground truth evidence. We propose introduce match measures and highlight success and failure cases. Based on our findings, we provide recommendations for developing and evaluating explainable ICD coding systems.</v>
      </c>
      <c r="D948" s="7" t="str">
        <f>IFERROR(__xludf.DUMMYFUNCTION("""COMPUTED_VALUE"""),"Katharina Beckh")</f>
        <v>Katharina Beckh</v>
      </c>
      <c r="E948" s="7" t="str">
        <f>IFERROR(__xludf.DUMMYFUNCTION("""COMPUTED_VALUE"""),"Yes")</f>
        <v>Yes</v>
      </c>
      <c r="F948" s="7" t="str">
        <f>IFERROR(__xludf.DUMMYFUNCTION("""COMPUTED_VALUE"""),"IP-Poster")</f>
        <v>IP-Poster</v>
      </c>
      <c r="G948" s="7" t="str">
        <f>IFERROR(__xludf.DUMMYFUNCTION("""COMPUTED_VALUE"""),"In-Person")</f>
        <v>In-Person</v>
      </c>
      <c r="H948" s="7" t="str">
        <f>IFERROR(__xludf.DUMMYFUNCTION("""COMPUTED_VALUE"""),"Hall 4/5")</f>
        <v>Hall 4/5</v>
      </c>
      <c r="I948" s="7" t="str">
        <f>IFERROR(__xludf.DUMMYFUNCTION("""COMPUTED_VALUE"""),"Session 10: IP-Posters")</f>
        <v>Session 10: IP-Posters</v>
      </c>
      <c r="J948" s="7" t="str">
        <f>IFERROR(__xludf.DUMMYFUNCTION("""COMPUTED_VALUE"""),"Findings Posters - In-Person 3")</f>
        <v>Findings Posters - In-Person 3</v>
      </c>
      <c r="K948" s="7"/>
      <c r="L948" s="8">
        <f>IFERROR(__xludf.DUMMYFUNCTION("""COMPUTED_VALUE"""),45867.0)</f>
        <v>45867</v>
      </c>
      <c r="M948" s="7" t="str">
        <f>IFERROR(__xludf.DUMMYFUNCTION("""COMPUTED_VALUE"""),"16:00-17:30")</f>
        <v>16:00-17:30</v>
      </c>
      <c r="N948" s="7"/>
    </row>
    <row r="949">
      <c r="A949" s="7" t="str">
        <f>IFERROR(__xludf.DUMMYFUNCTION("""COMPUTED_VALUE"""),"3328-FIND")</f>
        <v>3328-FIND</v>
      </c>
      <c r="B949" s="7" t="str">
        <f>IFERROR(__xludf.DUMMYFUNCTION("""COMPUTED_VALUE"""),"AVG-LLaVA: An Efficient Large Multimodal Model with Adaptive Visual Granularity")</f>
        <v>AVG-LLaVA: An Efficient Large Multimodal Model with Adaptive Visual Granularity</v>
      </c>
      <c r="C949" s="7" t="str">
        <f>IFERROR(__xludf.DUMMYFUNCTION("""COMPUTED_VALUE"""),"Recently, large multimodal models (LMMs) have achieved significant advancements. When dealing with high-resolution images, dominant LMMs typically divide them into multiple local images and a global image, leading to a large number of visual tokens. In th"&amp;"is work, we introduce AVG-LLaVA, an LMM that can adaptively select the appropriate visual granularity based on the input image and instruction. Specifically, we first apply the multiple pooling layers to obtain visual tokens at different granularities. Th"&amp;"en we propose a visual granularity router, which includes a Transformer layer, an MLP layer, and a voter layer, used to select the appropriate visual granularity based on the image and instruction. Furthermore, we put forward RGLF, a novel training paradi"&amp;"gm that aims at aligning the granularity predicted by the router with the preferences of the LMM, without the need for additional manually annotated data. Extensive experiments and analysis show that AVG-LLaVA achieves superior performance across 11 bench"&amp;"marks, as well as significantly reduces the number of visual tokens and speeds up inference (e.g., an 85.3% reduction in visual tokens and a 2.53$\times$ increase in inference speed on the AI2D benchmark).")</f>
        <v>Recently, large multimodal models (LMMs) have achieved significant advancements. When dealing with high-resolution images, dominant LMMs typically divide them into multiple local images and a global image, leading to a large number of visual tokens. In this work, we introduce AVG-LLaVA, an LMM that can adaptively select the appropriate visual granularity based on the input image and instruction. Specifically, we first apply the multiple pooling layers to obtain visual tokens at different granularities. Then we propose a visual granularity router, which includes a Transformer layer, an MLP layer, and a voter layer, used to select the appropriate visual granularity based on the image and instruction. Furthermore, we put forward RGLF, a novel training paradigm that aims at aligning the granularity predicted by the router with the preferences of the LMM, without the need for additional manually annotated data. Extensive experiments and analysis show that AVG-LLaVA achieves superior performance across 11 benchmarks, as well as significantly reduces the number of visual tokens and speeds up inference (e.g., an 85.3% reduction in visual tokens and a 2.53$\times$ increase in inference speed on the AI2D benchmark).</v>
      </c>
      <c r="D949" s="7" t="str">
        <f>IFERROR(__xludf.DUMMYFUNCTION("""COMPUTED_VALUE"""),"Zhibin Lan")</f>
        <v>Zhibin Lan</v>
      </c>
      <c r="E949" s="7" t="str">
        <f>IFERROR(__xludf.DUMMYFUNCTION("""COMPUTED_VALUE"""),"#N/A")</f>
        <v>#N/A</v>
      </c>
      <c r="F949" s="7" t="str">
        <f>IFERROR(__xludf.DUMMYFUNCTION("""COMPUTED_VALUE"""),"Not Pres. ")</f>
        <v>Not Pres. </v>
      </c>
      <c r="G949" s="7" t="str">
        <f>IFERROR(__xludf.DUMMYFUNCTION("""COMPUTED_VALUE"""),"NP Findings Not Presenting ")</f>
        <v>NP Findings Not Presenting </v>
      </c>
      <c r="H949" s="7"/>
      <c r="I949" s="7" t="str">
        <f>IFERROR(__xludf.DUMMYFUNCTION("""COMPUTED_VALUE"""),"NP-Find")</f>
        <v>NP-Find</v>
      </c>
      <c r="J949" s="7"/>
      <c r="K949" s="7"/>
      <c r="L949" s="8"/>
      <c r="M949" s="7"/>
      <c r="N949" s="7"/>
    </row>
    <row r="950">
      <c r="A950" s="7" t="str">
        <f>IFERROR(__xludf.DUMMYFUNCTION("""COMPUTED_VALUE"""),"3332-FIND")</f>
        <v>3332-FIND</v>
      </c>
      <c r="B950" s="7" t="str">
        <f>IFERROR(__xludf.DUMMYFUNCTION("""COMPUTED_VALUE"""),"Word Form Matters: LLMs’ Semantic Reconstruction under Typoglycemia")</f>
        <v>Word Form Matters: LLMs’ Semantic Reconstruction under Typoglycemia</v>
      </c>
      <c r="C950" s="7" t="str">
        <f>IFERROR(__xludf.DUMMYFUNCTION("""COMPUTED_VALUE"""),"Human readers can efficiently comprehend scrambled words, a phenomenon known as Typoglycemia, primarily by relying on word form; if word form alone is insufficient, they further utilize contextual cues for interpretation. While advanced large language mod"&amp;"els (LLMs) exhibit similar abilities, the underlying mechanisms remain unclear. To investigate this, we conduct controlled experiments to analyze the roles of word form and contextual information in semantic reconstruction and examine LLM attention patter"&amp;"ns. Specifically, we first propose SemRecScore, a reliable metric to quantify the degree of semantic reconstruction, and validate its effectiveness. Using this metric, we study how word form and contextual information influence LLMs’ semantic reconstructi"&amp;"on ability, identifying word form as the core factor in this process. Furthermore, we analyze how LLMs utilize word form and find that they rely on specialized attention heads to extract and process word form information, with this mechanism remaining sta"&amp;"ble across varying levels of word scrambling. This distinction between LLMs’ fixed attention patterns primarily focused on word form and human readers’ adaptive strategy in balancing word form and contextual information provides insights into enhancing LL"&amp;"M performance by incorporating human-like, context-aware mechanisms. Code is available on: https://github.com/Aurora-cx/TypoLLM.")</f>
        <v>Human readers can efficiently comprehend scrambled words, a phenomenon known as Typoglycemia, primarily by relying on word form; if word form alone is insufficient, they further utilize contextual cues for interpretation. While advanced large language models (LLMs) exhibit similar abilities, the underlying mechanisms remain unclear. To investigate this, we conduct controlled experiments to analyze the roles of word form and contextual information in semantic reconstruction and examine LLM attention patterns. Specifically, we first propose SemRecScore, a reliable metric to quantify the degree of semantic reconstruction, and validate its effectiveness. Using this metric, we study how word form and contextual information influence LLMs’ semantic reconstruction ability, identifying word form as the core factor in this process. Furthermore, we analyze how LLMs utilize word form and find that they rely on specialized attention heads to extract and process word form information, with this mechanism remaining stable across varying levels of word scrambling. This distinction between LLMs’ fixed attention patterns primarily focused on word form and human readers’ adaptive strategy in balancing word form and contextual information provides insights into enhancing LLM performance by incorporating human-like, context-aware mechanisms. Code is available on: https://github.com/Aurora-cx/TypoLLM.</v>
      </c>
      <c r="D950" s="7" t="str">
        <f>IFERROR(__xludf.DUMMYFUNCTION("""COMPUTED_VALUE"""),"Chenxi Wang")</f>
        <v>Chenxi Wang</v>
      </c>
      <c r="E950" s="7" t="str">
        <f>IFERROR(__xludf.DUMMYFUNCTION("""COMPUTED_VALUE"""),"Yes")</f>
        <v>Yes</v>
      </c>
      <c r="F950" s="7" t="str">
        <f>IFERROR(__xludf.DUMMYFUNCTION("""COMPUTED_VALUE"""),"IP-Poster")</f>
        <v>IP-Poster</v>
      </c>
      <c r="G950" s="7" t="str">
        <f>IFERROR(__xludf.DUMMYFUNCTION("""COMPUTED_VALUE"""),"In-Person")</f>
        <v>In-Person</v>
      </c>
      <c r="H950" s="7" t="str">
        <f>IFERROR(__xludf.DUMMYFUNCTION("""COMPUTED_VALUE"""),"Hall 4/5")</f>
        <v>Hall 4/5</v>
      </c>
      <c r="I950" s="7" t="str">
        <f>IFERROR(__xludf.DUMMYFUNCTION("""COMPUTED_VALUE"""),"Session 7: IP-Posters")</f>
        <v>Session 7: IP-Posters</v>
      </c>
      <c r="J950" s="7" t="str">
        <f>IFERROR(__xludf.DUMMYFUNCTION("""COMPUTED_VALUE"""),"Findings Posters - In-Person 2")</f>
        <v>Findings Posters - In-Person 2</v>
      </c>
      <c r="K950" s="7"/>
      <c r="L950" s="8">
        <f>IFERROR(__xludf.DUMMYFUNCTION("""COMPUTED_VALUE"""),45867.0)</f>
        <v>45867</v>
      </c>
      <c r="M950" s="7" t="str">
        <f>IFERROR(__xludf.DUMMYFUNCTION("""COMPUTED_VALUE"""),"10:30-12:00")</f>
        <v>10:30-12:00</v>
      </c>
      <c r="N950" s="7"/>
    </row>
    <row r="951">
      <c r="A951" s="7" t="str">
        <f>IFERROR(__xludf.DUMMYFUNCTION("""COMPUTED_VALUE"""),"3336-FIND")</f>
        <v>3336-FIND</v>
      </c>
      <c r="B951" s="7" t="str">
        <f>IFERROR(__xludf.DUMMYFUNCTION("""COMPUTED_VALUE"""),"LLM-based Translation Inference with Iterative Bilingual Understanding")</f>
        <v>LLM-based Translation Inference with Iterative Bilingual Understanding</v>
      </c>
      <c r="C951" s="7" t="str">
        <f>IFERROR(__xludf.DUMMYFUNCTION("""COMPUTED_VALUE"""),"The remarkable understanding and generation capabilities of large language models (LLMs) have greatly improved translation performance. However, incorrect understanding of the sentence to be translated can degrade translation quality. To address this issu"&amp;"e, we proposed a novel Iterative Bilingual Understanding Translation (IBUT) method based on the cross-lingual capabilities of LLMs and the dual characteristics of translation tasks. The cross-lingual capability of LLMs enables the generation of contextual"&amp;" understanding for both the source and target languages separately. Furthermore, the dual characteristics allow IBUT to generate effective cross-lingual feedback, iteratively refining contextual understanding, thereby reducing errors and improving transla"&amp;"tion performance. Experimental results showed that the proposed IBUT outperforms several strong comparison methods, especially being generalized to multiple domains (e.g., news, commonsense, and cultural translation benchmarks).")</f>
        <v>The remarkable understanding and generation capabilities of large language models (LLMs) have greatly improved translation performance. However, incorrect understanding of the sentence to be translated can degrade translation quality. To address this issue, we proposed a novel Iterative Bilingual Understanding Translation (IBUT) method based on the cross-lingual capabilities of LLMs and the dual characteristics of translation tasks. The cross-lingual capability of LLMs enables the generation of contextual understanding for both the source and target languages separately. Furthermore, the dual characteristics allow IBUT to generate effective cross-lingual feedback, iteratively refining contextual understanding, thereby reducing errors and improving translation performance. Experimental results showed that the proposed IBUT outperforms several strong comparison methods, especially being generalized to multiple domains (e.g., news, commonsense, and cultural translation benchmarks).</v>
      </c>
      <c r="D951" s="7" t="str">
        <f>IFERROR(__xludf.DUMMYFUNCTION("""COMPUTED_VALUE"""),"Andong Chen")</f>
        <v>Andong Chen</v>
      </c>
      <c r="E951" s="7" t="str">
        <f>IFERROR(__xludf.DUMMYFUNCTION("""COMPUTED_VALUE"""),"yes")</f>
        <v>yes</v>
      </c>
      <c r="F951" s="7" t="str">
        <f>IFERROR(__xludf.DUMMYFUNCTION("""COMPUTED_VALUE"""),"IP-Poster")</f>
        <v>IP-Poster</v>
      </c>
      <c r="G951" s="7" t="str">
        <f>IFERROR(__xludf.DUMMYFUNCTION("""COMPUTED_VALUE"""),"In-Person")</f>
        <v>In-Person</v>
      </c>
      <c r="H951" s="7" t="str">
        <f>IFERROR(__xludf.DUMMYFUNCTION("""COMPUTED_VALUE"""),"Hall 4/5")</f>
        <v>Hall 4/5</v>
      </c>
      <c r="I951" s="7" t="str">
        <f>IFERROR(__xludf.DUMMYFUNCTION("""COMPUTED_VALUE"""),"Session 5 :IP-Posters Find ")</f>
        <v>Session 5 :IP-Posters Find </v>
      </c>
      <c r="J951" s="7" t="str">
        <f>IFERROR(__xludf.DUMMYFUNCTION("""COMPUTED_VALUE"""),"Findings Posters - In-Person 1")</f>
        <v>Findings Posters - In-Person 1</v>
      </c>
      <c r="K951" s="7"/>
      <c r="L951" s="8">
        <f>IFERROR(__xludf.DUMMYFUNCTION("""COMPUTED_VALUE"""),45866.0)</f>
        <v>45866</v>
      </c>
      <c r="M951" s="7" t="str">
        <f>IFERROR(__xludf.DUMMYFUNCTION("""COMPUTED_VALUE"""),"18:00-19:30")</f>
        <v>18:00-19:30</v>
      </c>
      <c r="N951" s="7"/>
    </row>
    <row r="952">
      <c r="A952" s="7" t="str">
        <f>IFERROR(__xludf.DUMMYFUNCTION("""COMPUTED_VALUE"""),"3338-FIND")</f>
        <v>3338-FIND</v>
      </c>
      <c r="B952" s="7" t="str">
        <f>IFERROR(__xludf.DUMMYFUNCTION("""COMPUTED_VALUE"""),"Vulnerability of Text-to-Image Models to Prompt Template Stealing: A Differential Evolution Approach")</f>
        <v>Vulnerability of Text-to-Image Models to Prompt Template Stealing: A Differential Evolution Approach</v>
      </c>
      <c r="C952" s="7" t="str">
        <f>IFERROR(__xludf.DUMMYFUNCTION("""COMPUTED_VALUE"""),"Prompt trading has emerged as a significant intellectual property concern in recent years, where vendors entice users by showcasing sample images before selling prompt templates that can generate similar images. This work investigates a critical security "&amp;"vulnerability: attackers can steal prompt templates using only a limited number of sample images. To investigate this threat, we introduce Prism, a prompt-stealing benchmark consisting of 50 templates and 450 images, organized into Easy and Hard difficult"&amp;"y levels. To identify the vulnerabity of VLMs to prompt stealing, we propose EvoStealer, a novel template stealing method that operates without model fine-tuning by leveraging differential evolution algorithms. The system first initializes population sets"&amp;" using multimodal large language models (MLLMs) based on predefined patterns, then iteratively generates enhanced offspring through MLLMs. During evolution, EvoStealer identifies common features across offspring to derive generalized templates. Our compre"&amp;"hensive evaluation conducted across open-source (InternVL2-26B) and closed-source models (GPT-4o and GPT-4o-mini) demonstrates that EvoStealer’s stolen templates can reproduce images highly similar to originals and effectively generalize to other subjects"&amp;", significantly outperforming baseline methods with an average improvement of over 10%. Moreover, our cost analysis reveals that EvoStealer achieves template stealing with negligible computational expenses. Our code and dataset are available at https://wh"&amp;"itepagewu.github.io/evostealer-site.")</f>
        <v>Prompt trading has emerged as a significant intellectual property concern in recent years, where vendors entice users by showcasing sample images before selling prompt templates that can generate similar images. This work investigates a critical security vulnerability: attackers can steal prompt templates using only a limited number of sample images. To investigate this threat, we introduce Prism, a prompt-stealing benchmark consisting of 50 templates and 450 images, organized into Easy and Hard difficulty levels. To identify the vulnerabity of VLMs to prompt stealing, we propose EvoStealer, a novel template stealing method that operates without model fine-tuning by leveraging differential evolution algorithms. The system first initializes population sets using multimodal large language models (MLLMs) based on predefined patterns, then iteratively generates enhanced offspring through MLLMs. During evolution, EvoStealer identifies common features across offspring to derive generalized templates. Our comprehensive evaluation conducted across open-source (InternVL2-26B) and closed-source models (GPT-4o and GPT-4o-mini) demonstrates that EvoStealer’s stolen templates can reproduce images highly similar to originals and effectively generalize to other subjects, significantly outperforming baseline methods with an average improvement of over 10%. Moreover, our cost analysis reveals that EvoStealer achieves template stealing with negligible computational expenses. Our code and dataset are available at https://whitepagewu.github.io/evostealer-site.</v>
      </c>
      <c r="D952" s="7" t="str">
        <f>IFERROR(__xludf.DUMMYFUNCTION("""COMPUTED_VALUE"""),"Yurong Wu")</f>
        <v>Yurong Wu</v>
      </c>
      <c r="E952" s="7" t="str">
        <f>IFERROR(__xludf.DUMMYFUNCTION("""COMPUTED_VALUE"""),"Yes")</f>
        <v>Yes</v>
      </c>
      <c r="F952" s="7" t="str">
        <f>IFERROR(__xludf.DUMMYFUNCTION("""COMPUTED_VALUE"""),"Not Pres. ")</f>
        <v>Not Pres. </v>
      </c>
      <c r="G952" s="7" t="str">
        <f>IFERROR(__xludf.DUMMYFUNCTION("""COMPUTED_VALUE"""),"NP Findings Not Presenting ")</f>
        <v>NP Findings Not Presenting </v>
      </c>
      <c r="H952" s="7"/>
      <c r="I952" s="7"/>
      <c r="J952" s="7"/>
      <c r="K952" s="7"/>
      <c r="L952" s="8"/>
      <c r="M952" s="7"/>
      <c r="N952" s="7"/>
    </row>
    <row r="953">
      <c r="A953" s="7" t="str">
        <f>IFERROR(__xludf.DUMMYFUNCTION("""COMPUTED_VALUE"""),"3340-FIND")</f>
        <v>3340-FIND</v>
      </c>
      <c r="B953" s="7" t="str">
        <f>IFERROR(__xludf.DUMMYFUNCTION("""COMPUTED_VALUE"""),"mStyleDistance: Multilingual Style Embeddings and their Evaluation")</f>
        <v>mStyleDistance: Multilingual Style Embeddings and their Evaluation</v>
      </c>
      <c r="C953" s="7" t="str">
        <f>IFERROR(__xludf.DUMMYFUNCTION("""COMPUTED_VALUE"""),"Style embeddings are useful for stylistic analysis and style transfer, yet they only exist for English. We introduce Multilingual StyleDistance (mStyleDistance), a method that can generate style embeddings in new languages using synthetic data and a contr"&amp;"astive loss. We create style embeddings in nine languages and a multilingual STEL-or-Content benchmark (Wegmann et al., 2022) that serves to assess their quality. We also employ our embeddings in an authorship verification task involving different languag"&amp;"es. Our results show that mStyleDistance embeddings outperform existing style embeddings on these benchmarks and generalize well to unseen features and languages. We make our models and datasets publicly available.")</f>
        <v>Style embeddings are useful for stylistic analysis and style transfer, yet they only exist for English. We introduce Multilingual StyleDistance (mStyleDistance), a method that can generate style embeddings in new languages using synthetic data and a contrastive loss. We create style embeddings in nine languages and a multilingual STEL-or-Content benchmark (Wegmann et al., 2022) that serves to assess their quality. We also employ our embeddings in an authorship verification task involving different languages. Our results show that mStyleDistance embeddings outperform existing style embeddings on these benchmarks and generalize well to unseen features and languages. We make our models and datasets publicly available.</v>
      </c>
      <c r="D953" s="7" t="str">
        <f>IFERROR(__xludf.DUMMYFUNCTION("""COMPUTED_VALUE"""),"Justin Qiu")</f>
        <v>Justin Qiu</v>
      </c>
      <c r="E953" s="7" t="str">
        <f>IFERROR(__xludf.DUMMYFUNCTION("""COMPUTED_VALUE"""),"Yes")</f>
        <v>Yes</v>
      </c>
      <c r="F953" s="7" t="str">
        <f>IFERROR(__xludf.DUMMYFUNCTION("""COMPUTED_VALUE"""),"V-Presentation")</f>
        <v>V-Presentation</v>
      </c>
      <c r="G953" s="7" t="str">
        <f>IFERROR(__xludf.DUMMYFUNCTION("""COMPUTED_VALUE"""),"Virtual/Gather")</f>
        <v>Virtual/Gather</v>
      </c>
      <c r="H953" s="7" t="str">
        <f>IFERROR(__xludf.DUMMYFUNCTION("""COMPUTED_VALUE"""),"Gather")</f>
        <v>Gather</v>
      </c>
      <c r="I953" s="7" t="str">
        <f>IFERROR(__xludf.DUMMYFUNCTION("""COMPUTED_VALUE"""),"Session5: V-Gather Find")</f>
        <v>Session5: V-Gather Find</v>
      </c>
      <c r="J953" s="7" t="str">
        <f>IFERROR(__xludf.DUMMYFUNCTION("""COMPUTED_VALUE"""),"Findings Posters - Virtual")</f>
        <v>Findings Posters - Virtual</v>
      </c>
      <c r="K953" s="7"/>
      <c r="L953" s="8">
        <f>IFERROR(__xludf.DUMMYFUNCTION("""COMPUTED_VALUE"""),45866.0)</f>
        <v>45866</v>
      </c>
      <c r="M953" s="7" t="str">
        <f>IFERROR(__xludf.DUMMYFUNCTION("""COMPUTED_VALUE"""),"18:00-19:30")</f>
        <v>18:00-19:30</v>
      </c>
      <c r="N953" s="7"/>
    </row>
    <row r="954">
      <c r="A954" s="7" t="str">
        <f>IFERROR(__xludf.DUMMYFUNCTION("""COMPUTED_VALUE"""),"3344-FIND")</f>
        <v>3344-FIND</v>
      </c>
      <c r="B954" s="7" t="str">
        <f>IFERROR(__xludf.DUMMYFUNCTION("""COMPUTED_VALUE"""),"SeqMMR: Sequential Model Merging and LLM Routing for Enhanced Batched Sequential Knowledge Editing")</f>
        <v>SeqMMR: Sequential Model Merging and LLM Routing for Enhanced Batched Sequential Knowledge Editing</v>
      </c>
      <c r="C954" s="7" t="str">
        <f>IFERROR(__xludf.DUMMYFUNCTION("""COMPUTED_VALUE"""),"Model knowledge editing enables the efficient correction of erroneous information and the continuous updating of outdated knowledge within language models. While existing research has demonstrated strong performance in single-instance or few-instance sequ"&amp;"ential editing and one-time massive editing scenarios, the batched sequential editing paradigm remains a significant challenge. The primary issue lies in the model’s tendency to gradually forget previously edited knowledge and become increasingly unstable"&amp;" after multiple iterations of batched editing. 
To address these challenges, we propose **SeqMMR**, an enhanced framework for batched sequential knowledge editing that leverages **Seq**uential **M**odel **M**erging and a model **R**outer. Our approach ite"&amp;"ratively merges parameters from current batch-edited models with those of their predecessors, ensuring that newly emerging knowledge is integrated while mitigating the forgetting of previously edited knowledge. Furthermore, the model router directs querie"&amp;"s unrelated to the edited knowledge to an unedited model backup, preventing unintended alterations in model predictions. Extensive experiments across various datasets demonstrate that our approach effectively mitigates knowledge forgetting, improves perfo"&amp;"rmance across all previous batches, and better preserves the model's general capabilities.")</f>
        <v>Model knowledge editing enables the efficient correction of erroneous information and the continuous updating of outdated knowledge within language models. While existing research has demonstrated strong performance in single-instance or few-instance sequential editing and one-time massive editing scenarios, the batched sequential editing paradigm remains a significant challenge. The primary issue lies in the model’s tendency to gradually forget previously edited knowledge and become increasingly unstable after multiple iterations of batched editing. 
To address these challenges, we propose **SeqMMR**, an enhanced framework for batched sequential knowledge editing that leverages **Seq**uential **M**odel **M**erging and a model **R**outer. Our approach iteratively merges parameters from current batch-edited models with those of their predecessors, ensuring that newly emerging knowledge is integrated while mitigating the forgetting of previously edited knowledge. Furthermore, the model router directs queries unrelated to the edited knowledge to an unedited model backup, preventing unintended alterations in model predictions. Extensive experiments across various datasets demonstrate that our approach effectively mitigates knowledge forgetting, improves performance across all previous batches, and better preserves the model's general capabilities.</v>
      </c>
      <c r="D954" s="7" t="str">
        <f>IFERROR(__xludf.DUMMYFUNCTION("""COMPUTED_VALUE"""),"Seung-Hoon Na")</f>
        <v>Seung-Hoon Na</v>
      </c>
      <c r="E954" s="7" t="str">
        <f>IFERROR(__xludf.DUMMYFUNCTION("""COMPUTED_VALUE"""),"Yes")</f>
        <v>Yes</v>
      </c>
      <c r="F954" s="7" t="str">
        <f>IFERROR(__xludf.DUMMYFUNCTION("""COMPUTED_VALUE"""),"IP-Poster")</f>
        <v>IP-Poster</v>
      </c>
      <c r="G954" s="7" t="str">
        <f>IFERROR(__xludf.DUMMYFUNCTION("""COMPUTED_VALUE"""),"In-Person")</f>
        <v>In-Person</v>
      </c>
      <c r="H954" s="7" t="str">
        <f>IFERROR(__xludf.DUMMYFUNCTION("""COMPUTED_VALUE"""),"Hall 4/5")</f>
        <v>Hall 4/5</v>
      </c>
      <c r="I954" s="7" t="str">
        <f>IFERROR(__xludf.DUMMYFUNCTION("""COMPUTED_VALUE"""),"Session 7: IP-Posters")</f>
        <v>Session 7: IP-Posters</v>
      </c>
      <c r="J954" s="7" t="str">
        <f>IFERROR(__xludf.DUMMYFUNCTION("""COMPUTED_VALUE"""),"Findings Posters - In-Person 2")</f>
        <v>Findings Posters - In-Person 2</v>
      </c>
      <c r="K954" s="7"/>
      <c r="L954" s="8">
        <f>IFERROR(__xludf.DUMMYFUNCTION("""COMPUTED_VALUE"""),45867.0)</f>
        <v>45867</v>
      </c>
      <c r="M954" s="7" t="str">
        <f>IFERROR(__xludf.DUMMYFUNCTION("""COMPUTED_VALUE"""),"10:30-12:00")</f>
        <v>10:30-12:00</v>
      </c>
      <c r="N954" s="7"/>
    </row>
    <row r="955">
      <c r="A955" s="7" t="str">
        <f>IFERROR(__xludf.DUMMYFUNCTION("""COMPUTED_VALUE"""),"3355-FIND")</f>
        <v>3355-FIND</v>
      </c>
      <c r="B955" s="7" t="str">
        <f>IFERROR(__xludf.DUMMYFUNCTION("""COMPUTED_VALUE"""),"Improving Meta Introspection of Small LLMs by Learning Self-Reflection from Self-Generated Data")</f>
        <v>Improving Meta Introspection of Small LLMs by Learning Self-Reflection from Self-Generated Data</v>
      </c>
      <c r="C955" s="7" t="str">
        <f>IFERROR(__xludf.DUMMYFUNCTION("""COMPUTED_VALUE"""),"We present a novel pipeline, ReflectEvo, to demonstrate that small language models (SLMs) can enhance meta introspection through reflection learning. This process iteratively generates self-reflection for self-training, fostering a continuous and self-evo"&amp;"lving process. Leveraging this pipeline, we construct ReflectEvo-460k, a large-scale, comprehensive, self-generated reflection dataset with broadened instructions and diverse multi-domain tasks. Building upon this dataset, we demonstrate the effectiveness"&amp;" of reflection learning to improve SLMs' reasoning abilities using SFT and DPO with remarkable performance, substantially boosting Llama-3 from 52.4% to 71.2% and Mistral from 44.4% to 71.1%. It validates that ReflectEvo can rival or even surpass the reas"&amp;"oning capability of the three prominent open-sourced models on BIG-bench without distillation from superior models or fine-grained human annotation. We further conduct a deeper analysis of the high quality of self-generated reflections and their impact on"&amp;" error localization and correction. Our work highlights the potential of continuously enhancing the reasoning performance of SLMs through iterative reflection learning in the long run.")</f>
        <v>We present a novel pipeline, ReflectEvo, to demonstrate that small language models (SLMs) can enhance meta introspection through reflection learning. This process iteratively generates self-reflection for self-training, fostering a continuous and self-evolving process. Leveraging this pipeline, we construct ReflectEvo-460k, a large-scale, comprehensive, self-generated reflection dataset with broadened instructions and diverse multi-domain tasks. Building upon this dataset, we demonstrate the effectiveness of reflection learning to improve SLMs' reasoning abilities using SFT and DPO with remarkable performance, substantially boosting Llama-3 from 52.4% to 71.2% and Mistral from 44.4% to 71.1%. It validates that ReflectEvo can rival or even surpass the reasoning capability of the three prominent open-sourced models on BIG-bench without distillation from superior models or fine-grained human annotation. We further conduct a deeper analysis of the high quality of self-generated reflections and their impact on error localization and correction. Our work highlights the potential of continuously enhancing the reasoning performance of SLMs through iterative reflection learning in the long run.</v>
      </c>
      <c r="D955" s="7" t="str">
        <f>IFERROR(__xludf.DUMMYFUNCTION("""COMPUTED_VALUE"""),"jiazixia@bigai.ai")</f>
        <v>jiazixia@bigai.ai</v>
      </c>
      <c r="E955" s="7" t="str">
        <f>IFERROR(__xludf.DUMMYFUNCTION("""COMPUTED_VALUE"""),"Yes")</f>
        <v>Yes</v>
      </c>
      <c r="F955" s="7" t="str">
        <f>IFERROR(__xludf.DUMMYFUNCTION("""COMPUTED_VALUE"""),"IP-Poster")</f>
        <v>IP-Poster</v>
      </c>
      <c r="G955" s="7" t="str">
        <f>IFERROR(__xludf.DUMMYFUNCTION("""COMPUTED_VALUE"""),"In-Person")</f>
        <v>In-Person</v>
      </c>
      <c r="H955" s="7" t="str">
        <f>IFERROR(__xludf.DUMMYFUNCTION("""COMPUTED_VALUE"""),"Hall 4/5")</f>
        <v>Hall 4/5</v>
      </c>
      <c r="I955" s="7" t="str">
        <f>IFERROR(__xludf.DUMMYFUNCTION("""COMPUTED_VALUE"""),"Session 7: IP-Posters")</f>
        <v>Session 7: IP-Posters</v>
      </c>
      <c r="J955" s="7" t="str">
        <f>IFERROR(__xludf.DUMMYFUNCTION("""COMPUTED_VALUE"""),"Findings Posters - In-Person 2")</f>
        <v>Findings Posters - In-Person 2</v>
      </c>
      <c r="K955" s="7"/>
      <c r="L955" s="8">
        <f>IFERROR(__xludf.DUMMYFUNCTION("""COMPUTED_VALUE"""),45867.0)</f>
        <v>45867</v>
      </c>
      <c r="M955" s="7" t="str">
        <f>IFERROR(__xludf.DUMMYFUNCTION("""COMPUTED_VALUE"""),"10:30-12:00")</f>
        <v>10:30-12:00</v>
      </c>
      <c r="N955" s="7"/>
    </row>
    <row r="956">
      <c r="A956" s="7" t="str">
        <f>IFERROR(__xludf.DUMMYFUNCTION("""COMPUTED_VALUE"""),"3357-FIND")</f>
        <v>3357-FIND</v>
      </c>
      <c r="B956" s="7" t="str">
        <f>IFERROR(__xludf.DUMMYFUNCTION("""COMPUTED_VALUE"""),"MAGIC-VQA: Multimodal And Grounded Inference with Commonsense Knowledge for Visual Question Answering")</f>
        <v>MAGIC-VQA: Multimodal And Grounded Inference with Commonsense Knowledge for Visual Question Answering</v>
      </c>
      <c r="C956" s="7" t="str">
        <f>IFERROR(__xludf.DUMMYFUNCTION("""COMPUTED_VALUE"""),"Visual Question Answering (VQA) necessitates models to reason effectively across visual and textual modalities. However, existing Large Vision-Language Models (LVLMs) often fall short in achieving human-like reasoning due to a lack of integrated commonsen"&amp;"se knowledge, limiting their robustness and accuracy in real-world scenarios where both explicit facts and implicit understanding are crucial. To address this challenge, we present MAGIC-VQA: Multimodal And Grounded Inference with Commonsense Knowledge, a"&amp;" novel framework designed to enhance multimodal inference by integrating commonsense reasoning. MAGIC-VQA introduces a three-stage process: (1) Explicit Commonsense Knowledge Retrieval from external knowledge graphs, (2) By-Type Commonsense Knowledge Post"&amp;"-Processing to refine contextual relevance, and (3) Implicit Commonsense Knowledge Augmentation using a heterogeneous graph processed by a Graph Neural Network (GNN). These stages collectively enable nuanced, context-aware reasoning without extensive pre-"&amp;"training or intricate prompt tuning.
Our MAGIC-VQA significantly improves comprehensive benchmark datasets, surpassing existing models in tasks requiring advanced commonsense reasoning. MAGIC-VQA establishes a robust pathway for integrating commonsense kn"&amp;"owledge into VQA, bridging the gap between vision-language inputs and high-level reasoning for improved reliability and contextual accuracy.")</f>
        <v>Visual Question Answering (VQA) necessitates models to reason effectively across visual and textual modalities. However, existing Large Vision-Language Models (LVLMs) often fall short in achieving human-like reasoning due to a lack of integrated commonsense knowledge, limiting their robustness and accuracy in real-world scenarios where both explicit facts and implicit understanding are crucial. To address this challenge, we present MAGIC-VQA: Multimodal And Grounded Inference with Commonsense Knowledge, a novel framework designed to enhance multimodal inference by integrating commonsense reasoning. MAGIC-VQA introduces a three-stage process: (1) Explicit Commonsense Knowledge Retrieval from external knowledge graphs, (2) By-Type Commonsense Knowledge Post-Processing to refine contextual relevance, and (3) Implicit Commonsense Knowledge Augmentation using a heterogeneous graph processed by a Graph Neural Network (GNN). These stages collectively enable nuanced, context-aware reasoning without extensive pre-training or intricate prompt tuning.
Our MAGIC-VQA significantly improves comprehensive benchmark datasets, surpassing existing models in tasks requiring advanced commonsense reasoning. MAGIC-VQA establishes a robust pathway for integrating commonsense knowledge into VQA, bridging the gap between vision-language inputs and high-level reasoning for improved reliability and contextual accuracy.</v>
      </c>
      <c r="D956" s="7" t="str">
        <f>IFERROR(__xludf.DUMMYFUNCTION("""COMPUTED_VALUE"""),"Shuo Yang")</f>
        <v>Shuo Yang</v>
      </c>
      <c r="E956" s="7" t="str">
        <f>IFERROR(__xludf.DUMMYFUNCTION("""COMPUTED_VALUE"""),"Yes")</f>
        <v>Yes</v>
      </c>
      <c r="F956" s="7" t="str">
        <f>IFERROR(__xludf.DUMMYFUNCTION("""COMPUTED_VALUE"""),"V-Presentation")</f>
        <v>V-Presentation</v>
      </c>
      <c r="G956" s="7" t="str">
        <f>IFERROR(__xludf.DUMMYFUNCTION("""COMPUTED_VALUE"""),"Virtual/Gather")</f>
        <v>Virtual/Gather</v>
      </c>
      <c r="H956" s="7" t="str">
        <f>IFERROR(__xludf.DUMMYFUNCTION("""COMPUTED_VALUE"""),"Gather")</f>
        <v>Gather</v>
      </c>
      <c r="I956" s="7" t="str">
        <f>IFERROR(__xludf.DUMMYFUNCTION("""COMPUTED_VALUE"""),"Session5: V-Gather Find")</f>
        <v>Session5: V-Gather Find</v>
      </c>
      <c r="J956" s="7" t="str">
        <f>IFERROR(__xludf.DUMMYFUNCTION("""COMPUTED_VALUE"""),"Findings Posters - Virtual")</f>
        <v>Findings Posters - Virtual</v>
      </c>
      <c r="K956" s="7"/>
      <c r="L956" s="8">
        <f>IFERROR(__xludf.DUMMYFUNCTION("""COMPUTED_VALUE"""),45866.0)</f>
        <v>45866</v>
      </c>
      <c r="M956" s="7" t="str">
        <f>IFERROR(__xludf.DUMMYFUNCTION("""COMPUTED_VALUE"""),"18:00-19:30")</f>
        <v>18:00-19:30</v>
      </c>
      <c r="N956" s="7"/>
    </row>
    <row r="957">
      <c r="A957" s="7" t="str">
        <f>IFERROR(__xludf.DUMMYFUNCTION("""COMPUTED_VALUE"""),"3371-FIND")</f>
        <v>3371-FIND</v>
      </c>
      <c r="B957" s="7" t="str">
        <f>IFERROR(__xludf.DUMMYFUNCTION("""COMPUTED_VALUE"""),"Automatic Transmission for LLM Tiers: Optimizing Cost and Accuracy in Large Language Models")</f>
        <v>Automatic Transmission for LLM Tiers: Optimizing Cost and Accuracy in Large Language Models</v>
      </c>
      <c r="C957" s="7" t="str">
        <f>IFERROR(__xludf.DUMMYFUNCTION("""COMPUTED_VALUE"""),"LLM providers typically offer multiple LLM tiers, varying in performance and price. As NLP tasks become more complex and modularized, selecting the suitable LLM tier for each subtask is a key challenge to balance between cost and performance. To address t"&amp;"he problem, we introduce LLM Automatic Transmission (LLM-AT) framework that automatically selects LLM tiers without training. LLM-AT consists of Starter, Generator, and Judge. The starter selects the initial LLM tier expected to solve the given question, "&amp;"the generator produces a response using the LLM of the selected tier, and the judge evaluates the validity of the response. If the response is invalid, LLM-AT iteratively upgrades to a higher-tier model, generates a new response, and re-evaluates until a "&amp;"valid response is obtained. Additionally, we propose accuracy estimator, which enables the suitable initial LLM tier selection without training. Given an input question, accuracy estimator estimates the expected accuracy of each LLM tier by computing the "&amp;"valid response rate across top-k similar queries from past inference records. Experiments demonstrate that LLM-AT achieves superior performance while reducing costs, making it a practical solution for real-world applications.")</f>
        <v>LLM providers typically offer multiple LLM tiers, varying in performance and price. As NLP tasks become more complex and modularized, selecting the suitable LLM tier for each subtask is a key challenge to balance between cost and performance. To address the problem, we introduce LLM Automatic Transmission (LLM-AT) framework that automatically selects LLM tiers without training. LLM-AT consists of Starter, Generator, and Judge. The starter selects the initial LLM tier expected to solve the given question, the generator produces a response using the LLM of the selected tier, and the judge evaluates the validity of the response. If the response is invalid, LLM-AT iteratively upgrades to a higher-tier model, generates a new response, and re-evaluates until a valid response is obtained. Additionally, we propose accuracy estimator, which enables the suitable initial LLM tier selection without training. Given an input question, accuracy estimator estimates the expected accuracy of each LLM tier by computing the valid response rate across top-k similar queries from past inference records. Experiments demonstrate that LLM-AT achieves superior performance while reducing costs, making it a practical solution for real-world applications.</v>
      </c>
      <c r="D957" s="7" t="str">
        <f>IFERROR(__xludf.DUMMYFUNCTION("""COMPUTED_VALUE"""),"Injae Na")</f>
        <v>Injae Na</v>
      </c>
      <c r="E957" s="7" t="str">
        <f>IFERROR(__xludf.DUMMYFUNCTION("""COMPUTED_VALUE"""),"Yes")</f>
        <v>Yes</v>
      </c>
      <c r="F957" s="7" t="str">
        <f>IFERROR(__xludf.DUMMYFUNCTION("""COMPUTED_VALUE"""),"IP-Poster")</f>
        <v>IP-Poster</v>
      </c>
      <c r="G957" s="7" t="str">
        <f>IFERROR(__xludf.DUMMYFUNCTION("""COMPUTED_VALUE"""),"In-Person")</f>
        <v>In-Person</v>
      </c>
      <c r="H957" s="7" t="str">
        <f>IFERROR(__xludf.DUMMYFUNCTION("""COMPUTED_VALUE"""),"Hall 4/5")</f>
        <v>Hall 4/5</v>
      </c>
      <c r="I957" s="7" t="str">
        <f>IFERROR(__xludf.DUMMYFUNCTION("""COMPUTED_VALUE"""),"Session 10: IP-Posters")</f>
        <v>Session 10: IP-Posters</v>
      </c>
      <c r="J957" s="7" t="str">
        <f>IFERROR(__xludf.DUMMYFUNCTION("""COMPUTED_VALUE"""),"Findings Posters - In-Person 3")</f>
        <v>Findings Posters - In-Person 3</v>
      </c>
      <c r="K957" s="7"/>
      <c r="L957" s="8">
        <f>IFERROR(__xludf.DUMMYFUNCTION("""COMPUTED_VALUE"""),45867.0)</f>
        <v>45867</v>
      </c>
      <c r="M957" s="7" t="str">
        <f>IFERROR(__xludf.DUMMYFUNCTION("""COMPUTED_VALUE"""),"16:00-17:30")</f>
        <v>16:00-17:30</v>
      </c>
      <c r="N957" s="7"/>
    </row>
    <row r="958">
      <c r="A958" s="7" t="str">
        <f>IFERROR(__xludf.DUMMYFUNCTION("""COMPUTED_VALUE"""),"3372-FIND")</f>
        <v>3372-FIND</v>
      </c>
      <c r="B958" s="7" t="str">
        <f>IFERROR(__xludf.DUMMYFUNCTION("""COMPUTED_VALUE"""),"Low-Rank Interconnected Adaptation across Layers")</f>
        <v>Low-Rank Interconnected Adaptation across Layers</v>
      </c>
      <c r="C958" s="7" t="str">
        <f>IFERROR(__xludf.DUMMYFUNCTION("""COMPUTED_VALUE"""),"Low-rank adaptation (LoRA) is a widely used parameter-efficient fine-tuning (PEFT) method that learns weight updates 𝛥 W = AB for pretrained weights W through low-rank adapters A and B. While LoRA ensures hardware efficiency, its low-rank weight updates "&amp;"limit adaptation performance. In this paper, we propose low-rank interconnected adaptation across layers (Lily), a novel PEFT method that introduces an interconnected framework with locally shared A and globally shared B experts. This structure eliminates"&amp;" redundant per-layer AB pairs, enabling higher-rank 𝛥 W with equal or fewer parameters. To enhance expressiveness, we use data-dependent routers to determine A-B interconnections, preventing B experts from converging to the same behavior and improving re"&amp;"presentational power across domains. Experiments across modalities, architectures, and model sizes demonstrate Lily’s superior performance and efficiency.")</f>
        <v>Low-rank adaptation (LoRA) is a widely used parameter-efficient fine-tuning (PEFT) method that learns weight updates 𝛥 W = AB for pretrained weights W through low-rank adapters A and B. While LoRA ensures hardware efficiency, its low-rank weight updates limit adaptation performance. In this paper, we propose low-rank interconnected adaptation across layers (Lily), a novel PEFT method that introduces an interconnected framework with locally shared A and globally shared B experts. This structure eliminates redundant per-layer AB pairs, enabling higher-rank 𝛥 W with equal or fewer parameters. To enhance expressiveness, we use data-dependent routers to determine A-B interconnections, preventing B experts from converging to the same behavior and improving representational power across domains. Experiments across modalities, architectures, and model sizes demonstrate Lily’s superior performance and efficiency.</v>
      </c>
      <c r="D958" s="7" t="str">
        <f>IFERROR(__xludf.DUMMYFUNCTION("""COMPUTED_VALUE"""),"Yibo Zhong")</f>
        <v>Yibo Zhong</v>
      </c>
      <c r="E958" s="7" t="str">
        <f>IFERROR(__xludf.DUMMYFUNCTION("""COMPUTED_VALUE"""),"#N/A")</f>
        <v>#N/A</v>
      </c>
      <c r="F958" s="7" t="str">
        <f>IFERROR(__xludf.DUMMYFUNCTION("""COMPUTED_VALUE"""),"Not Pres. ")</f>
        <v>Not Pres. </v>
      </c>
      <c r="G958" s="7" t="str">
        <f>IFERROR(__xludf.DUMMYFUNCTION("""COMPUTED_VALUE"""),"NP Findings Not Presenting ")</f>
        <v>NP Findings Not Presenting </v>
      </c>
      <c r="H958" s="7"/>
      <c r="I958" s="7" t="str">
        <f>IFERROR(__xludf.DUMMYFUNCTION("""COMPUTED_VALUE"""),"NP-Find")</f>
        <v>NP-Find</v>
      </c>
      <c r="J958" s="7"/>
      <c r="K958" s="7"/>
      <c r="L958" s="8"/>
      <c r="M958" s="7"/>
      <c r="N958" s="7"/>
    </row>
    <row r="959">
      <c r="A959" s="7" t="str">
        <f>IFERROR(__xludf.DUMMYFUNCTION("""COMPUTED_VALUE"""),"3373-FIND")</f>
        <v>3373-FIND</v>
      </c>
      <c r="B959" s="7" t="str">
        <f>IFERROR(__xludf.DUMMYFUNCTION("""COMPUTED_VALUE"""),"GaRAGe: A Benchmark with Grounding Annotations for RAG Evaluation")</f>
        <v>GaRAGe: A Benchmark with Grounding Annotations for RAG Evaluation</v>
      </c>
      <c r="C959" s="7" t="str">
        <f>IFERROR(__xludf.DUMMYFUNCTION("""COMPUTED_VALUE"""),"We present GaRAGe, a large RAG benchmark with human-curated long-form answers and annotations of each grounding passage, allowing a fine-grained evaluation of whether LLMs can identify relevant grounding when generating RAG answers. Our benchmark contains"&amp;" 2366 questions of diverse complexity, dynamism, and topics, and includes over 35K annotated passages retrieved from both private document sets and the Web, to reflect real-world RAG use cases. This makes it an ideal test bed to evaluate an LLM’s ability "&amp;"to identify only the relevant information necessary to compose a response, or provide a deflective response when there is insufficient information. Evaluations of multiple state-of-the-art LLMs on GaRAGe show that the models tend to over-summarise rather "&amp;"than (a) ground their answers strictly on the annotated relevant passages (reaching at most a Relevance-Aware Factuality Score of 60%), or (b) deflect when no relevant grounding is available (reaching at most 31% true positive rate in deflections). The F1"&amp;" in attribution to relevant sources is at most 58.9%, and we show that performance is particularly reduced when answering time-sensitive questions and when having to draw knowledge from sparser private grounding sources.")</f>
        <v>We present GaRAGe, a large RAG benchmark with human-curated long-form answers and annotations of each grounding passage, allowing a fine-grained evaluation of whether LLMs can identify relevant grounding when generating RAG answers. Our benchmark contains 2366 questions of diverse complexity, dynamism, and topics, and includes over 35K annotated passages retrieved from both private document sets and the Web, to reflect real-world RAG use cases. This makes it an ideal test bed to evaluate an LLM’s ability to identify only the relevant information necessary to compose a response, or provide a deflective response when there is insufficient information. Evaluations of multiple state-of-the-art LLMs on GaRAGe show that the models tend to over-summarise rather than (a) ground their answers strictly on the annotated relevant passages (reaching at most a Relevance-Aware Factuality Score of 60%), or (b) deflect when no relevant grounding is available (reaching at most 31% true positive rate in deflections). The F1 in attribution to relevant sources is at most 58.9%, and we show that performance is particularly reduced when answering time-sensitive questions and when having to draw knowledge from sparser private grounding sources.</v>
      </c>
      <c r="D959" s="7" t="str">
        <f>IFERROR(__xludf.DUMMYFUNCTION("""COMPUTED_VALUE"""),"Adria de Gispert")</f>
        <v>Adria de Gispert</v>
      </c>
      <c r="E959" s="7" t="str">
        <f>IFERROR(__xludf.DUMMYFUNCTION("""COMPUTED_VALUE"""),"Yes")</f>
        <v>Yes</v>
      </c>
      <c r="F959" s="7" t="str">
        <f>IFERROR(__xludf.DUMMYFUNCTION("""COMPUTED_VALUE"""),"IP-Poster")</f>
        <v>IP-Poster</v>
      </c>
      <c r="G959" s="7" t="str">
        <f>IFERROR(__xludf.DUMMYFUNCTION("""COMPUTED_VALUE"""),"In-Person")</f>
        <v>In-Person</v>
      </c>
      <c r="H959" s="7" t="str">
        <f>IFERROR(__xludf.DUMMYFUNCTION("""COMPUTED_VALUE"""),"Hall 4/5")</f>
        <v>Hall 4/5</v>
      </c>
      <c r="I959" s="7" t="str">
        <f>IFERROR(__xludf.DUMMYFUNCTION("""COMPUTED_VALUE"""),"Session 7: IP-Posters")</f>
        <v>Session 7: IP-Posters</v>
      </c>
      <c r="J959" s="7" t="str">
        <f>IFERROR(__xludf.DUMMYFUNCTION("""COMPUTED_VALUE"""),"Findings Posters - In-Person 2")</f>
        <v>Findings Posters - In-Person 2</v>
      </c>
      <c r="K959" s="7"/>
      <c r="L959" s="8">
        <f>IFERROR(__xludf.DUMMYFUNCTION("""COMPUTED_VALUE"""),45867.0)</f>
        <v>45867</v>
      </c>
      <c r="M959" s="7" t="str">
        <f>IFERROR(__xludf.DUMMYFUNCTION("""COMPUTED_VALUE"""),"10:30-12:00")</f>
        <v>10:30-12:00</v>
      </c>
      <c r="N959" s="7"/>
    </row>
    <row r="960">
      <c r="A960" s="7" t="str">
        <f>IFERROR(__xludf.DUMMYFUNCTION("""COMPUTED_VALUE"""),"3377-FIND")</f>
        <v>3377-FIND</v>
      </c>
      <c r="B960" s="7" t="str">
        <f>IFERROR(__xludf.DUMMYFUNCTION("""COMPUTED_VALUE"""),"Change Entity-guided Heterogeneous Representation Disentangling for Change Captioning")</f>
        <v>Change Entity-guided Heterogeneous Representation Disentangling for Change Captioning</v>
      </c>
      <c r="C960" s="7" t="str">
        <f>IFERROR(__xludf.DUMMYFUNCTION("""COMPUTED_VALUE"""),"Change captioning aims to describe differences between a pair of images using natural language. However, learning effective difference representations is highly challenging due to distractors such as illumination and viewpoint changes. To address this, we"&amp;" propose a change-entity-guided disentanglement network that explicitly learns difference representations while mitigating the impact of distractors. Specifically, we first design a change entity retrieval module to identify key objects involved in the ch"&amp;"ange from a textual perspective. Then, we introduce a difference representation enhancement module that strengthens the learned features, disentangling genuine differences from background variations. To further refine the generation process, we incorporat"&amp;"e a gated Transformer decoder, which dynamically integrates both visual difference and textual change-entity information. Extensive experiments on CLEVR-Change, CLEVR-DC and Spot-the-Diff datasets demonstrate that our method outperforms existing approache"&amp;"s, achieving state-of-the-art performance. The code will be released.")</f>
        <v>Change captioning aims to describe differences between a pair of images using natural language. However, learning effective difference representations is highly challenging due to distractors such as illumination and viewpoint changes. To address this, we propose a change-entity-guided disentanglement network that explicitly learns difference representations while mitigating the impact of distractors. Specifically, we first design a change entity retrieval module to identify key objects involved in the change from a textual perspective. Then, we introduce a difference representation enhancement module that strengthens the learned features, disentangling genuine differences from background variations. To further refine the generation process, we incorporate a gated Transformer decoder, which dynamically integrates both visual difference and textual change-entity information. Extensive experiments on CLEVR-Change, CLEVR-DC and Spot-the-Diff datasets demonstrate that our method outperforms existing approaches, achieving state-of-the-art performance. The code will be released.</v>
      </c>
      <c r="D960" s="7" t="str">
        <f>IFERROR(__xludf.DUMMYFUNCTION("""COMPUTED_VALUE"""),"Yi Li")</f>
        <v>Yi Li</v>
      </c>
      <c r="E960" s="7" t="str">
        <f>IFERROR(__xludf.DUMMYFUNCTION("""COMPUTED_VALUE"""),"Yes")</f>
        <v>Yes</v>
      </c>
      <c r="F960" s="7" t="str">
        <f>IFERROR(__xludf.DUMMYFUNCTION("""COMPUTED_VALUE"""),"IP-Poster")</f>
        <v>IP-Poster</v>
      </c>
      <c r="G960" s="7" t="str">
        <f>IFERROR(__xludf.DUMMYFUNCTION("""COMPUTED_VALUE"""),"In-Person")</f>
        <v>In-Person</v>
      </c>
      <c r="H960" s="7" t="str">
        <f>IFERROR(__xludf.DUMMYFUNCTION("""COMPUTED_VALUE"""),"Hall 4/5")</f>
        <v>Hall 4/5</v>
      </c>
      <c r="I960" s="7" t="str">
        <f>IFERROR(__xludf.DUMMYFUNCTION("""COMPUTED_VALUE"""),"Session 10: IP-Posters")</f>
        <v>Session 10: IP-Posters</v>
      </c>
      <c r="J960" s="7" t="str">
        <f>IFERROR(__xludf.DUMMYFUNCTION("""COMPUTED_VALUE"""),"Findings Posters - In-Person 3")</f>
        <v>Findings Posters - In-Person 3</v>
      </c>
      <c r="K960" s="7"/>
      <c r="L960" s="8">
        <f>IFERROR(__xludf.DUMMYFUNCTION("""COMPUTED_VALUE"""),45867.0)</f>
        <v>45867</v>
      </c>
      <c r="M960" s="7" t="str">
        <f>IFERROR(__xludf.DUMMYFUNCTION("""COMPUTED_VALUE"""),"16:00-17:30")</f>
        <v>16:00-17:30</v>
      </c>
      <c r="N960" s="7"/>
    </row>
    <row r="961">
      <c r="A961" s="7" t="str">
        <f>IFERROR(__xludf.DUMMYFUNCTION("""COMPUTED_VALUE"""),"3380-FIND")</f>
        <v>3380-FIND</v>
      </c>
      <c r="B961" s="7" t="str">
        <f>IFERROR(__xludf.DUMMYFUNCTION("""COMPUTED_VALUE"""),"RAG-RewardBench: Benchmarking Reward Models in Retrieval Augmented Generation for Preference Alignment")</f>
        <v>RAG-RewardBench: Benchmarking Reward Models in Retrieval Augmented Generation for Preference Alignment</v>
      </c>
      <c r="C961" s="7" t="str">
        <f>IFERROR(__xludf.DUMMYFUNCTION("""COMPUTED_VALUE"""),"Despite the significant progress made by existing retrieval augmented language models (RALMs) in providing trustworthy responses and grounding in reliable sources, they often overlook effective alignment with human preferences. In the alignment process, r"&amp;"eward models (RMs) act as a crucial proxy for human values to guide optimization. However, it remains unclear how to evaluate and select a reliable RM for preference alignment in RALMs. To this end, we propose RAG-RewardBench, the first benchmark for eval"&amp;"uating RMs in RAG settings. First, we design four crucial and challenging RAG-specific scenarios to assess RMs, including multi-hop reasoning, fine-grained citation, appropriate abstain, and conflict robustness. Then, we incorporate 18 RAG subsets, six re"&amp;"trievers, and 24 RALMs to increase the diversity of data sources. Finally, we adopt an LLM-as-a-judge approach to improve preference annotation efficiency and effectiveness, exhibiting a strong correlation with human annotations. Based on the RAG-RewardBe"&amp;"nch, we conduct a comprehensive evaluation of 45 RMs and uncover their limitations in RAG scenarios. Additionally, we also reveal that existing trained RALMs show almost no improvement in preference alignment, highlighting the need for a shift towards pre"&amp;"ference-aligned training.")</f>
        <v>Despite the significant progress made by existing retrieval augmented language models (RALMs) in providing trustworthy responses and grounding in reliable sources, they often overlook effective alignment with human preferences. In the alignment process, reward models (RMs) act as a crucial proxy for human values to guide optimization. However, it remains unclear how to evaluate and select a reliable RM for preference alignment in RALMs. To this end, we propose RAG-RewardBench, the first benchmark for evaluating RMs in RAG settings. First, we design four crucial and challenging RAG-specific scenarios to assess RMs, including multi-hop reasoning, fine-grained citation, appropriate abstain, and conflict robustness. Then, we incorporate 18 RAG subsets, six retrievers, and 24 RALMs to increase the diversity of data sources. Finally, we adopt an LLM-as-a-judge approach to improve preference annotation efficiency and effectiveness, exhibiting a strong correlation with human annotations. Based on the RAG-RewardBench, we conduct a comprehensive evaluation of 45 RMs and uncover their limitations in RAG scenarios. Additionally, we also reveal that existing trained RALMs show almost no improvement in preference alignment, highlighting the need for a shift towards preference-aligned training.</v>
      </c>
      <c r="D961" s="7" t="str">
        <f>IFERROR(__xludf.DUMMYFUNCTION("""COMPUTED_VALUE"""),"Zhuoran Jin")</f>
        <v>Zhuoran Jin</v>
      </c>
      <c r="E961" s="7" t="str">
        <f>IFERROR(__xludf.DUMMYFUNCTION("""COMPUTED_VALUE"""),"Yes")</f>
        <v>Yes</v>
      </c>
      <c r="F961" s="7" t="str">
        <f>IFERROR(__xludf.DUMMYFUNCTION("""COMPUTED_VALUE"""),"IP-Poster")</f>
        <v>IP-Poster</v>
      </c>
      <c r="G961" s="7" t="str">
        <f>IFERROR(__xludf.DUMMYFUNCTION("""COMPUTED_VALUE"""),"In-Person")</f>
        <v>In-Person</v>
      </c>
      <c r="H961" s="7" t="str">
        <f>IFERROR(__xludf.DUMMYFUNCTION("""COMPUTED_VALUE"""),"Hall 4/5")</f>
        <v>Hall 4/5</v>
      </c>
      <c r="I961" s="7" t="str">
        <f>IFERROR(__xludf.DUMMYFUNCTION("""COMPUTED_VALUE"""),"Session 7: IP-Posters")</f>
        <v>Session 7: IP-Posters</v>
      </c>
      <c r="J961" s="7" t="str">
        <f>IFERROR(__xludf.DUMMYFUNCTION("""COMPUTED_VALUE"""),"Findings Posters - In-Person 2")</f>
        <v>Findings Posters - In-Person 2</v>
      </c>
      <c r="K961" s="7"/>
      <c r="L961" s="8">
        <f>IFERROR(__xludf.DUMMYFUNCTION("""COMPUTED_VALUE"""),45867.0)</f>
        <v>45867</v>
      </c>
      <c r="M961" s="7" t="str">
        <f>IFERROR(__xludf.DUMMYFUNCTION("""COMPUTED_VALUE"""),"10:30-12:00")</f>
        <v>10:30-12:00</v>
      </c>
      <c r="N961" s="7"/>
    </row>
    <row r="962">
      <c r="A962" s="7" t="str">
        <f>IFERROR(__xludf.DUMMYFUNCTION("""COMPUTED_VALUE"""),"3381-FIND")</f>
        <v>3381-FIND</v>
      </c>
      <c r="B962" s="7" t="str">
        <f>IFERROR(__xludf.DUMMYFUNCTION("""COMPUTED_VALUE"""),"Generate, Discriminate, Evolve: Enhancing Context Faithfulness via Fine-Grained Sentence-Level Self-Evolution")</f>
        <v>Generate, Discriminate, Evolve: Enhancing Context Faithfulness via Fine-Grained Sentence-Level Self-Evolution</v>
      </c>
      <c r="C962" s="7" t="str">
        <f>IFERROR(__xludf.DUMMYFUNCTION("""COMPUTED_VALUE"""),"Improving context faithfulness in large language models is essential for developing trustworthy retrieval augmented generation systems and mitigating hallucinations, especially in long-form question answering (LFQA) tasks or scenarios involving knowledge "&amp;"conflicts. Existing methods either intervene LLMs only at inference without addressing their inherent limitations or overlook the potential for self-improvement. In this paper, we introduce GenDiE(Generate, Discriminate, Evolve), a novel self-evolving fra"&amp;"mework that enhances context faithfulness through fine-grained sentence-level optimization. GenDiE combines both generative and discriminative training, equipping LLMs with self-generation and self-scoring capabilities to facilitate iterative self-evoluti"&amp;"on. This supports both data construction for model alignment and score-guided search during inference. Furthermore, by treating each sentence in a response as an independent optimization unit, GenDiE effectively addresses the limitations of previous appro"&amp;"aches that optimize at the holistic answer level, which may miss unfaithful details. Experiments on ASQA (in-domain LFQA) and ConFiQA (out-of-domain counterfactual QA) datasets demonstrate that  GenDiE surpasses various baselines in both faithfulness and "&amp;"correctness, and exhibits robust performance for domain adaptation.")</f>
        <v>Improving context faithfulness in large language models is essential for developing trustworthy retrieval augmented generation systems and mitigating hallucinations, especially in long-form question answering (LFQA) tasks or scenarios involving knowledge conflicts. Existing methods either intervene LLMs only at inference without addressing their inherent limitations or overlook the potential for self-improvement. In this paper, we introduce GenDiE(Generate, Discriminate, Evolve), a novel self-evolving framework that enhances context faithfulness through fine-grained sentence-level optimization. GenDiE combines both generative and discriminative training, equipping LLMs with self-generation and self-scoring capabilities to facilitate iterative self-evolution. This supports both data construction for model alignment and score-guided search during inference. Furthermore, by treating each sentence in a response as an independent optimization unit, GenDiE effectively addresses the limitations of previous approaches that optimize at the holistic answer level, which may miss unfaithful details. Experiments on ASQA (in-domain LFQA) and ConFiQA (out-of-domain counterfactual QA) datasets demonstrate that  GenDiE surpasses various baselines in both faithfulness and correctness, and exhibits robust performance for domain adaptation.</v>
      </c>
      <c r="D962" s="7" t="str">
        <f>IFERROR(__xludf.DUMMYFUNCTION("""COMPUTED_VALUE"""),"Tianhua Zhang")</f>
        <v>Tianhua Zhang</v>
      </c>
      <c r="E962" s="7" t="str">
        <f>IFERROR(__xludf.DUMMYFUNCTION("""COMPUTED_VALUE"""),"Yes")</f>
        <v>Yes</v>
      </c>
      <c r="F962" s="7" t="str">
        <f>IFERROR(__xludf.DUMMYFUNCTION("""COMPUTED_VALUE"""),"IP-Poster")</f>
        <v>IP-Poster</v>
      </c>
      <c r="G962" s="7" t="str">
        <f>IFERROR(__xludf.DUMMYFUNCTION("""COMPUTED_VALUE"""),"In-Person")</f>
        <v>In-Person</v>
      </c>
      <c r="H962" s="7" t="str">
        <f>IFERROR(__xludf.DUMMYFUNCTION("""COMPUTED_VALUE"""),"Hall 4/5")</f>
        <v>Hall 4/5</v>
      </c>
      <c r="I962" s="7" t="str">
        <f>IFERROR(__xludf.DUMMYFUNCTION("""COMPUTED_VALUE"""),"Session 7: IP-Posters")</f>
        <v>Session 7: IP-Posters</v>
      </c>
      <c r="J962" s="7" t="str">
        <f>IFERROR(__xludf.DUMMYFUNCTION("""COMPUTED_VALUE"""),"Findings Posters - In-Person 2")</f>
        <v>Findings Posters - In-Person 2</v>
      </c>
      <c r="K962" s="7"/>
      <c r="L962" s="8">
        <f>IFERROR(__xludf.DUMMYFUNCTION("""COMPUTED_VALUE"""),45867.0)</f>
        <v>45867</v>
      </c>
      <c r="M962" s="7" t="str">
        <f>IFERROR(__xludf.DUMMYFUNCTION("""COMPUTED_VALUE"""),"10:30-12:00")</f>
        <v>10:30-12:00</v>
      </c>
      <c r="N962" s="7"/>
    </row>
    <row r="963">
      <c r="A963" s="7" t="str">
        <f>IFERROR(__xludf.DUMMYFUNCTION("""COMPUTED_VALUE"""),"3386-FIND")</f>
        <v>3386-FIND</v>
      </c>
      <c r="B963" s="7" t="str">
        <f>IFERROR(__xludf.DUMMYFUNCTION("""COMPUTED_VALUE"""),"PAM: Paraphrase AMR-Centric Evaluation Metric")</f>
        <v>PAM: Paraphrase AMR-Centric Evaluation Metric</v>
      </c>
      <c r="C963" s="7" t="str">
        <f>IFERROR(__xludf.DUMMYFUNCTION("""COMPUTED_VALUE"""),"Paraphrasing is rooted in semantics, which makes evaluating paraphrase generation systems hard. Current paraphrase generators are typically evaluated using borrowed metrics from adjacent text-to-text tasks, like machine translation or text summarization. "&amp;"These metrics tend to have ties to the surface form of the reference text. This is not ideal for paraphrases as we typically want variation in the lexicon while persisting semantics. To address this problem, and inspired by learned similarity evaluation o"&amp;"n plain text, we propose PAM, a Paraphrase AMR-Centric Evaluation Metric. This metric uses AMR graphs extracted from the input text, which consist of semantic structures agnostic to the text surface form, making the resulting evaluation metric more robust"&amp;" to variations in syntax or lexicon. Additionally, we evaluated PAM on different semantic textual similarity datasets and found that it improves the correlations with human semantic scores when compared to other AMR-based metrics.")</f>
        <v>Paraphrasing is rooted in semantics, which makes evaluating paraphrase generation systems hard. Current paraphrase generators are typically evaluated using borrowed metrics from adjacent text-to-text tasks, like machine translation or text summarization. These metrics tend to have ties to the surface form of the reference text. This is not ideal for paraphrases as we typically want variation in the lexicon while persisting semantics. To address this problem, and inspired by learned similarity evaluation on plain text, we propose PAM, a Paraphrase AMR-Centric Evaluation Metric. This metric uses AMR graphs extracted from the input text, which consist of semantic structures agnostic to the text surface form, making the resulting evaluation metric more robust to variations in syntax or lexicon. Additionally, we evaluated PAM on different semantic textual similarity datasets and found that it improves the correlations with human semantic scores when compared to other AMR-based metrics.</v>
      </c>
      <c r="D963" s="7" t="str">
        <f>IFERROR(__xludf.DUMMYFUNCTION("""COMPUTED_VALUE"""),"Afonso Sousa")</f>
        <v>Afonso Sousa</v>
      </c>
      <c r="E963" s="7" t="str">
        <f>IFERROR(__xludf.DUMMYFUNCTION("""COMPUTED_VALUE"""),"Yes")</f>
        <v>Yes</v>
      </c>
      <c r="F963" s="7" t="str">
        <f>IFERROR(__xludf.DUMMYFUNCTION("""COMPUTED_VALUE"""),"IP-Poster")</f>
        <v>IP-Poster</v>
      </c>
      <c r="G963" s="7" t="str">
        <f>IFERROR(__xludf.DUMMYFUNCTION("""COMPUTED_VALUE"""),"In-Person")</f>
        <v>In-Person</v>
      </c>
      <c r="H963" s="7" t="str">
        <f>IFERROR(__xludf.DUMMYFUNCTION("""COMPUTED_VALUE"""),"Hall 4/5")</f>
        <v>Hall 4/5</v>
      </c>
      <c r="I963" s="7" t="str">
        <f>IFERROR(__xludf.DUMMYFUNCTION("""COMPUTED_VALUE"""),"Session 7: IP-Posters")</f>
        <v>Session 7: IP-Posters</v>
      </c>
      <c r="J963" s="7" t="str">
        <f>IFERROR(__xludf.DUMMYFUNCTION("""COMPUTED_VALUE"""),"Findings Posters - In-Person 2")</f>
        <v>Findings Posters - In-Person 2</v>
      </c>
      <c r="K963" s="7"/>
      <c r="L963" s="8">
        <f>IFERROR(__xludf.DUMMYFUNCTION("""COMPUTED_VALUE"""),45867.0)</f>
        <v>45867</v>
      </c>
      <c r="M963" s="7" t="str">
        <f>IFERROR(__xludf.DUMMYFUNCTION("""COMPUTED_VALUE"""),"10:30-12:00")</f>
        <v>10:30-12:00</v>
      </c>
      <c r="N963" s="7"/>
    </row>
    <row r="964">
      <c r="A964" s="7" t="str">
        <f>IFERROR(__xludf.DUMMYFUNCTION("""COMPUTED_VALUE"""),"3392-FIND")</f>
        <v>3392-FIND</v>
      </c>
      <c r="B964" s="7" t="str">
        <f>IFERROR(__xludf.DUMMYFUNCTION("""COMPUTED_VALUE"""),"VP-MEL: Visual Prompts Guided Multimodal Entity Linking")</f>
        <v>VP-MEL: Visual Prompts Guided Multimodal Entity Linking</v>
      </c>
      <c r="C964" s="7" t="str">
        <f>IFERROR(__xludf.DUMMYFUNCTION("""COMPUTED_VALUE"""),"Multimodal entity linking (MEL), a task aimed at linking mentions within multimodal contexts to their corresponding entities in a knowledge base (KB), has attracted much attention due to its wide applications in recent years. However, existing MEL methods"&amp;" often rely on mention words as retrieval cues, which limits their ability to effectively utilize information from both images and text. This reliance causes MEL to struggle with accurately retrieving entities in certain scenarios, especially when the foc"&amp;"us is on image objects or mention words are missing from the text. To solve these issues, we introduce a Visual Prompts guided Multimodal Entity Linking (VP-MEL) task. Given a text-image pair, VP-MEL aims to link a marked region (i.e., visual prompt) in a"&amp;"n image to its corresponding entities in the knowledge base. To facilitate this task, we present a new dataset, VPWiki, specifically designed for VP-MEL. Furthermore, we propose a framework named IIER, which enhances visual feature extraction using visual"&amp;" prompts and leverages the pre-trained Detective-VLM model to capture latent information. Experimental results on the VPWiki dataset demonstrate that IIER outperforms baseline methods across multiple benchmarks for the VP-MEL task.")</f>
        <v>Multimodal entity linking (MEL), a task aimed at linking mentions within multimodal contexts to their corresponding entities in a knowledge base (KB), has attracted much attention due to its wide applications in recent years. However, existing MEL methods often rely on mention words as retrieval cues, which limits their ability to effectively utilize information from both images and text. This reliance causes MEL to struggle with accurately retrieving entities in certain scenarios, especially when the focus is on image objects or mention words are missing from the text. To solve these issues, we introduce a Visual Prompts guided Multimodal Entity Linking (VP-MEL) task. Given a text-image pair, VP-MEL aims to link a marked region (i.e., visual prompt) in an image to its corresponding entities in the knowledge base. To facilitate this task, we present a new dataset, VPWiki, specifically designed for VP-MEL. Furthermore, we propose a framework named IIER, which enhances visual feature extraction using visual prompts and leverages the pre-trained Detective-VLM model to capture latent information. Experimental results on the VPWiki dataset demonstrate that IIER outperforms baseline methods across multiple benchmarks for the VP-MEL task.</v>
      </c>
      <c r="D964" s="7" t="str">
        <f>IFERROR(__xludf.DUMMYFUNCTION("""COMPUTED_VALUE"""),"Hongze Mi")</f>
        <v>Hongze Mi</v>
      </c>
      <c r="E964" s="7" t="str">
        <f>IFERROR(__xludf.DUMMYFUNCTION("""COMPUTED_VALUE"""),"Yes")</f>
        <v>Yes</v>
      </c>
      <c r="F964" s="7" t="str">
        <f>IFERROR(__xludf.DUMMYFUNCTION("""COMPUTED_VALUE"""),"IP-Poster")</f>
        <v>IP-Poster</v>
      </c>
      <c r="G964" s="7" t="str">
        <f>IFERROR(__xludf.DUMMYFUNCTION("""COMPUTED_VALUE"""),"In-Person")</f>
        <v>In-Person</v>
      </c>
      <c r="H964" s="7" t="str">
        <f>IFERROR(__xludf.DUMMYFUNCTION("""COMPUTED_VALUE"""),"Hall 4/5")</f>
        <v>Hall 4/5</v>
      </c>
      <c r="I964" s="7" t="str">
        <f>IFERROR(__xludf.DUMMYFUNCTION("""COMPUTED_VALUE"""),"Session 10: IP-Posters")</f>
        <v>Session 10: IP-Posters</v>
      </c>
      <c r="J964" s="7" t="str">
        <f>IFERROR(__xludf.DUMMYFUNCTION("""COMPUTED_VALUE"""),"Findings Posters - In-Person 3")</f>
        <v>Findings Posters - In-Person 3</v>
      </c>
      <c r="K964" s="7"/>
      <c r="L964" s="8">
        <f>IFERROR(__xludf.DUMMYFUNCTION("""COMPUTED_VALUE"""),45867.0)</f>
        <v>45867</v>
      </c>
      <c r="M964" s="7" t="str">
        <f>IFERROR(__xludf.DUMMYFUNCTION("""COMPUTED_VALUE"""),"16:00-17:30")</f>
        <v>16:00-17:30</v>
      </c>
      <c r="N964" s="7"/>
    </row>
    <row r="965">
      <c r="A965" s="7" t="str">
        <f>IFERROR(__xludf.DUMMYFUNCTION("""COMPUTED_VALUE"""),"3399-FIND")</f>
        <v>3399-FIND</v>
      </c>
      <c r="B965" s="7" t="str">
        <f>IFERROR(__xludf.DUMMYFUNCTION("""COMPUTED_VALUE"""),"FADE: Why Bad Descriptions Happen to Good Features")</f>
        <v>FADE: Why Bad Descriptions Happen to Good Features</v>
      </c>
      <c r="C965" s="7" t="str">
        <f>IFERROR(__xludf.DUMMYFUNCTION("""COMPUTED_VALUE"""),"Recent advances in mechanistic interpretability have highlighted the potential of automating interpretability pipelines in analyzing the latent representations within LLMs. While they may enhance our understanding of internal mechanisms, the field lacks s"&amp;"tandardized evaluation methods for assessing the validity of discovered features. We attempt to bridge this gap by introducing FADE: Feature Alignment to Description Evaluation, a scalable model-agnostic framework for evaluating feature-description alignm"&amp;"ent. FADE evaluates alignment across four key metrics - Clarity, Responsiveness, Purity, and Faithfulness - and systematically quantifies the causes for the misalignment of feature and their description. We apply FADE to analyze existing open-source featu"&amp;"re descriptions, and assess key components of automated interpretability pipelines, aiming to enhance descriptions quality. Our findings highlight fundamental challenges in generating feature descriptions, particularly for SAEs as compared to MLP neurons,"&amp;" providing insights into the limitations and future directions of automated interpretability.")</f>
        <v>Recent advances in mechanistic interpretability have highlighted the potential of automating interpretability pipelines in analyzing the latent representations within LLMs. While they may enhance our understanding of internal mechanisms, the field lacks standardized evaluation methods for assessing the validity of discovered features. We attempt to bridge this gap by introducing FADE: Feature Alignment to Description Evaluation, a scalable model-agnostic framework for evaluating feature-description alignment. FADE evaluates alignment across four key metrics - Clarity, Responsiveness, Purity, and Faithfulness - and systematically quantifies the causes for the misalignment of feature and their description. We apply FADE to analyze existing open-source feature descriptions, and assess key components of automated interpretability pipelines, aiming to enhance descriptions quality. Our findings highlight fundamental challenges in generating feature descriptions, particularly for SAEs as compared to MLP neurons, providing insights into the limitations and future directions of automated interpretability.</v>
      </c>
      <c r="D965" s="7" t="str">
        <f>IFERROR(__xludf.DUMMYFUNCTION("""COMPUTED_VALUE"""),"Bruno Puri; 
Aakriti Jain;
Elena Golimblevskaia")</f>
        <v>Bruno Puri; 
Aakriti Jain;
Elena Golimblevskaia</v>
      </c>
      <c r="E965" s="7" t="str">
        <f>IFERROR(__xludf.DUMMYFUNCTION("""COMPUTED_VALUE"""),"Yes")</f>
        <v>Yes</v>
      </c>
      <c r="F965" s="7" t="str">
        <f>IFERROR(__xludf.DUMMYFUNCTION("""COMPUTED_VALUE"""),"IP-Poster")</f>
        <v>IP-Poster</v>
      </c>
      <c r="G965" s="7" t="str">
        <f>IFERROR(__xludf.DUMMYFUNCTION("""COMPUTED_VALUE"""),"In-Person")</f>
        <v>In-Person</v>
      </c>
      <c r="H965" s="7" t="str">
        <f>IFERROR(__xludf.DUMMYFUNCTION("""COMPUTED_VALUE"""),"Hall 4/5")</f>
        <v>Hall 4/5</v>
      </c>
      <c r="I965" s="7" t="str">
        <f>IFERROR(__xludf.DUMMYFUNCTION("""COMPUTED_VALUE"""),"Session 7: IP-Posters")</f>
        <v>Session 7: IP-Posters</v>
      </c>
      <c r="J965" s="7" t="str">
        <f>IFERROR(__xludf.DUMMYFUNCTION("""COMPUTED_VALUE"""),"Findings Posters - In-Person 2")</f>
        <v>Findings Posters - In-Person 2</v>
      </c>
      <c r="K965" s="7"/>
      <c r="L965" s="8">
        <f>IFERROR(__xludf.DUMMYFUNCTION("""COMPUTED_VALUE"""),45867.0)</f>
        <v>45867</v>
      </c>
      <c r="M965" s="7" t="str">
        <f>IFERROR(__xludf.DUMMYFUNCTION("""COMPUTED_VALUE"""),"10:30-12:00")</f>
        <v>10:30-12:00</v>
      </c>
      <c r="N965" s="7"/>
    </row>
    <row r="966">
      <c r="A966" s="7" t="str">
        <f>IFERROR(__xludf.DUMMYFUNCTION("""COMPUTED_VALUE"""),"3409-FIND")</f>
        <v>3409-FIND</v>
      </c>
      <c r="B966" s="7" t="str">
        <f>IFERROR(__xludf.DUMMYFUNCTION("""COMPUTED_VALUE"""),"In the LLM era, Word Sense Induction remains unsolved")</f>
        <v>In the LLM era, Word Sense Induction remains unsolved</v>
      </c>
      <c r="C966" s="7" t="str">
        <f>IFERROR(__xludf.DUMMYFUNCTION("""COMPUTED_VALUE"""),"Word Sense Induction is beneficial for linguistic studies, and for semantic-intensive NLP applications in low computation resources scenarios, not benefiting of LLMs. In this paper, we emphasize methodological problems in current WSI evaluation. We propos"&amp;"e an evaluation on a SemCor-derived dataset, respecting the original corpus polysemy and frequency distributions. We assess pre-trained embeddings and clustering algorithms across parts of speech, and propose and evaluate an LLM-based WSI method for Engli"&amp;"sh. We evaluate data augmentation sources (LLM-generated, corpus and lexicon), and semi-supervised scenarios using Wiktionary for data augmentation, must-link constraints, number of clusters per lemma.
We find that no unsupervised method (whether ours or"&amp;" previous) surpasses the strong ""one cluster per lemma"" heuristic (1cpl). We also show that (i) results and best systems may vary across POS, (ii) LLMs have troubles performing this task, (iii) data augmentation is beneficial and (iv) capitalizing on Wi"&amp;"ktionary does help. It surpasses previous SoTA system on our test set by 3.3%. WSI is not solved, and calls for a better articulation of lexicons and LLMs' lexical semantics capabilities.")</f>
        <v>Word Sense Induction is beneficial for linguistic studies, and for semantic-intensive NLP applications in low computation resources scenarios, not benefiting of LLMs. In this paper, we emphasize methodological problems in current WSI evaluation. We propose an evaluation on a SemCor-derived dataset, respecting the original corpus polysemy and frequency distributions. We assess pre-trained embeddings and clustering algorithms across parts of speech, and propose and evaluate an LLM-based WSI method for English. We evaluate data augmentation sources (LLM-generated, corpus and lexicon), and semi-supervised scenarios using Wiktionary for data augmentation, must-link constraints, number of clusters per lemma.
We find that no unsupervised method (whether ours or previous) surpasses the strong "one cluster per lemma" heuristic (1cpl). We also show that (i) results and best systems may vary across POS, (ii) LLMs have troubles performing this task, (iii) data augmentation is beneficial and (iv) capitalizing on Wiktionary does help. It surpasses previous SoTA system on our test set by 3.3%. WSI is not solved, and calls for a better articulation of lexicons and LLMs' lexical semantics capabilities.</v>
      </c>
      <c r="D966" s="7" t="str">
        <f>IFERROR(__xludf.DUMMYFUNCTION("""COMPUTED_VALUE"""),"Anna Mosolova")</f>
        <v>Anna Mosolova</v>
      </c>
      <c r="E966" s="7" t="str">
        <f>IFERROR(__xludf.DUMMYFUNCTION("""COMPUTED_VALUE"""),"Yes")</f>
        <v>Yes</v>
      </c>
      <c r="F966" s="7" t="str">
        <f>IFERROR(__xludf.DUMMYFUNCTION("""COMPUTED_VALUE"""),"IP-Poster")</f>
        <v>IP-Poster</v>
      </c>
      <c r="G966" s="7" t="str">
        <f>IFERROR(__xludf.DUMMYFUNCTION("""COMPUTED_VALUE"""),"In-Person")</f>
        <v>In-Person</v>
      </c>
      <c r="H966" s="7" t="str">
        <f>IFERROR(__xludf.DUMMYFUNCTION("""COMPUTED_VALUE"""),"Hall 4/5")</f>
        <v>Hall 4/5</v>
      </c>
      <c r="I966" s="7" t="str">
        <f>IFERROR(__xludf.DUMMYFUNCTION("""COMPUTED_VALUE"""),"Session 5 :IP-Posters Find ")</f>
        <v>Session 5 :IP-Posters Find </v>
      </c>
      <c r="J966" s="7" t="str">
        <f>IFERROR(__xludf.DUMMYFUNCTION("""COMPUTED_VALUE"""),"Findings Posters - In-Person 1")</f>
        <v>Findings Posters - In-Person 1</v>
      </c>
      <c r="K966" s="7"/>
      <c r="L966" s="8">
        <f>IFERROR(__xludf.DUMMYFUNCTION("""COMPUTED_VALUE"""),45866.0)</f>
        <v>45866</v>
      </c>
      <c r="M966" s="7" t="str">
        <f>IFERROR(__xludf.DUMMYFUNCTION("""COMPUTED_VALUE"""),"18:00-19:30")</f>
        <v>18:00-19:30</v>
      </c>
      <c r="N966" s="7"/>
    </row>
    <row r="967">
      <c r="A967" s="7" t="str">
        <f>IFERROR(__xludf.DUMMYFUNCTION("""COMPUTED_VALUE"""),"3412-FIND")</f>
        <v>3412-FIND</v>
      </c>
      <c r="B967" s="7" t="str">
        <f>IFERROR(__xludf.DUMMYFUNCTION("""COMPUTED_VALUE"""),"Navigating the Political Compass: Evaluating Multilingual LLMs across Languages and Nationalities")</f>
        <v>Navigating the Political Compass: Evaluating Multilingual LLMs across Languages and Nationalities</v>
      </c>
      <c r="C967" s="7" t="str">
        <f>IFERROR(__xludf.DUMMYFUNCTION("""COMPUTED_VALUE"""),"Large Language Models (LLMs) have become ubiquitous in today's technological landscape, boasting a plethora of applications, and even endangering human jobs in complex and creative fields. One such field is journalism: LLMs are being used for summarizatio"&amp;"n, generation and even fact-checking. However, in today's political landscape, LLMs could accentuate tensions if they exhibit political bias. In this work, we evaluate the political bias of the most used 15 multilingual LLMs via the Political Compass Test"&amp;". We test different scenarios, where we vary the language of the prompt, while also assigning a nationality to the model. We evaluate models on the 50 most populous countries and their official languages. Our results indicate that language has a strong in"&amp;"fluence on the political ideology displayed by a model. In addition, smaller models tend to display a more stable political ideology, i.e. ideology that is less affected by variations in the prompt.")</f>
        <v>Large Language Models (LLMs) have become ubiquitous in today's technological landscape, boasting a plethora of applications, and even endangering human jobs in complex and creative fields. One such field is journalism: LLMs are being used for summarization, generation and even fact-checking. However, in today's political landscape, LLMs could accentuate tensions if they exhibit political bias. In this work, we evaluate the political bias of the most used 15 multilingual LLMs via the Political Compass Test. We test different scenarios, where we vary the language of the prompt, while also assigning a nationality to the model. We evaluate models on the 50 most populous countries and their official languages. Our results indicate that language has a strong influence on the political ideology displayed by a model. In addition, smaller models tend to display a more stable political ideology, i.e. ideology that is less affected by variations in the prompt.</v>
      </c>
      <c r="D967" s="7" t="str">
        <f>IFERROR(__xludf.DUMMYFUNCTION("""COMPUTED_VALUE"""),"Chadi Helwe")</f>
        <v>Chadi Helwe</v>
      </c>
      <c r="E967" s="7" t="str">
        <f>IFERROR(__xludf.DUMMYFUNCTION("""COMPUTED_VALUE"""),"Yes")</f>
        <v>Yes</v>
      </c>
      <c r="F967" s="7" t="str">
        <f>IFERROR(__xludf.DUMMYFUNCTION("""COMPUTED_VALUE"""),"IP-Poster")</f>
        <v>IP-Poster</v>
      </c>
      <c r="G967" s="7" t="str">
        <f>IFERROR(__xludf.DUMMYFUNCTION("""COMPUTED_VALUE"""),"In-Person")</f>
        <v>In-Person</v>
      </c>
      <c r="H967" s="7" t="str">
        <f>IFERROR(__xludf.DUMMYFUNCTION("""COMPUTED_VALUE"""),"Hall 4/5")</f>
        <v>Hall 4/5</v>
      </c>
      <c r="I967" s="7" t="str">
        <f>IFERROR(__xludf.DUMMYFUNCTION("""COMPUTED_VALUE"""),"Session 10: IP-Posters")</f>
        <v>Session 10: IP-Posters</v>
      </c>
      <c r="J967" s="7" t="str">
        <f>IFERROR(__xludf.DUMMYFUNCTION("""COMPUTED_VALUE"""),"Findings Posters - In-Person 3")</f>
        <v>Findings Posters - In-Person 3</v>
      </c>
      <c r="K967" s="7"/>
      <c r="L967" s="8">
        <f>IFERROR(__xludf.DUMMYFUNCTION("""COMPUTED_VALUE"""),45867.0)</f>
        <v>45867</v>
      </c>
      <c r="M967" s="7" t="str">
        <f>IFERROR(__xludf.DUMMYFUNCTION("""COMPUTED_VALUE"""),"16:00-17:30")</f>
        <v>16:00-17:30</v>
      </c>
      <c r="N967" s="7"/>
    </row>
    <row r="968">
      <c r="A968" s="7" t="str">
        <f>IFERROR(__xludf.DUMMYFUNCTION("""COMPUTED_VALUE"""),"3422-FIND")</f>
        <v>3422-FIND</v>
      </c>
      <c r="B968" s="7" t="str">
        <f>IFERROR(__xludf.DUMMYFUNCTION("""COMPUTED_VALUE"""),"Who Can Withstand Chat-Audio Attacks? An Evaluation Benchmark for Large Language Models")</f>
        <v>Who Can Withstand Chat-Audio Attacks? An Evaluation Benchmark for Large Language Models</v>
      </c>
      <c r="C968" s="7" t="str">
        <f>IFERROR(__xludf.DUMMYFUNCTION("""COMPUTED_VALUE"""),"Adversarial audio attacks pose a significant threat to the growing use of large language models (LLMs) in voice-based human-machine interactions. While existing research has primarily focused on model-specific adversarial methods, real-world applications "&amp;"demand a more generalizable and universal approach to audio adversarial attacks. In this paper, we introduce the Chat-Audio Attacks (CAA) benchmark including four distinct types of audio attacks, which aims to explore the the vulnerabilities of LLMs to th"&amp;"ese audio attacks in conversational scenarios. To evaluate the robustness of LLMs, we propose three evaluation strategies: Standard Evaluation, utilizing traditional metrics to quantify model performance under attacks; GPT-4o-Based Evaluation, which simul"&amp;"ates real-world conversational complexities; and Human Evaluation, offering insights into user perception and trust. We evaluate six state-of-the-art LLMs with voice interaction capabilities, including Gemini-1.5-Pro, GPT-4o, and others, using three disti"&amp;"nct evaluation methods on the CAA benchmark. Our comprehensive analysis reveals the impact of four types of audio attacks on the performance of these models, demonstrating that GPT-4o exhibits the highest level of resilience. Our anonymous data can be acc"&amp;"essed via the following link: \href{https://anonymous.4open.science/r/CAA-D7DD/}{CAA}.")</f>
        <v>Adversarial audio attacks pose a significant threat to the growing use of large language models (LLMs) in voice-based human-machine interactions. While existing research has primarily focused on model-specific adversarial methods, real-world applications demand a more generalizable and universal approach to audio adversarial attacks. In this paper, we introduce the Chat-Audio Attacks (CAA) benchmark including four distinct types of audio attacks, which aims to explore the the vulnerabilities of LLMs to these audio attacks in conversational scenarios. To evaluate the robustness of LLMs, we propose three evaluation strategies: Standard Evaluation, utilizing traditional metrics to quantify model performance under attacks; GPT-4o-Based Evaluation, which simulates real-world conversational complexities; and Human Evaluation, offering insights into user perception and trust. We evaluate six state-of-the-art LLMs with voice interaction capabilities, including Gemini-1.5-Pro, GPT-4o, and others, using three distinct evaluation methods on the CAA benchmark. Our comprehensive analysis reveals the impact of four types of audio attacks on the performance of these models, demonstrating that GPT-4o exhibits the highest level of resilience. Our anonymous data can be accessed via the following link: \href{https://anonymous.4open.science/r/CAA-D7DD/}{CAA}.</v>
      </c>
      <c r="D968" s="7" t="str">
        <f>IFERROR(__xludf.DUMMYFUNCTION("""COMPUTED_VALUE"""),"Wanqi Yang")</f>
        <v>Wanqi Yang</v>
      </c>
      <c r="E968" s="7" t="str">
        <f>IFERROR(__xludf.DUMMYFUNCTION("""COMPUTED_VALUE"""),"#N/A")</f>
        <v>#N/A</v>
      </c>
      <c r="F968" s="7" t="str">
        <f>IFERROR(__xludf.DUMMYFUNCTION("""COMPUTED_VALUE"""),"Not Pres. ")</f>
        <v>Not Pres. </v>
      </c>
      <c r="G968" s="7" t="str">
        <f>IFERROR(__xludf.DUMMYFUNCTION("""COMPUTED_VALUE"""),"NP Findings Not Presenting ")</f>
        <v>NP Findings Not Presenting </v>
      </c>
      <c r="H968" s="7"/>
      <c r="I968" s="7" t="str">
        <f>IFERROR(__xludf.DUMMYFUNCTION("""COMPUTED_VALUE"""),"NP-Find")</f>
        <v>NP-Find</v>
      </c>
      <c r="J968" s="7"/>
      <c r="K968" s="7"/>
      <c r="L968" s="8"/>
      <c r="M968" s="7"/>
      <c r="N968" s="7"/>
    </row>
    <row r="969">
      <c r="A969" s="7" t="str">
        <f>IFERROR(__xludf.DUMMYFUNCTION("""COMPUTED_VALUE"""),"3427-FIND")</f>
        <v>3427-FIND</v>
      </c>
      <c r="B969" s="7" t="str">
        <f>IFERROR(__xludf.DUMMYFUNCTION("""COMPUTED_VALUE"""),"Beyond the Tip of Efficiency: Uncovering the Submerged Threats of Jailbreak Attacks in Small Language Models")</f>
        <v>Beyond the Tip of Efficiency: Uncovering the Submerged Threats of Jailbreak Attacks in Small Language Models</v>
      </c>
      <c r="C969" s="7" t="str">
        <f>IFERROR(__xludf.DUMMYFUNCTION("""COMPUTED_VALUE"""),"Small language models (SLMs) have become increasingly prominent in the deployment on edge devices due to their high efficiency and low computational cost. While researchers continue to advance the capabilities of SLMs through innovative training strategie"&amp;"s and model compression techniques, the security risks of SLMs have received considerably less attention compared to large language models (LLMs). To fill this gap, we provide a comprehensive empirical study to evaluate the security performance of 13 stat"&amp;"e-of-the-art SLMs under various jailbreak attacks. Our experiments demonstrate that most SLMs are quite susceptible to existing jailbreak attacks, while some of them are even vulnerable to direct harmful prompts. To address the safety concerns, we evaluat"&amp;"e several representative defense methods and demonstrate their effectiveness in enhancing the security of SLMs. We further analyze the potential security degradation caused by different SLM techniques including architecture compression, quantization, know"&amp;"ledge distillation, and so on. We expect that our research can highlight the security challenges of SLMs and provide valuable insights to future work in developing more robust and secure SLMs.")</f>
        <v>Small language models (SLMs) have become increasingly prominent in the deployment on edge devices due to their high efficiency and low computational cost. While researchers continue to advance the capabilities of SLMs through innovative training strategies and model compression techniques, the security risks of SLMs have received considerably less attention compared to large language models (LLMs). To fill this gap, we provide a comprehensive empirical study to evaluate the security performance of 13 state-of-the-art SLMs under various jailbreak attacks. Our experiments demonstrate that most SLMs are quite susceptible to existing jailbreak attacks, while some of them are even vulnerable to direct harmful prompts. To address the safety concerns, we evaluate several representative defense methods and demonstrate their effectiveness in enhancing the security of SLMs. We further analyze the potential security degradation caused by different SLM techniques including architecture compression, quantization, knowledge distillation, and so on. We expect that our research can highlight the security challenges of SLMs and provide valuable insights to future work in developing more robust and secure SLMs.</v>
      </c>
      <c r="D969" s="7" t="str">
        <f>IFERROR(__xludf.DUMMYFUNCTION("""COMPUTED_VALUE"""),"we do not plan to present")</f>
        <v>we do not plan to present</v>
      </c>
      <c r="E969" s="7" t="str">
        <f>IFERROR(__xludf.DUMMYFUNCTION("""COMPUTED_VALUE"""),"#N/A")</f>
        <v>#N/A</v>
      </c>
      <c r="F969" s="7" t="str">
        <f>IFERROR(__xludf.DUMMYFUNCTION("""COMPUTED_VALUE"""),"Not Pres. ")</f>
        <v>Not Pres. </v>
      </c>
      <c r="G969" s="7" t="str">
        <f>IFERROR(__xludf.DUMMYFUNCTION("""COMPUTED_VALUE"""),"NP Findings Not Presenting ")</f>
        <v>NP Findings Not Presenting </v>
      </c>
      <c r="H969" s="7"/>
      <c r="I969" s="7" t="str">
        <f>IFERROR(__xludf.DUMMYFUNCTION("""COMPUTED_VALUE"""),"NP-Find")</f>
        <v>NP-Find</v>
      </c>
      <c r="J969" s="7"/>
      <c r="K969" s="7"/>
      <c r="L969" s="8"/>
      <c r="M969" s="7"/>
      <c r="N969" s="7"/>
    </row>
    <row r="970">
      <c r="A970" s="7" t="str">
        <f>IFERROR(__xludf.DUMMYFUNCTION("""COMPUTED_VALUE"""),"3428-FIND")</f>
        <v>3428-FIND</v>
      </c>
      <c r="B970" s="7" t="str">
        <f>IFERROR(__xludf.DUMMYFUNCTION("""COMPUTED_VALUE"""),"EMRs2CSP : Mining Clinical Status Pathway from Electronic Medical Records")</f>
        <v>EMRs2CSP : Mining Clinical Status Pathway from Electronic Medical Records</v>
      </c>
      <c r="C970" s="7" t="str">
        <f>IFERROR(__xludf.DUMMYFUNCTION("""COMPUTED_VALUE"""),"Many current studies focus on extracting tests or treatments when constructing clinical pathways, often neglecting the patient's symptoms and diagnosis, leading to incomplete diagnostic and therapeutic logic. Therefore, this paper aims to extract clinical"&amp;" pathways from electronic medical records that encompass complete diagnostic and therapeutic logic, including temporal information, patient symptoms, diagnosis, and tests or treatments. To achieve this objective, we propose a novel clinical pathway repres"&amp;"entation: the clinical status pathway. We also design a LLM-based pipeline framework for extracting clinical status pathway from electronic medical records, with the core concept being to improve extraction accuracy by modeling the diagnostic and treatmen"&amp;"t processes. In our experiments, we apply this framework to construct a comprehensive breast cancer-specific clinical status pathway and evaluate its performance on medical question-answering and decision-support tasks, demonstrating significant improveme"&amp;"nts over traditional clinical pathways. The code is publicly available at https://anonymous.4open.science/r/EMR2CSP-BD11")</f>
        <v>Many current studies focus on extracting tests or treatments when constructing clinical pathways, often neglecting the patient's symptoms and diagnosis, leading to incomplete diagnostic and therapeutic logic. Therefore, this paper aims to extract clinical pathways from electronic medical records that encompass complete diagnostic and therapeutic logic, including temporal information, patient symptoms, diagnosis, and tests or treatments. To achieve this objective, we propose a novel clinical pathway representation: the clinical status pathway. We also design a LLM-based pipeline framework for extracting clinical status pathway from electronic medical records, with the core concept being to improve extraction accuracy by modeling the diagnostic and treatment processes. In our experiments, we apply this framework to construct a comprehensive breast cancer-specific clinical status pathway and evaluate its performance on medical question-answering and decision-support tasks, demonstrating significant improvements over traditional clinical pathways. The code is publicly available at https://anonymous.4open.science/r/EMR2CSP-BD11</v>
      </c>
      <c r="D970" s="7" t="str">
        <f>IFERROR(__xludf.DUMMYFUNCTION("""COMPUTED_VALUE"""),"Yifei Chen")</f>
        <v>Yifei Chen</v>
      </c>
      <c r="E970" s="7" t="str">
        <f>IFERROR(__xludf.DUMMYFUNCTION("""COMPUTED_VALUE"""),"Yes")</f>
        <v>Yes</v>
      </c>
      <c r="F970" s="7" t="str">
        <f>IFERROR(__xludf.DUMMYFUNCTION("""COMPUTED_VALUE"""),"IP-Poster")</f>
        <v>IP-Poster</v>
      </c>
      <c r="G970" s="7" t="str">
        <f>IFERROR(__xludf.DUMMYFUNCTION("""COMPUTED_VALUE"""),"In-Person")</f>
        <v>In-Person</v>
      </c>
      <c r="H970" s="7" t="str">
        <f>IFERROR(__xludf.DUMMYFUNCTION("""COMPUTED_VALUE"""),"Hall 4/5")</f>
        <v>Hall 4/5</v>
      </c>
      <c r="I970" s="7" t="str">
        <f>IFERROR(__xludf.DUMMYFUNCTION("""COMPUTED_VALUE"""),"Session 7: IP-Posters")</f>
        <v>Session 7: IP-Posters</v>
      </c>
      <c r="J970" s="7" t="str">
        <f>IFERROR(__xludf.DUMMYFUNCTION("""COMPUTED_VALUE"""),"Findings Posters - In-Person 2")</f>
        <v>Findings Posters - In-Person 2</v>
      </c>
      <c r="K970" s="7"/>
      <c r="L970" s="8">
        <f>IFERROR(__xludf.DUMMYFUNCTION("""COMPUTED_VALUE"""),45867.0)</f>
        <v>45867</v>
      </c>
      <c r="M970" s="7" t="str">
        <f>IFERROR(__xludf.DUMMYFUNCTION("""COMPUTED_VALUE"""),"10:30-12:00")</f>
        <v>10:30-12:00</v>
      </c>
      <c r="N970" s="7"/>
    </row>
    <row r="971">
      <c r="A971" s="7" t="str">
        <f>IFERROR(__xludf.DUMMYFUNCTION("""COMPUTED_VALUE"""),"3431-FIND")</f>
        <v>3431-FIND</v>
      </c>
      <c r="B971" s="7" t="str">
        <f>IFERROR(__xludf.DUMMYFUNCTION("""COMPUTED_VALUE"""),"A Law Reasoning Benchmark for LLM with Tree-Organized Structures including Factum Probandum, Evidence and Experiences")</f>
        <v>A Law Reasoning Benchmark for LLM with Tree-Organized Structures including Factum Probandum, Evidence and Experiences</v>
      </c>
      <c r="C971" s="7" t="str">
        <f>IFERROR(__xludf.DUMMYFUNCTION("""COMPUTED_VALUE"""),"While progress has been made in legal applications, law reasoning, crucial for fair adjudication, remains unexplored. We propose a transparent law reasoning schema enriched with hierarchical factum probandum, evidence, and implicit experience, enabling pu"&amp;"blic scrutiny and preventing bias. Inspired by this schema, we introduce the challenging task, which takes a textual case description and outputs a hierarchical structure justifying the final decision. We also create the first crowd-sourced dataset for th"&amp;"is task, enabling comprehensive evaluation. Simultaneously, we propose TL agent that employs a comprehensive suite of legal analysis tools to address the challenge task. This benchmark paves the way for transparent and accountable AI-assisted law-reasonin"&amp;"g in the ``Intelligent Court''.")</f>
        <v>While progress has been made in legal applications, law reasoning, crucial for fair adjudication, remains unexplored. We propose a transparent law reasoning schema enriched with hierarchical factum probandum, evidence, and implicit experience, enabling public scrutiny and preventing bias. Inspired by this schema, we introduce the challenging task, which takes a textual case description and outputs a hierarchical structure justifying the final decision. We also create the first crowd-sourced dataset for this task, enabling comprehensive evaluation. Simultaneously, we propose TL agent that employs a comprehensive suite of legal analysis tools to address the challenge task. This benchmark paves the way for transparent and accountable AI-assisted law-reasoning in the ``Intelligent Court''.</v>
      </c>
      <c r="D971" s="7" t="str">
        <f>IFERROR(__xludf.DUMMYFUNCTION("""COMPUTED_VALUE"""),"N/A")</f>
        <v>N/A</v>
      </c>
      <c r="E971" s="7" t="str">
        <f>IFERROR(__xludf.DUMMYFUNCTION("""COMPUTED_VALUE"""),"#N/A")</f>
        <v>#N/A</v>
      </c>
      <c r="F971" s="7" t="str">
        <f>IFERROR(__xludf.DUMMYFUNCTION("""COMPUTED_VALUE"""),"Not Pres. ")</f>
        <v>Not Pres. </v>
      </c>
      <c r="G971" s="7" t="str">
        <f>IFERROR(__xludf.DUMMYFUNCTION("""COMPUTED_VALUE"""),"NP Findings Not Presenting ")</f>
        <v>NP Findings Not Presenting </v>
      </c>
      <c r="H971" s="7"/>
      <c r="I971" s="7" t="str">
        <f>IFERROR(__xludf.DUMMYFUNCTION("""COMPUTED_VALUE"""),"NP-Find")</f>
        <v>NP-Find</v>
      </c>
      <c r="J971" s="7"/>
      <c r="K971" s="7"/>
      <c r="L971" s="8"/>
      <c r="M971" s="7"/>
      <c r="N971" s="7"/>
    </row>
    <row r="972">
      <c r="A972" s="7" t="str">
        <f>IFERROR(__xludf.DUMMYFUNCTION("""COMPUTED_VALUE"""),"3433-FIND")</f>
        <v>3433-FIND</v>
      </c>
      <c r="B972" s="7" t="str">
        <f>IFERROR(__xludf.DUMMYFUNCTION("""COMPUTED_VALUE"""),"Libra: Leveraging Temporal Images for Biomedical Radiology Analysis")</f>
        <v>Libra: Leveraging Temporal Images for Biomedical Radiology Analysis</v>
      </c>
      <c r="C972" s="7" t="str">
        <f>IFERROR(__xludf.DUMMYFUNCTION("""COMPUTED_VALUE"""),"Radiology report generation (RRG) requires advanced medical image analysis, effective temporal reasoning, and accurate text generation. While multimodal large language models (MLLMs) align with pre-trained vision encoders to enhance visual-language unders"&amp;"tanding, most existing methods rely on single-image analysis or rule-based heuristics to process multiple images, failing to fully leverage temporal information in multi-modal medical datasets. In this paper, we introduce **Libra**, a temporal-aware MLLM "&amp;"tailored for chest X-ray report generation. Libra combines a radiology-specific image encoder with a novel Temporal Alignment Connector (**TAC**), designed to accurately capture and integrate temporal differences between paired current and prior images. E"&amp;"xtensive experiments on the MIMIC-CXR dataset demonstrate that Libra establishes a new state-of-the-art benchmark among similarly scaled MLLMs, setting new standards in both clinical relevance and lexical accuracy. All source code and data are publicly av"&amp;"ailable at: https://github.com/X-iZhang/Libra.")</f>
        <v>Radiology report generation (RRG) requires advanced medical image analysis, effective temporal reasoning, and accurate text generation. While multimodal large language models (MLLMs) align with pre-trained vision encoders to enhance visual-language understanding, most existing methods rely on single-image analysis or rule-based heuristics to process multiple images, failing to fully leverage temporal information in multi-modal medical datasets. In this paper, we introduce **Libra**, a temporal-aware MLLM tailored for chest X-ray report generation. Libra combines a radiology-specific image encoder with a novel Temporal Alignment Connector (**TAC**), designed to accurately capture and integrate temporal differences between paired current and prior images. Extensive experiments on the MIMIC-CXR dataset demonstrate that Libra establishes a new state-of-the-art benchmark among similarly scaled MLLMs, setting new standards in both clinical relevance and lexical accuracy. All source code and data are publicly available at: https://github.com/X-iZhang/Libra.</v>
      </c>
      <c r="D972" s="7" t="str">
        <f>IFERROR(__xludf.DUMMYFUNCTION("""COMPUTED_VALUE"""),"Xi Zhang")</f>
        <v>Xi Zhang</v>
      </c>
      <c r="E972" s="7" t="str">
        <f>IFERROR(__xludf.DUMMYFUNCTION("""COMPUTED_VALUE"""),"Yes")</f>
        <v>Yes</v>
      </c>
      <c r="F972" s="7" t="str">
        <f>IFERROR(__xludf.DUMMYFUNCTION("""COMPUTED_VALUE"""),"IP-Poster")</f>
        <v>IP-Poster</v>
      </c>
      <c r="G972" s="7" t="str">
        <f>IFERROR(__xludf.DUMMYFUNCTION("""COMPUTED_VALUE"""),"In-Person")</f>
        <v>In-Person</v>
      </c>
      <c r="H972" s="7" t="str">
        <f>IFERROR(__xludf.DUMMYFUNCTION("""COMPUTED_VALUE"""),"Hall 4/5")</f>
        <v>Hall 4/5</v>
      </c>
      <c r="I972" s="7" t="str">
        <f>IFERROR(__xludf.DUMMYFUNCTION("""COMPUTED_VALUE"""),"Session 10: IP-Posters")</f>
        <v>Session 10: IP-Posters</v>
      </c>
      <c r="J972" s="7" t="str">
        <f>IFERROR(__xludf.DUMMYFUNCTION("""COMPUTED_VALUE"""),"Findings Posters - In-Person 3")</f>
        <v>Findings Posters - In-Person 3</v>
      </c>
      <c r="K972" s="7"/>
      <c r="L972" s="8">
        <f>IFERROR(__xludf.DUMMYFUNCTION("""COMPUTED_VALUE"""),45867.0)</f>
        <v>45867</v>
      </c>
      <c r="M972" s="7" t="str">
        <f>IFERROR(__xludf.DUMMYFUNCTION("""COMPUTED_VALUE"""),"16:00-17:30")</f>
        <v>16:00-17:30</v>
      </c>
      <c r="N972" s="7"/>
    </row>
    <row r="973">
      <c r="A973" s="7" t="str">
        <f>IFERROR(__xludf.DUMMYFUNCTION("""COMPUTED_VALUE"""),"3437-FIND")</f>
        <v>3437-FIND</v>
      </c>
      <c r="B973" s="7" t="str">
        <f>IFERROR(__xludf.DUMMYFUNCTION("""COMPUTED_VALUE"""),"Stereotype Detection as a Catalyst for Enhanced Bias Detection: A Multi-Task Learning Approach")</f>
        <v>Stereotype Detection as a Catalyst for Enhanced Bias Detection: A Multi-Task Learning Approach</v>
      </c>
      <c r="C973" s="7" t="str">
        <f>IFERROR(__xludf.DUMMYFUNCTION("""COMPUTED_VALUE""")," 
Bias and stereotypes in language models can cause harm, especially in sensitive areas like content moderation and decision-making. This paper addresses bias and stereotype detection by exploring how jointly learning these tasks enhances model perform"&amp;"ance. We introduce StereoBias, a unique dataset labeled for bias and stereotype detection across five categories: religion, gender, socio-economic status, race, profession, and others, enabling a deeper study of their relationship.
Our experiments compar"&amp;"e encoder models and fine-tuned large language models (LLMs) using QLoRA. While encoder models perform well, LLMs also show competitive results. Crucially, joint training on bias and stereotype detection significantly improves bias detection compared to t"&amp;"raining them separately. Additional experiments with sentiment analysis confirm that the improvements stem from the connection between bias and stereotypes, not multi-task learning alone. These findings highlight the value of leveraging stereotype informa"&amp;"tion to build fairer and more effective AI systems.")</f>
        <v> 
Bias and stereotypes in language models can cause harm, especially in sensitive areas like content moderation and decision-making. This paper addresses bias and stereotype detection by exploring how jointly learning these tasks enhances model performance. We introduce StereoBias, a unique dataset labeled for bias and stereotype detection across five categories: religion, gender, socio-economic status, race, profession, and others, enabling a deeper study of their relationship.
Our experiments compare encoder models and fine-tuned large language models (LLMs) using QLoRA. While encoder models perform well, LLMs also show competitive results. Crucially, joint training on bias and stereotype detection significantly improves bias detection compared to training them separately. Additional experiments with sentiment analysis confirm that the improvements stem from the connection between bias and stereotypes, not multi-task learning alone. These findings highlight the value of leveraging stereotype information to build fairer and more effective AI systems.</v>
      </c>
      <c r="D973" s="7" t="str">
        <f>IFERROR(__xludf.DUMMYFUNCTION("""COMPUTED_VALUE"""),"Aditya Tomar")</f>
        <v>Aditya Tomar</v>
      </c>
      <c r="E973" s="7" t="str">
        <f>IFERROR(__xludf.DUMMYFUNCTION("""COMPUTED_VALUE"""),"Yes")</f>
        <v>Yes</v>
      </c>
      <c r="F973" s="7" t="str">
        <f>IFERROR(__xludf.DUMMYFUNCTION("""COMPUTED_VALUE"""),"Not Pres. ")</f>
        <v>Not Pres. </v>
      </c>
      <c r="G973" s="7" t="str">
        <f>IFERROR(__xludf.DUMMYFUNCTION("""COMPUTED_VALUE"""),"NP Findings Not Presenting ")</f>
        <v>NP Findings Not Presenting </v>
      </c>
      <c r="H973" s="7"/>
      <c r="I973" s="7"/>
      <c r="J973" s="7"/>
      <c r="K973" s="7"/>
      <c r="L973" s="8"/>
      <c r="M973" s="7"/>
      <c r="N973" s="7"/>
    </row>
    <row r="974">
      <c r="A974" s="7" t="str">
        <f>IFERROR(__xludf.DUMMYFUNCTION("""COMPUTED_VALUE"""),"3440-FIND")</f>
        <v>3440-FIND</v>
      </c>
      <c r="B974" s="7" t="str">
        <f>IFERROR(__xludf.DUMMYFUNCTION("""COMPUTED_VALUE"""),"Filling the Temporal Void: Recovering Missing Publication Years in the Project Gutenberg Corpus Using LLMs")</f>
        <v>Filling the Temporal Void: Recovering Missing Publication Years in the Project Gutenberg Corpus Using LLMs</v>
      </c>
      <c r="C974" s="7" t="str">
        <f>IFERROR(__xludf.DUMMYFUNCTION("""COMPUTED_VALUE"""),"Analyzing texts spanning long periods of time is critical for researchers in historical linguistics and related disciplines. However, publicly available corpora suitable for such analyses are scarce. The Project Gutenberg (PG) corpus presents a significan"&amp;"t yet underutilized opportunity in this context, due to the absence of accurate temporal metadata. We take advantage of language models and information retrieval to explore four sources of information -- Open Web, Wikipedia, Open Library API, and Project "&amp;"Gutenberg (PG) -- to add missing temporal metadata to PG books. Through 20 experiments employing state-of-the-art Large Language Models (LLMs) and Retrieval Augmented Generation (RAG) methods, we estimate the production years of all PG books. We curate an"&amp;" enriched metadata repository for PG books and propose a refined version of the PG corpus, which includes 53774 books with a total of 3.8 billion tokens in 11 languages, produced between 1600 and 2000. This work provides a new resource for computational l"&amp;"inguistics and humanities studies focusing on diachronic analyses. All experiments data are published for the public (https://drive.proton.me/urls/DNQE5562RM#L2ldqrQ88Y6B).")</f>
        <v>Analyzing texts spanning long periods of time is critical for researchers in historical linguistics and related disciplines. However, publicly available corpora suitable for such analyses are scarce. The Project Gutenberg (PG) corpus presents a significant yet underutilized opportunity in this context, due to the absence of accurate temporal metadata. We take advantage of language models and information retrieval to explore four sources of information -- Open Web, Wikipedia, Open Library API, and Project Gutenberg (PG) -- to add missing temporal metadata to PG books. Through 20 experiments employing state-of-the-art Large Language Models (LLMs) and Retrieval Augmented Generation (RAG) methods, we estimate the production years of all PG books. We curate an enriched metadata repository for PG books and propose a refined version of the PG corpus, which includes 53774 books with a total of 3.8 billion tokens in 11 languages, produced between 1600 and 2000. This work provides a new resource for computational linguistics and humanities studies focusing on diachronic analyses. All experiments data are published for the public (https://drive.proton.me/urls/DNQE5562RM#L2ldqrQ88Y6B).</v>
      </c>
      <c r="D974" s="7" t="str">
        <f>IFERROR(__xludf.DUMMYFUNCTION("""COMPUTED_VALUE"""),"Omar Momen")</f>
        <v>Omar Momen</v>
      </c>
      <c r="E974" s="7" t="str">
        <f>IFERROR(__xludf.DUMMYFUNCTION("""COMPUTED_VALUE"""),"Yes")</f>
        <v>Yes</v>
      </c>
      <c r="F974" s="7" t="str">
        <f>IFERROR(__xludf.DUMMYFUNCTION("""COMPUTED_VALUE"""),"IP-Poster")</f>
        <v>IP-Poster</v>
      </c>
      <c r="G974" s="7" t="str">
        <f>IFERROR(__xludf.DUMMYFUNCTION("""COMPUTED_VALUE"""),"In-Person")</f>
        <v>In-Person</v>
      </c>
      <c r="H974" s="7" t="str">
        <f>IFERROR(__xludf.DUMMYFUNCTION("""COMPUTED_VALUE"""),"Hall 4/5")</f>
        <v>Hall 4/5</v>
      </c>
      <c r="I974" s="7" t="str">
        <f>IFERROR(__xludf.DUMMYFUNCTION("""COMPUTED_VALUE"""),"Session 7: IP-Posters")</f>
        <v>Session 7: IP-Posters</v>
      </c>
      <c r="J974" s="7" t="str">
        <f>IFERROR(__xludf.DUMMYFUNCTION("""COMPUTED_VALUE"""),"Findings Posters - In-Person 2")</f>
        <v>Findings Posters - In-Person 2</v>
      </c>
      <c r="K974" s="7"/>
      <c r="L974" s="8">
        <f>IFERROR(__xludf.DUMMYFUNCTION("""COMPUTED_VALUE"""),45867.0)</f>
        <v>45867</v>
      </c>
      <c r="M974" s="7" t="str">
        <f>IFERROR(__xludf.DUMMYFUNCTION("""COMPUTED_VALUE"""),"10:30-12:00")</f>
        <v>10:30-12:00</v>
      </c>
      <c r="N974" s="7"/>
    </row>
    <row r="975">
      <c r="A975" s="7" t="str">
        <f>IFERROR(__xludf.DUMMYFUNCTION("""COMPUTED_VALUE"""),"3441-FIND")</f>
        <v>3441-FIND</v>
      </c>
      <c r="B975" s="7" t="str">
        <f>IFERROR(__xludf.DUMMYFUNCTION("""COMPUTED_VALUE"""),"ExpliCa: Evaluating Explicit Causal Reasoning in Large Language Models")</f>
        <v>ExpliCa: Evaluating Explicit Causal Reasoning in Large Language Models</v>
      </c>
      <c r="C975" s="7" t="str">
        <f>IFERROR(__xludf.DUMMYFUNCTION("""COMPUTED_VALUE"""),"Large Language Models (LLMs) are increasingly used in tasks requiring interpretive and inferential accuracy. In this paper, we introduce ExpliCa, a new dataset for evaluating LLMs in explicit causal reasoning. ExpliCa uniquely integrates both causal and t"&amp;"emporal relations presented in different linguistic orders and explicitly expressed by linguistic connectives. The dataset is enriched with crowdsourced human acceptability ratings. We tested LLMs on ExpliCa through prompting and perplexity-based metrics."&amp;" We assessed seven commercial and open-source LLMs, revealing that even top models struggle to reach 0.80 accuracy. Interestingly, models tend to confound temporal relations with causal ones, and their performance is also strongly influenced by the lingui"&amp;"stic order of the events. Finally, perplexity-based scores and prompting performance are differently affected by model size.")</f>
        <v>Large Language Models (LLMs) are increasingly used in tasks requiring interpretive and inferential accuracy. In this paper, we introduce ExpliCa, a new dataset for evaluating LLMs in explicit causal reasoning. ExpliCa uniquely integrates both causal and temporal relations presented in different linguistic orders and explicitly expressed by linguistic connectives. The dataset is enriched with crowdsourced human acceptability ratings. We tested LLMs on ExpliCa through prompting and perplexity-based metrics. We assessed seven commercial and open-source LLMs, revealing that even top models struggle to reach 0.80 accuracy. Interestingly, models tend to confound temporal relations with causal ones, and their performance is also strongly influenced by the linguistic order of the events. Finally, perplexity-based scores and prompting performance are differently affected by model size.</v>
      </c>
      <c r="D975" s="7" t="str">
        <f>IFERROR(__xludf.DUMMYFUNCTION("""COMPUTED_VALUE"""),"Martina Miliani")</f>
        <v>Martina Miliani</v>
      </c>
      <c r="E975" s="7" t="str">
        <f>IFERROR(__xludf.DUMMYFUNCTION("""COMPUTED_VALUE"""),"Yes")</f>
        <v>Yes</v>
      </c>
      <c r="F975" s="7" t="str">
        <f>IFERROR(__xludf.DUMMYFUNCTION("""COMPUTED_VALUE"""),"IP-Poster")</f>
        <v>IP-Poster</v>
      </c>
      <c r="G975" s="7" t="str">
        <f>IFERROR(__xludf.DUMMYFUNCTION("""COMPUTED_VALUE"""),"In-Person")</f>
        <v>In-Person</v>
      </c>
      <c r="H975" s="7" t="str">
        <f>IFERROR(__xludf.DUMMYFUNCTION("""COMPUTED_VALUE"""),"Hall 4/5")</f>
        <v>Hall 4/5</v>
      </c>
      <c r="I975" s="7" t="str">
        <f>IFERROR(__xludf.DUMMYFUNCTION("""COMPUTED_VALUE"""),"Session 7: IP-Posters")</f>
        <v>Session 7: IP-Posters</v>
      </c>
      <c r="J975" s="7" t="str">
        <f>IFERROR(__xludf.DUMMYFUNCTION("""COMPUTED_VALUE"""),"Findings Posters - In-Person 2")</f>
        <v>Findings Posters - In-Person 2</v>
      </c>
      <c r="K975" s="7"/>
      <c r="L975" s="8">
        <f>IFERROR(__xludf.DUMMYFUNCTION("""COMPUTED_VALUE"""),45867.0)</f>
        <v>45867</v>
      </c>
      <c r="M975" s="7" t="str">
        <f>IFERROR(__xludf.DUMMYFUNCTION("""COMPUTED_VALUE"""),"10:30-12:00")</f>
        <v>10:30-12:00</v>
      </c>
      <c r="N975" s="7"/>
    </row>
    <row r="976">
      <c r="A976" s="7" t="str">
        <f>IFERROR(__xludf.DUMMYFUNCTION("""COMPUTED_VALUE"""),"3449-FIND")</f>
        <v>3449-FIND</v>
      </c>
      <c r="B976" s="7" t="str">
        <f>IFERROR(__xludf.DUMMYFUNCTION("""COMPUTED_VALUE"""),"Are Dialects Better Prompters? A Case Study on Arabic Subjective Text Classification")</f>
        <v>Are Dialects Better Prompters? A Case Study on Arabic Subjective Text Classification</v>
      </c>
      <c r="C976" s="7" t="str">
        <f>IFERROR(__xludf.DUMMYFUNCTION("""COMPUTED_VALUE"""),"This paper investigates the effect of dialectal prompting, variations in prompting scrip t and model fine-tuning on subjective classification in Arabic dialects. To this end, we evaluate the performances of 12 widely used open LLMs across four tasks and e"&amp;"ight benchmark datasets. Our results reveal that specialized fine-tuned models with Arabic and Arabizi scripts dialectal prompts achieve the best results, which constitutes a novel state of the art in the field.")</f>
        <v>This paper investigates the effect of dialectal prompting, variations in prompting scrip t and model fine-tuning on subjective classification in Arabic dialects. To this end, we evaluate the performances of 12 widely used open LLMs across four tasks and eight benchmark datasets. Our results reveal that specialized fine-tuned models with Arabic and Arabizi scripts dialectal prompts achieve the best results, which constitutes a novel state of the art in the field.</v>
      </c>
      <c r="D976" s="7" t="str">
        <f>IFERROR(__xludf.DUMMYFUNCTION("""COMPUTED_VALUE"""),"Leila MOUDJARI")</f>
        <v>Leila MOUDJARI</v>
      </c>
      <c r="E976" s="7" t="str">
        <f>IFERROR(__xludf.DUMMYFUNCTION("""COMPUTED_VALUE"""),"Yes")</f>
        <v>Yes</v>
      </c>
      <c r="F976" s="7" t="str">
        <f>IFERROR(__xludf.DUMMYFUNCTION("""COMPUTED_VALUE"""),"IP-Poster")</f>
        <v>IP-Poster</v>
      </c>
      <c r="G976" s="7" t="str">
        <f>IFERROR(__xludf.DUMMYFUNCTION("""COMPUTED_VALUE"""),"In-Person")</f>
        <v>In-Person</v>
      </c>
      <c r="H976" s="7" t="str">
        <f>IFERROR(__xludf.DUMMYFUNCTION("""COMPUTED_VALUE"""),"Hall 4/5")</f>
        <v>Hall 4/5</v>
      </c>
      <c r="I976" s="7" t="str">
        <f>IFERROR(__xludf.DUMMYFUNCTION("""COMPUTED_VALUE"""),"Session 5 :IP-Posters Find ")</f>
        <v>Session 5 :IP-Posters Find </v>
      </c>
      <c r="J976" s="7" t="str">
        <f>IFERROR(__xludf.DUMMYFUNCTION("""COMPUTED_VALUE"""),"Findings Posters - In-Person 1")</f>
        <v>Findings Posters - In-Person 1</v>
      </c>
      <c r="K976" s="7"/>
      <c r="L976" s="8">
        <f>IFERROR(__xludf.DUMMYFUNCTION("""COMPUTED_VALUE"""),45866.0)</f>
        <v>45866</v>
      </c>
      <c r="M976" s="7" t="str">
        <f>IFERROR(__xludf.DUMMYFUNCTION("""COMPUTED_VALUE"""),"18:00-19:30")</f>
        <v>18:00-19:30</v>
      </c>
      <c r="N976" s="7"/>
    </row>
    <row r="977">
      <c r="A977" s="7" t="str">
        <f>IFERROR(__xludf.DUMMYFUNCTION("""COMPUTED_VALUE"""),"3453-FIND")</f>
        <v>3453-FIND</v>
      </c>
      <c r="B977" s="7" t="str">
        <f>IFERROR(__xludf.DUMMYFUNCTION("""COMPUTED_VALUE"""),"Natural Logic at the Core: Dynamic Rewards for Entailment Tree Generation")</f>
        <v>Natural Logic at the Core: Dynamic Rewards for Entailment Tree Generation</v>
      </c>
      <c r="C977" s="7" t="str">
        <f>IFERROR(__xludf.DUMMYFUNCTION("""COMPUTED_VALUE"""),"Entailment trees are essential for enhancing interpretability and transparency in tasks like question answering and natural language understanding. However, existing approaches often lack logical consistency, as they rely on static reward structures or ig"&amp;"nore the intricate dependencies within multi-step reasoning. To address these limitations, we propose a method that integrates natural logic principles into reinforcement learning, enabling dynamic reward computation to guide entailment tree generation. O"&amp;"ur approach ensures logical consistency across reasoning steps while improving interpretability and generalization. Experiments on EntailmentBank demonstrate significant improvements over state-of-the-art methods, highlighting the effectiveness of natural"&amp;" logic in structured reasoning.")</f>
        <v>Entailment trees are essential for enhancing interpretability and transparency in tasks like question answering and natural language understanding. However, existing approaches often lack logical consistency, as they rely on static reward structures or ignore the intricate dependencies within multi-step reasoning. To address these limitations, we propose a method that integrates natural logic principles into reinforcement learning, enabling dynamic reward computation to guide entailment tree generation. Our approach ensures logical consistency across reasoning steps while improving interpretability and generalization. Experiments on EntailmentBank demonstrate significant improvements over state-of-the-art methods, highlighting the effectiveness of natural logic in structured reasoning.</v>
      </c>
      <c r="D977" s="7" t="str">
        <f>IFERROR(__xludf.DUMMYFUNCTION("""COMPUTED_VALUE"""),"Jihao Shi")</f>
        <v>Jihao Shi</v>
      </c>
      <c r="E977" s="7" t="str">
        <f>IFERROR(__xludf.DUMMYFUNCTION("""COMPUTED_VALUE"""),"Yes")</f>
        <v>Yes</v>
      </c>
      <c r="F977" s="7" t="str">
        <f>IFERROR(__xludf.DUMMYFUNCTION("""COMPUTED_VALUE"""),"V-Presentation")</f>
        <v>V-Presentation</v>
      </c>
      <c r="G977" s="7" t="str">
        <f>IFERROR(__xludf.DUMMYFUNCTION("""COMPUTED_VALUE"""),"Virtual/Gather")</f>
        <v>Virtual/Gather</v>
      </c>
      <c r="H977" s="7" t="str">
        <f>IFERROR(__xludf.DUMMYFUNCTION("""COMPUTED_VALUE"""),"Gather")</f>
        <v>Gather</v>
      </c>
      <c r="I977" s="7" t="str">
        <f>IFERROR(__xludf.DUMMYFUNCTION("""COMPUTED_VALUE"""),"Session5: V-Gather Find")</f>
        <v>Session5: V-Gather Find</v>
      </c>
      <c r="J977" s="7" t="str">
        <f>IFERROR(__xludf.DUMMYFUNCTION("""COMPUTED_VALUE"""),"Findings Posters - Virtual")</f>
        <v>Findings Posters - Virtual</v>
      </c>
      <c r="K977" s="7"/>
      <c r="L977" s="8">
        <f>IFERROR(__xludf.DUMMYFUNCTION("""COMPUTED_VALUE"""),45866.0)</f>
        <v>45866</v>
      </c>
      <c r="M977" s="7" t="str">
        <f>IFERROR(__xludf.DUMMYFUNCTION("""COMPUTED_VALUE"""),"18:00-19:30")</f>
        <v>18:00-19:30</v>
      </c>
      <c r="N977" s="7"/>
    </row>
    <row r="978">
      <c r="A978" s="7" t="str">
        <f>IFERROR(__xludf.DUMMYFUNCTION("""COMPUTED_VALUE"""),"3457-FIND")</f>
        <v>3457-FIND</v>
      </c>
      <c r="B978" s="7" t="str">
        <f>IFERROR(__xludf.DUMMYFUNCTION("""COMPUTED_VALUE"""),"R.R.: Unveiling LLM Training Privacy through Recollection and Ranking")</f>
        <v>R.R.: Unveiling LLM Training Privacy through Recollection and Ranking</v>
      </c>
      <c r="C978" s="7" t="str">
        <f>IFERROR(__xludf.DUMMYFUNCTION("""COMPUTED_VALUE"""),"Large Language Models (LLMs) pose significant privacy risks, potentially leaking training data due to implicit memorization. Existing privacy attacks primarily focus on membership inference attacks (MIAs) or data extraction attacks, but reconstructing spe"&amp;"cific personally identifiable information (PII) in LLMs' training data remains challenging. In this paper, we propose \method (Recollect and Rank), a novel two-step privacy stealing attack that enables attackers to reconstruct PII entities from scrubbed t"&amp;"raining data where the PII entities have been masked. In the first stage, we introduce a prompt paradigm named recollection, which instructs the LLM to repeat a masked text but fill in masks. Then we can use PII identifiers to extract recollected PII cand"&amp;"idates. In the second stage, we design a new criterion to score each PII candidate and rank them. Motivated by membership inference, we leverage the reference model as a calibration to our criterion. Experiments across three popular PII datasets demonstra"&amp;"te that the \method achieves better PII identification performance than baselines. These results highlight the vulnerability of LLMs to PII leakage even when training data has been scrubbed. We release our code and datasets at GitHub.")</f>
        <v>Large Language Models (LLMs) pose significant privacy risks, potentially leaking training data due to implicit memorization. Existing privacy attacks primarily focus on membership inference attacks (MIAs) or data extraction attacks, but reconstructing specific personally identifiable information (PII) in LLMs' training data remains challenging. In this paper, we propose \method (Recollect and Rank), a novel two-step privacy stealing attack that enables attackers to reconstruct PII entities from scrubbed training data where the PII entities have been masked. In the first stage, we introduce a prompt paradigm named recollection, which instructs the LLM to repeat a masked text but fill in masks. Then we can use PII identifiers to extract recollected PII candidates. In the second stage, we design a new criterion to score each PII candidate and rank them. Motivated by membership inference, we leverage the reference model as a calibration to our criterion. Experiments across three popular PII datasets demonstrate that the \method achieves better PII identification performance than baselines. These results highlight the vulnerability of LLMs to PII leakage even when training data has been scrubbed. We release our code and datasets at GitHub.</v>
      </c>
      <c r="D978" s="7" t="str">
        <f>IFERROR(__xludf.DUMMYFUNCTION("""COMPUTED_VALUE"""),"Wenlong Meng")</f>
        <v>Wenlong Meng</v>
      </c>
      <c r="E978" s="7" t="str">
        <f>IFERROR(__xludf.DUMMYFUNCTION("""COMPUTED_VALUE"""),"#N/A")</f>
        <v>#N/A</v>
      </c>
      <c r="F978" s="7" t="str">
        <f>IFERROR(__xludf.DUMMYFUNCTION("""COMPUTED_VALUE"""),"Not Pres. ")</f>
        <v>Not Pres. </v>
      </c>
      <c r="G978" s="7" t="str">
        <f>IFERROR(__xludf.DUMMYFUNCTION("""COMPUTED_VALUE"""),"NP Findings Not Presenting ")</f>
        <v>NP Findings Not Presenting </v>
      </c>
      <c r="H978" s="7"/>
      <c r="I978" s="7" t="str">
        <f>IFERROR(__xludf.DUMMYFUNCTION("""COMPUTED_VALUE"""),"NP-Find")</f>
        <v>NP-Find</v>
      </c>
      <c r="J978" s="7"/>
      <c r="K978" s="7"/>
      <c r="L978" s="8"/>
      <c r="M978" s="7"/>
      <c r="N978" s="7"/>
    </row>
    <row r="979">
      <c r="A979" s="7" t="str">
        <f>IFERROR(__xludf.DUMMYFUNCTION("""COMPUTED_VALUE"""),"3463-FIND")</f>
        <v>3463-FIND</v>
      </c>
      <c r="B979" s="7" t="str">
        <f>IFERROR(__xludf.DUMMYFUNCTION("""COMPUTED_VALUE"""),"Nested-Refinement Metamorphosis: Reflective Evolution of Prompts and Code for Efficient Algorithm Design")</f>
        <v>Nested-Refinement Metamorphosis: Reflective Evolution of Prompts and Code for Efficient Algorithm Design</v>
      </c>
      <c r="C979" s="7" t="str">
        <f>IFERROR(__xludf.DUMMYFUNCTION("""COMPUTED_VALUE"""),"Large Language Models (LLMs) have become powerful tools for algorithm design, leveraging extensive knowledge and contextual reasoning. However, existing methods rely on iterative code generation and performance-based filtering, leading to inefficient expl"&amp;"oration and high computational costs. Inspired by butterfly metamorphosis, where organisms undergo structured developmental transitions, Phase I allows larvae to accumulate nutrients, laying the foundation for Phase II, where the pupa transforms into a bu"&amp;"tterfly. Building on this principle, we introduce Metamorphosis on Prompts (MoP) to iteratively refine task descriptions and Metamorphosis on Algorithms (MoA) to generate more effective solutions. Their nested refinement ensures task-algorithm alignment, "&amp;"systematically improving both task descriptions and algorithmic solutions for more efficient algorithm design. To further enhance efficiency, we incorporate predictor-assisted code evaluation, mimicking natural selection by filtering out weak candidates e"&amp;"arly and reducing computational costs. Experimental results on TSP, MKP, and CVRP demonstrate that NeRM consistently outperforms state-of-the-art approaches in both performance and efficiency.")</f>
        <v>Large Language Models (LLMs) have become powerful tools for algorithm design, leveraging extensive knowledge and contextual reasoning. However, existing methods rely on iterative code generation and performance-based filtering, leading to inefficient exploration and high computational costs. Inspired by butterfly metamorphosis, where organisms undergo structured developmental transitions, Phase I allows larvae to accumulate nutrients, laying the foundation for Phase II, where the pupa transforms into a butterfly. Building on this principle, we introduce Metamorphosis on Prompts (MoP) to iteratively refine task descriptions and Metamorphosis on Algorithms (MoA) to generate more effective solutions. Their nested refinement ensures task-algorithm alignment, systematically improving both task descriptions and algorithmic solutions for more efficient algorithm design. To further enhance efficiency, we incorporate predictor-assisted code evaluation, mimicking natural selection by filtering out weak candidates early and reducing computational costs. Experimental results on TSP, MKP, and CVRP demonstrate that NeRM consistently outperforms state-of-the-art approaches in both performance and efficiency.</v>
      </c>
      <c r="D979" s="7" t="str">
        <f>IFERROR(__xludf.DUMMYFUNCTION("""COMPUTED_VALUE"""),"Shuhan Guo")</f>
        <v>Shuhan Guo</v>
      </c>
      <c r="E979" s="7" t="str">
        <f>IFERROR(__xludf.DUMMYFUNCTION("""COMPUTED_VALUE"""),"Yes")</f>
        <v>Yes</v>
      </c>
      <c r="F979" s="7" t="str">
        <f>IFERROR(__xludf.DUMMYFUNCTION("""COMPUTED_VALUE"""),"IP-Poster")</f>
        <v>IP-Poster</v>
      </c>
      <c r="G979" s="7" t="str">
        <f>IFERROR(__xludf.DUMMYFUNCTION("""COMPUTED_VALUE"""),"In-Person")</f>
        <v>In-Person</v>
      </c>
      <c r="H979" s="7" t="str">
        <f>IFERROR(__xludf.DUMMYFUNCTION("""COMPUTED_VALUE"""),"Hall 4/5")</f>
        <v>Hall 4/5</v>
      </c>
      <c r="I979" s="7" t="str">
        <f>IFERROR(__xludf.DUMMYFUNCTION("""COMPUTED_VALUE"""),"Session 10: IP-Posters")</f>
        <v>Session 10: IP-Posters</v>
      </c>
      <c r="J979" s="7" t="str">
        <f>IFERROR(__xludf.DUMMYFUNCTION("""COMPUTED_VALUE"""),"Findings Posters - In-Person 3")</f>
        <v>Findings Posters - In-Person 3</v>
      </c>
      <c r="K979" s="7"/>
      <c r="L979" s="8">
        <f>IFERROR(__xludf.DUMMYFUNCTION("""COMPUTED_VALUE"""),45867.0)</f>
        <v>45867</v>
      </c>
      <c r="M979" s="7" t="str">
        <f>IFERROR(__xludf.DUMMYFUNCTION("""COMPUTED_VALUE"""),"16:00-17:30")</f>
        <v>16:00-17:30</v>
      </c>
      <c r="N979" s="7"/>
    </row>
    <row r="980">
      <c r="A980" s="7" t="str">
        <f>IFERROR(__xludf.DUMMYFUNCTION("""COMPUTED_VALUE"""),"3464-FIND")</f>
        <v>3464-FIND</v>
      </c>
      <c r="B980" s="7" t="str">
        <f>IFERROR(__xludf.DUMMYFUNCTION("""COMPUTED_VALUE"""),"MC-MKE: A Fine-Grained Multimodal Knowledge Editing Benchmark Emphasizing Modality Consistency")</f>
        <v>MC-MKE: A Fine-Grained Multimodal Knowledge Editing Benchmark Emphasizing Modality Consistency</v>
      </c>
      <c r="C980" s="7" t="str">
        <f>IFERROR(__xludf.DUMMYFUNCTION("""COMPUTED_VALUE"""),"Multimodal large language models (MLLMs) are prone to non-factual or outdated knowledge issues, highlighting the importance of knowledge editing. Many benchmark has been proposed for researching multimodal knowledge editing. However, previous benchmarks f"&amp;"ocus on limited scenarios due to the lack of rigorous definition of multimodal knowledge. To better evaluate multimodal knowledge editing, we propose a decomposed definition of multimodal knowledge. Following the decomposed definition of multimodal knowle"&amp;"dge, we introduce three scenarios and a novel requirement modality consistency. We construct MC-MKE, a fine-grained **M**ultimodal **K**nowledge **E**diting benchmark emphasizing **M**odality **C**onsistency through strict data selection. We evaluate four"&amp;" multimodal knowledge editing methods on MC-MKE, revealing their limitations, particularly in terms of modality consistency. Our work highlights the challenges posed by multimodal knowledge editing and motivates further research in developing effective te"&amp;"chniques for this task.")</f>
        <v>Multimodal large language models (MLLMs) are prone to non-factual or outdated knowledge issues, highlighting the importance of knowledge editing. Many benchmark has been proposed for researching multimodal knowledge editing. However, previous benchmarks focus on limited scenarios due to the lack of rigorous definition of multimodal knowledge. To better evaluate multimodal knowledge editing, we propose a decomposed definition of multimodal knowledge. Following the decomposed definition of multimodal knowledge, we introduce three scenarios and a novel requirement modality consistency. We construct MC-MKE, a fine-grained **M**ultimodal **K**nowledge **E**diting benchmark emphasizing **M**odality **C**onsistency through strict data selection. We evaluate four multimodal knowledge editing methods on MC-MKE, revealing their limitations, particularly in terms of modality consistency. Our work highlights the challenges posed by multimodal knowledge editing and motivates further research in developing effective techniques for this task.</v>
      </c>
      <c r="D980" s="7" t="str">
        <f>IFERROR(__xludf.DUMMYFUNCTION("""COMPUTED_VALUE"""),"Junzhe Zhang")</f>
        <v>Junzhe Zhang</v>
      </c>
      <c r="E980" s="7" t="str">
        <f>IFERROR(__xludf.DUMMYFUNCTION("""COMPUTED_VALUE"""),"Yes")</f>
        <v>Yes</v>
      </c>
      <c r="F980" s="7" t="str">
        <f>IFERROR(__xludf.DUMMYFUNCTION("""COMPUTED_VALUE"""),"IP-Poster")</f>
        <v>IP-Poster</v>
      </c>
      <c r="G980" s="7" t="str">
        <f>IFERROR(__xludf.DUMMYFUNCTION("""COMPUTED_VALUE"""),"In-Person")</f>
        <v>In-Person</v>
      </c>
      <c r="H980" s="7" t="str">
        <f>IFERROR(__xludf.DUMMYFUNCTION("""COMPUTED_VALUE"""),"Hall 4/5")</f>
        <v>Hall 4/5</v>
      </c>
      <c r="I980" s="7" t="str">
        <f>IFERROR(__xludf.DUMMYFUNCTION("""COMPUTED_VALUE"""),"Session 7: IP-Posters")</f>
        <v>Session 7: IP-Posters</v>
      </c>
      <c r="J980" s="7" t="str">
        <f>IFERROR(__xludf.DUMMYFUNCTION("""COMPUTED_VALUE"""),"Findings Posters - In-Person 2")</f>
        <v>Findings Posters - In-Person 2</v>
      </c>
      <c r="K980" s="7"/>
      <c r="L980" s="8">
        <f>IFERROR(__xludf.DUMMYFUNCTION("""COMPUTED_VALUE"""),45867.0)</f>
        <v>45867</v>
      </c>
      <c r="M980" s="7" t="str">
        <f>IFERROR(__xludf.DUMMYFUNCTION("""COMPUTED_VALUE"""),"10:30-12:00")</f>
        <v>10:30-12:00</v>
      </c>
      <c r="N980" s="7"/>
    </row>
    <row r="981">
      <c r="A981" s="7" t="str">
        <f>IFERROR(__xludf.DUMMYFUNCTION("""COMPUTED_VALUE"""),"3467-FIND")</f>
        <v>3467-FIND</v>
      </c>
      <c r="B981" s="7" t="str">
        <f>IFERROR(__xludf.DUMMYFUNCTION("""COMPUTED_VALUE"""),"Visualising Policy-Reward Interplay to Inform Zeroth-Order Preference Optimisation of Large Language Models")</f>
        <v>Visualising Policy-Reward Interplay to Inform Zeroth-Order Preference Optimisation of Large Language Models</v>
      </c>
      <c r="C981" s="7" t="str">
        <f>IFERROR(__xludf.DUMMYFUNCTION("""COMPUTED_VALUE"""),"Fine-tuning LLMs with first-order methods like back-propagation is computationally intensive. Zeroth-Order (ZO) optimisation, using function evaluations instead of gradients, reduces memory usage but suffers from slow convergence in high-dimensional model"&amp;"s. As a result, ZO research in LLMs has mostly focused on classification, overlooking more complex generative tasks. In this paper, we introduce ZOPrO, a novel ZO algorithm designed for *Preference Optimisation* in LLMs. We begin by analysing the interpla"&amp;"y between policy and reward models during traditional (first-order) Preference Optimisation, uncovering patterns in their relative updates. Guided by these insights, we adapt Simultaneous Perturbation Stochastic Approximation (SPSA) with a targeted sampli"&amp;"ng strategy to accelerate convergence. Through experiments on summarisation, machine translation, and conversational assistants, we demonstrate that our method consistently enhances reward signals while achieving convergence times comparable to first-orde"&amp;"r methods. While it falls short of some state-of-the-art methods, our work is the first to apply Zeroth-Order methods to Preference Optimisation in LLMs, going beyond classification tasks and paving the way for a largely unexplored research direction.")</f>
        <v>Fine-tuning LLMs with first-order methods like back-propagation is computationally intensive. Zeroth-Order (ZO) optimisation, using function evaluations instead of gradients, reduces memory usage but suffers from slow convergence in high-dimensional models. As a result, ZO research in LLMs has mostly focused on classification, overlooking more complex generative tasks. In this paper, we introduce ZOPrO, a novel ZO algorithm designed for *Preference Optimisation* in LLMs. We begin by analysing the interplay between policy and reward models during traditional (first-order) Preference Optimisation, uncovering patterns in their relative updates. Guided by these insights, we adapt Simultaneous Perturbation Stochastic Approximation (SPSA) with a targeted sampling strategy to accelerate convergence. Through experiments on summarisation, machine translation, and conversational assistants, we demonstrate that our method consistently enhances reward signals while achieving convergence times comparable to first-order methods. While it falls short of some state-of-the-art methods, our work is the first to apply Zeroth-Order methods to Preference Optimisation in LLMs, going beyond classification tasks and paving the way for a largely unexplored research direction.</v>
      </c>
      <c r="D981" s="7" t="str">
        <f>IFERROR(__xludf.DUMMYFUNCTION("""COMPUTED_VALUE"""),"Alessio Galatolo")</f>
        <v>Alessio Galatolo</v>
      </c>
      <c r="E981" s="7" t="str">
        <f>IFERROR(__xludf.DUMMYFUNCTION("""COMPUTED_VALUE"""),"Yes")</f>
        <v>Yes</v>
      </c>
      <c r="F981" s="7" t="str">
        <f>IFERROR(__xludf.DUMMYFUNCTION("""COMPUTED_VALUE"""),"IP-Poster")</f>
        <v>IP-Poster</v>
      </c>
      <c r="G981" s="7" t="str">
        <f>IFERROR(__xludf.DUMMYFUNCTION("""COMPUTED_VALUE"""),"In-Person")</f>
        <v>In-Person</v>
      </c>
      <c r="H981" s="7" t="str">
        <f>IFERROR(__xludf.DUMMYFUNCTION("""COMPUTED_VALUE"""),"Hall 4/5")</f>
        <v>Hall 4/5</v>
      </c>
      <c r="I981" s="7" t="str">
        <f>IFERROR(__xludf.DUMMYFUNCTION("""COMPUTED_VALUE"""),"Session 7: IP-Posters")</f>
        <v>Session 7: IP-Posters</v>
      </c>
      <c r="J981" s="7" t="str">
        <f>IFERROR(__xludf.DUMMYFUNCTION("""COMPUTED_VALUE"""),"Findings Posters - In-Person 2")</f>
        <v>Findings Posters - In-Person 2</v>
      </c>
      <c r="K981" s="7"/>
      <c r="L981" s="8">
        <f>IFERROR(__xludf.DUMMYFUNCTION("""COMPUTED_VALUE"""),45867.0)</f>
        <v>45867</v>
      </c>
      <c r="M981" s="7" t="str">
        <f>IFERROR(__xludf.DUMMYFUNCTION("""COMPUTED_VALUE"""),"10:30-12:00")</f>
        <v>10:30-12:00</v>
      </c>
      <c r="N981" s="7"/>
    </row>
    <row r="982">
      <c r="A982" s="7" t="str">
        <f>IFERROR(__xludf.DUMMYFUNCTION("""COMPUTED_VALUE"""),"3468-FIND")</f>
        <v>3468-FIND</v>
      </c>
      <c r="B982" s="7" t="str">
        <f>IFERROR(__xludf.DUMMYFUNCTION("""COMPUTED_VALUE"""),"Metaphor and Large Language Models: When Surface Features Matter More than Deep Understanding")</f>
        <v>Metaphor and Large Language Models: When Surface Features Matter More than Deep Understanding</v>
      </c>
      <c r="C982" s="7" t="str">
        <f>IFERROR(__xludf.DUMMYFUNCTION("""COMPUTED_VALUE"""),"This paper presents a comprehensive evaluation of the capabilities of Large Language Models (LLMs) in metaphor interpretation across multiple datasets, tasks, and prompt configurations. Although metaphor processing has gained significant attention in Natu"&amp;"ral Language Processing (NLP), previous research has been limited to single-dataset evaluations and specific task settings, often using artificially constructed data through lexical replacement. We address these limitations by conducting extensive experim"&amp;"ents using diverse publicly available datasets with inference and metaphor annotations, focusing on Natural Language Inference (NLI) and Question Answering (QA) tasks. The results indicate that LLMs' performance is more influenced by features like lexical"&amp;" overlap and sentence length than by metaphorical content, demonstrating that any alleged emergent abilities of LLMs to understand metaphorical language are the result of a combination of surface-level features, in-context learning, and linguistic knowled"&amp;"ge. This work provides critical insights into the current capabilities and limitations of LLMs in processing figurative language, highlighting the need for more realistic evaluation frameworks in metaphor interpretation tasks. Data and code publicly avail"&amp;"able: https://anonymous.4open.science/r/metaphorLLM-047E/")</f>
        <v>This paper presents a comprehensive evaluation of the capabilities of Large Language Models (LLMs) in metaphor interpretation across multiple datasets, tasks, and prompt configurations. Although metaphor processing has gained significant attention in Natural Language Processing (NLP), previous research has been limited to single-dataset evaluations and specific task settings, often using artificially constructed data through lexical replacement. We address these limitations by conducting extensive experiments using diverse publicly available datasets with inference and metaphor annotations, focusing on Natural Language Inference (NLI) and Question Answering (QA) tasks. The results indicate that LLMs' performance is more influenced by features like lexical overlap and sentence length than by metaphorical content, demonstrating that any alleged emergent abilities of LLMs to understand metaphorical language are the result of a combination of surface-level features, in-context learning, and linguistic knowledge. This work provides critical insights into the current capabilities and limitations of LLMs in processing figurative language, highlighting the need for more realistic evaluation frameworks in metaphor interpretation tasks. Data and code publicly available: https://anonymous.4open.science/r/metaphorLLM-047E/</v>
      </c>
      <c r="D982" s="7" t="str">
        <f>IFERROR(__xludf.DUMMYFUNCTION("""COMPUTED_VALUE"""),"Elisa Sanchez-Bayona")</f>
        <v>Elisa Sanchez-Bayona</v>
      </c>
      <c r="E982" s="7" t="str">
        <f>IFERROR(__xludf.DUMMYFUNCTION("""COMPUTED_VALUE"""),"Yes")</f>
        <v>Yes</v>
      </c>
      <c r="F982" s="7" t="str">
        <f>IFERROR(__xludf.DUMMYFUNCTION("""COMPUTED_VALUE"""),"IP-Poster")</f>
        <v>IP-Poster</v>
      </c>
      <c r="G982" s="7" t="str">
        <f>IFERROR(__xludf.DUMMYFUNCTION("""COMPUTED_VALUE"""),"In-Person")</f>
        <v>In-Person</v>
      </c>
      <c r="H982" s="7" t="str">
        <f>IFERROR(__xludf.DUMMYFUNCTION("""COMPUTED_VALUE"""),"Hall 4/5")</f>
        <v>Hall 4/5</v>
      </c>
      <c r="I982" s="7" t="str">
        <f>IFERROR(__xludf.DUMMYFUNCTION("""COMPUTED_VALUE"""),"Session 7: IP-Posters")</f>
        <v>Session 7: IP-Posters</v>
      </c>
      <c r="J982" s="7" t="str">
        <f>IFERROR(__xludf.DUMMYFUNCTION("""COMPUTED_VALUE"""),"Findings Posters - In-Person 2")</f>
        <v>Findings Posters - In-Person 2</v>
      </c>
      <c r="K982" s="7"/>
      <c r="L982" s="8">
        <f>IFERROR(__xludf.DUMMYFUNCTION("""COMPUTED_VALUE"""),45867.0)</f>
        <v>45867</v>
      </c>
      <c r="M982" s="7" t="str">
        <f>IFERROR(__xludf.DUMMYFUNCTION("""COMPUTED_VALUE"""),"10:30-12:00")</f>
        <v>10:30-12:00</v>
      </c>
      <c r="N982" s="7"/>
    </row>
    <row r="983">
      <c r="A983" s="7" t="str">
        <f>IFERROR(__xludf.DUMMYFUNCTION("""COMPUTED_VALUE"""),"3477-FIND")</f>
        <v>3477-FIND</v>
      </c>
      <c r="B983" s="7" t="str">
        <f>IFERROR(__xludf.DUMMYFUNCTION("""COMPUTED_VALUE"""),"AskQE: Question Answering as Automatic Evaluation for Machine Translation")</f>
        <v>AskQE: Question Answering as Automatic Evaluation for Machine Translation</v>
      </c>
      <c r="C983" s="7" t="str">
        <f>IFERROR(__xludf.DUMMYFUNCTION("""COMPUTED_VALUE"""),"How can a monolingual English speaker determine whether an automatic translation in French is good enough to be shared? Existing MT error detection and quality estimation (QE) techniques do not address this practical scenario. We introduce AskQE, a questi"&amp;"on generation and answering framework designed to detect critical MT errors and provide actionable feedback, helping users decide whether to accept or reject MT outputs even without the knowledge of the target language. We propose an optimized version of "&amp;"AskQE using LLaMA-3 70B given entailed facts during question generation. We evaluate our method on the ContraTICO dataset across five language pairs, and show that AskQE effectively identifies critical MT errors with high correlations with established QE "&amp;"metrics. We further extend our analysis on the BioMQM dataset of naturally occurring MT errors, where we show that AskQE has higher Kendall's Tau correlation and decision accuracy with human ratings compared to other QE metrics.")</f>
        <v>How can a monolingual English speaker determine whether an automatic translation in French is good enough to be shared? Existing MT error detection and quality estimation (QE) techniques do not address this practical scenario. We introduce AskQE, a question generation and answering framework designed to detect critical MT errors and provide actionable feedback, helping users decide whether to accept or reject MT outputs even without the knowledge of the target language. We propose an optimized version of AskQE using LLaMA-3 70B given entailed facts during question generation. We evaluate our method on the ContraTICO dataset across five language pairs, and show that AskQE effectively identifies critical MT errors with high correlations with established QE metrics. We further extend our analysis on the BioMQM dataset of naturally occurring MT errors, where we show that AskQE has higher Kendall's Tau correlation and decision accuracy with human ratings compared to other QE metrics.</v>
      </c>
      <c r="D983" s="7" t="str">
        <f>IFERROR(__xludf.DUMMYFUNCTION("""COMPUTED_VALUE"""),"Dayeon Ki")</f>
        <v>Dayeon Ki</v>
      </c>
      <c r="E983" s="7" t="str">
        <f>IFERROR(__xludf.DUMMYFUNCTION("""COMPUTED_VALUE"""),"Yes")</f>
        <v>Yes</v>
      </c>
      <c r="F983" s="7" t="str">
        <f>IFERROR(__xludf.DUMMYFUNCTION("""COMPUTED_VALUE"""),"IP-Poster")</f>
        <v>IP-Poster</v>
      </c>
      <c r="G983" s="7" t="str">
        <f>IFERROR(__xludf.DUMMYFUNCTION("""COMPUTED_VALUE"""),"In-Person")</f>
        <v>In-Person</v>
      </c>
      <c r="H983" s="7" t="str">
        <f>IFERROR(__xludf.DUMMYFUNCTION("""COMPUTED_VALUE"""),"Hall 4/5")</f>
        <v>Hall 4/5</v>
      </c>
      <c r="I983" s="7" t="str">
        <f>IFERROR(__xludf.DUMMYFUNCTION("""COMPUTED_VALUE"""),"Session 10: IP-Posters")</f>
        <v>Session 10: IP-Posters</v>
      </c>
      <c r="J983" s="7" t="str">
        <f>IFERROR(__xludf.DUMMYFUNCTION("""COMPUTED_VALUE"""),"Findings Posters - In-Person 3")</f>
        <v>Findings Posters - In-Person 3</v>
      </c>
      <c r="K983" s="7"/>
      <c r="L983" s="8">
        <f>IFERROR(__xludf.DUMMYFUNCTION("""COMPUTED_VALUE"""),45867.0)</f>
        <v>45867</v>
      </c>
      <c r="M983" s="7" t="str">
        <f>IFERROR(__xludf.DUMMYFUNCTION("""COMPUTED_VALUE"""),"16:00-17:30")</f>
        <v>16:00-17:30</v>
      </c>
      <c r="N983" s="7"/>
    </row>
    <row r="984">
      <c r="A984" s="7" t="str">
        <f>IFERROR(__xludf.DUMMYFUNCTION("""COMPUTED_VALUE"""),"3483-FIND")</f>
        <v>3483-FIND</v>
      </c>
      <c r="B984" s="7" t="str">
        <f>IFERROR(__xludf.DUMMYFUNCTION("""COMPUTED_VALUE"""),"ExPerT: Effective and Explainable Evaluation of Personalized Long-Form Text Generation")</f>
        <v>ExPerT: Effective and Explainable Evaluation of Personalized Long-Form Text Generation</v>
      </c>
      <c r="C984" s="7" t="str">
        <f>IFERROR(__xludf.DUMMYFUNCTION("""COMPUTED_VALUE"""),"Evaluating personalized text generated by large language models (LLMs) is challenging, as only the LLM user, i.e. prompt author, can reliably assess the output, but re-engaging the same individuals across studies is infeasible. This paper addresses the ch"&amp;"allenge of evaluating personalized text generation by introducing ExPerT, an explainable reference-based evaluation framework. ExPerT leverages an LLM to extract atomic aspects and their evidences from the generated and reference texts, match the aspects,"&amp;" and evaluate their alignment based on content and writing style—two key attributes in personalized text generation. Additionally, ExPerT generates detailed, fine-grained explanations for every step of the evaluation process, enhancing transparency and in"&amp;"terpretability. Our experiments demonstrate that ExPerT achieves a 7.2% relative improvement in alignment with human judgments compared to the state-of-the-art text generation evaluation methods. Furthermore, human evaluators rated the usability of ExPerT"&amp;"'s explanations at 4.7 out of 5, highlighting its effectiveness in making evaluation decisions more interpretable.")</f>
        <v>Evaluating personalized text generated by large language models (LLMs) is challenging, as only the LLM user, i.e. prompt author, can reliably assess the output, but re-engaging the same individuals across studies is infeasible. This paper addresses the challenge of evaluating personalized text generation by introducing ExPerT, an explainable reference-based evaluation framework. ExPerT leverages an LLM to extract atomic aspects and their evidences from the generated and reference texts, match the aspects, and evaluate their alignment based on content and writing style—two key attributes in personalized text generation. Additionally, ExPerT generates detailed, fine-grained explanations for every step of the evaluation process, enhancing transparency and interpretability. Our experiments demonstrate that ExPerT achieves a 7.2% relative improvement in alignment with human judgments compared to the state-of-the-art text generation evaluation methods. Furthermore, human evaluators rated the usability of ExPerT's explanations at 4.7 out of 5, highlighting its effectiveness in making evaluation decisions more interpretable.</v>
      </c>
      <c r="D984" s="7" t="str">
        <f>IFERROR(__xludf.DUMMYFUNCTION("""COMPUTED_VALUE"""),"N/A")</f>
        <v>N/A</v>
      </c>
      <c r="E984" s="7" t="str">
        <f>IFERROR(__xludf.DUMMYFUNCTION("""COMPUTED_VALUE"""),"#N/A")</f>
        <v>#N/A</v>
      </c>
      <c r="F984" s="7" t="str">
        <f>IFERROR(__xludf.DUMMYFUNCTION("""COMPUTED_VALUE"""),"Not Pres. ")</f>
        <v>Not Pres. </v>
      </c>
      <c r="G984" s="7" t="str">
        <f>IFERROR(__xludf.DUMMYFUNCTION("""COMPUTED_VALUE"""),"NP Findings Not Presenting ")</f>
        <v>NP Findings Not Presenting </v>
      </c>
      <c r="H984" s="7"/>
      <c r="I984" s="7" t="str">
        <f>IFERROR(__xludf.DUMMYFUNCTION("""COMPUTED_VALUE"""),"NP-Find")</f>
        <v>NP-Find</v>
      </c>
      <c r="J984" s="7"/>
      <c r="K984" s="7"/>
      <c r="L984" s="8"/>
      <c r="M984" s="7"/>
      <c r="N984" s="7"/>
    </row>
    <row r="985">
      <c r="A985" s="7" t="str">
        <f>IFERROR(__xludf.DUMMYFUNCTION("""COMPUTED_VALUE"""),"3494-FIND")</f>
        <v>3494-FIND</v>
      </c>
      <c r="B985" s="7" t="str">
        <f>IFERROR(__xludf.DUMMYFUNCTION("""COMPUTED_VALUE"""),"Bridging Intuitive Associations and Deliberate Recall: Empowering LLM Personal Assistant with Graph-Structured Long-term Memory")</f>
        <v>Bridging Intuitive Associations and Deliberate Recall: Empowering LLM Personal Assistant with Graph-Structured Long-term Memory</v>
      </c>
      <c r="C985" s="7" t="str">
        <f>IFERROR(__xludf.DUMMYFUNCTION("""COMPUTED_VALUE"""),"Large language models (LLMs)-based personal assistants may struggle to effectively utilize long-term conversational histories. Despite advances in long-term memory systems and dense retrieval methods, these assistants still fail to capture entity relation"&amp;"ships and handle multiple intents effectively. To tackle above limitations, we propose **Associa**, a graph-structured memory framework that mimics human cognitive processes. Associa comprises an event-centric memory graph and two collaborative components"&amp;": **Intuitive Association**, which extracts evidence-rich subgraphs through Prize-Collecting Steiner Tree optimization, and **Deliberating Recall**, which iteratively refines queries for comprehensive evidence collection. Experiments show that Associa sig"&amp;"nificantly outperforms existing methods in retrieval metrics and user preference across dialogue benchmarks, advancing the development of more human-like AI memory systems.")</f>
        <v>Large language models (LLMs)-based personal assistants may struggle to effectively utilize long-term conversational histories. Despite advances in long-term memory systems and dense retrieval methods, these assistants still fail to capture entity relationships and handle multiple intents effectively. To tackle above limitations, we propose **Associa**, a graph-structured memory framework that mimics human cognitive processes. Associa comprises an event-centric memory graph and two collaborative components: **Intuitive Association**, which extracts evidence-rich subgraphs through Prize-Collecting Steiner Tree optimization, and **Deliberating Recall**, which iteratively refines queries for comprehensive evidence collection. Experiments show that Associa significantly outperforms existing methods in retrieval metrics and user preference across dialogue benchmarks, advancing the development of more human-like AI memory systems.</v>
      </c>
      <c r="D985" s="7" t="str">
        <f>IFERROR(__xludf.DUMMYFUNCTION("""COMPUTED_VALUE"""),"Yujie Zhang; Zhuoren Jiang")</f>
        <v>Yujie Zhang; Zhuoren Jiang</v>
      </c>
      <c r="E985" s="7" t="str">
        <f>IFERROR(__xludf.DUMMYFUNCTION("""COMPUTED_VALUE"""),"N/A")</f>
        <v>N/A</v>
      </c>
      <c r="F985" s="7" t="str">
        <f>IFERROR(__xludf.DUMMYFUNCTION("""COMPUTED_VALUE"""),"Not Pres. ")</f>
        <v>Not Pres. </v>
      </c>
      <c r="G985" s="7" t="str">
        <f>IFERROR(__xludf.DUMMYFUNCTION("""COMPUTED_VALUE"""),"NP Findings Not Presenting ")</f>
        <v>NP Findings Not Presenting </v>
      </c>
      <c r="H985" s="7"/>
      <c r="I985" s="7"/>
      <c r="J985" s="7"/>
      <c r="K985" s="7"/>
      <c r="L985" s="8"/>
      <c r="M985" s="7"/>
      <c r="N985" s="7"/>
    </row>
    <row r="986">
      <c r="A986" s="7" t="str">
        <f>IFERROR(__xludf.DUMMYFUNCTION("""COMPUTED_VALUE"""),"3495-FIND")</f>
        <v>3495-FIND</v>
      </c>
      <c r="B986" s="7" t="str">
        <f>IFERROR(__xludf.DUMMYFUNCTION("""COMPUTED_VALUE"""),"Each graph is a new language: Graph Learning with LLMs")</f>
        <v>Each graph is a new language: Graph Learning with LLMs</v>
      </c>
      <c r="C986" s="7" t="str">
        <f>IFERROR(__xludf.DUMMYFUNCTION("""COMPUTED_VALUE"""),"Natural language has been extensively used for modeling text-attributed graphs with LLMs. Natural language is used to describe the graph for LLMs to understand or serve as component of the graph, e.g., textual attributes for embedding generation. However,"&amp;" natural language is inherently redundant and unstructured, making it unsuitable for modeling high-order neighbors with LLMs. Specifically, (i) graph descriptions become verbose, overwhelming LLMs, and (ii) only relying on attribute embeddings limits LLM'"&amp;"s ability to capture the adequate graph structural information. These limitations make it difficult to model graphs both concisely and adequately using sole natural language with LLMs.
Inspired by the observation that LLMs pre-trained on one language can"&amp;" achieve exceptional performance on another with minimal additional training, we propose Graph-Defined Language for Large Language Model (GDL4LLM). This novel framework enables LLMs to transfer their powerful language understanding capabilities to graph-s"&amp;"tructured data. GDL4LLM translates the graph into a graph language corpus instead of graph descriptions and pre-trains LLMs on this corpus to adequately understand the graph. This corpus represents the subgraph centered around target nodes concisely with "&amp;"only a few tokens during fine-tuning on downstream tasks. By treating the graph as a new language, GDL4LLM enables LLMs to model text-attributed graph adequately and concisely. Extensive experiments on five datasets demonstrate that GDL4LLM outperforms de"&amp;"scription-based and embedding-based baselines by efficiently modeling different orders of neighbors.")</f>
        <v>Natural language has been extensively used for modeling text-attributed graphs with LLMs. Natural language is used to describe the graph for LLMs to understand or serve as component of the graph, e.g., textual attributes for embedding generation. However, natural language is inherently redundant and unstructured, making it unsuitable for modeling high-order neighbors with LLMs. Specifically, (i) graph descriptions become verbose, overwhelming LLMs, and (ii) only relying on attribute embeddings limits LLM's ability to capture the adequate graph structural information. These limitations make it difficult to model graphs both concisely and adequately using sole natural language with LLMs.
Inspired by the observation that LLMs pre-trained on one language can achieve exceptional performance on another with minimal additional training, we propose Graph-Defined Language for Large Language Model (GDL4LLM). This novel framework enables LLMs to transfer their powerful language understanding capabilities to graph-structured data. GDL4LLM translates the graph into a graph language corpus instead of graph descriptions and pre-trains LLMs on this corpus to adequately understand the graph. This corpus represents the subgraph centered around target nodes concisely with only a few tokens during fine-tuning on downstream tasks. By treating the graph as a new language, GDL4LLM enables LLMs to model text-attributed graph adequately and concisely. Extensive experiments on five datasets demonstrate that GDL4LLM outperforms description-based and embedding-based baselines by efficiently modeling different orders of neighbors.</v>
      </c>
      <c r="D986" s="7" t="str">
        <f>IFERROR(__xludf.DUMMYFUNCTION("""COMPUTED_VALUE"""),"Huachi Zhou")</f>
        <v>Huachi Zhou</v>
      </c>
      <c r="E986" s="7" t="str">
        <f>IFERROR(__xludf.DUMMYFUNCTION("""COMPUTED_VALUE"""),"Yes")</f>
        <v>Yes</v>
      </c>
      <c r="F986" s="7" t="str">
        <f>IFERROR(__xludf.DUMMYFUNCTION("""COMPUTED_VALUE"""),"V-Presentation")</f>
        <v>V-Presentation</v>
      </c>
      <c r="G986" s="7" t="str">
        <f>IFERROR(__xludf.DUMMYFUNCTION("""COMPUTED_VALUE"""),"Virtual/Gather")</f>
        <v>Virtual/Gather</v>
      </c>
      <c r="H986" s="7" t="str">
        <f>IFERROR(__xludf.DUMMYFUNCTION("""COMPUTED_VALUE"""),"Gather")</f>
        <v>Gather</v>
      </c>
      <c r="I986" s="7" t="str">
        <f>IFERROR(__xludf.DUMMYFUNCTION("""COMPUTED_VALUE"""),"Session5: V-Gather Find")</f>
        <v>Session5: V-Gather Find</v>
      </c>
      <c r="J986" s="7" t="str">
        <f>IFERROR(__xludf.DUMMYFUNCTION("""COMPUTED_VALUE"""),"Findings Posters - Virtual")</f>
        <v>Findings Posters - Virtual</v>
      </c>
      <c r="K986" s="7"/>
      <c r="L986" s="8">
        <f>IFERROR(__xludf.DUMMYFUNCTION("""COMPUTED_VALUE"""),45866.0)</f>
        <v>45866</v>
      </c>
      <c r="M986" s="7" t="str">
        <f>IFERROR(__xludf.DUMMYFUNCTION("""COMPUTED_VALUE"""),"18:00-19:30")</f>
        <v>18:00-19:30</v>
      </c>
      <c r="N986" s="7"/>
    </row>
    <row r="987">
      <c r="A987" s="7" t="str">
        <f>IFERROR(__xludf.DUMMYFUNCTION("""COMPUTED_VALUE"""),"3499-FIND")</f>
        <v>3499-FIND</v>
      </c>
      <c r="B987" s="7" t="str">
        <f>IFERROR(__xludf.DUMMYFUNCTION("""COMPUTED_VALUE"""),"100-LongBench: Are de facto Long-Context Benchmarks Literally Evaluating Long-Context Ability?")</f>
        <v>100-LongBench: Are de facto Long-Context Benchmarks Literally Evaluating Long-Context Ability?</v>
      </c>
      <c r="C987" s="7" t="str">
        <f>IFERROR(__xludf.DUMMYFUNCTION("""COMPUTED_VALUE"""),"Long-context capability is considered one of the most important abilities of LLMs, as a truly long context-capable LLM shall enable its users to effortlessly process many originally exhausting tasks — e.g., digesting a long-form document to find answers v"&amp;".s., directly asking an LLM about it. However, existing real-task-based long-context evaluation benchmarks have two major shortcomings: Firstly, benchmarks like LongBench often do not provide proper metrics to separate long-context performance from the mo"&amp;"del's baseline ability, so when conducting a cross-model comparison, such conflation makes the user unable to understand how exactly one model or method excels at the long-context task in relation to its baseline ability. Secondly, such benchmarks are oft"&amp;"en formed in a way where each data sample has a fixed sequence length, which not only makes them solely suitable to models with a certain range of context windows, but also lacks a proxy to know at what length the model/method-of-interests would fail. To "&amp;"address these issues, we introduce a length-controllable long-context benchmark and a novel metric that disentangles baseline knowledge from long-context capabilities. Experiments demonstrate the superiority of our approach in effectively evaluating LLMs.")</f>
        <v>Long-context capability is considered one of the most important abilities of LLMs, as a truly long context-capable LLM shall enable its users to effortlessly process many originally exhausting tasks — e.g., digesting a long-form document to find answers v.s., directly asking an LLM about it. However, existing real-task-based long-context evaluation benchmarks have two major shortcomings: Firstly, benchmarks like LongBench often do not provide proper metrics to separate long-context performance from the model's baseline ability, so when conducting a cross-model comparison, such conflation makes the user unable to understand how exactly one model or method excels at the long-context task in relation to its baseline ability. Secondly, such benchmarks are often formed in a way where each data sample has a fixed sequence length, which not only makes them solely suitable to models with a certain range of context windows, but also lacks a proxy to know at what length the model/method-of-interests would fail. To address these issues, we introduce a length-controllable long-context benchmark and a novel metric that disentangles baseline knowledge from long-context capabilities. Experiments demonstrate the superiority of our approach in effectively evaluating LLMs.</v>
      </c>
      <c r="D987" s="7" t="str">
        <f>IFERROR(__xludf.DUMMYFUNCTION("""COMPUTED_VALUE"""),"Wang Yang")</f>
        <v>Wang Yang</v>
      </c>
      <c r="E987" s="7" t="str">
        <f>IFERROR(__xludf.DUMMYFUNCTION("""COMPUTED_VALUE"""),"#N/A")</f>
        <v>#N/A</v>
      </c>
      <c r="F987" s="7" t="str">
        <f>IFERROR(__xludf.DUMMYFUNCTION("""COMPUTED_VALUE"""),"Not Pres. ")</f>
        <v>Not Pres. </v>
      </c>
      <c r="G987" s="7" t="str">
        <f>IFERROR(__xludf.DUMMYFUNCTION("""COMPUTED_VALUE"""),"NP Findings Not Presenting ")</f>
        <v>NP Findings Not Presenting </v>
      </c>
      <c r="H987" s="7"/>
      <c r="I987" s="7" t="str">
        <f>IFERROR(__xludf.DUMMYFUNCTION("""COMPUTED_VALUE"""),"NP-Find")</f>
        <v>NP-Find</v>
      </c>
      <c r="J987" s="7"/>
      <c r="K987" s="7"/>
      <c r="L987" s="8"/>
      <c r="M987" s="7"/>
      <c r="N987" s="7"/>
    </row>
    <row r="988">
      <c r="A988" s="7" t="str">
        <f>IFERROR(__xludf.DUMMYFUNCTION("""COMPUTED_VALUE"""),"3503-FIND")</f>
        <v>3503-FIND</v>
      </c>
      <c r="B988" s="7" t="str">
        <f>IFERROR(__xludf.DUMMYFUNCTION("""COMPUTED_VALUE"""),"Multimodal Fusion and Coherence Modeling for Video Topic Segmentation")</f>
        <v>Multimodal Fusion and Coherence Modeling for Video Topic Segmentation</v>
      </c>
      <c r="C988" s="7" t="str">
        <f>IFERROR(__xludf.DUMMYFUNCTION("""COMPUTED_VALUE"""),"The video topic segmentation (VTS) task segments videos into intelligible, non-overlapping topics, facilitating efficient comprehension of video content and quick access to specific content. VTS is also critical to various downstream video understanding t"&amp;"asks. Traditional VTS methods using shallow features or unsupervised approaches struggle to accurately discern the nuances of topical transitions. Recently, supervised approaches have achieved superior performance on video action or scene segmentation ove"&amp;"r unsupervised approaches. In this work, we improve supervised VTS by thoroughly exploring **multimodal fusion** and **multimodal coherence modeling**. Specifically, (1) we enhance multimodal fusion by exploring different architectures using Cross-Attenti"&amp;"on and Mixture of Experts. (2) To generally strengthen multimodality alignment and fusion, we pre-train and fine-tune the model with multimodal contrastive learning. (3) We propose a new pre-training task tailored for the VTS task, and a novel fine-tuning"&amp;" task for enhancing multimodal coherence modeling for VTS. We evaluate our proposed approaches on educational videos, in the form of lectures, due to the vital role of topic segmentation of educational videos in boosting learning experiences. Additionally"&amp;", to promote research in VTS, we introduce a large-scale Chinese lecture video dataset to augment the existing English lecture video datasets. Experiments on both English and Chinese lecture datasets demonstrate that our model achieves superior VTS perfor"&amp;"mance compared to competitive unsupervised and supervised baselines.")</f>
        <v>The video topic segmentation (VTS) task segments videos into intelligible, non-overlapping topics, facilitating efficient comprehension of video content and quick access to specific content. VTS is also critical to various downstream video understanding tasks. Traditional VTS methods using shallow features or unsupervised approaches struggle to accurately discern the nuances of topical transitions. Recently, supervised approaches have achieved superior performance on video action or scene segmentation over unsupervised approaches. In this work, we improve supervised VTS by thoroughly exploring **multimodal fusion** and **multimodal coherence modeling**. Specifically, (1) we enhance multimodal fusion by exploring different architectures using Cross-Attention and Mixture of Experts. (2) To generally strengthen multimodality alignment and fusion, we pre-train and fine-tune the model with multimodal contrastive learning. (3) We propose a new pre-training task tailored for the VTS task, and a novel fine-tuning task for enhancing multimodal coherence modeling for VTS. We evaluate our proposed approaches on educational videos, in the form of lectures, due to the vital role of topic segmentation of educational videos in boosting learning experiences. Additionally, to promote research in VTS, we introduce a large-scale Chinese lecture video dataset to augment the existing English lecture video datasets. Experiments on both English and Chinese lecture datasets demonstrate that our model achieves superior VTS performance compared to competitive unsupervised and supervised baselines.</v>
      </c>
      <c r="D988" s="7" t="str">
        <f>IFERROR(__xludf.DUMMYFUNCTION("""COMPUTED_VALUE"""),"No.")</f>
        <v>No.</v>
      </c>
      <c r="E988" s="7" t="str">
        <f>IFERROR(__xludf.DUMMYFUNCTION("""COMPUTED_VALUE"""),"#N/A")</f>
        <v>#N/A</v>
      </c>
      <c r="F988" s="7" t="str">
        <f>IFERROR(__xludf.DUMMYFUNCTION("""COMPUTED_VALUE"""),"Not Pres. ")</f>
        <v>Not Pres. </v>
      </c>
      <c r="G988" s="7" t="str">
        <f>IFERROR(__xludf.DUMMYFUNCTION("""COMPUTED_VALUE"""),"NP Findings Not Presenting ")</f>
        <v>NP Findings Not Presenting </v>
      </c>
      <c r="H988" s="7"/>
      <c r="I988" s="7" t="str">
        <f>IFERROR(__xludf.DUMMYFUNCTION("""COMPUTED_VALUE"""),"NP-Find")</f>
        <v>NP-Find</v>
      </c>
      <c r="J988" s="7"/>
      <c r="K988" s="7"/>
      <c r="L988" s="8"/>
      <c r="M988" s="7"/>
      <c r="N988" s="7"/>
    </row>
    <row r="989">
      <c r="A989" s="7" t="str">
        <f>IFERROR(__xludf.DUMMYFUNCTION("""COMPUTED_VALUE"""),"3504-FIND")</f>
        <v>3504-FIND</v>
      </c>
      <c r="B989" s="7" t="str">
        <f>IFERROR(__xludf.DUMMYFUNCTION("""COMPUTED_VALUE"""),"Are Your LLMs Capable of Stable Reasoning?")</f>
        <v>Are Your LLMs Capable of Stable Reasoning?</v>
      </c>
      <c r="C989" s="7" t="str">
        <f>IFERROR(__xludf.DUMMYFUNCTION("""COMPUTED_VALUE"""),"The rapid advancement of large language models (LLMs) has shown remarkable progress in complex reasoning tasks. However, a significant disparity exists between benchmark performances and real-world applications. We attribute this gap primarily to current "&amp;"evaluation protocols and metrics, which inadequately capture the full spectrum of LLM capabilities, especially in complex reasoning tasks where both accuracy and consistency are essential. In this paper, we introduce **G-Pass@**$k$, a novel evaluation met"&amp;"ric that continuously assesses model performance across multiple sampling attempts, quantifying both the model's performance potential and its stability. Through extensive experiments on various public and newly constructed benchmarks, we employ G-Pass@$k"&amp;"$ in conjunction with state-of-the-art large language models to provide comprehensive insights into their potential capabilities and operational consistency. Our findings reveal a significant opportunity to enhance the realistic reasoning abilities of LLM"&amp;"s, underscoring the necessity for more robust evaluation metrics.")</f>
        <v>The rapid advancement of large language models (LLMs) has shown remarkable progress in complex reasoning tasks. However, a significant disparity exists between benchmark performances and real-world applications. We attribute this gap primarily to current evaluation protocols and metrics, which inadequately capture the full spectrum of LLM capabilities, especially in complex reasoning tasks where both accuracy and consistency are essential. In this paper, we introduce **G-Pass@**$k$, a novel evaluation metric that continuously assesses model performance across multiple sampling attempts, quantifying both the model's performance potential and its stability. Through extensive experiments on various public and newly constructed benchmarks, we employ G-Pass@$k$ in conjunction with state-of-the-art large language models to provide comprehensive insights into their potential capabilities and operational consistency. Our findings reveal a significant opportunity to enhance the realistic reasoning abilities of LLMs, underscoring the necessity for more robust evaluation metrics.</v>
      </c>
      <c r="D989" s="7" t="str">
        <f>IFERROR(__xludf.DUMMYFUNCTION("""COMPUTED_VALUE"""),"Songyang Zhang")</f>
        <v>Songyang Zhang</v>
      </c>
      <c r="E989" s="7" t="str">
        <f>IFERROR(__xludf.DUMMYFUNCTION("""COMPUTED_VALUE"""),"Yes")</f>
        <v>Yes</v>
      </c>
      <c r="F989" s="7" t="str">
        <f>IFERROR(__xludf.DUMMYFUNCTION("""COMPUTED_VALUE"""),"IP-Poster")</f>
        <v>IP-Poster</v>
      </c>
      <c r="G989" s="7" t="str">
        <f>IFERROR(__xludf.DUMMYFUNCTION("""COMPUTED_VALUE"""),"In-Person")</f>
        <v>In-Person</v>
      </c>
      <c r="H989" s="7" t="str">
        <f>IFERROR(__xludf.DUMMYFUNCTION("""COMPUTED_VALUE"""),"Hall 4/5")</f>
        <v>Hall 4/5</v>
      </c>
      <c r="I989" s="7" t="str">
        <f>IFERROR(__xludf.DUMMYFUNCTION("""COMPUTED_VALUE"""),"Session 7: IP-Posters")</f>
        <v>Session 7: IP-Posters</v>
      </c>
      <c r="J989" s="7" t="str">
        <f>IFERROR(__xludf.DUMMYFUNCTION("""COMPUTED_VALUE"""),"Findings Posters - In-Person 2")</f>
        <v>Findings Posters - In-Person 2</v>
      </c>
      <c r="K989" s="7"/>
      <c r="L989" s="8">
        <f>IFERROR(__xludf.DUMMYFUNCTION("""COMPUTED_VALUE"""),45867.0)</f>
        <v>45867</v>
      </c>
      <c r="M989" s="7" t="str">
        <f>IFERROR(__xludf.DUMMYFUNCTION("""COMPUTED_VALUE"""),"10:30-12:00")</f>
        <v>10:30-12:00</v>
      </c>
      <c r="N989" s="7"/>
    </row>
    <row r="990">
      <c r="A990" s="7" t="str">
        <f>IFERROR(__xludf.DUMMYFUNCTION("""COMPUTED_VALUE"""),"3505-FIND")</f>
        <v>3505-FIND</v>
      </c>
      <c r="B990" s="7" t="str">
        <f>IFERROR(__xludf.DUMMYFUNCTION("""COMPUTED_VALUE"""),"FANNO: Augmenting High-Quality Instruction Data with Open-Sourced LLMs Only")</f>
        <v>FANNO: Augmenting High-Quality Instruction Data with Open-Sourced LLMs Only</v>
      </c>
      <c r="C990" s="7" t="str">
        <f>IFERROR(__xludf.DUMMYFUNCTION("""COMPUTED_VALUE"""),"Instruction tuning stands as a crucial advancement in leveraging large language models (LLMs) for enhanced task performance. However, the annotation of instruction datasets has traditionally been expensive and laborious, often relying on manual annotation"&amp;"s or costly proprietary LLMs. Recent works explore approaches to synthesize data with open-sourced LLMs but require high-quality human-crafted seed data. In this work, we introduce \mname, an end-to-end framework to synthesize high-quality instruction dat"&amp;"a with open-sourced LLMs and sampled unlabeled documents, eliminating the necessity for seed data. Starting from diverse pre-screened documents, the framework synthesizes complex and diverse high-quality instruction and response pairs in different stages."&amp;" We propose a tagging-based prompt method to generate diverse and complex seed data and a UCB-based approach to augment more instruction data with the seed data. A novel \textit{Think Different} prompt is proposed to address the distributional limitations"&amp;" of the seeds, further boosting the data diversity. Experiments prove that the \mname can generate diverse and complex high-quality data even with a opensource small teacher model. The synthesized instruction data demonstrates performance that is comparab"&amp;"le to, or even surpasses, baseline annotation methods with proprietary LLMs or open-sourced LLMs while requiring fewer instruction data samples.")</f>
        <v>Instruction tuning stands as a crucial advancement in leveraging large language models (LLMs) for enhanced task performance. However, the annotation of instruction datasets has traditionally been expensive and laborious, often relying on manual annotations or costly proprietary LLMs. Recent works explore approaches to synthesize data with open-sourced LLMs but require high-quality human-crafted seed data. In this work, we introduce \mname, an end-to-end framework to synthesize high-quality instruction data with open-sourced LLMs and sampled unlabeled documents, eliminating the necessity for seed data. Starting from diverse pre-screened documents, the framework synthesizes complex and diverse high-quality instruction and response pairs in different stages. We propose a tagging-based prompt method to generate diverse and complex seed data and a UCB-based approach to augment more instruction data with the seed data. A novel \textit{Think Different} prompt is proposed to address the distributional limitations of the seeds, further boosting the data diversity. Experiments prove that the \mname can generate diverse and complex high-quality data even with a opensource small teacher model. The synthesized instruction data demonstrates performance that is comparable to, or even surpasses, baseline annotation methods with proprietary LLMs or open-sourced LLMs while requiring fewer instruction data samples.</v>
      </c>
      <c r="D990" s="7" t="str">
        <f>IFERROR(__xludf.DUMMYFUNCTION("""COMPUTED_VALUE"""),"He Zhu
Guanhua Chen")</f>
        <v>He Zhu
Guanhua Chen</v>
      </c>
      <c r="E990" s="7" t="str">
        <f>IFERROR(__xludf.DUMMYFUNCTION("""COMPUTED_VALUE"""),"Yes")</f>
        <v>Yes</v>
      </c>
      <c r="F990" s="7" t="str">
        <f>IFERROR(__xludf.DUMMYFUNCTION("""COMPUTED_VALUE"""),"IP-Poster")</f>
        <v>IP-Poster</v>
      </c>
      <c r="G990" s="7" t="str">
        <f>IFERROR(__xludf.DUMMYFUNCTION("""COMPUTED_VALUE"""),"In-Person")</f>
        <v>In-Person</v>
      </c>
      <c r="H990" s="7" t="str">
        <f>IFERROR(__xludf.DUMMYFUNCTION("""COMPUTED_VALUE"""),"Hall 4/5")</f>
        <v>Hall 4/5</v>
      </c>
      <c r="I990" s="7" t="str">
        <f>IFERROR(__xludf.DUMMYFUNCTION("""COMPUTED_VALUE"""),"Session 7: IP-Posters")</f>
        <v>Session 7: IP-Posters</v>
      </c>
      <c r="J990" s="7" t="str">
        <f>IFERROR(__xludf.DUMMYFUNCTION("""COMPUTED_VALUE"""),"Findings Posters - In-Person 2")</f>
        <v>Findings Posters - In-Person 2</v>
      </c>
      <c r="K990" s="7"/>
      <c r="L990" s="8">
        <f>IFERROR(__xludf.DUMMYFUNCTION("""COMPUTED_VALUE"""),45867.0)</f>
        <v>45867</v>
      </c>
      <c r="M990" s="7" t="str">
        <f>IFERROR(__xludf.DUMMYFUNCTION("""COMPUTED_VALUE"""),"10:30-12:00")</f>
        <v>10:30-12:00</v>
      </c>
      <c r="N990" s="7"/>
    </row>
    <row r="991">
      <c r="A991" s="7" t="str">
        <f>IFERROR(__xludf.DUMMYFUNCTION("""COMPUTED_VALUE"""),"3515-FIND")</f>
        <v>3515-FIND</v>
      </c>
      <c r="B991" s="7" t="str">
        <f>IFERROR(__xludf.DUMMYFUNCTION("""COMPUTED_VALUE"""),"JEBS: A Fine-grained Biomedical Lexical Simplification Task")</f>
        <v>JEBS: A Fine-grained Biomedical Lexical Simplification Task</v>
      </c>
      <c r="C991" s="7" t="str">
        <f>IFERROR(__xludf.DUMMYFUNCTION("""COMPUTED_VALUE"""),"Though online medical literature has made health information more available than ever, the barrier of complex medical jargon prevents the general public from understanding it. Though parallel and comparable corpora for Biomedical Text Simplification have "&amp;"been introduced, these conflate the many syntactic and lexical operations involved in simplification. To enable more targeted development and evaluation, we present a fine-grained lexical simplification task and dataset, Jargon Explanations for Biomedical"&amp;" Simplification (JEBS). The JEBS task involves identifying complex terms, classifying how to replace them, and generating replacement text. The JEBS dataset contains 21,595 replacements for 10,314 terms across 400 biomedical abstracts and their manually s"&amp;"implified versions. Additionally, we provide baseline results for a variety of rule-based and transformer-based systems for the three subtasks. The JEBS task, data, and baseline results pave the way for development and rigorous evaluation of systems for r"&amp;"eplacing or explaining complex biomedical terms.")</f>
        <v>Though online medical literature has made health information more available than ever, the barrier of complex medical jargon prevents the general public from understanding it. Though parallel and comparable corpora for Biomedical Text Simplification have been introduced, these conflate the many syntactic and lexical operations involved in simplification. To enable more targeted development and evaluation, we present a fine-grained lexical simplification task and dataset, Jargon Explanations for Biomedical Simplification (JEBS). The JEBS task involves identifying complex terms, classifying how to replace them, and generating replacement text. The JEBS dataset contains 21,595 replacements for 10,314 terms across 400 biomedical abstracts and their manually simplified versions. Additionally, we provide baseline results for a variety of rule-based and transformer-based systems for the three subtasks. The JEBS task, data, and baseline results pave the way for development and rigorous evaluation of systems for replacing or explaining complex biomedical terms.</v>
      </c>
      <c r="D991" s="7" t="str">
        <f>IFERROR(__xludf.DUMMYFUNCTION("""COMPUTED_VALUE"""),"William Xia")</f>
        <v>William Xia</v>
      </c>
      <c r="E991" s="7" t="str">
        <f>IFERROR(__xludf.DUMMYFUNCTION("""COMPUTED_VALUE"""),"Yes")</f>
        <v>Yes</v>
      </c>
      <c r="F991" s="7" t="str">
        <f>IFERROR(__xludf.DUMMYFUNCTION("""COMPUTED_VALUE"""),"IP-Poster")</f>
        <v>IP-Poster</v>
      </c>
      <c r="G991" s="7" t="str">
        <f>IFERROR(__xludf.DUMMYFUNCTION("""COMPUTED_VALUE"""),"In-Person")</f>
        <v>In-Person</v>
      </c>
      <c r="H991" s="7" t="str">
        <f>IFERROR(__xludf.DUMMYFUNCTION("""COMPUTED_VALUE"""),"Hall 4/5")</f>
        <v>Hall 4/5</v>
      </c>
      <c r="I991" s="7" t="str">
        <f>IFERROR(__xludf.DUMMYFUNCTION("""COMPUTED_VALUE"""),"Session 5 :IP-Posters Find ")</f>
        <v>Session 5 :IP-Posters Find </v>
      </c>
      <c r="J991" s="7" t="str">
        <f>IFERROR(__xludf.DUMMYFUNCTION("""COMPUTED_VALUE"""),"Findings Posters - In-Person 1")</f>
        <v>Findings Posters - In-Person 1</v>
      </c>
      <c r="K991" s="7"/>
      <c r="L991" s="8">
        <f>IFERROR(__xludf.DUMMYFUNCTION("""COMPUTED_VALUE"""),45866.0)</f>
        <v>45866</v>
      </c>
      <c r="M991" s="7" t="str">
        <f>IFERROR(__xludf.DUMMYFUNCTION("""COMPUTED_VALUE"""),"18:00-19:30")</f>
        <v>18:00-19:30</v>
      </c>
      <c r="N991" s="7"/>
    </row>
    <row r="992">
      <c r="A992" s="7" t="str">
        <f>IFERROR(__xludf.DUMMYFUNCTION("""COMPUTED_VALUE"""),"3517-FIND")</f>
        <v>3517-FIND</v>
      </c>
      <c r="B992" s="7" t="str">
        <f>IFERROR(__xludf.DUMMYFUNCTION("""COMPUTED_VALUE"""),"Enhancing Multi-Hop Reasoning for Question Answering with Hyperbolic Representations")</f>
        <v>Enhancing Multi-Hop Reasoning for Question Answering with Hyperbolic Representations</v>
      </c>
      <c r="C992" s="7" t="str">
        <f>IFERROR(__xludf.DUMMYFUNCTION("""COMPUTED_VALUE"""),"Hyperbolic representations are effective in modeling knowledge graph data which is prevalently used to facilitate multi-hop reasoning. However, a rigorous and detailed comparison of the two spaces for this task is lacking. In this paper, through a simple "&amp;"integration of hyperbolic representations with an encoder-decoder model, we perform a controlled and comprehensive set of experiments to compare the capacity of hyperbolic space versus Euclidean space in multi-hop reasoning. Our results show that the form"&amp;"er consistently outperforms the latter across a diverse set of datasets. In addition, through an ablation study, we show that a learnable curvature initialized with the delta hyperbolicity of the utilized data yields superior results to random initializat"&amp;"ions. Furthermore, our findings suggest a direct correlation between the dataset difficulty, defined as the number of out-going relations in a knowledge graph, and the effectiveness of the hyperbolic space, indicating that hyperbolic representations are m"&amp;"ore beneficial for harder datasets.")</f>
        <v>Hyperbolic representations are effective in modeling knowledge graph data which is prevalently used to facilitate multi-hop reasoning. However, a rigorous and detailed comparison of the two spaces for this task is lacking. In this paper, through a simple integration of hyperbolic representations with an encoder-decoder model, we perform a controlled and comprehensive set of experiments to compare the capacity of hyperbolic space versus Euclidean space in multi-hop reasoning. Our results show that the former consistently outperforms the latter across a diverse set of datasets. In addition, through an ablation study, we show that a learnable curvature initialized with the delta hyperbolicity of the utilized data yields superior results to random initializations. Furthermore, our findings suggest a direct correlation between the dataset difficulty, defined as the number of out-going relations in a knowledge graph, and the effectiveness of the hyperbolic space, indicating that hyperbolic representations are more beneficial for harder datasets.</v>
      </c>
      <c r="D992" s="7" t="str">
        <f>IFERROR(__xludf.DUMMYFUNCTION("""COMPUTED_VALUE"""),"Akbar Karimi")</f>
        <v>Akbar Karimi</v>
      </c>
      <c r="E992" s="7" t="str">
        <f>IFERROR(__xludf.DUMMYFUNCTION("""COMPUTED_VALUE"""),"Yes")</f>
        <v>Yes</v>
      </c>
      <c r="F992" s="7" t="str">
        <f>IFERROR(__xludf.DUMMYFUNCTION("""COMPUTED_VALUE"""),"IP-Poster")</f>
        <v>IP-Poster</v>
      </c>
      <c r="G992" s="7" t="str">
        <f>IFERROR(__xludf.DUMMYFUNCTION("""COMPUTED_VALUE"""),"In-Person")</f>
        <v>In-Person</v>
      </c>
      <c r="H992" s="7" t="str">
        <f>IFERROR(__xludf.DUMMYFUNCTION("""COMPUTED_VALUE"""),"Hall 4/5")</f>
        <v>Hall 4/5</v>
      </c>
      <c r="I992" s="7" t="str">
        <f>IFERROR(__xludf.DUMMYFUNCTION("""COMPUTED_VALUE"""),"Session 7: IP-Posters")</f>
        <v>Session 7: IP-Posters</v>
      </c>
      <c r="J992" s="7" t="str">
        <f>IFERROR(__xludf.DUMMYFUNCTION("""COMPUTED_VALUE"""),"Findings Posters - In-Person 2")</f>
        <v>Findings Posters - In-Person 2</v>
      </c>
      <c r="K992" s="7"/>
      <c r="L992" s="8">
        <f>IFERROR(__xludf.DUMMYFUNCTION("""COMPUTED_VALUE"""),45867.0)</f>
        <v>45867</v>
      </c>
      <c r="M992" s="7" t="str">
        <f>IFERROR(__xludf.DUMMYFUNCTION("""COMPUTED_VALUE"""),"10:30-12:00")</f>
        <v>10:30-12:00</v>
      </c>
      <c r="N992" s="7"/>
    </row>
    <row r="993">
      <c r="A993" s="7" t="str">
        <f>IFERROR(__xludf.DUMMYFUNCTION("""COMPUTED_VALUE"""),"3519-FIND")</f>
        <v>3519-FIND</v>
      </c>
      <c r="B993" s="7" t="str">
        <f>IFERROR(__xludf.DUMMYFUNCTION("""COMPUTED_VALUE"""),"Look &amp; Mark: Leveraging Radiologist Eye Fixations and Bounding boxes in Multimodal Large Language Models for Chest X-ray Report Generation")</f>
        <v>Look &amp; Mark: Leveraging Radiologist Eye Fixations and Bounding boxes in Multimodal Large Language Models for Chest X-ray Report Generation</v>
      </c>
      <c r="C993" s="7" t="str">
        <f>IFERROR(__xludf.DUMMYFUNCTION("""COMPUTED_VALUE"""),"Recent advancements in multimodal Large Language Models (LLMs) have significantly enhanced the automation of medical image analysis, particularly in generating radiology reports from chest X-rays (CXR). However, these models still suffer from hallucinatio"&amp;"ns and clinically significant errors, limiting their reliability in real-world applications. In this study, we propose Look &amp; Mark (L&amp;M), a novel grounding fixation strategy that integrates radiologist eye fixations (Look) and bounding box annotations (Ma"&amp;"rk) into the LLM prompting framework. Unlike conventional fine-tuning, L&amp;M leverages in-context learning to achieve substantial performance gains without retraining. When evaluated across multiple domain-specific and general-purpose models, L&amp;M demonstrat"&amp;"es significant gains, including a 1.2% improvement in overall metrics (A.AVG) for CXR-LLaVA compared to baseline prompting and a remarkable 9.2% boost for LLaVA-Med. General-purpose models also benefit from L&amp;M combined with in-context learning, with LLaV"&amp;"A-OV achieving an 87.3% clinical average performance (C.AVG)—the highest among all models, even surpassing those explicitly trained for CXR report generation. Expert evaluations further confirm that L&amp;M reduces clinically significant errors (by 0.43 avera"&amp;"ge errors per report), such as false predictions and omissions, enhancing both accuracy and reliability. These findings highlight L&amp;M's potential as a scalable and efficient solution for AI-assisted radiology, paving the way for improved diagnostic workfl"&amp;"ows in low-resource clinical settings.")</f>
        <v>Recent advancements in multimodal Large Language Models (LLMs) have significantly enhanced the automation of medical image analysis, particularly in generating radiology reports from chest X-rays (CXR). However, these models still suffer from hallucinations and clinically significant errors, limiting their reliability in real-world applications. In this study, we propose Look &amp; Mark (L&amp;M), a novel grounding fixation strategy that integrates radiologist eye fixations (Look) and bounding box annotations (Mark) into the LLM prompting framework. Unlike conventional fine-tuning, L&amp;M leverages in-context learning to achieve substantial performance gains without retraining. When evaluated across multiple domain-specific and general-purpose models, L&amp;M demonstrates significant gains, including a 1.2% improvement in overall metrics (A.AVG) for CXR-LLaVA compared to baseline prompting and a remarkable 9.2% boost for LLaVA-Med. General-purpose models also benefit from L&amp;M combined with in-context learning, with LLaVA-OV achieving an 87.3% clinical average performance (C.AVG)—the highest among all models, even surpassing those explicitly trained for CXR report generation. Expert evaluations further confirm that L&amp;M reduces clinically significant errors (by 0.43 average errors per report), such as false predictions and omissions, enhancing both accuracy and reliability. These findings highlight L&amp;M's potential as a scalable and efficient solution for AI-assisted radiology, paving the way for improved diagnostic workflows in low-resource clinical settings.</v>
      </c>
      <c r="D993" s="7" t="str">
        <f>IFERROR(__xludf.DUMMYFUNCTION("""COMPUTED_VALUE"""),"Yunsoo Kim")</f>
        <v>Yunsoo Kim</v>
      </c>
      <c r="E993" s="7" t="str">
        <f>IFERROR(__xludf.DUMMYFUNCTION("""COMPUTED_VALUE"""),"Yes")</f>
        <v>Yes</v>
      </c>
      <c r="F993" s="7" t="str">
        <f>IFERROR(__xludf.DUMMYFUNCTION("""COMPUTED_VALUE"""),"IP-Poster")</f>
        <v>IP-Poster</v>
      </c>
      <c r="G993" s="7" t="str">
        <f>IFERROR(__xludf.DUMMYFUNCTION("""COMPUTED_VALUE"""),"In-Person")</f>
        <v>In-Person</v>
      </c>
      <c r="H993" s="7" t="str">
        <f>IFERROR(__xludf.DUMMYFUNCTION("""COMPUTED_VALUE"""),"Hall 4/5")</f>
        <v>Hall 4/5</v>
      </c>
      <c r="I993" s="7" t="str">
        <f>IFERROR(__xludf.DUMMYFUNCTION("""COMPUTED_VALUE"""),"Session 10: IP-Posters")</f>
        <v>Session 10: IP-Posters</v>
      </c>
      <c r="J993" s="7" t="str">
        <f>IFERROR(__xludf.DUMMYFUNCTION("""COMPUTED_VALUE"""),"Findings Posters - In-Person 3")</f>
        <v>Findings Posters - In-Person 3</v>
      </c>
      <c r="K993" s="7"/>
      <c r="L993" s="8">
        <f>IFERROR(__xludf.DUMMYFUNCTION("""COMPUTED_VALUE"""),45867.0)</f>
        <v>45867</v>
      </c>
      <c r="M993" s="7" t="str">
        <f>IFERROR(__xludf.DUMMYFUNCTION("""COMPUTED_VALUE"""),"16:00-17:30")</f>
        <v>16:00-17:30</v>
      </c>
      <c r="N993" s="7"/>
    </row>
    <row r="994">
      <c r="A994" s="7" t="str">
        <f>IFERROR(__xludf.DUMMYFUNCTION("""COMPUTED_VALUE"""),"3520-FIND")</f>
        <v>3520-FIND</v>
      </c>
      <c r="B994" s="7" t="str">
        <f>IFERROR(__xludf.DUMMYFUNCTION("""COMPUTED_VALUE"""),"Hatevolution: What Static Benchmarks Don't Tell Us")</f>
        <v>Hatevolution: What Static Benchmarks Don't Tell Us</v>
      </c>
      <c r="C994" s="7" t="str">
        <f>IFERROR(__xludf.DUMMYFUNCTION("""COMPUTED_VALUE"""),"Language changes over time, including in the hate speech domain, which evolves quickly following social dynamics and cultural shifts. While NLP research has investigated the impact of language evolution on model training and has proposed several solutions"&amp;" for it, its impact on model benchmarking remains under-explored. Yet, hate speech benchmarks play a crucial role to ensure model safety. In this paper, we empirically evaluate the robustness of 20 language models across two evolving hate speech experimen"&amp;"ts, and we show the temporal misalignment between static and time-sensitive evaluations. Our findings call for time-sensitive evaluation benchmarks in order to correctly and reliably evaluate language models.")</f>
        <v>Language changes over time, including in the hate speech domain, which evolves quickly following social dynamics and cultural shifts. While NLP research has investigated the impact of language evolution on model training and has proposed several solutions for it, its impact on model benchmarking remains under-explored. Yet, hate speech benchmarks play a crucial role to ensure model safety. In this paper, we empirically evaluate the robustness of 20 language models across two evolving hate speech experiments, and we show the temporal misalignment between static and time-sensitive evaluations. Our findings call for time-sensitive evaluation benchmarks in order to correctly and reliably evaluate language models.</v>
      </c>
      <c r="D994" s="7" t="str">
        <f>IFERROR(__xludf.DUMMYFUNCTION("""COMPUTED_VALUE"""),"Chiara Di Bonaventura")</f>
        <v>Chiara Di Bonaventura</v>
      </c>
      <c r="E994" s="7" t="str">
        <f>IFERROR(__xludf.DUMMYFUNCTION("""COMPUTED_VALUE"""),"Yes")</f>
        <v>Yes</v>
      </c>
      <c r="F994" s="7" t="str">
        <f>IFERROR(__xludf.DUMMYFUNCTION("""COMPUTED_VALUE"""),"IP-Poster")</f>
        <v>IP-Poster</v>
      </c>
      <c r="G994" s="7" t="str">
        <f>IFERROR(__xludf.DUMMYFUNCTION("""COMPUTED_VALUE"""),"In-Person")</f>
        <v>In-Person</v>
      </c>
      <c r="H994" s="7" t="str">
        <f>IFERROR(__xludf.DUMMYFUNCTION("""COMPUTED_VALUE"""),"Hall 4/5")</f>
        <v>Hall 4/5</v>
      </c>
      <c r="I994" s="7" t="str">
        <f>IFERROR(__xludf.DUMMYFUNCTION("""COMPUTED_VALUE"""),"Session 7: IP-Posters")</f>
        <v>Session 7: IP-Posters</v>
      </c>
      <c r="J994" s="7" t="str">
        <f>IFERROR(__xludf.DUMMYFUNCTION("""COMPUTED_VALUE"""),"Findings Posters - In-Person 2")</f>
        <v>Findings Posters - In-Person 2</v>
      </c>
      <c r="K994" s="7"/>
      <c r="L994" s="8">
        <f>IFERROR(__xludf.DUMMYFUNCTION("""COMPUTED_VALUE"""),45867.0)</f>
        <v>45867</v>
      </c>
      <c r="M994" s="7" t="str">
        <f>IFERROR(__xludf.DUMMYFUNCTION("""COMPUTED_VALUE"""),"10:30-12:00")</f>
        <v>10:30-12:00</v>
      </c>
      <c r="N994" s="7"/>
    </row>
    <row r="995">
      <c r="A995" s="7" t="str">
        <f>IFERROR(__xludf.DUMMYFUNCTION("""COMPUTED_VALUE"""),"3536-FIND")</f>
        <v>3536-FIND</v>
      </c>
      <c r="B995" s="7" t="str">
        <f>IFERROR(__xludf.DUMMYFUNCTION("""COMPUTED_VALUE"""),"Tag-Instruct: Controlled Instruction Complexity Enhancement through Structure-based Augmentation")</f>
        <v>Tag-Instruct: Controlled Instruction Complexity Enhancement through Structure-based Augmentation</v>
      </c>
      <c r="C995" s="7" t="str">
        <f>IFERROR(__xludf.DUMMYFUNCTION("""COMPUTED_VALUE"""),"High-quality instruction data is crucial for developing large language models (LLMs), yet existing approaches struggle to effectively control instruction complexity. We present Tag-Instruct, a novel framework that enhances instruction complexity through s"&amp;"tructured semantic compression and controlled difficulty augmentation. Unlike previous prompt-based methods operating on raw text, Tag-Instruct compresses instructions into a compact tag space and systematically enhances complexity through RL-guided tag e"&amp;"xpansion. Through extensive experiments, we show that Tag-Instruct outperforms existing instruction complexity augmentation approaches. Our analysis reveals that operating in tag space provides superior controllability and stability across different instr"&amp;"uction synthesis frameworks.")</f>
        <v>High-quality instruction data is crucial for developing large language models (LLMs), yet existing approaches struggle to effectively control instruction complexity. We present Tag-Instruct, a novel framework that enhances instruction complexity through structured semantic compression and controlled difficulty augmentation. Unlike previous prompt-based methods operating on raw text, Tag-Instruct compresses instructions into a compact tag space and systematically enhances complexity through RL-guided tag expansion. Through extensive experiments, we show that Tag-Instruct outperforms existing instruction complexity augmentation approaches. Our analysis reveals that operating in tag space provides superior controllability and stability across different instruction synthesis frameworks.</v>
      </c>
      <c r="D995" s="7" t="str">
        <f>IFERROR(__xludf.DUMMYFUNCTION("""COMPUTED_VALUE"""),"He Zhu
Guanhua Chen
Wenjia Zhang")</f>
        <v>He Zhu
Guanhua Chen
Wenjia Zhang</v>
      </c>
      <c r="E995" s="7" t="str">
        <f>IFERROR(__xludf.DUMMYFUNCTION("""COMPUTED_VALUE"""),"Yes")</f>
        <v>Yes</v>
      </c>
      <c r="F995" s="7" t="str">
        <f>IFERROR(__xludf.DUMMYFUNCTION("""COMPUTED_VALUE"""),"IP-Poster")</f>
        <v>IP-Poster</v>
      </c>
      <c r="G995" s="7" t="str">
        <f>IFERROR(__xludf.DUMMYFUNCTION("""COMPUTED_VALUE"""),"In-Person")</f>
        <v>In-Person</v>
      </c>
      <c r="H995" s="7" t="str">
        <f>IFERROR(__xludf.DUMMYFUNCTION("""COMPUTED_VALUE"""),"Hall 4/5")</f>
        <v>Hall 4/5</v>
      </c>
      <c r="I995" s="7" t="str">
        <f>IFERROR(__xludf.DUMMYFUNCTION("""COMPUTED_VALUE"""),"Session 7: IP-Posters")</f>
        <v>Session 7: IP-Posters</v>
      </c>
      <c r="J995" s="7" t="str">
        <f>IFERROR(__xludf.DUMMYFUNCTION("""COMPUTED_VALUE"""),"Findings Posters - In-Person 2")</f>
        <v>Findings Posters - In-Person 2</v>
      </c>
      <c r="K995" s="7"/>
      <c r="L995" s="8">
        <f>IFERROR(__xludf.DUMMYFUNCTION("""COMPUTED_VALUE"""),45867.0)</f>
        <v>45867</v>
      </c>
      <c r="M995" s="7" t="str">
        <f>IFERROR(__xludf.DUMMYFUNCTION("""COMPUTED_VALUE"""),"10:30-12:00")</f>
        <v>10:30-12:00</v>
      </c>
      <c r="N995" s="7"/>
    </row>
    <row r="996">
      <c r="A996" s="7" t="str">
        <f>IFERROR(__xludf.DUMMYFUNCTION("""COMPUTED_VALUE"""),"3539-FIND")</f>
        <v>3539-FIND</v>
      </c>
      <c r="B996" s="7" t="str">
        <f>IFERROR(__xludf.DUMMYFUNCTION("""COMPUTED_VALUE"""),"Code-SPA: Style Preference Alignment to Large Language Models for Effective and Robust Code Debugging")</f>
        <v>Code-SPA: Style Preference Alignment to Large Language Models for Effective and Robust Code Debugging</v>
      </c>
      <c r="C996" s="7" t="str">
        <f>IFERROR(__xludf.DUMMYFUNCTION("""COMPUTED_VALUE"""),"Large language models (LLMs) have demonstrated impressive capabilities in coding tasks like code generation and debugging. However, code from real-world users is often poorly styled, containing various types of noise, such as structural inconsistencies, s"&amp;"tylistic deviations and flawed test cases. To investigate this, we first show that the debugging performance of existing LLM-based methods degrades when applied to code with poor styling, simulated through eight types of code-related perturbations. Furthe"&amp;"rmore, to address this, we propose a novel debugging method called Code-SPA, which aligns noisy code with the well-structured style familiar to LLMs, mitigating the impact of stylistic inconsistencies. Specifically, Code-SPA extracts the model's preferred"&amp;" coding style from a reference snippet, then adjusts the input code by CST-based transformations and LLM-assisted refinements before debugging. By aligning the code style preference, Code-SPA enhances the debugging performance of both code-specific and ge"&amp;"neral-purpose LLMs across the HumanEval, MBPP and EvalPlus datasets.")</f>
        <v>Large language models (LLMs) have demonstrated impressive capabilities in coding tasks like code generation and debugging. However, code from real-world users is often poorly styled, containing various types of noise, such as structural inconsistencies, stylistic deviations and flawed test cases. To investigate this, we first show that the debugging performance of existing LLM-based methods degrades when applied to code with poor styling, simulated through eight types of code-related perturbations. Furthermore, to address this, we propose a novel debugging method called Code-SPA, which aligns noisy code with the well-structured style familiar to LLMs, mitigating the impact of stylistic inconsistencies. Specifically, Code-SPA extracts the model's preferred coding style from a reference snippet, then adjusts the input code by CST-based transformations and LLM-assisted refinements before debugging. By aligning the code style preference, Code-SPA enhances the debugging performance of both code-specific and general-purpose LLMs across the HumanEval, MBPP and EvalPlus datasets.</v>
      </c>
      <c r="D996" s="7" t="str">
        <f>IFERROR(__xludf.DUMMYFUNCTION("""COMPUTED_VALUE"""),"Tengfei Wen")</f>
        <v>Tengfei Wen</v>
      </c>
      <c r="E996" s="7" t="str">
        <f>IFERROR(__xludf.DUMMYFUNCTION("""COMPUTED_VALUE"""),"#N/A")</f>
        <v>#N/A</v>
      </c>
      <c r="F996" s="7" t="str">
        <f>IFERROR(__xludf.DUMMYFUNCTION("""COMPUTED_VALUE"""),"Not Pres. ")</f>
        <v>Not Pres. </v>
      </c>
      <c r="G996" s="7" t="str">
        <f>IFERROR(__xludf.DUMMYFUNCTION("""COMPUTED_VALUE"""),"NP Findings Not Presenting ")</f>
        <v>NP Findings Not Presenting </v>
      </c>
      <c r="H996" s="7"/>
      <c r="I996" s="7" t="str">
        <f>IFERROR(__xludf.DUMMYFUNCTION("""COMPUTED_VALUE"""),"NP-Find")</f>
        <v>NP-Find</v>
      </c>
      <c r="J996" s="7"/>
      <c r="K996" s="7"/>
      <c r="L996" s="8"/>
      <c r="M996" s="7"/>
      <c r="N996" s="7"/>
    </row>
    <row r="997">
      <c r="A997" s="7" t="str">
        <f>IFERROR(__xludf.DUMMYFUNCTION("""COMPUTED_VALUE"""),"3540-FIND")</f>
        <v>3540-FIND</v>
      </c>
      <c r="B997" s="7" t="str">
        <f>IFERROR(__xludf.DUMMYFUNCTION("""COMPUTED_VALUE"""),"Open-World Authorship Attribution")</f>
        <v>Open-World Authorship Attribution</v>
      </c>
      <c r="C997" s="7" t="str">
        <f>IFERROR(__xludf.DUMMYFUNCTION("""COMPUTED_VALUE"""),"Recent years have witnessed rapid advancements in Large Language Models (LLMs). Nevertheless, it remains unclear whether state-of-the-art LLMs can infer the author of an anonymous research paper solely from the text, without any additional information. To"&amp;" investigate this novel challenge, which we define as Open-World Authorship Attribution, we introduce a benchmark comprising thousands of research papers across various fields to quantitatively assess model capabilities. Then, at the core of this paper, w"&amp;"e tailor a two-stage framework to tackle this problem: candidate selection and authorship decision. Specifically, in the first stage, LLMs are prompted to generate multi-level key information, which are then used to identify potential candidates through I"&amp;"nternet searches. In the second stage, we introduce key perspectives to guide LLMs in determining the most likely author from these candidates. Extensive experiments on our benchmark demonstrate the effectiveness of the proposed approach, achieving 60.7% "&amp;"and 44.3% accuracy in the two stages, respectively. We will release our benchmark and source codes to facilitate future research in this field.")</f>
        <v>Recent years have witnessed rapid advancements in Large Language Models (LLMs). Nevertheless, it remains unclear whether state-of-the-art LLMs can infer the author of an anonymous research paper solely from the text, without any additional information. To investigate this novel challenge, which we define as Open-World Authorship Attribution, we introduce a benchmark comprising thousands of research papers across various fields to quantitatively assess model capabilities. Then, at the core of this paper, we tailor a two-stage framework to tackle this problem: candidate selection and authorship decision. Specifically, in the first stage, LLMs are prompted to generate multi-level key information, which are then used to identify potential candidates through Internet searches. In the second stage, we introduce key perspectives to guide LLMs in determining the most likely author from these candidates. Extensive experiments on our benchmark demonstrate the effectiveness of the proposed approach, achieving 60.7% and 44.3% accuracy in the two stages, respectively. We will release our benchmark and source codes to facilitate future research in this field.</v>
      </c>
      <c r="D997" s="7" t="str">
        <f>IFERROR(__xludf.DUMMYFUNCTION("""COMPUTED_VALUE"""),"Nil")</f>
        <v>Nil</v>
      </c>
      <c r="E997" s="7" t="str">
        <f>IFERROR(__xludf.DUMMYFUNCTION("""COMPUTED_VALUE"""),"#N/A")</f>
        <v>#N/A</v>
      </c>
      <c r="F997" s="7" t="str">
        <f>IFERROR(__xludf.DUMMYFUNCTION("""COMPUTED_VALUE"""),"Not Pres. ")</f>
        <v>Not Pres. </v>
      </c>
      <c r="G997" s="7" t="str">
        <f>IFERROR(__xludf.DUMMYFUNCTION("""COMPUTED_VALUE"""),"NP Findings Not Presenting ")</f>
        <v>NP Findings Not Presenting </v>
      </c>
      <c r="H997" s="7"/>
      <c r="I997" s="7" t="str">
        <f>IFERROR(__xludf.DUMMYFUNCTION("""COMPUTED_VALUE"""),"NP-Find")</f>
        <v>NP-Find</v>
      </c>
      <c r="J997" s="7"/>
      <c r="K997" s="7"/>
      <c r="L997" s="8"/>
      <c r="M997" s="7"/>
      <c r="N997" s="7"/>
    </row>
    <row r="998">
      <c r="A998" s="7" t="str">
        <f>IFERROR(__xludf.DUMMYFUNCTION("""COMPUTED_VALUE"""),"3542-FIND")</f>
        <v>3542-FIND</v>
      </c>
      <c r="B998" s="7" t="str">
        <f>IFERROR(__xludf.DUMMYFUNCTION("""COMPUTED_VALUE"""),"What is in a name? Mitigating Name Bias in Text Embedding Similarity via Anonymization")</f>
        <v>What is in a name? Mitigating Name Bias in Text Embedding Similarity via Anonymization</v>
      </c>
      <c r="C998" s="7" t="str">
        <f>IFERROR(__xludf.DUMMYFUNCTION("""COMPUTED_VALUE"""),"Text-embedding models often exhibit biases arising from the data on which they are trained. In this paper, we examine a hitherto unexplored bias in text-embeddings: bias arising from the presence of names such as persons, locations, organizations etc. in "&amp;"the text. Our study shows how the presence of name-bias in text-embedding models can potentially lead to erroneous conclusions in the assessment of thematic similarity. Text-embeddings can mistakenly indicate similarity between texts based on names in the"&amp;" text, even when their actual semantic content has no similarity or indicate dissimilarity simply because of the names in the text even when the texts match semantically. We first demonstrate the presence of name bias in different text-embedding models an"&amp;"d then propose text-anonymization during inference which involves removing references to names, while preserving the core theme of the text. The efficacy of the anonymization approach is demonstrated on three downstream NLP tasks involving embedding simil"&amp;"arities, achieving significant performance gains. Our simple and training-optimization-free approach offers a practical and easily implementable solution to mitigate name bias.")</f>
        <v>Text-embedding models often exhibit biases arising from the data on which they are trained. In this paper, we examine a hitherto unexplored bias in text-embeddings: bias arising from the presence of names such as persons, locations, organizations etc. in the text. Our study shows how the presence of name-bias in text-embedding models can potentially lead to erroneous conclusions in the assessment of thematic similarity. Text-embeddings can mistakenly indicate similarity between texts based on names in the text, even when their actual semantic content has no similarity or indicate dissimilarity simply because of the names in the text even when the texts match semantically. We first demonstrate the presence of name bias in different text-embedding models and then propose text-anonymization during inference which involves removing references to names, while preserving the core theme of the text. The efficacy of the anonymization approach is demonstrated on three downstream NLP tasks involving embedding similarities, achieving significant performance gains. Our simple and training-optimization-free approach offers a practical and easily implementable solution to mitigate name bias.</v>
      </c>
      <c r="D998" s="7" t="str">
        <f>IFERROR(__xludf.DUMMYFUNCTION("""COMPUTED_VALUE"""),"NA")</f>
        <v>NA</v>
      </c>
      <c r="E998" s="7" t="str">
        <f>IFERROR(__xludf.DUMMYFUNCTION("""COMPUTED_VALUE"""),"#N/A")</f>
        <v>#N/A</v>
      </c>
      <c r="F998" s="7" t="str">
        <f>IFERROR(__xludf.DUMMYFUNCTION("""COMPUTED_VALUE"""),"Not Pres. ")</f>
        <v>Not Pres. </v>
      </c>
      <c r="G998" s="7" t="str">
        <f>IFERROR(__xludf.DUMMYFUNCTION("""COMPUTED_VALUE"""),"NP Findings Not Presenting ")</f>
        <v>NP Findings Not Presenting </v>
      </c>
      <c r="H998" s="7"/>
      <c r="I998" s="7" t="str">
        <f>IFERROR(__xludf.DUMMYFUNCTION("""COMPUTED_VALUE"""),"NP-Find")</f>
        <v>NP-Find</v>
      </c>
      <c r="J998" s="7"/>
      <c r="K998" s="7"/>
      <c r="L998" s="8"/>
      <c r="M998" s="7"/>
      <c r="N998" s="7"/>
    </row>
    <row r="999">
      <c r="A999" s="7" t="str">
        <f>IFERROR(__xludf.DUMMYFUNCTION("""COMPUTED_VALUE"""),"3543-FIND")</f>
        <v>3543-FIND</v>
      </c>
      <c r="B999" s="7" t="str">
        <f>IFERROR(__xludf.DUMMYFUNCTION("""COMPUTED_VALUE"""),"BenNumEval: A Benchmark to Assess LLM's Numerical Reasoning Capabilities in Bengali")</f>
        <v>BenNumEval: A Benchmark to Assess LLM's Numerical Reasoning Capabilities in Bengali</v>
      </c>
      <c r="C999" s="7" t="str">
        <f>IFERROR(__xludf.DUMMYFUNCTION("""COMPUTED_VALUE"""),"Large Language Models (LLMs) demonstrate exceptional proficiency in general-purpose tasks but struggle with numerical reasoning, particularly in low-resource languages like Bengali. Despite advancements, limited research has explored their numerical reaso"&amp;"ning capabilities in these languages. To address this gap, we present BenNumEval (Bengali Numerical Evaluation), a benchmark designed to assess LLMs on numerical reasoning tasks in Bengali. BenNumEval includes six diverse tasks and a dataset of 3.2k sampl"&amp;"es curated from real-world problem-solving scenarios. Our extensive evaluations reveal that even with advanced prompting techniques such as Cross-Lingual Prompting (XLP) and Cross-Lingual Chain-of-Thought Prompting (XCoT), LLMs fall notably short of human"&amp;"-level performance, particularly when using Bengali Native Prompting (BNaP). These findings underscore the substantial gap between current LLM capabilities and human expertise in numerical reasoning, highlighting the need for more robust and linguisticall"&amp;"y inclusive AI models to advance Bengali Language Processing and equitable AI development.")</f>
        <v>Large Language Models (LLMs) demonstrate exceptional proficiency in general-purpose tasks but struggle with numerical reasoning, particularly in low-resource languages like Bengali. Despite advancements, limited research has explored their numerical reasoning capabilities in these languages. To address this gap, we present BenNumEval (Bengali Numerical Evaluation), a benchmark designed to assess LLMs on numerical reasoning tasks in Bengali. BenNumEval includes six diverse tasks and a dataset of 3.2k samples curated from real-world problem-solving scenarios. Our extensive evaluations reveal that even with advanced prompting techniques such as Cross-Lingual Prompting (XLP) and Cross-Lingual Chain-of-Thought Prompting (XCoT), LLMs fall notably short of human-level performance, particularly when using Bengali Native Prompting (BNaP). These findings underscore the substantial gap between current LLM capabilities and human expertise in numerical reasoning, highlighting the need for more robust and linguistically inclusive AI models to advance Bengali Language Processing and equitable AI development.</v>
      </c>
      <c r="D999" s="7" t="str">
        <f>IFERROR(__xludf.DUMMYFUNCTION("""COMPUTED_VALUE"""),"Kawsar Ahmed")</f>
        <v>Kawsar Ahmed</v>
      </c>
      <c r="E999" s="7" t="str">
        <f>IFERROR(__xludf.DUMMYFUNCTION("""COMPUTED_VALUE"""),"#N/A")</f>
        <v>#N/A</v>
      </c>
      <c r="F999" s="7" t="str">
        <f>IFERROR(__xludf.DUMMYFUNCTION("""COMPUTED_VALUE"""),"Not Pres. ")</f>
        <v>Not Pres. </v>
      </c>
      <c r="G999" s="7" t="str">
        <f>IFERROR(__xludf.DUMMYFUNCTION("""COMPUTED_VALUE"""),"NP Findings Not Presenting ")</f>
        <v>NP Findings Not Presenting </v>
      </c>
      <c r="H999" s="7"/>
      <c r="I999" s="7" t="str">
        <f>IFERROR(__xludf.DUMMYFUNCTION("""COMPUTED_VALUE"""),"NP-Find")</f>
        <v>NP-Find</v>
      </c>
      <c r="J999" s="7"/>
      <c r="K999" s="7"/>
      <c r="L999" s="8"/>
      <c r="M999" s="7"/>
      <c r="N999" s="7"/>
    </row>
    <row r="1000">
      <c r="A1000" s="7" t="str">
        <f>IFERROR(__xludf.DUMMYFUNCTION("""COMPUTED_VALUE"""),"3547-FIND")</f>
        <v>3547-FIND</v>
      </c>
      <c r="B1000" s="7" t="str">
        <f>IFERROR(__xludf.DUMMYFUNCTION("""COMPUTED_VALUE"""),"LM Agents for Coordinating Multi-User Information Gathering")</f>
        <v>LM Agents for Coordinating Multi-User Information Gathering</v>
      </c>
      <c r="C1000" s="7" t="str">
        <f>IFERROR(__xludf.DUMMYFUNCTION("""COMPUTED_VALUE"""),"This paper introduces PeopleJoin, a benchmark for evaluating LM-mediated collaborative problem solving. Given a user request, PeopleJoin agents must identify teammates who might be able to assist, converse with these teammates to gather information, and f"&amp;"inally compile a useful answer or summary for the original user. PeopleJoin comprises two evaluation domains: PeopleJoin-QA, focused on questions about tabular data, and PeopleJoin-DocCreation, focused on document creation tasks. The two domains are adapt"&amp;"ed from existing NLP benchmarks for database question answering and multi-document summarization; here, however, the information needed to complete these tasks is distributed across synthetic ``organizations'' of 2--20 users, simulating natural multi-user"&amp;" collaboration scenarios. We implemented several popular LM agent architectures, evaluating their accuracy and efficiency at completing tasks, and highlight new research questions that can be studied using PeopleJoin.")</f>
        <v>This paper introduces PeopleJoin, a benchmark for evaluating LM-mediated collaborative problem solving. Given a user request, PeopleJoin agents must identify teammates who might be able to assist, converse with these teammates to gather information, and finally compile a useful answer or summary for the original user. PeopleJoin comprises two evaluation domains: PeopleJoin-QA, focused on questions about tabular data, and PeopleJoin-DocCreation, focused on document creation tasks. The two domains are adapted from existing NLP benchmarks for database question answering and multi-document summarization; here, however, the information needed to complete these tasks is distributed across synthetic ``organizations'' of 2--20 users, simulating natural multi-user collaboration scenarios. We implemented several popular LM agent architectures, evaluating their accuracy and efficiency at completing tasks, and highlight new research questions that can be studied using PeopleJoin.</v>
      </c>
      <c r="D1000" s="7" t="str">
        <f>IFERROR(__xludf.DUMMYFUNCTION("""COMPUTED_VALUE"""),"Benjamin Van Durme")</f>
        <v>Benjamin Van Durme</v>
      </c>
      <c r="E1000" s="7" t="str">
        <f>IFERROR(__xludf.DUMMYFUNCTION("""COMPUTED_VALUE"""),"Yes")</f>
        <v>Yes</v>
      </c>
      <c r="F1000" s="7" t="str">
        <f>IFERROR(__xludf.DUMMYFUNCTION("""COMPUTED_VALUE"""),"IP-Poster")</f>
        <v>IP-Poster</v>
      </c>
      <c r="G1000" s="7" t="str">
        <f>IFERROR(__xludf.DUMMYFUNCTION("""COMPUTED_VALUE"""),"In-Person")</f>
        <v>In-Person</v>
      </c>
      <c r="H1000" s="7" t="str">
        <f>IFERROR(__xludf.DUMMYFUNCTION("""COMPUTED_VALUE"""),"Hall 4/5")</f>
        <v>Hall 4/5</v>
      </c>
      <c r="I1000" s="7" t="str">
        <f>IFERROR(__xludf.DUMMYFUNCTION("""COMPUTED_VALUE"""),"Session 5 :IP-Posters Find ")</f>
        <v>Session 5 :IP-Posters Find </v>
      </c>
      <c r="J1000" s="7" t="str">
        <f>IFERROR(__xludf.DUMMYFUNCTION("""COMPUTED_VALUE"""),"Findings Posters - In-Person 1")</f>
        <v>Findings Posters - In-Person 1</v>
      </c>
      <c r="K1000" s="7"/>
      <c r="L1000" s="8">
        <f>IFERROR(__xludf.DUMMYFUNCTION("""COMPUTED_VALUE"""),45866.0)</f>
        <v>45866</v>
      </c>
      <c r="M1000" s="7" t="str">
        <f>IFERROR(__xludf.DUMMYFUNCTION("""COMPUTED_VALUE"""),"18:00-19:30")</f>
        <v>18:00-19:30</v>
      </c>
      <c r="N1000" s="7"/>
    </row>
    <row r="1001">
      <c r="A1001" s="7" t="str">
        <f>IFERROR(__xludf.DUMMYFUNCTION("""COMPUTED_VALUE"""),"3548-FIND")</f>
        <v>3548-FIND</v>
      </c>
      <c r="B1001" s="7" t="str">
        <f>IFERROR(__xludf.DUMMYFUNCTION("""COMPUTED_VALUE"""),"C2KD: Cross-layer and Cross-head Knowledge Distillation for Small Language Model-based Recommendation")</f>
        <v>C2KD: Cross-layer and Cross-head Knowledge Distillation for Small Language Model-based Recommendation</v>
      </c>
      <c r="C1001" s="7" t="str">
        <f>IFERROR(__xludf.DUMMYFUNCTION("""COMPUTED_VALUE"""),"Sequential recommenders predict users’ next interactions based on historical behavior and are essential in modern recommendation systems. While Large Language Models (LLMs) show promise, their size and high inference costs limit deployment on resource-con"&amp;"strained devices. Small Language Models (SLMs) provide a more efficient alternative for edge devices, but bridging the recommendation performance gap between LLMs and SLMs remains challenging. Typical approaches like supervised fine-tuning or vanilla know"&amp;"ledge distillation (KD) often lead to suboptimal performance or even negative transfer. Our motivational experiments reveal key issues with vanilla KD methods: feature imitation suffers from redundancy and uneven recommendation ability across layers, whil"&amp;"e prediction mimicking faces conflicts caused by differing weight distributions of prediction heads. To address these challenges, we propose a simple yet effective framework, C2KD, to transfer task-relevant knowledge from two complementary dimensions. Spe"&amp;"cifically, our method incorporates: (1) cross-layer feature imitation, which uses a dynamic router to select the most relevant teacher layers and assimilate task-relevant knowledge from the teacher’s late layers, allowing the student to concentrate on the"&amp;" teacher’s specialized knowledge; and (2) cross-head logit distillation, which maps the intermediate features of the student to the teacher’s output head, thereby minimizing prediction discrepancies between the teacher and the student. Extensive experimen"&amp;"ts across diverse model families demonstrate that our approach enables 1B-parameter SLMs to achieve competitive performance compared to LLMs (e.g., Llama3-8B), offering a practical solution for real-world on-device sequential recommendations.")</f>
        <v>Sequential recommenders predict users’ next interactions based on historical behavior and are essential in modern recommendation systems. While Large Language Models (LLMs) show promise, their size and high inference costs limit deployment on resource-constrained devices. Small Language Models (SLMs) provide a more efficient alternative for edge devices, but bridging the recommendation performance gap between LLMs and SLMs remains challenging. Typical approaches like supervised fine-tuning or vanilla knowledge distillation (KD) often lead to suboptimal performance or even negative transfer. Our motivational experiments reveal key issues with vanilla KD methods: feature imitation suffers from redundancy and uneven recommendation ability across layers, while prediction mimicking faces conflicts caused by differing weight distributions of prediction heads. To address these challenges, we propose a simple yet effective framework, C2KD, to transfer task-relevant knowledge from two complementary dimensions. Specifically, our method incorporates: (1) cross-layer feature imitation, which uses a dynamic router to select the most relevant teacher layers and assimilate task-relevant knowledge from the teacher’s late layers, allowing the student to concentrate on the teacher’s specialized knowledge; and (2) cross-head logit distillation, which maps the intermediate features of the student to the teacher’s output head, thereby minimizing prediction discrepancies between the teacher and the student. Extensive experiments across diverse model families demonstrate that our approach enables 1B-parameter SLMs to achieve competitive performance compared to LLMs (e.g., Llama3-8B), offering a practical solution for real-world on-device sequential recommendations.</v>
      </c>
      <c r="D1001" s="7" t="str">
        <f>IFERROR(__xludf.DUMMYFUNCTION("""COMPUTED_VALUE"""),"Xiao Chen")</f>
        <v>Xiao Chen</v>
      </c>
      <c r="E1001" s="7" t="str">
        <f>IFERROR(__xludf.DUMMYFUNCTION("""COMPUTED_VALUE"""),"Yes")</f>
        <v>Yes</v>
      </c>
      <c r="F1001" s="7" t="str">
        <f>IFERROR(__xludf.DUMMYFUNCTION("""COMPUTED_VALUE"""),"IP-Poster")</f>
        <v>IP-Poster</v>
      </c>
      <c r="G1001" s="7" t="str">
        <f>IFERROR(__xludf.DUMMYFUNCTION("""COMPUTED_VALUE"""),"In-Person")</f>
        <v>In-Person</v>
      </c>
      <c r="H1001" s="7" t="str">
        <f>IFERROR(__xludf.DUMMYFUNCTION("""COMPUTED_VALUE"""),"Hall 4/5")</f>
        <v>Hall 4/5</v>
      </c>
      <c r="I1001" s="7" t="str">
        <f>IFERROR(__xludf.DUMMYFUNCTION("""COMPUTED_VALUE"""),"Session 10: IP-Posters")</f>
        <v>Session 10: IP-Posters</v>
      </c>
      <c r="J1001" s="7" t="str">
        <f>IFERROR(__xludf.DUMMYFUNCTION("""COMPUTED_VALUE"""),"Findings Posters - In-Person 3")</f>
        <v>Findings Posters - In-Person 3</v>
      </c>
      <c r="K1001" s="7"/>
      <c r="L1001" s="8">
        <f>IFERROR(__xludf.DUMMYFUNCTION("""COMPUTED_VALUE"""),45867.0)</f>
        <v>45867</v>
      </c>
      <c r="M1001" s="7" t="str">
        <f>IFERROR(__xludf.DUMMYFUNCTION("""COMPUTED_VALUE"""),"16:00-17:30")</f>
        <v>16:00-17:30</v>
      </c>
      <c r="N1001" s="7"/>
    </row>
    <row r="1002">
      <c r="A1002" s="7" t="str">
        <f>IFERROR(__xludf.DUMMYFUNCTION("""COMPUTED_VALUE"""),"3549-FIND")</f>
        <v>3549-FIND</v>
      </c>
      <c r="B1002" s="7" t="str">
        <f>IFERROR(__xludf.DUMMYFUNCTION("""COMPUTED_VALUE"""),"Sign2Vis: Automated Data Visualization from Sign Language")</f>
        <v>Sign2Vis: Automated Data Visualization from Sign Language</v>
      </c>
      <c r="C1002" s="7" t="str">
        <f>IFERROR(__xludf.DUMMYFUNCTION("""COMPUTED_VALUE"""),"Data visualizations, such as charts and histograms, are essential for analyzing and exploring data, enabling the effective communication of insights. While existing methods have been proposed to translate natural-language descriptions into visualization q"&amp;"ueries, they focus solely on spoken languages, overlooking sign languages, which comprise about 200 variants used by 70 million Deaf and Hard-of-Hearing (DHH) individuals. To fill this gap, this paper proposes Sign2Vis, a sign-language interface for data "&amp;"visualization, aimed at empowering the DHH community to engage with data analysis. We first construct a paired dataset that includes sign-language pose videos, paired with their corresponding visualization queries. Subsequently, we evaluate a variety of m"&amp;"odels, including both pipeline-based and end-to-end approaches, using the newly created dataset. Extensive experiments, coupled with a user study involving 15 participants, demonstrate the effectiveness of our proposed Sign2Vis. Finally, we share key insi"&amp;"ghts from our evaluation and call for the development of more user-friendly techniques and tools to support the DHH community in conducting more effective interactive data analytics.")</f>
        <v>Data visualizations, such as charts and histograms, are essential for analyzing and exploring data, enabling the effective communication of insights. While existing methods have been proposed to translate natural-language descriptions into visualization queries, they focus solely on spoken languages, overlooking sign languages, which comprise about 200 variants used by 70 million Deaf and Hard-of-Hearing (DHH) individuals. To fill this gap, this paper proposes Sign2Vis, a sign-language interface for data visualization, aimed at empowering the DHH community to engage with data analysis. We first construct a paired dataset that includes sign-language pose videos, paired with their corresponding visualization queries. Subsequently, we evaluate a variety of models, including both pipeline-based and end-to-end approaches, using the newly created dataset. Extensive experiments, coupled with a user study involving 15 participants, demonstrate the effectiveness of our proposed Sign2Vis. Finally, we share key insights from our evaluation and call for the development of more user-friendly techniques and tools to support the DHH community in conducting more effective interactive data analytics.</v>
      </c>
      <c r="D1002" s="7" t="str">
        <f>IFERROR(__xludf.DUMMYFUNCTION("""COMPUTED_VALUE"""),"Yao Wan")</f>
        <v>Yao Wan</v>
      </c>
      <c r="E1002" s="7" t="str">
        <f>IFERROR(__xludf.DUMMYFUNCTION("""COMPUTED_VALUE"""),"N/A")</f>
        <v>N/A</v>
      </c>
      <c r="F1002" s="7" t="str">
        <f>IFERROR(__xludf.DUMMYFUNCTION("""COMPUTED_VALUE"""),"Not Pres. ")</f>
        <v>Not Pres. </v>
      </c>
      <c r="G1002" s="7"/>
      <c r="H1002" s="7"/>
      <c r="I1002" s="7" t="str">
        <f>IFERROR(__xludf.DUMMYFUNCTION("""COMPUTED_VALUE"""),"NP-Find")</f>
        <v>NP-Find</v>
      </c>
      <c r="J1002" s="7"/>
      <c r="K1002" s="7"/>
      <c r="L1002" s="8"/>
      <c r="M1002" s="7"/>
      <c r="N1002" s="7"/>
    </row>
    <row r="1003">
      <c r="A1003" s="7" t="str">
        <f>IFERROR(__xludf.DUMMYFUNCTION("""COMPUTED_VALUE"""),"3550-FIND")</f>
        <v>3550-FIND</v>
      </c>
      <c r="B1003" s="7" t="str">
        <f>IFERROR(__xludf.DUMMYFUNCTION("""COMPUTED_VALUE"""),"Transparentize the Internal and External Knowledge Utilization in LLMs with Trustworthy Citation")</f>
        <v>Transparentize the Internal and External Knowledge Utilization in LLMs with Trustworthy Citation</v>
      </c>
      <c r="C1003" s="7" t="str">
        <f>IFERROR(__xludf.DUMMYFUNCTION("""COMPUTED_VALUE"""),"While hallucinations of large language models could be alleviated through retrieval-augmented generation and citation generation, how the model utilizes internal knowledge is still opaque, and the trustworthiness of its generated answers remains questiona"&amp;"ble. In this work, we introduce Context-Prior Augmented Citation Generation task, requiring models to generate citations considering both external and internal knowledge while providing trustworthy references, with 5 evaluation metrics focusing on 3 aspec"&amp;"ts: answer helpfulness, citation faithfulness, and trustworthiness. We introduce RAEL, the paradigm for our task, and also design INTRALIGN, an integrated method containing customary data generation and an alignment algorithm. Our experimental results sho"&amp;"w that our method achieves a better cross-scenario performance with regard to other baselines. Our extended experiments further reveal that retrieval quality, question types, and model knowledge have considerable influence on the trustworthiness in citati"&amp;"on generation.")</f>
        <v>While hallucinations of large language models could be alleviated through retrieval-augmented generation and citation generation, how the model utilizes internal knowledge is still opaque, and the trustworthiness of its generated answers remains questionable. In this work, we introduce Context-Prior Augmented Citation Generation task, requiring models to generate citations considering both external and internal knowledge while providing trustworthy references, with 5 evaluation metrics focusing on 3 aspects: answer helpfulness, citation faithfulness, and trustworthiness. We introduce RAEL, the paradigm for our task, and also design INTRALIGN, an integrated method containing customary data generation and an alignment algorithm. Our experimental results show that our method achieves a better cross-scenario performance with regard to other baselines. Our extended experiments further reveal that retrieval quality, question types, and model knowledge have considerable influence on the trustworthiness in citation generation.</v>
      </c>
      <c r="D1003" s="7" t="str">
        <f>IFERROR(__xludf.DUMMYFUNCTION("""COMPUTED_VALUE"""),"N/A")</f>
        <v>N/A</v>
      </c>
      <c r="E1003" s="7" t="str">
        <f>IFERROR(__xludf.DUMMYFUNCTION("""COMPUTED_VALUE"""),"#N/A")</f>
        <v>#N/A</v>
      </c>
      <c r="F1003" s="7" t="str">
        <f>IFERROR(__xludf.DUMMYFUNCTION("""COMPUTED_VALUE"""),"Not Pres. ")</f>
        <v>Not Pres. </v>
      </c>
      <c r="G1003" s="7" t="str">
        <f>IFERROR(__xludf.DUMMYFUNCTION("""COMPUTED_VALUE"""),"NP Findings Not Presenting ")</f>
        <v>NP Findings Not Presenting </v>
      </c>
      <c r="H1003" s="7"/>
      <c r="I1003" s="7" t="str">
        <f>IFERROR(__xludf.DUMMYFUNCTION("""COMPUTED_VALUE"""),"NP-Find")</f>
        <v>NP-Find</v>
      </c>
      <c r="J1003" s="7"/>
      <c r="K1003" s="7"/>
      <c r="L1003" s="8"/>
      <c r="M1003" s="7"/>
      <c r="N1003" s="7"/>
    </row>
    <row r="1004">
      <c r="A1004" s="7" t="str">
        <f>IFERROR(__xludf.DUMMYFUNCTION("""COMPUTED_VALUE"""),"3552-FIND")</f>
        <v>3552-FIND</v>
      </c>
      <c r="B1004" s="7" t="str">
        <f>IFERROR(__xludf.DUMMYFUNCTION("""COMPUTED_VALUE"""),"Learning to Better Act by Post-training on Vision Language Tasks")</f>
        <v>Learning to Better Act by Post-training on Vision Language Tasks</v>
      </c>
      <c r="C1004" s="7" t="str">
        <f>IFERROR(__xludf.DUMMYFUNCTION("""COMPUTED_VALUE"""),"Recently, action-based decision-making in open-world environments has gained significant attention. Visual Language Action (VLA) models, pretrained on large-scale web datasets, have shown promise in decision-making tasks. However, previous work has primar"&amp;"ily focused on action post-training, often neglecting enhancements to the foundation model itself. In response, we introduce a novel approach, **Act from Visual Language Post-Training**, which refines Visual Language Models (VLMs) through visual and lingu"&amp;"istic guidance in a self-supervised manner. This enhancement improves the models’ capabilities in world knowledge, visual recognition, and spatial grounding in open-world environments. Our experiments demonstrate that post-training on non-trajectory tasks"&amp;" leads to a significant 40% improvement over the best agent baseline on a diverse set of atomic tasks. Additionally, we show that our approach outperforms traditional imitation learning-based VLA models in Minecraft. We will open-source the code, models, "&amp;"and datasets to foster further research.")</f>
        <v>Recently, action-based decision-making in open-world environments has gained significant attention. Visual Language Action (VLA) models, pretrained on large-scale web datasets, have shown promise in decision-making tasks. However, previous work has primarily focused on action post-training, often neglecting enhancements to the foundation model itself. In response, we introduce a novel approach, **Act from Visual Language Post-Training**, which refines Visual Language Models (VLMs) through visual and linguistic guidance in a self-supervised manner. This enhancement improves the models’ capabilities in world knowledge, visual recognition, and spatial grounding in open-world environments. Our experiments demonstrate that post-training on non-trajectory tasks leads to a significant 40% improvement over the best agent baseline on a diverse set of atomic tasks. Additionally, we show that our approach outperforms traditional imitation learning-based VLA models in Minecraft. We will open-source the code, models, and datasets to foster further research.</v>
      </c>
      <c r="D1004" s="7" t="str">
        <f>IFERROR(__xludf.DUMMYFUNCTION("""COMPUTED_VALUE"""),"Muyao Li")</f>
        <v>Muyao Li</v>
      </c>
      <c r="E1004" s="7" t="str">
        <f>IFERROR(__xludf.DUMMYFUNCTION("""COMPUTED_VALUE"""),"Yes")</f>
        <v>Yes</v>
      </c>
      <c r="F1004" s="7" t="str">
        <f>IFERROR(__xludf.DUMMYFUNCTION("""COMPUTED_VALUE"""),"IP-Poster")</f>
        <v>IP-Poster</v>
      </c>
      <c r="G1004" s="7" t="str">
        <f>IFERROR(__xludf.DUMMYFUNCTION("""COMPUTED_VALUE"""),"In-Person")</f>
        <v>In-Person</v>
      </c>
      <c r="H1004" s="7" t="str">
        <f>IFERROR(__xludf.DUMMYFUNCTION("""COMPUTED_VALUE"""),"Hall 4/5")</f>
        <v>Hall 4/5</v>
      </c>
      <c r="I1004" s="7" t="str">
        <f>IFERROR(__xludf.DUMMYFUNCTION("""COMPUTED_VALUE"""),"Session 10: IP-Posters")</f>
        <v>Session 10: IP-Posters</v>
      </c>
      <c r="J1004" s="7" t="str">
        <f>IFERROR(__xludf.DUMMYFUNCTION("""COMPUTED_VALUE"""),"Findings Posters - In-Person 3")</f>
        <v>Findings Posters - In-Person 3</v>
      </c>
      <c r="K1004" s="7"/>
      <c r="L1004" s="8">
        <f>IFERROR(__xludf.DUMMYFUNCTION("""COMPUTED_VALUE"""),45867.0)</f>
        <v>45867</v>
      </c>
      <c r="M1004" s="7" t="str">
        <f>IFERROR(__xludf.DUMMYFUNCTION("""COMPUTED_VALUE"""),"16:00-17:30")</f>
        <v>16:00-17:30</v>
      </c>
      <c r="N1004" s="7"/>
    </row>
    <row r="1005">
      <c r="A1005" s="7" t="str">
        <f>IFERROR(__xludf.DUMMYFUNCTION("""COMPUTED_VALUE"""),"3554-FIND")</f>
        <v>3554-FIND</v>
      </c>
      <c r="B1005" s="7" t="str">
        <f>IFERROR(__xludf.DUMMYFUNCTION("""COMPUTED_VALUE"""),"Generative Frame Sampler for Long Video Understanding")</f>
        <v>Generative Frame Sampler for Long Video Understanding</v>
      </c>
      <c r="C1005" s="7" t="str">
        <f>IFERROR(__xludf.DUMMYFUNCTION("""COMPUTED_VALUE"""),"Despite recent advances in Video Large Language Models (VideoLLMs), effectively understanding long-form videos remains a significant challenge. Perceiving lengthy videos containing thousands of frames poses substantial computational burden. To mitigate th"&amp;"is issue, this paper introduces Generative Frame Sampler (GenS), a plug-and-play module integrated with VideoLLMs to facilitate efficient lengthy video perception. Built upon a lightweight VideoLLM, GenS leverages its inherent vision-language capabilities"&amp;" to identify question-relevant frames. To facilitate effective retrieval, we construct GenS-Video-150K, a large-scale video instruction dataset with dense frame relevance annotations. Extensive experiments demonstrate that GenS consistently boosts the per"&amp;"formance of various VideoLLMs, including open-source models (Qwen2-VL-7B, Aria-25B, LLaVA-Video-7B/72B) and proprietary assistants (GPT-4o, Gemini). When equipped with GenS, open-source VideoLLMs achieve impressive state-of-the-art results on long-form vi"&amp;"deo benchmarks: LLaVA-Video-72B reaches 66.8 (+4.3) on LongVideoBench and 77.0 (+2.7) on MLVU, while Aria obtains 39.2 on HourVideo surpassing the Gemini-1.5-pro by 1.9 points. All models and datasets will be publicly available.")</f>
        <v>Despite recent advances in Video Large Language Models (VideoLLMs), effectively understanding long-form videos remains a significant challenge. Perceiving lengthy videos containing thousands of frames poses substantial computational burden. To mitigate this issue, this paper introduces Generative Frame Sampler (GenS), a plug-and-play module integrated with VideoLLMs to facilitate efficient lengthy video perception. Built upon a lightweight VideoLLM, GenS leverages its inherent vision-language capabilities to identify question-relevant frames. To facilitate effective retrieval, we construct GenS-Video-150K, a large-scale video instruction dataset with dense frame relevance annotations. Extensive experiments demonstrate that GenS consistently boosts the performance of various VideoLLMs, including open-source models (Qwen2-VL-7B, Aria-25B, LLaVA-Video-7B/72B) and proprietary assistants (GPT-4o, Gemini). When equipped with GenS, open-source VideoLLMs achieve impressive state-of-the-art results on long-form video benchmarks: LLaVA-Video-72B reaches 66.8 (+4.3) on LongVideoBench and 77.0 (+2.7) on MLVU, while Aria obtains 39.2 on HourVideo surpassing the Gemini-1.5-pro by 1.9 points. All models and datasets will be publicly available.</v>
      </c>
      <c r="D1005" s="7" t="str">
        <f>IFERROR(__xludf.DUMMYFUNCTION("""COMPUTED_VALUE"""),"Linli Yao")</f>
        <v>Linli Yao</v>
      </c>
      <c r="E1005" s="7" t="str">
        <f>IFERROR(__xludf.DUMMYFUNCTION("""COMPUTED_VALUE"""),"#N/A")</f>
        <v>#N/A</v>
      </c>
      <c r="F1005" s="7" t="str">
        <f>IFERROR(__xludf.DUMMYFUNCTION("""COMPUTED_VALUE"""),"Not Pres. ")</f>
        <v>Not Pres. </v>
      </c>
      <c r="G1005" s="7" t="str">
        <f>IFERROR(__xludf.DUMMYFUNCTION("""COMPUTED_VALUE"""),"NP Findings Not Presenting ")</f>
        <v>NP Findings Not Presenting </v>
      </c>
      <c r="H1005" s="7"/>
      <c r="I1005" s="7" t="str">
        <f>IFERROR(__xludf.DUMMYFUNCTION("""COMPUTED_VALUE"""),"NP-Find")</f>
        <v>NP-Find</v>
      </c>
      <c r="J1005" s="7"/>
      <c r="K1005" s="7"/>
      <c r="L1005" s="8"/>
      <c r="M1005" s="7"/>
      <c r="N1005" s="7"/>
    </row>
    <row r="1006">
      <c r="A1006" s="7" t="str">
        <f>IFERROR(__xludf.DUMMYFUNCTION("""COMPUTED_VALUE"""),"3565-FIND")</f>
        <v>3565-FIND</v>
      </c>
      <c r="B1006" s="7" t="str">
        <f>IFERROR(__xludf.DUMMYFUNCTION("""COMPUTED_VALUE"""),"Annotating the Annotators: Analysis, Insights and Modelling from an Annotation Campaign on Persuasion Techniques Detection")</f>
        <v>Annotating the Annotators: Analysis, Insights and Modelling from an Annotation Campaign on Persuasion Techniques Detection</v>
      </c>
      <c r="C1006" s="7" t="str">
        <f>IFERROR(__xludf.DUMMYFUNCTION("""COMPUTED_VALUE"""),"Persuasion (or propaganda) techniques detection is a relatively novel task in Natural Language Processing (NLP). While there have already been a number of annotation campaigns, they have been based on heuristic guidelines, which have never been thoroughly"&amp;" discussed. Here, we present the first systematic analysis of a complex annotation task -detecting 22 persuasion techniques in memes-, for which we provided continuous expert oversight. The presence of an expert allowed us to critically analyze specific a"&amp;"spects of the annotation process. Among our findings, we show that inter-annotator agreement alone inadequately assessed annotation correctness. We thus define and track different error types, revealing that expert feedback shows varying effectiveness acr"&amp;"oss error categories. This pattern suggests that distinct mechanisms underlie different kinds of misannotations.
Based on our findings, we advocate for the necessity of expert oversight in annotation tasks and periodic quality audits. In order to reduce t"&amp;"he costs for this, we introduce a probabilistic model for optimizing intervention scheduling. To support future research on annotation quality's impact on model performance, we release our comprehensive dataset containing all individual annotator labels, "&amp;"all consolidated annotations, and all expert revisions.")</f>
        <v>Persuasion (or propaganda) techniques detection is a relatively novel task in Natural Language Processing (NLP). While there have already been a number of annotation campaigns, they have been based on heuristic guidelines, which have never been thoroughly discussed. Here, we present the first systematic analysis of a complex annotation task -detecting 22 persuasion techniques in memes-, for which we provided continuous expert oversight. The presence of an expert allowed us to critically analyze specific aspects of the annotation process. Among our findings, we show that inter-annotator agreement alone inadequately assessed annotation correctness. We thus define and track different error types, revealing that expert feedback shows varying effectiveness across error categories. This pattern suggests that distinct mechanisms underlie different kinds of misannotations.
Based on our findings, we advocate for the necessity of expert oversight in annotation tasks and periodic quality audits. In order to reduce the costs for this, we introduce a probabilistic model for optimizing intervention scheduling. To support future research on annotation quality's impact on model performance, we release our comprehensive dataset containing all individual annotator labels, all consolidated annotations, and all expert revisions.</v>
      </c>
      <c r="D1006" s="7" t="str">
        <f>IFERROR(__xludf.DUMMYFUNCTION("""COMPUTED_VALUE"""),"Davide Bassi")</f>
        <v>Davide Bassi</v>
      </c>
      <c r="E1006" s="7" t="str">
        <f>IFERROR(__xludf.DUMMYFUNCTION("""COMPUTED_VALUE"""),"Yes")</f>
        <v>Yes</v>
      </c>
      <c r="F1006" s="7" t="str">
        <f>IFERROR(__xludf.DUMMYFUNCTION("""COMPUTED_VALUE"""),"IP-Poster")</f>
        <v>IP-Poster</v>
      </c>
      <c r="G1006" s="7" t="str">
        <f>IFERROR(__xludf.DUMMYFUNCTION("""COMPUTED_VALUE"""),"In-Person")</f>
        <v>In-Person</v>
      </c>
      <c r="H1006" s="7" t="str">
        <f>IFERROR(__xludf.DUMMYFUNCTION("""COMPUTED_VALUE"""),"Hall 4/5")</f>
        <v>Hall 4/5</v>
      </c>
      <c r="I1006" s="7" t="str">
        <f>IFERROR(__xludf.DUMMYFUNCTION("""COMPUTED_VALUE"""),"Session 7: IP-Posters")</f>
        <v>Session 7: IP-Posters</v>
      </c>
      <c r="J1006" s="7" t="str">
        <f>IFERROR(__xludf.DUMMYFUNCTION("""COMPUTED_VALUE"""),"Findings Posters - In-Person 2")</f>
        <v>Findings Posters - In-Person 2</v>
      </c>
      <c r="K1006" s="7"/>
      <c r="L1006" s="8">
        <f>IFERROR(__xludf.DUMMYFUNCTION("""COMPUTED_VALUE"""),45867.0)</f>
        <v>45867</v>
      </c>
      <c r="M1006" s="7" t="str">
        <f>IFERROR(__xludf.DUMMYFUNCTION("""COMPUTED_VALUE"""),"10:30-12:00")</f>
        <v>10:30-12:00</v>
      </c>
      <c r="N1006" s="7"/>
    </row>
    <row r="1007">
      <c r="A1007" s="7" t="str">
        <f>IFERROR(__xludf.DUMMYFUNCTION("""COMPUTED_VALUE"""),"3569-FIND")</f>
        <v>3569-FIND</v>
      </c>
      <c r="B1007" s="7" t="str">
        <f>IFERROR(__xludf.DUMMYFUNCTION("""COMPUTED_VALUE"""),"On the Generalization vs Fidelity Paradox in Knowledge Distillation")</f>
        <v>On the Generalization vs Fidelity Paradox in Knowledge Distillation</v>
      </c>
      <c r="C1007" s="7" t="str">
        <f>IFERROR(__xludf.DUMMYFUNCTION("""COMPUTED_VALUE"""),"Knowledge distillation (KD) is a key technique for compressing large language models into smaller ones while preserving performance. Despite the recent traction of KD research, its effectiveness for smaller language models (LMs) and the mechanisms driving"&amp;" knowledge transfer remain underexplored. In this work, we present the first large-scale empirical and statistical analysis of KD across models ranging from 0.5B to 7B parameters on 14 complex reasoning tasks in a zero-shot setting. Our findings reveal th"&amp;"at KD can improve the average performance of smaller models by up to 10%, with a peak task specific gain of 22%, while providing only marginal benefits (∼ 1.3%) for larger models. Surprisingly, teacher performance has a minimal impact on student outcomes,"&amp;" while teacher task expertise impacts KD effectiveness. A correlation study indicates that smaller LMs benefit more from KD, whereas larger LMs show diminished gains. Additionally, we uncover a misalignment between improvements in student performance and "&amp;"reasoning fidelity, suggesting that while KD enhances accuracy, it does not always maintain the structured decision-making processes of the teacher. Our ablation study further highlights the importance of teacher signals and logit smoothing in influencing"&amp;" students’ performance after distillation. Overall, our study offers a comprehensive empirical and statistical assessment of KD, highlighting both its benefits and trade-offs when distilling knowledge from larger to smaller LMs.")</f>
        <v>Knowledge distillation (KD) is a key technique for compressing large language models into smaller ones while preserving performance. Despite the recent traction of KD research, its effectiveness for smaller language models (LMs) and the mechanisms driving knowledge transfer remain underexplored. In this work, we present the first large-scale empirical and statistical analysis of KD across models ranging from 0.5B to 7B parameters on 14 complex reasoning tasks in a zero-shot setting. Our findings reveal that KD can improve the average performance of smaller models by up to 10%, with a peak task specific gain of 22%, while providing only marginal benefits (∼ 1.3%) for larger models. Surprisingly, teacher performance has a minimal impact on student outcomes, while teacher task expertise impacts KD effectiveness. A correlation study indicates that smaller LMs benefit more from KD, whereas larger LMs show diminished gains. Additionally, we uncover a misalignment between improvements in student performance and reasoning fidelity, suggesting that while KD enhances accuracy, it does not always maintain the structured decision-making processes of the teacher. Our ablation study further highlights the importance of teacher signals and logit smoothing in influencing students’ performance after distillation. Overall, our study offers a comprehensive empirical and statistical assessment of KD, highlighting both its benefits and trade-offs when distilling knowledge from larger to smaller LMs.</v>
      </c>
      <c r="D1007" s="7" t="str">
        <f>IFERROR(__xludf.DUMMYFUNCTION("""COMPUTED_VALUE"""),"Tanmoy Chakraborty")</f>
        <v>Tanmoy Chakraborty</v>
      </c>
      <c r="E1007" s="7" t="str">
        <f>IFERROR(__xludf.DUMMYFUNCTION("""COMPUTED_VALUE"""),"Yes")</f>
        <v>Yes</v>
      </c>
      <c r="F1007" s="7" t="str">
        <f>IFERROR(__xludf.DUMMYFUNCTION("""COMPUTED_VALUE"""),"IP-Poster")</f>
        <v>IP-Poster</v>
      </c>
      <c r="G1007" s="7" t="str">
        <f>IFERROR(__xludf.DUMMYFUNCTION("""COMPUTED_VALUE"""),"In-Person")</f>
        <v>In-Person</v>
      </c>
      <c r="H1007" s="7" t="str">
        <f>IFERROR(__xludf.DUMMYFUNCTION("""COMPUTED_VALUE"""),"Hall 4/5")</f>
        <v>Hall 4/5</v>
      </c>
      <c r="I1007" s="7" t="str">
        <f>IFERROR(__xludf.DUMMYFUNCTION("""COMPUTED_VALUE"""),"Session 10: IP-Posters")</f>
        <v>Session 10: IP-Posters</v>
      </c>
      <c r="J1007" s="7" t="str">
        <f>IFERROR(__xludf.DUMMYFUNCTION("""COMPUTED_VALUE"""),"Findings Posters - In-Person 3")</f>
        <v>Findings Posters - In-Person 3</v>
      </c>
      <c r="K1007" s="7"/>
      <c r="L1007" s="8">
        <f>IFERROR(__xludf.DUMMYFUNCTION("""COMPUTED_VALUE"""),45867.0)</f>
        <v>45867</v>
      </c>
      <c r="M1007" s="7" t="str">
        <f>IFERROR(__xludf.DUMMYFUNCTION("""COMPUTED_VALUE"""),"16:00-17:30")</f>
        <v>16:00-17:30</v>
      </c>
      <c r="N1007" s="7"/>
    </row>
    <row r="1008">
      <c r="A1008" s="7" t="str">
        <f>IFERROR(__xludf.DUMMYFUNCTION("""COMPUTED_VALUE"""),"3571-FIND")</f>
        <v>3571-FIND</v>
      </c>
      <c r="B1008" s="7" t="str">
        <f>IFERROR(__xludf.DUMMYFUNCTION("""COMPUTED_VALUE"""),"BEDAA: Bayesian Enhanced DeBERTa for Uncertainty-Aware Authorship Attribution")</f>
        <v>BEDAA: Bayesian Enhanced DeBERTa for Uncertainty-Aware Authorship Attribution</v>
      </c>
      <c r="C1008" s="7" t="str">
        <f>IFERROR(__xludf.DUMMYFUNCTION("""COMPUTED_VALUE"""),"Authorship Attribution (AA) seeks to identify the author of a given text, yet existing methods often struggle with trustworthiness and interpretability, particularly across different domains, languages, and stylistic variations. These challenges arise fro"&amp;"m the absence of uncertainty quantification and the inability of current models to adapt to diverse authorship tasks. To address these limitations, we introduce BEDAA, a Bayesian-Enhanced DeBERTa framework that integrates Bayesian reasoning with transform"&amp;"er-based language models to enable uncertainty-aware and interpretable authorship attribution. BEDAA achieves up to 19.69% improvement in F1-score across multiple authorship attribution tasks, including binary, multiclass, and dynamic authorship detection"&amp;". By incorporating confidence ranking, uncertainty decomposition, and probabilistic reasoning, BEDAA improves robustness while offering transparent decision-making processes. Furthermore, BEDAA extends beyond traditional AA by demonstrating its effectiven"&amp;"ess in human vs. machine-generated text classification, code authorship detection, and cross-lingual attribution. These advances establish BEDAA as a generalised, interpretable, and adaptable framework for modern authorship attribution challenges.")</f>
        <v>Authorship Attribution (AA) seeks to identify the author of a given text, yet existing methods often struggle with trustworthiness and interpretability, particularly across different domains, languages, and stylistic variations. These challenges arise from the absence of uncertainty quantification and the inability of current models to adapt to diverse authorship tasks. To address these limitations, we introduce BEDAA, a Bayesian-Enhanced DeBERTa framework that integrates Bayesian reasoning with transformer-based language models to enable uncertainty-aware and interpretable authorship attribution. BEDAA achieves up to 19.69% improvement in F1-score across multiple authorship attribution tasks, including binary, multiclass, and dynamic authorship detection. By incorporating confidence ranking, uncertainty decomposition, and probabilistic reasoning, BEDAA improves robustness while offering transparent decision-making processes. Furthermore, BEDAA extends beyond traditional AA by demonstrating its effectiveness in human vs. machine-generated text classification, code authorship detection, and cross-lingual attribution. These advances establish BEDAA as a generalised, interpretable, and adaptable framework for modern authorship attribution challenges.</v>
      </c>
      <c r="D1008" s="7" t="str">
        <f>IFERROR(__xludf.DUMMYFUNCTION("""COMPUTED_VALUE"""),"Iqra Zahid")</f>
        <v>Iqra Zahid</v>
      </c>
      <c r="E1008" s="7" t="str">
        <f>IFERROR(__xludf.DUMMYFUNCTION("""COMPUTED_VALUE"""),"Yes")</f>
        <v>Yes</v>
      </c>
      <c r="F1008" s="7" t="str">
        <f>IFERROR(__xludf.DUMMYFUNCTION("""COMPUTED_VALUE"""),"IP-Poster")</f>
        <v>IP-Poster</v>
      </c>
      <c r="G1008" s="7" t="str">
        <f>IFERROR(__xludf.DUMMYFUNCTION("""COMPUTED_VALUE"""),"In-Person")</f>
        <v>In-Person</v>
      </c>
      <c r="H1008" s="7" t="str">
        <f>IFERROR(__xludf.DUMMYFUNCTION("""COMPUTED_VALUE"""),"Hall 4/5")</f>
        <v>Hall 4/5</v>
      </c>
      <c r="I1008" s="7" t="str">
        <f>IFERROR(__xludf.DUMMYFUNCTION("""COMPUTED_VALUE"""),"Session 12: IP-Posters")</f>
        <v>Session 12: IP-Posters</v>
      </c>
      <c r="J1008" s="7" t="str">
        <f>IFERROR(__xludf.DUMMYFUNCTION("""COMPUTED_VALUE"""),"Findings Posters - In-Person 4")</f>
        <v>Findings Posters - In-Person 4</v>
      </c>
      <c r="K1008" s="7"/>
      <c r="L1008" s="8">
        <f>IFERROR(__xludf.DUMMYFUNCTION("""COMPUTED_VALUE"""),45868.0)</f>
        <v>45868</v>
      </c>
      <c r="M1008" s="7" t="str">
        <f>IFERROR(__xludf.DUMMYFUNCTION("""COMPUTED_VALUE"""),"11:00-12:30")</f>
        <v>11:00-12:30</v>
      </c>
      <c r="N1008" s="7"/>
    </row>
    <row r="1009">
      <c r="A1009" s="7" t="str">
        <f>IFERROR(__xludf.DUMMYFUNCTION("""COMPUTED_VALUE"""),"3572-FIND")</f>
        <v>3572-FIND</v>
      </c>
      <c r="B1009" s="7" t="str">
        <f>IFERROR(__xludf.DUMMYFUNCTION("""COMPUTED_VALUE"""),"Benchmarking the Benchmarks: Reproducing Climate-Related NLP Tasks")</f>
        <v>Benchmarking the Benchmarks: Reproducing Climate-Related NLP Tasks</v>
      </c>
      <c r="C1009" s="7" t="str">
        <f>IFERROR(__xludf.DUMMYFUNCTION("""COMPUTED_VALUE"""),"Nowadays, news, legislation, guidelines, and corporate reports are discussing the impact of climate change, how to best prevent future damage and adapt to a changing environment. Navigating this wealth of information can be overwhelming for citizens, jour"&amp;"nalists, legislators, and other stakeholders. Hence, significant efforts have been made in the natural language processing community to facilitate the automatic analysis of a large corpus of text via tasks such as climate-related topic detection, climate "&amp;"risk classification, question answering over climate topics, and many more. In this work, we perform a reproducibility study on 8 tasks and 29 datasets, testing 6 models. Our goal is to highlight potential issues within datasets and evaluation methodologi"&amp;"es while also providing cleaned versions of those datasets and a reliable testing platform. We identify in each dataset annotation errors, which can be leveraged to provide new and higher quality datasets. Finally, we release a toolbox containing the clea"&amp;"ned datasets and the evaluation code of models, together with a pipeline for applying the models on corporate documents.")</f>
        <v>Nowadays, news, legislation, guidelines, and corporate reports are discussing the impact of climate change, how to best prevent future damage and adapt to a changing environment. Navigating this wealth of information can be overwhelming for citizens, journalists, legislators, and other stakeholders. Hence, significant efforts have been made in the natural language processing community to facilitate the automatic analysis of a large corpus of text via tasks such as climate-related topic detection, climate risk classification, question answering over climate topics, and many more. In this work, we perform a reproducibility study on 8 tasks and 29 datasets, testing 6 models. Our goal is to highlight potential issues within datasets and evaluation methodologies while also providing cleaned versions of those datasets and a reliable testing platform. We identify in each dataset annotation errors, which can be leveraged to provide new and higher quality datasets. Finally, we release a toolbox containing the cleaned datasets and the evaluation code of models, together with a pipeline for applying the models on corporate documents.</v>
      </c>
      <c r="D1009" s="7" t="str">
        <f>IFERROR(__xludf.DUMMYFUNCTION("""COMPUTED_VALUE"""),"Calamai Tom")</f>
        <v>Calamai Tom</v>
      </c>
      <c r="E1009" s="7" t="str">
        <f>IFERROR(__xludf.DUMMYFUNCTION("""COMPUTED_VALUE"""),"Yes")</f>
        <v>Yes</v>
      </c>
      <c r="F1009" s="7" t="str">
        <f>IFERROR(__xludf.DUMMYFUNCTION("""COMPUTED_VALUE"""),"IP-Poster")</f>
        <v>IP-Poster</v>
      </c>
      <c r="G1009" s="7" t="str">
        <f>IFERROR(__xludf.DUMMYFUNCTION("""COMPUTED_VALUE"""),"In-Person")</f>
        <v>In-Person</v>
      </c>
      <c r="H1009" s="7" t="str">
        <f>IFERROR(__xludf.DUMMYFUNCTION("""COMPUTED_VALUE"""),"Hall 4/5")</f>
        <v>Hall 4/5</v>
      </c>
      <c r="I1009" s="7" t="str">
        <f>IFERROR(__xludf.DUMMYFUNCTION("""COMPUTED_VALUE"""),"Session 7: IP-Posters")</f>
        <v>Session 7: IP-Posters</v>
      </c>
      <c r="J1009" s="7" t="str">
        <f>IFERROR(__xludf.DUMMYFUNCTION("""COMPUTED_VALUE"""),"Findings Posters - In-Person 2")</f>
        <v>Findings Posters - In-Person 2</v>
      </c>
      <c r="K1009" s="7"/>
      <c r="L1009" s="8">
        <f>IFERROR(__xludf.DUMMYFUNCTION("""COMPUTED_VALUE"""),45867.0)</f>
        <v>45867</v>
      </c>
      <c r="M1009" s="7" t="str">
        <f>IFERROR(__xludf.DUMMYFUNCTION("""COMPUTED_VALUE"""),"10:30-12:00")</f>
        <v>10:30-12:00</v>
      </c>
      <c r="N1009" s="7"/>
    </row>
    <row r="1010">
      <c r="A1010" s="7" t="str">
        <f>IFERROR(__xludf.DUMMYFUNCTION("""COMPUTED_VALUE"""),"3576-FIND")</f>
        <v>3576-FIND</v>
      </c>
      <c r="B1010" s="7" t="str">
        <f>IFERROR(__xludf.DUMMYFUNCTION("""COMPUTED_VALUE"""),"Exploring Anthropomorphic Language in the Reporting of NLP Findings")</f>
        <v>Exploring Anthropomorphic Language in the Reporting of NLP Findings</v>
      </c>
      <c r="C1010" s="7" t="str">
        <f>IFERROR(__xludf.DUMMYFUNCTION("""COMPUTED_VALUE"""),"We investigate the prevalence of anthropomorphic language in the reporting of AI technology, focussed on NLP and LLMs. We undertake a corpus annotation focussing on one year of ACL long-paper abstracts and news articles from the same period. We find that "&amp;"74% of ACL abstracts and 88% of news articles contain some form of anthropomorphic description of AI technology. Further, we train a regression classifier based on BERT, demonstrating that we can automatically label abstracts for their degree of anthropom"&amp;"orphism based on our corpus. We conclude by applying this labelling process to abstracts available in the entire history of the ACL Anthology and reporting on diachronic and inter-venue findings, showing that the degree of anthropomorphism is increasing a"&amp;"t all examined venues over time.")</f>
        <v>We investigate the prevalence of anthropomorphic language in the reporting of AI technology, focussed on NLP and LLMs. We undertake a corpus annotation focussing on one year of ACL long-paper abstracts and news articles from the same period. We find that 74% of ACL abstracts and 88% of news articles contain some form of anthropomorphic description of AI technology. Further, we train a regression classifier based on BERT, demonstrating that we can automatically label abstracts for their degree of anthropomorphism based on our corpus. We conclude by applying this labelling process to abstracts available in the entire history of the ACL Anthology and reporting on diachronic and inter-venue findings, showing that the degree of anthropomorphism is increasing at all examined venues over time.</v>
      </c>
      <c r="D1010" s="7" t="str">
        <f>IFERROR(__xludf.DUMMYFUNCTION("""COMPUTED_VALUE"""),"Matthew Shardlow")</f>
        <v>Matthew Shardlow</v>
      </c>
      <c r="E1010" s="7" t="str">
        <f>IFERROR(__xludf.DUMMYFUNCTION("""COMPUTED_VALUE"""),"Yes")</f>
        <v>Yes</v>
      </c>
      <c r="F1010" s="7" t="str">
        <f>IFERROR(__xludf.DUMMYFUNCTION("""COMPUTED_VALUE"""),"IP-Poster")</f>
        <v>IP-Poster</v>
      </c>
      <c r="G1010" s="7" t="str">
        <f>IFERROR(__xludf.DUMMYFUNCTION("""COMPUTED_VALUE"""),"In-Person")</f>
        <v>In-Person</v>
      </c>
      <c r="H1010" s="7" t="str">
        <f>IFERROR(__xludf.DUMMYFUNCTION("""COMPUTED_VALUE"""),"Hall 4/5")</f>
        <v>Hall 4/5</v>
      </c>
      <c r="I1010" s="7" t="str">
        <f>IFERROR(__xludf.DUMMYFUNCTION("""COMPUTED_VALUE"""),"Session 7: IP-Posters")</f>
        <v>Session 7: IP-Posters</v>
      </c>
      <c r="J1010" s="7" t="str">
        <f>IFERROR(__xludf.DUMMYFUNCTION("""COMPUTED_VALUE"""),"Findings Posters - In-Person 2")</f>
        <v>Findings Posters - In-Person 2</v>
      </c>
      <c r="K1010" s="7"/>
      <c r="L1010" s="8">
        <f>IFERROR(__xludf.DUMMYFUNCTION("""COMPUTED_VALUE"""),45867.0)</f>
        <v>45867</v>
      </c>
      <c r="M1010" s="7" t="str">
        <f>IFERROR(__xludf.DUMMYFUNCTION("""COMPUTED_VALUE"""),"10:30-12:00")</f>
        <v>10:30-12:00</v>
      </c>
      <c r="N1010" s="7"/>
    </row>
    <row r="1011">
      <c r="A1011" s="7" t="str">
        <f>IFERROR(__xludf.DUMMYFUNCTION("""COMPUTED_VALUE"""),"3577-FIND")</f>
        <v>3577-FIND</v>
      </c>
      <c r="B1011" s="7" t="str">
        <f>IFERROR(__xludf.DUMMYFUNCTION("""COMPUTED_VALUE"""),"PersonaLens: A Benchmark for Personalization Evaluation in Conversational AI Assistants")</f>
        <v>PersonaLens: A Benchmark for Personalization Evaluation in Conversational AI Assistants</v>
      </c>
      <c r="C1011" s="7" t="str">
        <f>IFERROR(__xludf.DUMMYFUNCTION("""COMPUTED_VALUE"""),"Large language models (LLMs) have advanced conversational AI assistants. However, systematically evaluating how well these assistants apply personalization—adapting to individual user preferences while completing tasks—remains challenging. Existing person"&amp;"alization benchmarks focus on chit-chat, non-conversational tasks, or narrow domains, failing to capture the complexities of personalized task-oriented assistance. To address this, we introduce PersonaLens, a comprehensive benchmark for evaluating persona"&amp;"lization in task-oriented AI assistants. Our benchmark features diverse user profiles equipped with rich preferences and interaction histories, along with two specialized LLM-based agents: a user agent that engages in realistic task-oriented dialogues wit"&amp;"h AI assistants, and a judge agent that employs the LLM-as-a-Judge paradigm to assess personalization, response quality, and task success. Through extensive experiments with current LLM assistants across diverse tasks, we reveal significant variability in"&amp;" their personalization capabilities, providing crucial insights for advancing conversational AI systems.")</f>
        <v>Large language models (LLMs) have advanced conversational AI assistants. However, systematically evaluating how well these assistants apply personalization—adapting to individual user preferences while completing tasks—remains challenging. Existing personalization benchmarks focus on chit-chat, non-conversational tasks, or narrow domains, failing to capture the complexities of personalized task-oriented assistance. To address this, we introduce PersonaLens, a comprehensive benchmark for evaluating personalization in task-oriented AI assistants. Our benchmark features diverse user profiles equipped with rich preferences and interaction histories, along with two specialized LLM-based agents: a user agent that engages in realistic task-oriented dialogues with AI assistants, and a judge agent that employs the LLM-as-a-Judge paradigm to assess personalization, response quality, and task success. Through extensive experiments with current LLM assistants across diverse tasks, we reveal significant variability in their personalization capabilities, providing crucial insights for advancing conversational AI systems.</v>
      </c>
      <c r="D1011" s="7" t="str">
        <f>IFERROR(__xludf.DUMMYFUNCTION("""COMPUTED_VALUE"""),"Zheng Zhao")</f>
        <v>Zheng Zhao</v>
      </c>
      <c r="E1011" s="7" t="str">
        <f>IFERROR(__xludf.DUMMYFUNCTION("""COMPUTED_VALUE"""),"Yes")</f>
        <v>Yes</v>
      </c>
      <c r="F1011" s="7" t="str">
        <f>IFERROR(__xludf.DUMMYFUNCTION("""COMPUTED_VALUE"""),"IP-Poster")</f>
        <v>IP-Poster</v>
      </c>
      <c r="G1011" s="7" t="str">
        <f>IFERROR(__xludf.DUMMYFUNCTION("""COMPUTED_VALUE"""),"In-Person")</f>
        <v>In-Person</v>
      </c>
      <c r="H1011" s="7" t="str">
        <f>IFERROR(__xludf.DUMMYFUNCTION("""COMPUTED_VALUE"""),"Hall 4/5")</f>
        <v>Hall 4/5</v>
      </c>
      <c r="I1011" s="7" t="str">
        <f>IFERROR(__xludf.DUMMYFUNCTION("""COMPUTED_VALUE"""),"Session 7: IP-Posters")</f>
        <v>Session 7: IP-Posters</v>
      </c>
      <c r="J1011" s="7" t="str">
        <f>IFERROR(__xludf.DUMMYFUNCTION("""COMPUTED_VALUE"""),"Findings Posters - In-Person 2")</f>
        <v>Findings Posters - In-Person 2</v>
      </c>
      <c r="K1011" s="7"/>
      <c r="L1011" s="8">
        <f>IFERROR(__xludf.DUMMYFUNCTION("""COMPUTED_VALUE"""),45867.0)</f>
        <v>45867</v>
      </c>
      <c r="M1011" s="7" t="str">
        <f>IFERROR(__xludf.DUMMYFUNCTION("""COMPUTED_VALUE"""),"10:30-12:00")</f>
        <v>10:30-12:00</v>
      </c>
      <c r="N1011" s="7"/>
    </row>
    <row r="1012">
      <c r="A1012" s="7" t="str">
        <f>IFERROR(__xludf.DUMMYFUNCTION("""COMPUTED_VALUE"""),"3579-FIND")</f>
        <v>3579-FIND</v>
      </c>
      <c r="B1012" s="7" t="str">
        <f>IFERROR(__xludf.DUMMYFUNCTION("""COMPUTED_VALUE"""),"iAgent: LLM Agent as a Shield between User and Recommender Systems")</f>
        <v>iAgent: LLM Agent as a Shield between User and Recommender Systems</v>
      </c>
      <c r="C1012" s="7" t="str">
        <f>IFERROR(__xludf.DUMMYFUNCTION("""COMPUTED_VALUE"""),"Traditional recommender systems usually take the user-platform paradigm, where users are directly exposed under the control of the platform's recommendation algorithms. However, the defect of recommendation algorithms may put users in very vulnerable posi"&amp;"tions under this paradigm. First, many sophisticated models are often designed with commercial objectives in mind, focusing on the platform's benefits, which may hinder their ability to protect and capture users' true interests. Second, these models are t"&amp;"ypically optimized using data from all users, which may overlook individual user's preferences. Due to these shortcomings, users may experience several disadvantages under the traditional user-platform direct exposure paradigm, such as lack of control ove"&amp;"r the recommender system, potential manipulation by the platform, echo chamber effects, or lack of personalization for less active users due to the dominance of active users during collaborative learning. Therefore, there is an urgent need to develop a ne"&amp;"w paradigm to protect user interests and alleviate these issues. Recently, some researchers have introduced LLM agents to simulate user behaviors, these approaches primarily aim to optimize platform-side performance, leaving core issues in recommender sys"&amp;"tems unresolved. To address these limitations, we propose a new user-agent-platform paradigm, where agent serves as the protective shield between user and recommender system that enables indirect exposure. To this end, we first construct four recommendati"&amp;"on datasets, denoted as InstructRec, along with user instructions for each record. To understand user's intention, we design an Instruction-aware Agent capable of using tools to acquire knowledge from external environments. Moreover, we introduce an Indiv"&amp;"idual Instruction-aware Agent, which incorporates a dynamic memory mechanism to optimize from individual feedback. Results on four datasets demonstrate that consistently achieves an average improvement of 16.6% over SOTA baselines across ranking metrics. "&amp;"Moreover, iAgent mitigates echo chamber effects and effectively alleviates the model bias in disadvantaged users (less-active), serving as a shield between user and recommender systems.")</f>
        <v>Traditional recommender systems usually take the user-platform paradigm, where users are directly exposed under the control of the platform's recommendation algorithms. However, the defect of recommendation algorithms may put users in very vulnerable positions under this paradigm. First, many sophisticated models are often designed with commercial objectives in mind, focusing on the platform's benefits, which may hinder their ability to protect and capture users' true interests. Second, these models are typically optimized using data from all users, which may overlook individual user's preferences. Due to these shortcomings, users may experience several disadvantages under the traditional user-platform direct exposure paradigm, such as lack of control over the recommender system, potential manipulation by the platform, echo chamber effects, or lack of personalization for less active users due to the dominance of active users during collaborative learning. Therefore, there is an urgent need to develop a new paradigm to protect user interests and alleviate these issues. Recently, some researchers have introduced LLM agents to simulate user behaviors, these approaches primarily aim to optimize platform-side performance, leaving core issues in recommender systems unresolved. To address these limitations, we propose a new user-agent-platform paradigm, where agent serves as the protective shield between user and recommender system that enables indirect exposure. To this end, we first construct four recommendation datasets, denoted as InstructRec, along with user instructions for each record. To understand user's intention, we design an Instruction-aware Agent capable of using tools to acquire knowledge from external environments. Moreover, we introduce an Individual Instruction-aware Agent, which incorporates a dynamic memory mechanism to optimize from individual feedback. Results on four datasets demonstrate that consistently achieves an average improvement of 16.6% over SOTA baselines across ranking metrics. Moreover, iAgent mitigates echo chamber effects and effectively alleviates the model bias in disadvantaged users (less-active), serving as a shield between user and recommender systems.</v>
      </c>
      <c r="D1012" s="7" t="str">
        <f>IFERROR(__xludf.DUMMYFUNCTION("""COMPUTED_VALUE"""),"Wujiang Xu")</f>
        <v>Wujiang Xu</v>
      </c>
      <c r="E1012" s="7" t="str">
        <f>IFERROR(__xludf.DUMMYFUNCTION("""COMPUTED_VALUE"""),"#N/A")</f>
        <v>#N/A</v>
      </c>
      <c r="F1012" s="7" t="str">
        <f>IFERROR(__xludf.DUMMYFUNCTION("""COMPUTED_VALUE"""),"Not Pres. ")</f>
        <v>Not Pres. </v>
      </c>
      <c r="G1012" s="7" t="str">
        <f>IFERROR(__xludf.DUMMYFUNCTION("""COMPUTED_VALUE"""),"NP Findings Not Presenting ")</f>
        <v>NP Findings Not Presenting </v>
      </c>
      <c r="H1012" s="7"/>
      <c r="I1012" s="7" t="str">
        <f>IFERROR(__xludf.DUMMYFUNCTION("""COMPUTED_VALUE"""),"NP-Find")</f>
        <v>NP-Find</v>
      </c>
      <c r="J1012" s="7"/>
      <c r="K1012" s="7"/>
      <c r="L1012" s="8"/>
      <c r="M1012" s="7"/>
      <c r="N1012" s="7"/>
    </row>
    <row r="1013">
      <c r="A1013" s="7" t="str">
        <f>IFERROR(__xludf.DUMMYFUNCTION("""COMPUTED_VALUE"""),"3580-FIND")</f>
        <v>3580-FIND</v>
      </c>
      <c r="B1013" s="7" t="str">
        <f>IFERROR(__xludf.DUMMYFUNCTION("""COMPUTED_VALUE"""),"FactLens: Benchmarking Fine-Grained Fact Verification")</f>
        <v>FactLens: Benchmarking Fine-Grained Fact Verification</v>
      </c>
      <c r="C1013" s="7" t="str">
        <f>IFERROR(__xludf.DUMMYFUNCTION("""COMPUTED_VALUE"""),"Large Language Models (LLMs) have shown impressive capability in language generation and understanding, but their tendency to hallucinate and produce factually incorrect information remains a key limitation. To verify LLM-generated contents and claims fro"&amp;"m other sources, traditional verification approaches often rely on holistic models that assign a single factuality label to complex claims, potentially obscuring nuanced errors. In this paper, we advocate for a shift toward fine-grained verification, wher"&amp;"e complex claims are broken down into smaller sub-claims for individual verification, allowing for more precise identification of inaccuracies, improved transparency, and reduced ambiguity in evidence retrieval. However, generating sub-claims poses challe"&amp;"nges, such as maintaining context and ensuring semantic equivalence with respect to the original claim. We introduce **FactLens**, a benchmark for evaluating fine-grained fact verification, with metrics and automated evaluators of sub-claim quality. The b"&amp;"enchmark data is manually curated to ensure high-quality ground truth. Our results show alignment between automated FactLens evaluators and human judgments, and we discuss the impact of sub-claim characteristics on the overall verification performance.")</f>
        <v>Large Language Models (LLMs) have shown impressive capability in language generation and understanding, but their tendency to hallucinate and produce factually incorrect information remains a key limitation. To verify LLM-generated contents and claims from other sources, traditional verification approaches often rely on holistic models that assign a single factuality label to complex claims, potentially obscuring nuanced errors. In this paper, we advocate for a shift toward fine-grained verification, where complex claims are broken down into smaller sub-claims for individual verification, allowing for more precise identification of inaccuracies, improved transparency, and reduced ambiguity in evidence retrieval. However, generating sub-claims poses challenges, such as maintaining context and ensuring semantic equivalence with respect to the original claim. We introduce **FactLens**, a benchmark for evaluating fine-grained fact verification, with metrics and automated evaluators of sub-claim quality. The benchmark data is manually curated to ensure high-quality ground truth. Our results show alignment between automated FactLens evaluators and human judgments, and we discuss the impact of sub-claim characteristics on the overall verification performance.</v>
      </c>
      <c r="D1013" s="7" t="str">
        <f>IFERROR(__xludf.DUMMYFUNCTION("""COMPUTED_VALUE"""),"Kushan Mitra")</f>
        <v>Kushan Mitra</v>
      </c>
      <c r="E1013" s="7" t="str">
        <f>IFERROR(__xludf.DUMMYFUNCTION("""COMPUTED_VALUE"""),"Yes")</f>
        <v>Yes</v>
      </c>
      <c r="F1013" s="7" t="str">
        <f>IFERROR(__xludf.DUMMYFUNCTION("""COMPUTED_VALUE"""),"IP-Poster")</f>
        <v>IP-Poster</v>
      </c>
      <c r="G1013" s="7" t="str">
        <f>IFERROR(__xludf.DUMMYFUNCTION("""COMPUTED_VALUE"""),"In-Person")</f>
        <v>In-Person</v>
      </c>
      <c r="H1013" s="7" t="str">
        <f>IFERROR(__xludf.DUMMYFUNCTION("""COMPUTED_VALUE"""),"Hall 4/5")</f>
        <v>Hall 4/5</v>
      </c>
      <c r="I1013" s="7" t="str">
        <f>IFERROR(__xludf.DUMMYFUNCTION("""COMPUTED_VALUE"""),"Session 12: IP-Posters")</f>
        <v>Session 12: IP-Posters</v>
      </c>
      <c r="J1013" s="7" t="str">
        <f>IFERROR(__xludf.DUMMYFUNCTION("""COMPUTED_VALUE"""),"Findings Posters - In-Person 4")</f>
        <v>Findings Posters - In-Person 4</v>
      </c>
      <c r="K1013" s="7"/>
      <c r="L1013" s="8">
        <f>IFERROR(__xludf.DUMMYFUNCTION("""COMPUTED_VALUE"""),45868.0)</f>
        <v>45868</v>
      </c>
      <c r="M1013" s="7" t="str">
        <f>IFERROR(__xludf.DUMMYFUNCTION("""COMPUTED_VALUE"""),"11:00-12:30")</f>
        <v>11:00-12:30</v>
      </c>
      <c r="N1013" s="7"/>
    </row>
    <row r="1014">
      <c r="A1014" s="7" t="str">
        <f>IFERROR(__xludf.DUMMYFUNCTION("""COMPUTED_VALUE"""),"3582-FIND")</f>
        <v>3582-FIND</v>
      </c>
      <c r="B1014" s="7" t="str">
        <f>IFERROR(__xludf.DUMMYFUNCTION("""COMPUTED_VALUE"""),"Process-based Self-Rewarding Language Models")</f>
        <v>Process-based Self-Rewarding Language Models</v>
      </c>
      <c r="C1014" s="7" t="str">
        <f>IFERROR(__xludf.DUMMYFUNCTION("""COMPUTED_VALUE"""),"Large Language Models have demonstrated outstanding performance across various downstream tasks and have been widely applied in multiple scenarios. Human-annotated preference data is used for training to further improve LLMs' performance, which is constra"&amp;"ined by the upper limit of human performance. Therefore, Self-Rewarding method has been proposed, where LLMs generate training data by rewarding their own outputs. However, the existing self-rewarding paradigm is not effective in mathematical reasoning sc"&amp;"enarios and may even lead to a decline in performance. In this work, we propose the Process-based Self-Rewarding pipeline for language models, which introduces long-thought reasoning, step-wise LLM-as-a-Judge, and step-wise preference optimization within "&amp;"the self-rewarding paradigm. Our new paradigm successfully enhances the performance of LLMs on multiple mathematical reasoning benchmarks through iterative Process-based Self-Rewarding, demonstrating the immense potential of self-rewarding to achieve arti"&amp;"ficial intelligence that may surpass human capabilities.")</f>
        <v>Large Language Models have demonstrated outstanding performance across various downstream tasks and have been widely applied in multiple scenarios. Human-annotated preference data is used for training to further improve LLMs' performance, which is constrained by the upper limit of human performance. Therefore, Self-Rewarding method has been proposed, where LLMs generate training data by rewarding their own outputs. However, the existing self-rewarding paradigm is not effective in mathematical reasoning scenarios and may even lead to a decline in performance. In this work, we propose the Process-based Self-Rewarding pipeline for language models, which introduces long-thought reasoning, step-wise LLM-as-a-Judge, and step-wise preference optimization within the self-rewarding paradigm. Our new paradigm successfully enhances the performance of LLMs on multiple mathematical reasoning benchmarks through iterative Process-based Self-Rewarding, demonstrating the immense potential of self-rewarding to achieve artificial intelligence that may surpass human capabilities.</v>
      </c>
      <c r="D1014" s="7" t="str">
        <f>IFERROR(__xludf.DUMMYFUNCTION("""COMPUTED_VALUE"""),"Shimao Zhang")</f>
        <v>Shimao Zhang</v>
      </c>
      <c r="E1014" s="7" t="str">
        <f>IFERROR(__xludf.DUMMYFUNCTION("""COMPUTED_VALUE"""),"Yes")</f>
        <v>Yes</v>
      </c>
      <c r="F1014" s="7" t="str">
        <f>IFERROR(__xludf.DUMMYFUNCTION("""COMPUTED_VALUE"""),"IP-Poster")</f>
        <v>IP-Poster</v>
      </c>
      <c r="G1014" s="7" t="str">
        <f>IFERROR(__xludf.DUMMYFUNCTION("""COMPUTED_VALUE"""),"In-Person")</f>
        <v>In-Person</v>
      </c>
      <c r="H1014" s="7" t="str">
        <f>IFERROR(__xludf.DUMMYFUNCTION("""COMPUTED_VALUE"""),"Hall 4/5")</f>
        <v>Hall 4/5</v>
      </c>
      <c r="I1014" s="7" t="str">
        <f>IFERROR(__xludf.DUMMYFUNCTION("""COMPUTED_VALUE"""),"Session 7: IP-Posters")</f>
        <v>Session 7: IP-Posters</v>
      </c>
      <c r="J1014" s="7" t="str">
        <f>IFERROR(__xludf.DUMMYFUNCTION("""COMPUTED_VALUE"""),"Findings Posters - In-Person 2")</f>
        <v>Findings Posters - In-Person 2</v>
      </c>
      <c r="K1014" s="7"/>
      <c r="L1014" s="8">
        <f>IFERROR(__xludf.DUMMYFUNCTION("""COMPUTED_VALUE"""),45867.0)</f>
        <v>45867</v>
      </c>
      <c r="M1014" s="7" t="str">
        <f>IFERROR(__xludf.DUMMYFUNCTION("""COMPUTED_VALUE"""),"10:30-12:00")</f>
        <v>10:30-12:00</v>
      </c>
      <c r="N1014" s="7"/>
    </row>
    <row r="1015">
      <c r="A1015" s="7" t="str">
        <f>IFERROR(__xludf.DUMMYFUNCTION("""COMPUTED_VALUE"""),"3590-FIND")</f>
        <v>3590-FIND</v>
      </c>
      <c r="B1015" s="7" t="str">
        <f>IFERROR(__xludf.DUMMYFUNCTION("""COMPUTED_VALUE"""),"The Devil Is in the Word Alignment Details: On Translation-Based Cross-Lingual Transfer for Token Classification Tasks")</f>
        <v>The Devil Is in the Word Alignment Details: On Translation-Based Cross-Lingual Transfer for Token Classification Tasks</v>
      </c>
      <c r="C1015" s="7" t="str">
        <f>IFERROR(__xludf.DUMMYFUNCTION("""COMPUTED_VALUE"""),"Translation-based strategies for cross-lingual transfer XLT such as translate-train---training on noisy target language data translated from the source language---and translate-test---evaluating on noisy source language data translated from the target lan"&amp;"guage---are competitive XLT baselines. In XLT for token classification tasks, however, these strategies include label projection, the challenging step of mapping the labels from each token in the original sentence to its counterpart(s) in the translation."&amp;" Although word aligners (WAs) are commonly used for label projection, the low-level design decisions for applying them to translation-based XLT have not been systematically investigated. Moreover, recent marker-based methods, which project labeled spans b"&amp;"y inserting tags around them before (or after) translation, claim to outperform WAs in label projection for XLT. In this work, we revisit WAs for label projection, systematically investigating the effects of low-level design decisions on token-level XLT: "&amp;"(i) the algorithm for projecting labels between (multi-)token spans, (ii) filtering strategies to reduce the number of noisily mapped labels, and (iii) the pre-tokenization of the translated sentences. We find that all of these substantially impact transl"&amp;"ation-based XLT performance and show that, with optimized choices, XLT with WA offers performance at least comparable to that of marker-based methods. We then introduce a new projection strategy that ensembles translate-train and translate-test prediction"&amp;"s and demonstrate that it substantially outperforms the marker-based projection. Crucially, we show that our proposed ensembling also reduces sensitivity to low-level WA design choices, resulting in more robust XLT for token classification tasks.")</f>
        <v>Translation-based strategies for cross-lingual transfer XLT such as translate-train---training on noisy target language data translated from the source language---and translate-test---evaluating on noisy source language data translated from the target language---are competitive XLT baselines. In XLT for token classification tasks, however, these strategies include label projection, the challenging step of mapping the labels from each token in the original sentence to its counterpart(s) in the translation. Although word aligners (WAs) are commonly used for label projection, the low-level design decisions for applying them to translation-based XLT have not been systematically investigated. Moreover, recent marker-based methods, which project labeled spans by inserting tags around them before (or after) translation, claim to outperform WAs in label projection for XLT. In this work, we revisit WAs for label projection, systematically investigating the effects of low-level design decisions on token-level XLT: (i) the algorithm for projecting labels between (multi-)token spans, (ii) filtering strategies to reduce the number of noisily mapped labels, and (iii) the pre-tokenization of the translated sentences. We find that all of these substantially impact translation-based XLT performance and show that, with optimized choices, XLT with WA offers performance at least comparable to that of marker-based methods. We then introduce a new projection strategy that ensembles translate-train and translate-test predictions and demonstrate that it substantially outperforms the marker-based projection. Crucially, we show that our proposed ensembling also reduces sensitivity to low-level WA design choices, resulting in more robust XLT for token classification tasks.</v>
      </c>
      <c r="D1015" s="7" t="str">
        <f>IFERROR(__xludf.DUMMYFUNCTION("""COMPUTED_VALUE"""),"Benedikt Ebing")</f>
        <v>Benedikt Ebing</v>
      </c>
      <c r="E1015" s="7" t="str">
        <f>IFERROR(__xludf.DUMMYFUNCTION("""COMPUTED_VALUE"""),"Yes")</f>
        <v>Yes</v>
      </c>
      <c r="F1015" s="7" t="str">
        <f>IFERROR(__xludf.DUMMYFUNCTION("""COMPUTED_VALUE"""),"IP-Poster")</f>
        <v>IP-Poster</v>
      </c>
      <c r="G1015" s="7" t="str">
        <f>IFERROR(__xludf.DUMMYFUNCTION("""COMPUTED_VALUE"""),"In-Person")</f>
        <v>In-Person</v>
      </c>
      <c r="H1015" s="7" t="str">
        <f>IFERROR(__xludf.DUMMYFUNCTION("""COMPUTED_VALUE"""),"Hall 4/5")</f>
        <v>Hall 4/5</v>
      </c>
      <c r="I1015" s="7" t="str">
        <f>IFERROR(__xludf.DUMMYFUNCTION("""COMPUTED_VALUE"""),"Session 5 :IP-Posters Find ")</f>
        <v>Session 5 :IP-Posters Find </v>
      </c>
      <c r="J1015" s="7" t="str">
        <f>IFERROR(__xludf.DUMMYFUNCTION("""COMPUTED_VALUE"""),"Findings Posters - In-Person 1")</f>
        <v>Findings Posters - In-Person 1</v>
      </c>
      <c r="K1015" s="7"/>
      <c r="L1015" s="8">
        <f>IFERROR(__xludf.DUMMYFUNCTION("""COMPUTED_VALUE"""),45866.0)</f>
        <v>45866</v>
      </c>
      <c r="M1015" s="7" t="str">
        <f>IFERROR(__xludf.DUMMYFUNCTION("""COMPUTED_VALUE"""),"18:00-19:30")</f>
        <v>18:00-19:30</v>
      </c>
      <c r="N1015" s="7"/>
    </row>
    <row r="1016">
      <c r="A1016" s="7" t="str">
        <f>IFERROR(__xludf.DUMMYFUNCTION("""COMPUTED_VALUE"""),"3594-FIND")</f>
        <v>3594-FIND</v>
      </c>
      <c r="B1016" s="7" t="str">
        <f>IFERROR(__xludf.DUMMYFUNCTION("""COMPUTED_VALUE"""),"ShieldHead: Decoding-time Safeguard for Large Language Models")</f>
        <v>ShieldHead: Decoding-time Safeguard for Large Language Models</v>
      </c>
      <c r="C1016" s="7" t="str">
        <f>IFERROR(__xludf.DUMMYFUNCTION("""COMPUTED_VALUE"""),"In light of the widespread deployment of Large Language Models (LLMs), the responsibility for safeguarding and regulating LLM-generated content has taken on heightened significance. Recent advancements in LLM-based moderation methods, e.g., LlamaGuard, ha"&amp;"ve demonstrated remarkable promise in identifying safety risks associated with both inputs and outputs in human-AI interactions. However, integrating LLM-based safeguards into a chatbot system requires an additional inference stage involving a moderation "&amp;"LLM with billions of parameters, which significantly increases computational costs and reduces overall efficiency. In this paper, we demonstrate that simply learning a classification head on the last-layer hidden states of the dialogue model provides a st"&amp;"rong capability to identify harmful contents. The classification head, referred to as ShieldHead, serves as an auxiliary branch paralleled with next-token-prediction LM head, enabling the detection of potential risks in past text sequences. Additionally, "&amp;"a label disambiguation technique is employed to supervise ShieldHead with both token-level and sentence-level labels, which further enhances its performance. ShieldHead exhibits remarkable efficiency during inference, providing real-time moderation result"&amp;"s alongside token-wise streaming output during the chatbot system's decoding phase. Extensive experimental results demonstrate the superiority of the proposed framework: a state-of-the-art performance on the XSTest and SafeRLHF datasets while running at a"&amp;" speed about **300×** faster (**&lt;1ms**) than previous LLM-based moderation models with **~99%** less parameters of LlamaGuard.")</f>
        <v>In light of the widespread deployment of Large Language Models (LLMs), the responsibility for safeguarding and regulating LLM-generated content has taken on heightened significance. Recent advancements in LLM-based moderation methods, e.g., LlamaGuard, have demonstrated remarkable promise in identifying safety risks associated with both inputs and outputs in human-AI interactions. However, integrating LLM-based safeguards into a chatbot system requires an additional inference stage involving a moderation LLM with billions of parameters, which significantly increases computational costs and reduces overall efficiency. In this paper, we demonstrate that simply learning a classification head on the last-layer hidden states of the dialogue model provides a strong capability to identify harmful contents. The classification head, referred to as ShieldHead, serves as an auxiliary branch paralleled with next-token-prediction LM head, enabling the detection of potential risks in past text sequences. Additionally, a label disambiguation technique is employed to supervise ShieldHead with both token-level and sentence-level labels, which further enhances its performance. ShieldHead exhibits remarkable efficiency during inference, providing real-time moderation results alongside token-wise streaming output during the chatbot system's decoding phase. Extensive experimental results demonstrate the superiority of the proposed framework: a state-of-the-art performance on the XSTest and SafeRLHF datasets while running at a speed about **300×** faster (**&lt;1ms**) than previous LLM-based moderation models with **~99%** less parameters of LlamaGuard.</v>
      </c>
      <c r="D1016" s="7" t="str">
        <f>IFERROR(__xludf.DUMMYFUNCTION("""COMPUTED_VALUE"""),"Xiaofeng Mao")</f>
        <v>Xiaofeng Mao</v>
      </c>
      <c r="E1016" s="7" t="str">
        <f>IFERROR(__xludf.DUMMYFUNCTION("""COMPUTED_VALUE"""),"Yes")</f>
        <v>Yes</v>
      </c>
      <c r="F1016" s="7" t="str">
        <f>IFERROR(__xludf.DUMMYFUNCTION("""COMPUTED_VALUE"""),"V-Presentation")</f>
        <v>V-Presentation</v>
      </c>
      <c r="G1016" s="7" t="str">
        <f>IFERROR(__xludf.DUMMYFUNCTION("""COMPUTED_VALUE"""),"Virtual/Gather")</f>
        <v>Virtual/Gather</v>
      </c>
      <c r="H1016" s="7" t="str">
        <f>IFERROR(__xludf.DUMMYFUNCTION("""COMPUTED_VALUE"""),"Gather")</f>
        <v>Gather</v>
      </c>
      <c r="I1016" s="7" t="str">
        <f>IFERROR(__xludf.DUMMYFUNCTION("""COMPUTED_VALUE"""),"Session5: V-Gather Find")</f>
        <v>Session5: V-Gather Find</v>
      </c>
      <c r="J1016" s="7" t="str">
        <f>IFERROR(__xludf.DUMMYFUNCTION("""COMPUTED_VALUE"""),"Findings Posters - Virtual")</f>
        <v>Findings Posters - Virtual</v>
      </c>
      <c r="K1016" s="7"/>
      <c r="L1016" s="8">
        <f>IFERROR(__xludf.DUMMYFUNCTION("""COMPUTED_VALUE"""),45866.0)</f>
        <v>45866</v>
      </c>
      <c r="M1016" s="7" t="str">
        <f>IFERROR(__xludf.DUMMYFUNCTION("""COMPUTED_VALUE"""),"18:00-19:30")</f>
        <v>18:00-19:30</v>
      </c>
      <c r="N1016" s="7"/>
    </row>
    <row r="1017">
      <c r="A1017" s="7" t="str">
        <f>IFERROR(__xludf.DUMMYFUNCTION("""COMPUTED_VALUE"""),"3600-FIND")</f>
        <v>3600-FIND</v>
      </c>
      <c r="B1017" s="7" t="str">
        <f>IFERROR(__xludf.DUMMYFUNCTION("""COMPUTED_VALUE"""),"A Survey on Proactive Defense Strategies Against Misinformation in Large Language Models")</f>
        <v>A Survey on Proactive Defense Strategies Against Misinformation in Large Language Models</v>
      </c>
      <c r="C1017" s="7" t="str">
        <f>IFERROR(__xludf.DUMMYFUNCTION("""COMPUTED_VALUE"""),"The widespread deployment of large language models (LLMs) across critical domains has amplified the societal risks posed by algorithmically generated misinformation. Unlike traditional false content, LLM-generated misinformation can be self-reinforcing, h"&amp;"ighly plausible, and capable of rapid propagation across multiple languages, which traditional detection methods fail to mitigate effectively. This paper introduces a proactive defense paradigm, shifting from passive post hoc detection to anticipatory mit"&amp;"igation strategies. We propose a Three Pillars framework: (1) Knowledge Credibility, fortifying the integrity of training and deployed data; (2) Inference Reliability, embedding self-corrective mechanisms during reasoning; and (3) Input Robustness, enhanc"&amp;"ing the resilience of model interfaces against adversarial attacks. Through a comprehensive survey of existing techniques and a comparative meta-analysis, we demonstrate that proactive defense strategies offer up to 63% improvement over conventional metho"&amp;"ds in misinformation prevention, despite non-trivial computational overhead and generalization challenges. We argue that future research should focus on co-designing robust knowledge foundations, reasoning certification, and attack-resistant interfaces to"&amp;" ensure LLMs can effectively counter misinformation across varied domains.")</f>
        <v>The widespread deployment of large language models (LLMs) across critical domains has amplified the societal risks posed by algorithmically generated misinformation. Unlike traditional false content, LLM-generated misinformation can be self-reinforcing, highly plausible, and capable of rapid propagation across multiple languages, which traditional detection methods fail to mitigate effectively. This paper introduces a proactive defense paradigm, shifting from passive post hoc detection to anticipatory mitigation strategies. We propose a Three Pillars framework: (1) Knowledge Credibility, fortifying the integrity of training and deployed data; (2) Inference Reliability, embedding self-corrective mechanisms during reasoning; and (3) Input Robustness, enhancing the resilience of model interfaces against adversarial attacks. Through a comprehensive survey of existing techniques and a comparative meta-analysis, we demonstrate that proactive defense strategies offer up to 63% improvement over conventional methods in misinformation prevention, despite non-trivial computational overhead and generalization challenges. We argue that future research should focus on co-designing robust knowledge foundations, reasoning certification, and attack-resistant interfaces to ensure LLMs can effectively counter misinformation across varied domains.</v>
      </c>
      <c r="D1017" s="7" t="str">
        <f>IFERROR(__xludf.DUMMYFUNCTION("""COMPUTED_VALUE"""),"Shuliang Liu")</f>
        <v>Shuliang Liu</v>
      </c>
      <c r="E1017" s="7" t="str">
        <f>IFERROR(__xludf.DUMMYFUNCTION("""COMPUTED_VALUE"""),"Yes")</f>
        <v>Yes</v>
      </c>
      <c r="F1017" s="7" t="str">
        <f>IFERROR(__xludf.DUMMYFUNCTION("""COMPUTED_VALUE"""),"IP-Poster")</f>
        <v>IP-Poster</v>
      </c>
      <c r="G1017" s="7" t="str">
        <f>IFERROR(__xludf.DUMMYFUNCTION("""COMPUTED_VALUE"""),"In-Person")</f>
        <v>In-Person</v>
      </c>
      <c r="H1017" s="7" t="str">
        <f>IFERROR(__xludf.DUMMYFUNCTION("""COMPUTED_VALUE"""),"Hall 4/5")</f>
        <v>Hall 4/5</v>
      </c>
      <c r="I1017" s="7" t="str">
        <f>IFERROR(__xludf.DUMMYFUNCTION("""COMPUTED_VALUE"""),"Session 10: IP-Posters")</f>
        <v>Session 10: IP-Posters</v>
      </c>
      <c r="J1017" s="7" t="str">
        <f>IFERROR(__xludf.DUMMYFUNCTION("""COMPUTED_VALUE"""),"Findings Posters - In-Person 3")</f>
        <v>Findings Posters - In-Person 3</v>
      </c>
      <c r="K1017" s="7"/>
      <c r="L1017" s="8">
        <f>IFERROR(__xludf.DUMMYFUNCTION("""COMPUTED_VALUE"""),45867.0)</f>
        <v>45867</v>
      </c>
      <c r="M1017" s="7" t="str">
        <f>IFERROR(__xludf.DUMMYFUNCTION("""COMPUTED_VALUE"""),"16:00-17:30")</f>
        <v>16:00-17:30</v>
      </c>
      <c r="N1017" s="7"/>
    </row>
    <row r="1018">
      <c r="A1018" s="7" t="str">
        <f>IFERROR(__xludf.DUMMYFUNCTION("""COMPUTED_VALUE"""),"3601-FIND")</f>
        <v>3601-FIND</v>
      </c>
      <c r="B1018" s="7" t="str">
        <f>IFERROR(__xludf.DUMMYFUNCTION("""COMPUTED_VALUE"""),"Smotrom tvoja på ander drogoj verden! Resurrecting Dead Pidgin with Generative Models: Russenorsk Case Study")</f>
        <v>Smotrom tvoja på ander drogoj verden! Resurrecting Dead Pidgin with Generative Models: Russenorsk Case Study</v>
      </c>
      <c r="C1018" s="7" t="str">
        <f>IFERROR(__xludf.DUMMYFUNCTION("""COMPUTED_VALUE"""),"Russenorsk, a pidgin language historically used in trade interactions between Russian and Norwegian speakers, represents a unique linguistic phenomenon. In this article, we attempt to analyze its lexicon using modern large language models (LLMs), based on"&amp;" surviving literary sources. We construct a structured dictionary of the language, grouped by synonyms and word origins. Subsequently, we use this dictionary to formulate hypotheses about the core principles of word formation in Russenorsk and show which "&amp;"the hypotheses generated by large language model correspond with the hypotheses previously proposed in the academic literature. We also develop a ""reconstruction"" translation agent that generates plausible translations into Russenorsk.")</f>
        <v>Russenorsk, a pidgin language historically used in trade interactions between Russian and Norwegian speakers, represents a unique linguistic phenomenon. In this article, we attempt to analyze its lexicon using modern large language models (LLMs), based on surviving literary sources. We construct a structured dictionary of the language, grouped by synonyms and word origins. Subsequently, we use this dictionary to formulate hypotheses about the core principles of word formation in Russenorsk and show which the hypotheses generated by large language model correspond with the hypotheses previously proposed in the academic literature. We also develop a "reconstruction" translation agent that generates plausible translations into Russenorsk.</v>
      </c>
      <c r="D1018" s="7" t="str">
        <f>IFERROR(__xludf.DUMMYFUNCTION("""COMPUTED_VALUE"""),"Ivan P. Yamshchikov")</f>
        <v>Ivan P. Yamshchikov</v>
      </c>
      <c r="E1018" s="7" t="str">
        <f>IFERROR(__xludf.DUMMYFUNCTION("""COMPUTED_VALUE"""),"Yes")</f>
        <v>Yes</v>
      </c>
      <c r="F1018" s="7" t="str">
        <f>IFERROR(__xludf.DUMMYFUNCTION("""COMPUTED_VALUE"""),"IP-Poster")</f>
        <v>IP-Poster</v>
      </c>
      <c r="G1018" s="7" t="str">
        <f>IFERROR(__xludf.DUMMYFUNCTION("""COMPUTED_VALUE"""),"In-Person")</f>
        <v>In-Person</v>
      </c>
      <c r="H1018" s="7" t="str">
        <f>IFERROR(__xludf.DUMMYFUNCTION("""COMPUTED_VALUE"""),"Hall 4/5")</f>
        <v>Hall 4/5</v>
      </c>
      <c r="I1018" s="7" t="str">
        <f>IFERROR(__xludf.DUMMYFUNCTION("""COMPUTED_VALUE"""),"Session 5 :IP-Posters Find ")</f>
        <v>Session 5 :IP-Posters Find </v>
      </c>
      <c r="J1018" s="7" t="str">
        <f>IFERROR(__xludf.DUMMYFUNCTION("""COMPUTED_VALUE"""),"Findings Posters - In-Person 1")</f>
        <v>Findings Posters - In-Person 1</v>
      </c>
      <c r="K1018" s="7"/>
      <c r="L1018" s="8">
        <f>IFERROR(__xludf.DUMMYFUNCTION("""COMPUTED_VALUE"""),45866.0)</f>
        <v>45866</v>
      </c>
      <c r="M1018" s="7" t="str">
        <f>IFERROR(__xludf.DUMMYFUNCTION("""COMPUTED_VALUE"""),"18:00-19:30")</f>
        <v>18:00-19:30</v>
      </c>
      <c r="N1018" s="7"/>
    </row>
    <row r="1019">
      <c r="A1019" s="7" t="str">
        <f>IFERROR(__xludf.DUMMYFUNCTION("""COMPUTED_VALUE"""),"3606-FIND")</f>
        <v>3606-FIND</v>
      </c>
      <c r="B1019" s="7" t="str">
        <f>IFERROR(__xludf.DUMMYFUNCTION("""COMPUTED_VALUE"""),"PromptCoT: Synthesizing Olympiad-level Problems for Mathematical Reasoning in Large Language Models")</f>
        <v>PromptCoT: Synthesizing Olympiad-level Problems for Mathematical Reasoning in Large Language Models</v>
      </c>
      <c r="C1019" s="7" t="str">
        <f>IFERROR(__xludf.DUMMYFUNCTION("""COMPUTED_VALUE"""),"The ability of large language models to solve complex mathematical problems has progressed significantly, particularly for tasks requiring advanced reasoning. However, the scarcity of sufficiently challenging problems, particularly at the Olympiad level, "&amp;"hinders further advancements. In this work, we introduce \textsc{PromptCoT}, a novel approach for automatically generating high-quality Olympiad-level math problems. The proposed method synthesizes complex problems based on mathematical concepts and the r"&amp;"ationale behind problem construction, emulating the thought processes of experienced problem designers. We provide a theoretical analysis demonstrating that an optimal rationale should maximize both the likelihood of rationale generation given the associa"&amp;"ted concepts and the likelihood of problem generation conditioned on both the rationale and the concepts. Our method is evaluated on standard benchmarks including GSM8K, MATH-500, and AIME2024, where it consistently outperforms existing problem generation"&amp;" methods. Furthermore, we demonstrate that \textsc{PromptCoT} exhibits superior scalability, consistently maintaining high performance as the dataset size increases, outperforming the baselines.")</f>
        <v>The ability of large language models to solve complex mathematical problems has progressed significantly, particularly for tasks requiring advanced reasoning. However, the scarcity of sufficiently challenging problems, particularly at the Olympiad level, hinders further advancements. In this work, we introduce \textsc{PromptCoT}, a novel approach for automatically generating high-quality Olympiad-level math problems. The proposed method synthesizes complex problems based on mathematical concepts and the rationale behind problem construction, emulating the thought processes of experienced problem designers. We provide a theoretical analysis demonstrating that an optimal rationale should maximize both the likelihood of rationale generation given the associated concepts and the likelihood of problem generation conditioned on both the rationale and the concepts. Our method is evaluated on standard benchmarks including GSM8K, MATH-500, and AIME2024, where it consistently outperforms existing problem generation methods. Furthermore, we demonstrate that \textsc{PromptCoT} exhibits superior scalability, consistently maintaining high performance as the dataset size increases, outperforming the baselines.</v>
      </c>
      <c r="D1019" s="7" t="str">
        <f>IFERROR(__xludf.DUMMYFUNCTION("""COMPUTED_VALUE"""),"Xueliang Zhao")</f>
        <v>Xueliang Zhao</v>
      </c>
      <c r="E1019" s="7" t="str">
        <f>IFERROR(__xludf.DUMMYFUNCTION("""COMPUTED_VALUE"""),"Yes")</f>
        <v>Yes</v>
      </c>
      <c r="F1019" s="7" t="str">
        <f>IFERROR(__xludf.DUMMYFUNCTION("""COMPUTED_VALUE"""),"IP-Poster")</f>
        <v>IP-Poster</v>
      </c>
      <c r="G1019" s="7" t="str">
        <f>IFERROR(__xludf.DUMMYFUNCTION("""COMPUTED_VALUE"""),"In-Person")</f>
        <v>In-Person</v>
      </c>
      <c r="H1019" s="7" t="str">
        <f>IFERROR(__xludf.DUMMYFUNCTION("""COMPUTED_VALUE"""),"Hall 4/5")</f>
        <v>Hall 4/5</v>
      </c>
      <c r="I1019" s="7" t="str">
        <f>IFERROR(__xludf.DUMMYFUNCTION("""COMPUTED_VALUE"""),"Session 12: IP-Posters")</f>
        <v>Session 12: IP-Posters</v>
      </c>
      <c r="J1019" s="7" t="str">
        <f>IFERROR(__xludf.DUMMYFUNCTION("""COMPUTED_VALUE"""),"Findings Posters - In-Person 4")</f>
        <v>Findings Posters - In-Person 4</v>
      </c>
      <c r="K1019" s="7"/>
      <c r="L1019" s="8">
        <f>IFERROR(__xludf.DUMMYFUNCTION("""COMPUTED_VALUE"""),45868.0)</f>
        <v>45868</v>
      </c>
      <c r="M1019" s="7" t="str">
        <f>IFERROR(__xludf.DUMMYFUNCTION("""COMPUTED_VALUE"""),"11:00-12:30")</f>
        <v>11:00-12:30</v>
      </c>
      <c r="N1019" s="7"/>
    </row>
    <row r="1020">
      <c r="A1020" s="7" t="str">
        <f>IFERROR(__xludf.DUMMYFUNCTION("""COMPUTED_VALUE"""),"3608-FIND")</f>
        <v>3608-FIND</v>
      </c>
      <c r="B1020" s="7" t="str">
        <f>IFERROR(__xludf.DUMMYFUNCTION("""COMPUTED_VALUE"""),"Speculative Decoding via Exponential Races")</f>
        <v>Speculative Decoding via Exponential Races</v>
      </c>
      <c r="C1020" s="7" t="str">
        <f>IFERROR(__xludf.DUMMYFUNCTION("""COMPUTED_VALUE"""),"Speculative decoding accelerates large language model inference using a smaller draft model. In this paper, we establish a surprising connection between speculative decoding and channel simulation, which aims at simulating a noisy channel using as few bit"&amp;"s as possible.  This connection allows us to provide an information-theoretic analysis of the speed up that can be achieved by speculative decoding. Leveraging this link, we derive an explicit relation between generation speed-up and the number of tokens "&amp;"k generated by the draft model for large k, which serves as an upper bound for all k. We also propose a novel speculative decoding method via exponential races ERSD that matches state-of-the-art performance.")</f>
        <v>Speculative decoding accelerates large language model inference using a smaller draft model. In this paper, we establish a surprising connection between speculative decoding and channel simulation, which aims at simulating a noisy channel using as few bits as possible.  This connection allows us to provide an information-theoretic analysis of the speed up that can be achieved by speculative decoding. Leveraging this link, we derive an explicit relation between generation speed-up and the number of tokens k generated by the draft model for large k, which serves as an upper bound for all k. We also propose a novel speculative decoding method via exponential races ERSD that matches state-of-the-art performance.</v>
      </c>
      <c r="D1020" s="7" t="str">
        <f>IFERROR(__xludf.DUMMYFUNCTION("""COMPUTED_VALUE"""),"Szymon Kobus")</f>
        <v>Szymon Kobus</v>
      </c>
      <c r="E1020" s="7" t="str">
        <f>IFERROR(__xludf.DUMMYFUNCTION("""COMPUTED_VALUE"""),"Yes")</f>
        <v>Yes</v>
      </c>
      <c r="F1020" s="7" t="str">
        <f>IFERROR(__xludf.DUMMYFUNCTION("""COMPUTED_VALUE"""),"IP-Poster")</f>
        <v>IP-Poster</v>
      </c>
      <c r="G1020" s="7" t="str">
        <f>IFERROR(__xludf.DUMMYFUNCTION("""COMPUTED_VALUE"""),"In-Person")</f>
        <v>In-Person</v>
      </c>
      <c r="H1020" s="7" t="str">
        <f>IFERROR(__xludf.DUMMYFUNCTION("""COMPUTED_VALUE"""),"Hall 4/5")</f>
        <v>Hall 4/5</v>
      </c>
      <c r="I1020" s="7" t="str">
        <f>IFERROR(__xludf.DUMMYFUNCTION("""COMPUTED_VALUE"""),"Session 10: IP-Posters")</f>
        <v>Session 10: IP-Posters</v>
      </c>
      <c r="J1020" s="7" t="str">
        <f>IFERROR(__xludf.DUMMYFUNCTION("""COMPUTED_VALUE"""),"Findings Posters - In-Person 3")</f>
        <v>Findings Posters - In-Person 3</v>
      </c>
      <c r="K1020" s="7"/>
      <c r="L1020" s="8">
        <f>IFERROR(__xludf.DUMMYFUNCTION("""COMPUTED_VALUE"""),45867.0)</f>
        <v>45867</v>
      </c>
      <c r="M1020" s="7" t="str">
        <f>IFERROR(__xludf.DUMMYFUNCTION("""COMPUTED_VALUE"""),"16:00-17:30")</f>
        <v>16:00-17:30</v>
      </c>
      <c r="N1020" s="7"/>
    </row>
    <row r="1021">
      <c r="A1021" s="7" t="str">
        <f>IFERROR(__xludf.DUMMYFUNCTION("""COMPUTED_VALUE"""),"3611-FIND")</f>
        <v>3611-FIND</v>
      </c>
      <c r="B1021" s="7" t="str">
        <f>IFERROR(__xludf.DUMMYFUNCTION("""COMPUTED_VALUE"""),"Going Beyond Your Expectations in Latency Metrics for Simultaneous Speech Translation")</f>
        <v>Going Beyond Your Expectations in Latency Metrics for Simultaneous Speech Translation</v>
      </c>
      <c r="C1021" s="7" t="str">
        <f>IFERROR(__xludf.DUMMYFUNCTION("""COMPUTED_VALUE"""),"Current evaluation practices in Simultaneous Speech Translation (SimulST) systems typically involve segmenting the input audio and corresponding translations, calculating quality and latency metrics for each segment, and averaging the results. Although th"&amp;"is approach may provide a reliable estimation of translation quality, it can lead to misleading values of latency metrics due to an inherent assumption that average latency values are good enough estimators of SimulST systems' response time. However, our "&amp;"detailed analysis of latency evaluations for state-of-the-art SimulST systems demonstrates that latency distributions are often skewed and subject to extreme variations. As a result, the mean in latency metrics fails to capture these anomalies, potentiall"&amp;"y masking the lack of robustness in some systems and metrics. In this paper, a thorough analysis of the results of systems submitted to recent editions of the IWSLT simultaneous track is provided to support our hypothesis and alternative ways to report la"&amp;"tency metrics are proposed in order to provide a better understanding of SimulST systems' latency.")</f>
        <v>Current evaluation practices in Simultaneous Speech Translation (SimulST) systems typically involve segmenting the input audio and corresponding translations, calculating quality and latency metrics for each segment, and averaging the results. Although this approach may provide a reliable estimation of translation quality, it can lead to misleading values of latency metrics due to an inherent assumption that average latency values are good enough estimators of SimulST systems' response time. However, our detailed analysis of latency evaluations for state-of-the-art SimulST systems demonstrates that latency distributions are often skewed and subject to extreme variations. As a result, the mean in latency metrics fails to capture these anomalies, potentially masking the lack of robustness in some systems and metrics. In this paper, a thorough analysis of the results of systems submitted to recent editions of the IWSLT simultaneous track is provided to support our hypothesis and alternative ways to report latency metrics are proposed in order to provide a better understanding of SimulST systems' latency.</v>
      </c>
      <c r="D1021" s="7" t="str">
        <f>IFERROR(__xludf.DUMMYFUNCTION("""COMPUTED_VALUE"""),"Jorge Iranzo-Sánchez")</f>
        <v>Jorge Iranzo-Sánchez</v>
      </c>
      <c r="E1021" s="7" t="str">
        <f>IFERROR(__xludf.DUMMYFUNCTION("""COMPUTED_VALUE"""),"Yes")</f>
        <v>Yes</v>
      </c>
      <c r="F1021" s="7" t="str">
        <f>IFERROR(__xludf.DUMMYFUNCTION("""COMPUTED_VALUE"""),"IP-Poster")</f>
        <v>IP-Poster</v>
      </c>
      <c r="G1021" s="7" t="str">
        <f>IFERROR(__xludf.DUMMYFUNCTION("""COMPUTED_VALUE"""),"In-Person")</f>
        <v>In-Person</v>
      </c>
      <c r="H1021" s="7" t="str">
        <f>IFERROR(__xludf.DUMMYFUNCTION("""COMPUTED_VALUE"""),"Hall 4/5")</f>
        <v>Hall 4/5</v>
      </c>
      <c r="I1021" s="7" t="str">
        <f>IFERROR(__xludf.DUMMYFUNCTION("""COMPUTED_VALUE"""),"Session 10: IP-Posters")</f>
        <v>Session 10: IP-Posters</v>
      </c>
      <c r="J1021" s="7" t="str">
        <f>IFERROR(__xludf.DUMMYFUNCTION("""COMPUTED_VALUE"""),"Findings Posters - In-Person 3")</f>
        <v>Findings Posters - In-Person 3</v>
      </c>
      <c r="K1021" s="7"/>
      <c r="L1021" s="8">
        <f>IFERROR(__xludf.DUMMYFUNCTION("""COMPUTED_VALUE"""),45867.0)</f>
        <v>45867</v>
      </c>
      <c r="M1021" s="7" t="str">
        <f>IFERROR(__xludf.DUMMYFUNCTION("""COMPUTED_VALUE"""),"16:00-17:30")</f>
        <v>16:00-17:30</v>
      </c>
      <c r="N1021" s="7"/>
    </row>
    <row r="1022">
      <c r="A1022" s="7" t="str">
        <f>IFERROR(__xludf.DUMMYFUNCTION("""COMPUTED_VALUE"""),"3614-FIND")</f>
        <v>3614-FIND</v>
      </c>
      <c r="B1022" s="7" t="str">
        <f>IFERROR(__xludf.DUMMYFUNCTION("""COMPUTED_VALUE"""),"Towards a Design Guideline for RPA Evaluation: A Survey of Large Language Model-Based Role-Playing Agents")</f>
        <v>Towards a Design Guideline for RPA Evaluation: A Survey of Large Language Model-Based Role-Playing Agents</v>
      </c>
      <c r="C1022" s="7" t="str">
        <f>IFERROR(__xludf.DUMMYFUNCTION("""COMPUTED_VALUE"""),"Role-Playing Agent (RPA) is an increasingly popular type of LLM Agent that simulates human-like behaviors in a variety of tasks. But how should we evaluate an RPA? It is hard because of the wide variety of task requirements and the different designs of RP"&amp;"A. This paper aims to propose an evidence-based, actionable, and generalizable evaluation design guideline for LLM-based RPA by systematically reviewing 1,676 papers published between Jan. 2021 and Dec. 2024. Our analysis synthesizes in total six agent at"&amp;"tributes, seven task attributes, and seven evaluation metrics from existing literature. From this finding, we propose an RPA evaluation design guideline to support future researchers in designing their own evaluations in a more systematic and consistent m"&amp;"anner.")</f>
        <v>Role-Playing Agent (RPA) is an increasingly popular type of LLM Agent that simulates human-like behaviors in a variety of tasks. But how should we evaluate an RPA? It is hard because of the wide variety of task requirements and the different designs of RPA. This paper aims to propose an evidence-based, actionable, and generalizable evaluation design guideline for LLM-based RPA by systematically reviewing 1,676 papers published between Jan. 2021 and Dec. 2024. Our analysis synthesizes in total six agent attributes, seven task attributes, and seven evaluation metrics from existing literature. From this finding, we propose an RPA evaluation design guideline to support future researchers in designing their own evaluations in a more systematic and consistent manner.</v>
      </c>
      <c r="D1022" s="7" t="str">
        <f>IFERROR(__xludf.DUMMYFUNCTION("""COMPUTED_VALUE"""),"Wenyue Hua")</f>
        <v>Wenyue Hua</v>
      </c>
      <c r="E1022" s="7" t="str">
        <f>IFERROR(__xludf.DUMMYFUNCTION("""COMPUTED_VALUE"""),"N/A")</f>
        <v>N/A</v>
      </c>
      <c r="F1022" s="7" t="str">
        <f>IFERROR(__xludf.DUMMYFUNCTION("""COMPUTED_VALUE"""),"Not Pres. ")</f>
        <v>Not Pres. </v>
      </c>
      <c r="G1022" s="7" t="str">
        <f>IFERROR(__xludf.DUMMYFUNCTION("""COMPUTED_VALUE"""),"NP Findings Not Presenting ")</f>
        <v>NP Findings Not Presenting </v>
      </c>
      <c r="H1022" s="7"/>
      <c r="I1022" s="7"/>
      <c r="J1022" s="7"/>
      <c r="K1022" s="7"/>
      <c r="L1022" s="8"/>
      <c r="M1022" s="7"/>
      <c r="N1022" s="7"/>
    </row>
    <row r="1023">
      <c r="A1023" s="7" t="str">
        <f>IFERROR(__xludf.DUMMYFUNCTION("""COMPUTED_VALUE"""),"3618-FIND")</f>
        <v>3618-FIND</v>
      </c>
      <c r="B1023" s="7" t="str">
        <f>IFERROR(__xludf.DUMMYFUNCTION("""COMPUTED_VALUE"""),"Recursive Question Understanding for Complex Question Answering over Heterogeneous Personal Data")</f>
        <v>Recursive Question Understanding for Complex Question Answering over Heterogeneous Personal Data</v>
      </c>
      <c r="C1023" s="7" t="str">
        <f>IFERROR(__xludf.DUMMYFUNCTION("""COMPUTED_VALUE"""),"Question answering over mixed sources, like text and tables, has been advanced by verbalizing all contents and encoding it with a language model. A prominent case of such heterogeneous data is personal information: user devices log vast amounts of data ev"&amp;"ery day, such as calendar entries, workout statistics, shopping records, streaming history, and more. Information needs range from simple look-ups to queries of analytical nature. The challenge is to provide humans with convenient access with small footpr"&amp;"int, so that all personal data stays on the user devices. We present ReQAP, a novel method that creates an executable operator tree for a given question, via recursive decomposition. Operators are designed to enable seamless integration of structured and "&amp;"unstructured sources, and the execution of the operator tree yields a traceable answer. We further release the PerQA benchmark, with persona-based data and questions, covering a diverse spectrum of realistic user needs.")</f>
        <v>Question answering over mixed sources, like text and tables, has been advanced by verbalizing all contents and encoding it with a language model. A prominent case of such heterogeneous data is personal information: user devices log vast amounts of data every day, such as calendar entries, workout statistics, shopping records, streaming history, and more. Information needs range from simple look-ups to queries of analytical nature. The challenge is to provide humans with convenient access with small footprint, so that all personal data stays on the user devices. We present ReQAP, a novel method that creates an executable operator tree for a given question, via recursive decomposition. Operators are designed to enable seamless integration of structured and unstructured sources, and the execution of the operator tree yields a traceable answer. We further release the PerQA benchmark, with persona-based data and questions, covering a diverse spectrum of realistic user needs.</v>
      </c>
      <c r="D1023" s="7" t="str">
        <f>IFERROR(__xludf.DUMMYFUNCTION("""COMPUTED_VALUE"""),"Philipp Christmann")</f>
        <v>Philipp Christmann</v>
      </c>
      <c r="E1023" s="7" t="str">
        <f>IFERROR(__xludf.DUMMYFUNCTION("""COMPUTED_VALUE"""),"Yes")</f>
        <v>Yes</v>
      </c>
      <c r="F1023" s="7" t="str">
        <f>IFERROR(__xludf.DUMMYFUNCTION("""COMPUTED_VALUE"""),"IP-Poster")</f>
        <v>IP-Poster</v>
      </c>
      <c r="G1023" s="7" t="str">
        <f>IFERROR(__xludf.DUMMYFUNCTION("""COMPUTED_VALUE"""),"In-Person")</f>
        <v>In-Person</v>
      </c>
      <c r="H1023" s="7" t="str">
        <f>IFERROR(__xludf.DUMMYFUNCTION("""COMPUTED_VALUE"""),"Hall 4/5")</f>
        <v>Hall 4/5</v>
      </c>
      <c r="I1023" s="7" t="str">
        <f>IFERROR(__xludf.DUMMYFUNCTION("""COMPUTED_VALUE"""),"Session 7: IP-Posters")</f>
        <v>Session 7: IP-Posters</v>
      </c>
      <c r="J1023" s="7" t="str">
        <f>IFERROR(__xludf.DUMMYFUNCTION("""COMPUTED_VALUE"""),"Findings Posters - In-Person 2")</f>
        <v>Findings Posters - In-Person 2</v>
      </c>
      <c r="K1023" s="7"/>
      <c r="L1023" s="8">
        <f>IFERROR(__xludf.DUMMYFUNCTION("""COMPUTED_VALUE"""),45867.0)</f>
        <v>45867</v>
      </c>
      <c r="M1023" s="7" t="str">
        <f>IFERROR(__xludf.DUMMYFUNCTION("""COMPUTED_VALUE"""),"10:30-12:00")</f>
        <v>10:30-12:00</v>
      </c>
      <c r="N1023" s="7"/>
    </row>
    <row r="1024">
      <c r="A1024" s="7" t="str">
        <f>IFERROR(__xludf.DUMMYFUNCTION("""COMPUTED_VALUE"""),"3620-FIND")</f>
        <v>3620-FIND</v>
      </c>
      <c r="B1024" s="7" t="str">
        <f>IFERROR(__xludf.DUMMYFUNCTION("""COMPUTED_VALUE"""),"PreSumm: Predicting Summarization Performance Without Summarizing")</f>
        <v>PreSumm: Predicting Summarization Performance Without Summarizing</v>
      </c>
      <c r="C1024" s="7" t="str">
        <f>IFERROR(__xludf.DUMMYFUNCTION("""COMPUTED_VALUE"""),"Despite recent advancements in automatic summarization, state-of-the-art models do not summarize all documents equally well, raising the question: why? While prior research has extensively analyzed summarization models, little attention has been given to "&amp;"the role of document characteristics in influencing summarization performance.
In this work, we explore two key research questions. First, do documents exhibit consistent summarization quality across multiple systems? If so, can we predict a document's su"&amp;"mmarization performance without generating a summary? We answer both questions affirmatively and introduce PreSumm, a novel task in which a system predicts summarization performance based solely on the source document. Our analysis sheds light on common p"&amp;"roperties of documents with low PreSumm scores, revealing that they often suffer from coherence issues, complex content, or a lack of a clear main theme.
In addition, we demonstrate PreSumm's practical utility in two key applications: improving hybrid sum"&amp;"marization workflows by identifying documents that require manual summarization and enhancing dataset quality by filtering outliers and noisy documents.
Overall, our findings highlight the critical role of document properties in summarization performance "&amp;"and offer insights into the limitations of current systems that could serve as the basis for future improvements.")</f>
        <v>Despite recent advancements in automatic summarization, state-of-the-art models do not summarize all documents equally well, raising the question: why? While prior research has extensively analyzed summarization models, little attention has been given to the role of document characteristics in influencing summarization performance.
In this work, we explore two key research questions. First, do documents exhibit consistent summarization quality across multiple systems? If so, can we predict a document's summarization performance without generating a summary? We answer both questions affirmatively and introduce PreSumm, a novel task in which a system predicts summarization performance based solely on the source document. Our analysis sheds light on common properties of documents with low PreSumm scores, revealing that they often suffer from coherence issues, complex content, or a lack of a clear main theme.
In addition, we demonstrate PreSumm's practical utility in two key applications: improving hybrid summarization workflows by identifying documents that require manual summarization and enhancing dataset quality by filtering outliers and noisy documents.
Overall, our findings highlight the critical role of document properties in summarization performance and offer insights into the limitations of current systems that could serve as the basis for future improvements.</v>
      </c>
      <c r="D1024" s="7" t="str">
        <f>IFERROR(__xludf.DUMMYFUNCTION("""COMPUTED_VALUE"""),"Ori Ernst")</f>
        <v>Ori Ernst</v>
      </c>
      <c r="E1024" s="7" t="str">
        <f>IFERROR(__xludf.DUMMYFUNCTION("""COMPUTED_VALUE"""),"Yes")</f>
        <v>Yes</v>
      </c>
      <c r="F1024" s="7" t="str">
        <f>IFERROR(__xludf.DUMMYFUNCTION("""COMPUTED_VALUE"""),"IP-Poster")</f>
        <v>IP-Poster</v>
      </c>
      <c r="G1024" s="7" t="str">
        <f>IFERROR(__xludf.DUMMYFUNCTION("""COMPUTED_VALUE"""),"In-Person")</f>
        <v>In-Person</v>
      </c>
      <c r="H1024" s="7" t="str">
        <f>IFERROR(__xludf.DUMMYFUNCTION("""COMPUTED_VALUE"""),"Hall 4/5")</f>
        <v>Hall 4/5</v>
      </c>
      <c r="I1024" s="7" t="str">
        <f>IFERROR(__xludf.DUMMYFUNCTION("""COMPUTED_VALUE"""),"Session 5 :IP-Posters Find ")</f>
        <v>Session 5 :IP-Posters Find </v>
      </c>
      <c r="J1024" s="7" t="str">
        <f>IFERROR(__xludf.DUMMYFUNCTION("""COMPUTED_VALUE"""),"Findings Posters - In-Person 1")</f>
        <v>Findings Posters - In-Person 1</v>
      </c>
      <c r="K1024" s="7"/>
      <c r="L1024" s="8">
        <f>IFERROR(__xludf.DUMMYFUNCTION("""COMPUTED_VALUE"""),45866.0)</f>
        <v>45866</v>
      </c>
      <c r="M1024" s="7" t="str">
        <f>IFERROR(__xludf.DUMMYFUNCTION("""COMPUTED_VALUE"""),"18:00-19:30")</f>
        <v>18:00-19:30</v>
      </c>
      <c r="N1024" s="7"/>
    </row>
    <row r="1025">
      <c r="A1025" s="7" t="str">
        <f>IFERROR(__xludf.DUMMYFUNCTION("""COMPUTED_VALUE"""),"3622-FIND")</f>
        <v>3622-FIND</v>
      </c>
      <c r="B1025" s="7" t="str">
        <f>IFERROR(__xludf.DUMMYFUNCTION("""COMPUTED_VALUE"""),"Mixture of Structural-and-Textual Retrieval over Text-rich Graph Knowledge Bases")</f>
        <v>Mixture of Structural-and-Textual Retrieval over Text-rich Graph Knowledge Bases</v>
      </c>
      <c r="C1025" s="7" t="str">
        <f>IFERROR(__xludf.DUMMYFUNCTION("""COMPUTED_VALUE"""),"Text-rich Graph Knowledge Bases (TG-KBs) have become increasingly crucial for answering queries by providing textual and structural knowledge. However, current retrieval methods often retrieve these two types of knowledge in isolation without considering "&amp;"their mutual reinforcement and existing hybrid methods even bypass structural retrieval entirely. To fill this gap, we propose a Mixture of Structural-and-Textual Retrieval (MoR) to retrieve these two types of knowledge via a Planning-Reasoning-Organizing"&amp;" framework. In the Planning stage, MoR generates textual planning graphs delineating the logic for answering queries. Following planning graphs, in the Reasoning stage, MoR interweaves structural traversal and textual matching to obtain candidates from TG"&amp;"-KBs. In the Organizing stage, MoR further reranks fetched candidates based on their structural trajectory. Extensive experiments demonstrate the superiority of MoR in harmonizing structural and textual retrieval with inspiring insights, including imbalan"&amp;"ced retrieving performance across different query logics and the benefits of integrating structural trajectories for candidate reranking.")</f>
        <v>Text-rich Graph Knowledge Bases (TG-KBs) have become increasingly crucial for answering queries by providing textual and structural knowledge. However, current retrieval methods often retrieve these two types of knowledge in isolation without considering their mutual reinforcement and existing hybrid methods even bypass structural retrieval entirely. To fill this gap, we propose a Mixture of Structural-and-Textual Retrieval (MoR) to retrieve these two types of knowledge via a Planning-Reasoning-Organizing framework. In the Planning stage, MoR generates textual planning graphs delineating the logic for answering queries. Following planning graphs, in the Reasoning stage, MoR interweaves structural traversal and textual matching to obtain candidates from TG-KBs. In the Organizing stage, MoR further reranks fetched candidates based on their structural trajectory. Extensive experiments demonstrate the superiority of MoR in harmonizing structural and textual retrieval with inspiring insights, including imbalanced retrieving performance across different query logics and the benefits of integrating structural trajectories for candidate reranking.</v>
      </c>
      <c r="D1025" s="7" t="str">
        <f>IFERROR(__xludf.DUMMYFUNCTION("""COMPUTED_VALUE"""),"Yongjia LEI")</f>
        <v>Yongjia LEI</v>
      </c>
      <c r="E1025" s="7" t="str">
        <f>IFERROR(__xludf.DUMMYFUNCTION("""COMPUTED_VALUE"""),"#N/A")</f>
        <v>#N/A</v>
      </c>
      <c r="F1025" s="7" t="str">
        <f>IFERROR(__xludf.DUMMYFUNCTION("""COMPUTED_VALUE"""),"Not Pres. ")</f>
        <v>Not Pres. </v>
      </c>
      <c r="G1025" s="7" t="str">
        <f>IFERROR(__xludf.DUMMYFUNCTION("""COMPUTED_VALUE"""),"NP Findings Not Presenting ")</f>
        <v>NP Findings Not Presenting </v>
      </c>
      <c r="H1025" s="7"/>
      <c r="I1025" s="7" t="str">
        <f>IFERROR(__xludf.DUMMYFUNCTION("""COMPUTED_VALUE"""),"NP-Find")</f>
        <v>NP-Find</v>
      </c>
      <c r="J1025" s="7"/>
      <c r="K1025" s="7"/>
      <c r="L1025" s="8"/>
      <c r="M1025" s="7"/>
      <c r="N1025" s="7"/>
    </row>
    <row r="1026">
      <c r="A1026" s="7" t="str">
        <f>IFERROR(__xludf.DUMMYFUNCTION("""COMPUTED_VALUE"""),"3623-FIND")</f>
        <v>3623-FIND</v>
      </c>
      <c r="B1026" s="7" t="str">
        <f>IFERROR(__xludf.DUMMYFUNCTION("""COMPUTED_VALUE"""),"Fact Recall, Heuristics or Pure Guesswork? Precise Interpretations of Language Models for Fact Completion")</f>
        <v>Fact Recall, Heuristics or Pure Guesswork? Precise Interpretations of Language Models for Fact Completion</v>
      </c>
      <c r="C1026" s="7" t="str">
        <f>IFERROR(__xludf.DUMMYFUNCTION("""COMPUTED_VALUE"""),"Language models (LMs) can make a correct prediction based on many possible signals in a prompt, not all corresponding to recall of factual associations. However, current interpretations of LMs fail to take this into account. For example, given the query "&amp;"""Astrid Lindgren was born in"" with the corresponding completion ""Sweden"", no difference is made between whether the prediction was based on knowing where the author was born or assuming that a person with a Swedish-sounding name was born in Sweden. In"&amp;" this paper, we present a model-specific recipe - PrISM - for constructing datasets with examples of four different prediction scenarios: generic language modeling, guesswork, heuristics recall and exact fact recall. We apply two popular interpretability "&amp;"methods to the scenarios: causal tracing (CT) and information flow analysis. We find that both yield distinct results for each scenario. Results for exact fact recall and generic language modeling scenarios confirm previous conclusions about the importanc"&amp;"e of mid-range MLP sublayers for fact recall, while results for guesswork and heuristics indicate a critical role of late last token position MLP sublayers. In summary, we contribute resources for a more extensive and granular study of fact completion in "&amp;"LMs, together with analyses that provide a more nuanced understanding of how LMs process fact-related queries.")</f>
        <v>Language models (LMs) can make a correct prediction based on many possible signals in a prompt, not all corresponding to recall of factual associations. However, current interpretations of LMs fail to take this into account. For example, given the query "Astrid Lindgren was born in" with the corresponding completion "Sweden", no difference is made between whether the prediction was based on knowing where the author was born or assuming that a person with a Swedish-sounding name was born in Sweden. In this paper, we present a model-specific recipe - PrISM - for constructing datasets with examples of four different prediction scenarios: generic language modeling, guesswork, heuristics recall and exact fact recall. We apply two popular interpretability methods to the scenarios: causal tracing (CT) and information flow analysis. We find that both yield distinct results for each scenario. Results for exact fact recall and generic language modeling scenarios confirm previous conclusions about the importance of mid-range MLP sublayers for fact recall, while results for guesswork and heuristics indicate a critical role of late last token position MLP sublayers. In summary, we contribute resources for a more extensive and granular study of fact completion in LMs, together with analyses that provide a more nuanced understanding of how LMs process fact-related queries.</v>
      </c>
      <c r="D1026" s="7" t="str">
        <f>IFERROR(__xludf.DUMMYFUNCTION("""COMPUTED_VALUE"""),"Denitsa Saynova")</f>
        <v>Denitsa Saynova</v>
      </c>
      <c r="E1026" s="7" t="str">
        <f>IFERROR(__xludf.DUMMYFUNCTION("""COMPUTED_VALUE"""),"Yes")</f>
        <v>Yes</v>
      </c>
      <c r="F1026" s="7" t="str">
        <f>IFERROR(__xludf.DUMMYFUNCTION("""COMPUTED_VALUE"""),"IP-Poster")</f>
        <v>IP-Poster</v>
      </c>
      <c r="G1026" s="7" t="str">
        <f>IFERROR(__xludf.DUMMYFUNCTION("""COMPUTED_VALUE"""),"In-Person")</f>
        <v>In-Person</v>
      </c>
      <c r="H1026" s="7" t="str">
        <f>IFERROR(__xludf.DUMMYFUNCTION("""COMPUTED_VALUE"""),"Hall 4/5")</f>
        <v>Hall 4/5</v>
      </c>
      <c r="I1026" s="7" t="str">
        <f>IFERROR(__xludf.DUMMYFUNCTION("""COMPUTED_VALUE"""),"Session 7: IP-Posters")</f>
        <v>Session 7: IP-Posters</v>
      </c>
      <c r="J1026" s="7" t="str">
        <f>IFERROR(__xludf.DUMMYFUNCTION("""COMPUTED_VALUE"""),"Findings Posters - In-Person 2")</f>
        <v>Findings Posters - In-Person 2</v>
      </c>
      <c r="K1026" s="7"/>
      <c r="L1026" s="8">
        <f>IFERROR(__xludf.DUMMYFUNCTION("""COMPUTED_VALUE"""),45867.0)</f>
        <v>45867</v>
      </c>
      <c r="M1026" s="7" t="str">
        <f>IFERROR(__xludf.DUMMYFUNCTION("""COMPUTED_VALUE"""),"10:30-12:00")</f>
        <v>10:30-12:00</v>
      </c>
      <c r="N1026" s="7"/>
    </row>
    <row r="1027">
      <c r="A1027" s="7" t="str">
        <f>IFERROR(__xludf.DUMMYFUNCTION("""COMPUTED_VALUE"""),"3624-FIND")</f>
        <v>3624-FIND</v>
      </c>
      <c r="B1027" s="7" t="str">
        <f>IFERROR(__xludf.DUMMYFUNCTION("""COMPUTED_VALUE"""),"FPE2M2: Approaching Lossless and Efficient Quantization with Native Floating Point")</f>
        <v>FPE2M2: Approaching Lossless and Efficient Quantization with Native Floating Point</v>
      </c>
      <c r="C1027" s="7" t="str">
        <f>IFERROR(__xludf.DUMMYFUNCTION("""COMPUTED_VALUE"""),"Auto-regressive decoding is a memory-bound job, meaning decoding inference performance is limited by the bandwidth rather than the computational capabilities of the GPU. Weight-only quantization is a promising method to address the memory-bound limitation"&amp;"s. Previous studies have followed one of two approaches. Some have exclusively studied integer quantization while ignoring the Gaussian distribution nature of LLMs' weights. Others have proposed non-uniform quantization but incurred additional I/O overhea"&amp;"d due to lookup tables, e.g. NF4. In this work, we extend the IEEE 754 float-point standard to the ExMy quantization schema, which allocates x bit for the exponent and y bit for the mantissa to represent a number. In terms of runtime efficiency, we demons"&amp;"trate that the conversion from ExMy to FP16 can be realized through register-level operations, which can get almost the same performance as INT5. In terms of quantization loss, we analyze that of different ExMy settings, where the E2M2 schema achieves an "&amp;"optimal balance, offering the highest efficiency with lossless accuracy. We further propose the FPE2M2 framework that supports lossless weight-only quantization inference and validate the FPE2M2 framework on Qwen and LLaMA Models across various modalities"&amp;", such as text, image, and audio tasks, which achieves a faster inference speed while maintaining nearly lossless accuracy.")</f>
        <v>Auto-regressive decoding is a memory-bound job, meaning decoding inference performance is limited by the bandwidth rather than the computational capabilities of the GPU. Weight-only quantization is a promising method to address the memory-bound limitations. Previous studies have followed one of two approaches. Some have exclusively studied integer quantization while ignoring the Gaussian distribution nature of LLMs' weights. Others have proposed non-uniform quantization but incurred additional I/O overhead due to lookup tables, e.g. NF4. In this work, we extend the IEEE 754 float-point standard to the ExMy quantization schema, which allocates x bit for the exponent and y bit for the mantissa to represent a number. In terms of runtime efficiency, we demonstrate that the conversion from ExMy to FP16 can be realized through register-level operations, which can get almost the same performance as INT5. In terms of quantization loss, we analyze that of different ExMy settings, where the E2M2 schema achieves an optimal balance, offering the highest efficiency with lossless accuracy. We further propose the FPE2M2 framework that supports lossless weight-only quantization inference and validate the FPE2M2 framework on Qwen and LLaMA Models across various modalities, such as text, image, and audio tasks, which achieves a faster inference speed while maintaining nearly lossless accuracy.</v>
      </c>
      <c r="D1027" s="7" t="str">
        <f>IFERROR(__xludf.DUMMYFUNCTION("""COMPUTED_VALUE"""),"Ke Yi")</f>
        <v>Ke Yi</v>
      </c>
      <c r="E1027" s="7" t="str">
        <f>IFERROR(__xludf.DUMMYFUNCTION("""COMPUTED_VALUE"""),"Yes")</f>
        <v>Yes</v>
      </c>
      <c r="F1027" s="7" t="str">
        <f>IFERROR(__xludf.DUMMYFUNCTION("""COMPUTED_VALUE"""),"IP-Poster")</f>
        <v>IP-Poster</v>
      </c>
      <c r="G1027" s="7" t="str">
        <f>IFERROR(__xludf.DUMMYFUNCTION("""COMPUTED_VALUE"""),"In-Person")</f>
        <v>In-Person</v>
      </c>
      <c r="H1027" s="7" t="str">
        <f>IFERROR(__xludf.DUMMYFUNCTION("""COMPUTED_VALUE"""),"Hall 4/5")</f>
        <v>Hall 4/5</v>
      </c>
      <c r="I1027" s="7" t="str">
        <f>IFERROR(__xludf.DUMMYFUNCTION("""COMPUTED_VALUE"""),"Session 10: IP-Posters")</f>
        <v>Session 10: IP-Posters</v>
      </c>
      <c r="J1027" s="7" t="str">
        <f>IFERROR(__xludf.DUMMYFUNCTION("""COMPUTED_VALUE"""),"Findings Posters - In-Person 3")</f>
        <v>Findings Posters - In-Person 3</v>
      </c>
      <c r="K1027" s="7"/>
      <c r="L1027" s="8">
        <f>IFERROR(__xludf.DUMMYFUNCTION("""COMPUTED_VALUE"""),45867.0)</f>
        <v>45867</v>
      </c>
      <c r="M1027" s="7" t="str">
        <f>IFERROR(__xludf.DUMMYFUNCTION("""COMPUTED_VALUE"""),"16:00-17:30")</f>
        <v>16:00-17:30</v>
      </c>
      <c r="N1027" s="7"/>
    </row>
    <row r="1028">
      <c r="A1028" s="7" t="str">
        <f>IFERROR(__xludf.DUMMYFUNCTION("""COMPUTED_VALUE"""),"3627-FIND")</f>
        <v>3627-FIND</v>
      </c>
      <c r="B1028" s="7" t="str">
        <f>IFERROR(__xludf.DUMMYFUNCTION("""COMPUTED_VALUE"""),"Asymmetric Conflict and Synergy in Post-training for LLM-based Multilingual Machine Translation")</f>
        <v>Asymmetric Conflict and Synergy in Post-training for LLM-based Multilingual Machine Translation</v>
      </c>
      <c r="C1028" s="7" t="str">
        <f>IFERROR(__xludf.DUMMYFUNCTION("""COMPUTED_VALUE"""),"The emergence of Large Language Models (LLMs) has advanced the multilingual machine translation (MMT), yet the Curse of Multilinguality (CoM) remains a major challenge. Existing work in LLM-based MMT typically mitigates this issue via scaling up training "&amp;"and computation budget, which raises a critical question: Is scaling up the training and computation budget truly necessary for high-quality MMT, or can a deeper understanding of CoM provide a more efficient solution? To explore this problem, we analyze t"&amp;"he linguistic conflicts and synergy, the underlying mechanism of CoM during post-training phase. We identify an asymmetric phenomenon in linguistic conflicts and synergy: the dominance of conflicts and synergy varies in different translation directions, l"&amp;"eading to sub-optimal adaptation in existing post-training methods. We further find that a significant bottleneck in MMT appears to lie in post-training rather than multilingual pre-training, suggesting the need for more effective adaptation strategies. B"&amp;"uilding on these new insights, we propose a direction-aware training approach, combined with group-wise model merging, to address asymmetry in linguistic conflicts and synergy explicitly. Leveraging this strategy, our method fine-tunes X-ALMA-13B-Pretrain"&amp;"—trained only with multilingual pre-training—achieving comparable performance to XALMA-13B (only SFT) while using only 20B pretraining tokens and 17B parameters—5.5× fewer pretraining-tokens and 1.7x fewer model size—with just 0.85 COMET drop on Flores-20"&amp;"0 testsets of 50 languages.")</f>
        <v>The emergence of Large Language Models (LLMs) has advanced the multilingual machine translation (MMT), yet the Curse of Multilinguality (CoM) remains a major challenge. Existing work in LLM-based MMT typically mitigates this issue via scaling up training and computation budget, which raises a critical question: Is scaling up the training and computation budget truly necessary for high-quality MMT, or can a deeper understanding of CoM provide a more efficient solution? To explore this problem, we analyze the linguistic conflicts and synergy, the underlying mechanism of CoM during post-training phase. We identify an asymmetric phenomenon in linguistic conflicts and synergy: the dominance of conflicts and synergy varies in different translation directions, leading to sub-optimal adaptation in existing post-training methods. We further find that a significant bottleneck in MMT appears to lie in post-training rather than multilingual pre-training, suggesting the need for more effective adaptation strategies. Building on these new insights, we propose a direction-aware training approach, combined with group-wise model merging, to address asymmetry in linguistic conflicts and synergy explicitly. Leveraging this strategy, our method fine-tunes X-ALMA-13B-Pretrain—trained only with multilingual pre-training—achieving comparable performance to XALMA-13B (only SFT) while using only 20B pretraining tokens and 17B parameters—5.5× fewer pretraining-tokens and 1.7x fewer model size—with just 0.85 COMET drop on Flores-200 testsets of 50 languages.</v>
      </c>
      <c r="D1028" s="7" t="str">
        <f>IFERROR(__xludf.DUMMYFUNCTION("""COMPUTED_VALUE"""),"N/A")</f>
        <v>N/A</v>
      </c>
      <c r="E1028" s="7" t="str">
        <f>IFERROR(__xludf.DUMMYFUNCTION("""COMPUTED_VALUE"""),"Yes")</f>
        <v>Yes</v>
      </c>
      <c r="F1028" s="7" t="str">
        <f>IFERROR(__xludf.DUMMYFUNCTION("""COMPUTED_VALUE"""),"Not Pres. ")</f>
        <v>Not Pres. </v>
      </c>
      <c r="G1028" s="7" t="str">
        <f>IFERROR(__xludf.DUMMYFUNCTION("""COMPUTED_VALUE"""),"NP Findings Not Presenting ")</f>
        <v>NP Findings Not Presenting </v>
      </c>
      <c r="H1028" s="7"/>
      <c r="I1028" s="7"/>
      <c r="J1028" s="7"/>
      <c r="K1028" s="7"/>
      <c r="L1028" s="8"/>
      <c r="M1028" s="7"/>
      <c r="N1028" s="7"/>
    </row>
    <row r="1029">
      <c r="A1029" s="7" t="str">
        <f>IFERROR(__xludf.DUMMYFUNCTION("""COMPUTED_VALUE"""),"3628-FIND")</f>
        <v>3628-FIND</v>
      </c>
      <c r="B1029" s="7" t="str">
        <f>IFERROR(__xludf.DUMMYFUNCTION("""COMPUTED_VALUE"""),"VISIAR: Empower MLLM for Visual Story Ideation")</f>
        <v>VISIAR: Empower MLLM for Visual Story Ideation</v>
      </c>
      <c r="C1029" s="7" t="str">
        <f>IFERROR(__xludf.DUMMYFUNCTION("""COMPUTED_VALUE"""),"Ideation, the process of forming ideas from concepts, is a big part of the content creation process. However, the noble goal of helping visual content creators by suggesting meaningful sequences of visual assets from a limited collection is challenging. I"&amp;"t requires a nuanced understanding of visual assets and the integration of open-world knowledge to support creative exploration. Despite its importance, this task has yet to be explored fully in existing literature. To fill this gap, we propose Visual Sto"&amp;"ry Ideation, a novel and underexplored task focused on the automated selection and arrangement of visual assets into coherent sequences that convey expressive storylines.
We also present VISIAR, Visual Ideation through Sequence Integration and Asset Rear"&amp;"rangement, a robust framework leveraging Multimodal Large Language Models (MLLMs), and a novel Story Graph mechanism. Our framework operates in three key stages: visual content understanding, candidate asset selection, and asset rearrangement via MLLMs. I"&amp;"n addition, we curated a new benchmark dataset, called Vimeo-Travel, to evaluate our methods both qualitatively and quantitatively.
User studies and GPT-as-the-judge evaluation show that our approach surpasses GPT-4o based baseline by an average of 33.5%"&amp;" and 18.5% across three different metrics, demonstrating the effectiveness of our framework for generating compelling visual stories.")</f>
        <v>Ideation, the process of forming ideas from concepts, is a big part of the content creation process. However, the noble goal of helping visual content creators by suggesting meaningful sequences of visual assets from a limited collection is challenging. It requires a nuanced understanding of visual assets and the integration of open-world knowledge to support creative exploration. Despite its importance, this task has yet to be explored fully in existing literature. To fill this gap, we propose Visual Story Ideation, a novel and underexplored task focused on the automated selection and arrangement of visual assets into coherent sequences that convey expressive storylines.
We also present VISIAR, Visual Ideation through Sequence Integration and Asset Rearrangement, a robust framework leveraging Multimodal Large Language Models (MLLMs), and a novel Story Graph mechanism. Our framework operates in three key stages: visual content understanding, candidate asset selection, and asset rearrangement via MLLMs. In addition, we curated a new benchmark dataset, called Vimeo-Travel, to evaluate our methods both qualitatively and quantitatively.
User studies and GPT-as-the-judge evaluation show that our approach surpasses GPT-4o based baseline by an average of 33.5% and 18.5% across three different metrics, demonstrating the effectiveness of our framework for generating compelling visual stories.</v>
      </c>
      <c r="D1029" s="7" t="str">
        <f>IFERROR(__xludf.DUMMYFUNCTION("""COMPUTED_VALUE"""),"I do not plan to present")</f>
        <v>I do not plan to present</v>
      </c>
      <c r="E1029" s="7" t="str">
        <f>IFERROR(__xludf.DUMMYFUNCTION("""COMPUTED_VALUE"""),"#N/A")</f>
        <v>#N/A</v>
      </c>
      <c r="F1029" s="7" t="str">
        <f>IFERROR(__xludf.DUMMYFUNCTION("""COMPUTED_VALUE"""),"Not Pres. ")</f>
        <v>Not Pres. </v>
      </c>
      <c r="G1029" s="7" t="str">
        <f>IFERROR(__xludf.DUMMYFUNCTION("""COMPUTED_VALUE"""),"NP Findings Not Presenting ")</f>
        <v>NP Findings Not Presenting </v>
      </c>
      <c r="H1029" s="7"/>
      <c r="I1029" s="7" t="str">
        <f>IFERROR(__xludf.DUMMYFUNCTION("""COMPUTED_VALUE"""),"NP-Find")</f>
        <v>NP-Find</v>
      </c>
      <c r="J1029" s="7"/>
      <c r="K1029" s="7"/>
      <c r="L1029" s="8"/>
      <c r="M1029" s="7"/>
      <c r="N1029" s="7"/>
    </row>
    <row r="1030">
      <c r="A1030" s="7" t="str">
        <f>IFERROR(__xludf.DUMMYFUNCTION("""COMPUTED_VALUE"""),"3631-FIND")</f>
        <v>3631-FIND</v>
      </c>
      <c r="B1030" s="7" t="str">
        <f>IFERROR(__xludf.DUMMYFUNCTION("""COMPUTED_VALUE"""),"Same Company, Same Signal: The Role of Identity in Earnings Call Transcripts")</f>
        <v>Same Company, Same Signal: The Role of Identity in Earnings Call Transcripts</v>
      </c>
      <c r="C1030" s="7" t="str">
        <f>IFERROR(__xludf.DUMMYFUNCTION("""COMPUTED_VALUE"""),"Post-earnings volatility prediction is critical for investors, with previous works often leveraging earnings call transcripts under the assumption that their rich semantics contribute significantly. To further investigate how transcripts impact volatility"&amp;", we introduce DEC, a dataset featuring accurate volatility calculations enabled by the previously overlooked beforeAfterMarket attribute and dense ticker coverage. Unlike established benchmarks, where each ticker has only around two earnings, DEC provide"&amp;"s 20 earnings records per ticker. Using DEC, we reveal that post-earnings volatility undergoes significant shifts, with each ticker displaying a distinct volatility distribution. To leverage historical post-earnings volatility and capture ticker-specific "&amp;"patterns, we propose two training-free baselines: Post-earnings Volatility (PEV) and Same-ticker Post-earnings Volatility (STPEV). These baselines surpass all transcripts-based models on DEC as well as on established benchmarks. Additionally, we demonstra"&amp;"te that current transcript representations predominantly capture ticker identity rather than offering financially meaningful insights specific to each earnings. This is evidenced by two key observations: earnings representations from the same ticker exhib"&amp;"it significantly higher similarity compared to those from different tickers, and predictions from transcript-based models show strong correlations with prior post-earnings volatility.")</f>
        <v>Post-earnings volatility prediction is critical for investors, with previous works often leveraging earnings call transcripts under the assumption that their rich semantics contribute significantly. To further investigate how transcripts impact volatility, we introduce DEC, a dataset featuring accurate volatility calculations enabled by the previously overlooked beforeAfterMarket attribute and dense ticker coverage. Unlike established benchmarks, where each ticker has only around two earnings, DEC provides 20 earnings records per ticker. Using DEC, we reveal that post-earnings volatility undergoes significant shifts, with each ticker displaying a distinct volatility distribution. To leverage historical post-earnings volatility and capture ticker-specific patterns, we propose two training-free baselines: Post-earnings Volatility (PEV) and Same-ticker Post-earnings Volatility (STPEV). These baselines surpass all transcripts-based models on DEC as well as on established benchmarks. Additionally, we demonstrate that current transcript representations predominantly capture ticker identity rather than offering financially meaningful insights specific to each earnings. This is evidenced by two key observations: earnings representations from the same ticker exhibit significantly higher similarity compared to those from different tickers, and predictions from transcript-based models show strong correlations with prior post-earnings volatility.</v>
      </c>
      <c r="D1030" s="7" t="str">
        <f>IFERROR(__xludf.DUMMYFUNCTION("""COMPUTED_VALUE"""),"Ding Yu")</f>
        <v>Ding Yu</v>
      </c>
      <c r="E1030" s="7" t="str">
        <f>IFERROR(__xludf.DUMMYFUNCTION("""COMPUTED_VALUE"""),"Yes")</f>
        <v>Yes</v>
      </c>
      <c r="F1030" s="7" t="str">
        <f>IFERROR(__xludf.DUMMYFUNCTION("""COMPUTED_VALUE"""),"V-Gather")</f>
        <v>V-Gather</v>
      </c>
      <c r="G1030" s="7" t="str">
        <f>IFERROR(__xludf.DUMMYFUNCTION("""COMPUTED_VALUE"""),"Virtual/Gather")</f>
        <v>Virtual/Gather</v>
      </c>
      <c r="H1030" s="7" t="str">
        <f>IFERROR(__xludf.DUMMYFUNCTION("""COMPUTED_VALUE"""),"Gather")</f>
        <v>Gather</v>
      </c>
      <c r="I1030" s="7" t="str">
        <f>IFERROR(__xludf.DUMMYFUNCTION("""COMPUTED_VALUE"""),"Session5: V-Gather Find")</f>
        <v>Session5: V-Gather Find</v>
      </c>
      <c r="J1030" s="7" t="str">
        <f>IFERROR(__xludf.DUMMYFUNCTION("""COMPUTED_VALUE"""),"Findings Posters - Virtual")</f>
        <v>Findings Posters - Virtual</v>
      </c>
      <c r="K1030" s="7"/>
      <c r="L1030" s="8">
        <f>IFERROR(__xludf.DUMMYFUNCTION("""COMPUTED_VALUE"""),45866.0)</f>
        <v>45866</v>
      </c>
      <c r="M1030" s="7" t="str">
        <f>IFERROR(__xludf.DUMMYFUNCTION("""COMPUTED_VALUE"""),"18:00-19:30")</f>
        <v>18:00-19:30</v>
      </c>
      <c r="N1030" s="7"/>
    </row>
    <row r="1031">
      <c r="A1031" s="7" t="str">
        <f>IFERROR(__xludf.DUMMYFUNCTION("""COMPUTED_VALUE"""),"3632-FIND")</f>
        <v>3632-FIND</v>
      </c>
      <c r="B1031" s="7" t="str">
        <f>IFERROR(__xludf.DUMMYFUNCTION("""COMPUTED_VALUE"""),"Understanding and Meeting Practitioner Needs When Measuring Representational Harms Caused by LLM-Based Systems")</f>
        <v>Understanding and Meeting Practitioner Needs When Measuring Representational Harms Caused by LLM-Based Systems</v>
      </c>
      <c r="C1031" s="7" t="str">
        <f>IFERROR(__xludf.DUMMYFUNCTION("""COMPUTED_VALUE"""),"The NLP research community has made publicly available numerous instruments for measuring representational harms caused by large language model (LLM)-based systems. These have taken the form of datasets, metrics, and other tools designed to measure harms "&amp;"such as stereotyping and demeaning language. In this study we examine the extent to which such instruments meet the needs of practitioners tasked with evaluating LLM-based systems. Via semi-structured interviews with AI practitioners (N=12), we find that "&amp;"practitioners are often unable to use publicly available instruments for measuring representational harms. We identify two types of challenges. In some cases, instruments are not useful because they do not meaningfully measure what practitioners seek to m"&amp;"easure or are otherwise misaligned with practitioner needs. In other cases, instruments - even useful instruments - are not used by practitioners due to institutional barriers impeding their uptake. Drawing on measurement theory and pragmatic measurement,"&amp;" we provide recommendations for addressing these challenges to better meet practitioner needs.")</f>
        <v>The NLP research community has made publicly available numerous instruments for measuring representational harms caused by large language model (LLM)-based systems. These have taken the form of datasets, metrics, and other tools designed to measure harms such as stereotyping and demeaning language. In this study we examine the extent to which such instruments meet the needs of practitioners tasked with evaluating LLM-based systems. Via semi-structured interviews with AI practitioners (N=12), we find that practitioners are often unable to use publicly available instruments for measuring representational harms. We identify two types of challenges. In some cases, instruments are not useful because they do not meaningfully measure what practitioners seek to measure or are otherwise misaligned with practitioner needs. In other cases, instruments - even useful instruments - are not used by practitioners due to institutional barriers impeding their uptake. Drawing on measurement theory and pragmatic measurement, we provide recommendations for addressing these challenges to better meet practitioner needs.</v>
      </c>
      <c r="D1031" s="7" t="str">
        <f>IFERROR(__xludf.DUMMYFUNCTION("""COMPUTED_VALUE"""),"Emma Harvey")</f>
        <v>Emma Harvey</v>
      </c>
      <c r="E1031" s="7" t="str">
        <f>IFERROR(__xludf.DUMMYFUNCTION("""COMPUTED_VALUE"""),"Yes")</f>
        <v>Yes</v>
      </c>
      <c r="F1031" s="7" t="str">
        <f>IFERROR(__xludf.DUMMYFUNCTION("""COMPUTED_VALUE"""),"V-Presentation")</f>
        <v>V-Presentation</v>
      </c>
      <c r="G1031" s="7" t="str">
        <f>IFERROR(__xludf.DUMMYFUNCTION("""COMPUTED_VALUE"""),"Virtual/Gather")</f>
        <v>Virtual/Gather</v>
      </c>
      <c r="H1031" s="7" t="str">
        <f>IFERROR(__xludf.DUMMYFUNCTION("""COMPUTED_VALUE"""),"Gather")</f>
        <v>Gather</v>
      </c>
      <c r="I1031" s="7" t="str">
        <f>IFERROR(__xludf.DUMMYFUNCTION("""COMPUTED_VALUE"""),"Session5: V-Gather Find")</f>
        <v>Session5: V-Gather Find</v>
      </c>
      <c r="J1031" s="7" t="str">
        <f>IFERROR(__xludf.DUMMYFUNCTION("""COMPUTED_VALUE"""),"Findings Posters - Virtual")</f>
        <v>Findings Posters - Virtual</v>
      </c>
      <c r="K1031" s="7"/>
      <c r="L1031" s="8">
        <f>IFERROR(__xludf.DUMMYFUNCTION("""COMPUTED_VALUE"""),45866.0)</f>
        <v>45866</v>
      </c>
      <c r="M1031" s="7" t="str">
        <f>IFERROR(__xludf.DUMMYFUNCTION("""COMPUTED_VALUE"""),"18:00-19:30")</f>
        <v>18:00-19:30</v>
      </c>
      <c r="N1031" s="7"/>
    </row>
    <row r="1032">
      <c r="A1032" s="7" t="str">
        <f>IFERROR(__xludf.DUMMYFUNCTION("""COMPUTED_VALUE"""),"3641-FIND")</f>
        <v>3641-FIND</v>
      </c>
      <c r="B1032" s="7" t="str">
        <f>IFERROR(__xludf.DUMMYFUNCTION("""COMPUTED_VALUE"""),"Mind the (Belief) Gap: Group Identity in the World of LLMs")</f>
        <v>Mind the (Belief) Gap: Group Identity in the World of LLMs</v>
      </c>
      <c r="C1032" s="7" t="str">
        <f>IFERROR(__xludf.DUMMYFUNCTION("""COMPUTED_VALUE"""),"Social biases and belief-driven behaviors can significantly impact Large Language Models' (LLMs') decisions on several tasks. As LLMs are increasingly used in multi-agent systems for societal simulations, their ability to model fundamental group psycholog"&amp;"ical characteristics remains critical yet under-explored. In this study, we present a multi-agent framework that simulates belief congruence, a classical group psychology theory that plays a crucial role in shaping societal interactions and preferences. O"&amp;"ur findings reveal that LLMs exhibit amplified belief congruence compared to humans, across diverse contexts. We further investigate the implications of this behavior on two downstream tasks: (1) misinformation dissemination and (2) LLM learning, finding "&amp;"that belief congruence in LLMs increases misinformation dissemination and impedes learning. To mitigate these negative impacts, we propose strategies inspired by: (1) contact hypothesis, (2) accuracy nudges, and (3) global citizenship framework. Our resul"&amp;"ts show that the best strategies reduce misinformation dissemination by up to (37%) and enhance learning by (11%). Bridging social psychology and AI, our work provides insights to navigate real-world interactions using LLMs while addressing belief-driven "&amp;"biases.")</f>
        <v>Social biases and belief-driven behaviors can significantly impact Large Language Models' (LLMs') decisions on several tasks. As LLMs are increasingly used in multi-agent systems for societal simulations, their ability to model fundamental group psychological characteristics remains critical yet under-explored. In this study, we present a multi-agent framework that simulates belief congruence, a classical group psychology theory that plays a crucial role in shaping societal interactions and preferences. Our findings reveal that LLMs exhibit amplified belief congruence compared to humans, across diverse contexts. We further investigate the implications of this behavior on two downstream tasks: (1) misinformation dissemination and (2) LLM learning, finding that belief congruence in LLMs increases misinformation dissemination and impedes learning. To mitigate these negative impacts, we propose strategies inspired by: (1) contact hypothesis, (2) accuracy nudges, and (3) global citizenship framework. Our results show that the best strategies reduce misinformation dissemination by up to (37%) and enhance learning by (11%). Bridging social psychology and AI, our work provides insights to navigate real-world interactions using LLMs while addressing belief-driven biases.</v>
      </c>
      <c r="D1032" s="7" t="str">
        <f>IFERROR(__xludf.DUMMYFUNCTION("""COMPUTED_VALUE"""),"Angana Borah")</f>
        <v>Angana Borah</v>
      </c>
      <c r="E1032" s="7" t="str">
        <f>IFERROR(__xludf.DUMMYFUNCTION("""COMPUTED_VALUE"""),"Yes")</f>
        <v>Yes</v>
      </c>
      <c r="F1032" s="7" t="str">
        <f>IFERROR(__xludf.DUMMYFUNCTION("""COMPUTED_VALUE"""),"IP-Poster")</f>
        <v>IP-Poster</v>
      </c>
      <c r="G1032" s="7" t="str">
        <f>IFERROR(__xludf.DUMMYFUNCTION("""COMPUTED_VALUE"""),"In-Person")</f>
        <v>In-Person</v>
      </c>
      <c r="H1032" s="7" t="str">
        <f>IFERROR(__xludf.DUMMYFUNCTION("""COMPUTED_VALUE"""),"Hall 4/5")</f>
        <v>Hall 4/5</v>
      </c>
      <c r="I1032" s="7" t="str">
        <f>IFERROR(__xludf.DUMMYFUNCTION("""COMPUTED_VALUE"""),"Session 12: IP-Posters")</f>
        <v>Session 12: IP-Posters</v>
      </c>
      <c r="J1032" s="7" t="str">
        <f>IFERROR(__xludf.DUMMYFUNCTION("""COMPUTED_VALUE"""),"Findings Posters - In-Person 4")</f>
        <v>Findings Posters - In-Person 4</v>
      </c>
      <c r="K1032" s="7"/>
      <c r="L1032" s="8">
        <f>IFERROR(__xludf.DUMMYFUNCTION("""COMPUTED_VALUE"""),45868.0)</f>
        <v>45868</v>
      </c>
      <c r="M1032" s="7" t="str">
        <f>IFERROR(__xludf.DUMMYFUNCTION("""COMPUTED_VALUE"""),"11:00-12:30")</f>
        <v>11:00-12:30</v>
      </c>
      <c r="N1032" s="7"/>
    </row>
    <row r="1033">
      <c r="A1033" s="7" t="str">
        <f>IFERROR(__xludf.DUMMYFUNCTION("""COMPUTED_VALUE"""),"3643-FIND")</f>
        <v>3643-FIND</v>
      </c>
      <c r="B1033" s="7" t="str">
        <f>IFERROR(__xludf.DUMMYFUNCTION("""COMPUTED_VALUE"""),"SemCSE: Semantic Contrastive Sentence Embeddings Using LLM-Generated Summaries For Scientific Abstracts")</f>
        <v>SemCSE: Semantic Contrastive Sentence Embeddings Using LLM-Generated Summaries For Scientific Abstracts</v>
      </c>
      <c r="C1033" s="7" t="str">
        <f>IFERROR(__xludf.DUMMYFUNCTION("""COMPUTED_VALUE"""),"We introduce SemCSE, an unsupervised method for learning semantic embeddings of scientific texts. Building on recent advances in contrastive learning for text embeddings, our approach leverages LLM-generated summaries of scientific abstracts to train a mo"&amp;"del that positions semantically related summaries closer together in the embedding space. This resulting objective ensures that the model captures the true semantic content of a text, in contrast to traditional citation-based approaches that do not necess"&amp;"arily reflect semantic similarity. To validate this, we propose a novel benchmark designed to assess a models' ability to understand and encode the semantic content of scientific texts, demonstrating that our method enforces a stronger semantic separation"&amp;" within the embedding space. Additionally, we evaluate SemCSE on the comprehensive SciRepEval benchmark for scientific text embeddings, where it achieves state-of-the-art performance among models of its size, thus highlighting the benefits of a more seman"&amp;"tically focused training approach.")</f>
        <v>We introduce SemCSE, an unsupervised method for learning semantic embeddings of scientific texts. Building on recent advances in contrastive learning for text embeddings, our approach leverages LLM-generated summaries of scientific abstracts to train a model that positions semantically related summaries closer together in the embedding space. This resulting objective ensures that the model captures the true semantic content of a text, in contrast to traditional citation-based approaches that do not necessarily reflect semantic similarity. To validate this, we propose a novel benchmark designed to assess a models' ability to understand and encode the semantic content of scientific texts, demonstrating that our method enforces a stronger semantic separation within the embedding space. Additionally, we evaluate SemCSE on the comprehensive SciRepEval benchmark for scientific text embeddings, where it achieves state-of-the-art performance among models of its size, thus highlighting the benefits of a more semantically focused training approach.</v>
      </c>
      <c r="D1033" s="7" t="str">
        <f>IFERROR(__xludf.DUMMYFUNCTION("""COMPUTED_VALUE"""),"-")</f>
        <v>-</v>
      </c>
      <c r="E1033" s="7" t="str">
        <f>IFERROR(__xludf.DUMMYFUNCTION("""COMPUTED_VALUE"""),"#N/A")</f>
        <v>#N/A</v>
      </c>
      <c r="F1033" s="7" t="str">
        <f>IFERROR(__xludf.DUMMYFUNCTION("""COMPUTED_VALUE"""),"Not Pres. ")</f>
        <v>Not Pres. </v>
      </c>
      <c r="G1033" s="7" t="str">
        <f>IFERROR(__xludf.DUMMYFUNCTION("""COMPUTED_VALUE"""),"NP Findings Not Presenting ")</f>
        <v>NP Findings Not Presenting </v>
      </c>
      <c r="H1033" s="7"/>
      <c r="I1033" s="7" t="str">
        <f>IFERROR(__xludf.DUMMYFUNCTION("""COMPUTED_VALUE"""),"NP-Find")</f>
        <v>NP-Find</v>
      </c>
      <c r="J1033" s="7"/>
      <c r="K1033" s="7"/>
      <c r="L1033" s="8"/>
      <c r="M1033" s="7"/>
      <c r="N1033" s="7"/>
    </row>
    <row r="1034">
      <c r="A1034" s="7" t="str">
        <f>IFERROR(__xludf.DUMMYFUNCTION("""COMPUTED_VALUE"""),"3644-FIND")</f>
        <v>3644-FIND</v>
      </c>
      <c r="B1034" s="7" t="str">
        <f>IFERROR(__xludf.DUMMYFUNCTION("""COMPUTED_VALUE"""),"A General Framework to Enhance Fine-tuning-based LLM Unlearning")</f>
        <v>A General Framework to Enhance Fine-tuning-based LLM Unlearning</v>
      </c>
      <c r="C1034" s="7" t="str">
        <f>IFERROR(__xludf.DUMMYFUNCTION("""COMPUTED_VALUE"""),"Unlearning has been proposed to remove copyrighted and privacy-sensitive data from Large Language Models (LLMs). Existing approaches primarily rely on fine-tuning-based methods, which can be categorized into gradient ascent-based (GA-based) and suppressio"&amp;"n-based methods. However, they often degrade model utility (the ability to respond to normal prompts). In this work, we aim to develop a general framework that enhances the utility of fine-tuning-based unlearning methods. To achieve this goal, we first in"&amp;"vestigate the common property between GA-based and suppression-based methods. We unveil that GA-based methods unlearn by distinguishing the target data (i.e., the data to be removed) and suppressing related generations—essentially the same strategy employ"&amp;"ed by suppression-based methods. Inspired by this finding, we introduce Gated Representation UNlearning (GRUN) which has two components: a soft gate function for distinguishing target data and a suppression module using Representation Fine-tuning (ReFT) t"&amp;"o adjust representations rather than model parameters. Experiments show that GRUN significantly improves the unlearning and utility. Meanwhile, it is general for fine-tuning-based methods, efficient and promising for sequential unlearning.")</f>
        <v>Unlearning has been proposed to remove copyrighted and privacy-sensitive data from Large Language Models (LLMs). Existing approaches primarily rely on fine-tuning-based methods, which can be categorized into gradient ascent-based (GA-based) and suppression-based methods. However, they often degrade model utility (the ability to respond to normal prompts). In this work, we aim to develop a general framework that enhances the utility of fine-tuning-based unlearning methods. To achieve this goal, we first investigate the common property between GA-based and suppression-based methods. We unveil that GA-based methods unlearn by distinguishing the target data (i.e., the data to be removed) and suppressing related generations—essentially the same strategy employed by suppression-based methods. Inspired by this finding, we introduce Gated Representation UNlearning (GRUN) which has two components: a soft gate function for distinguishing target data and a suppression module using Representation Fine-tuning (ReFT) to adjust representations rather than model parameters. Experiments show that GRUN significantly improves the unlearning and utility. Meanwhile, it is general for fine-tuning-based methods, efficient and promising for sequential unlearning.</v>
      </c>
      <c r="D1034" s="7" t="str">
        <f>IFERROR(__xludf.DUMMYFUNCTION("""COMPUTED_VALUE"""),"Jie Ren")</f>
        <v>Jie Ren</v>
      </c>
      <c r="E1034" s="7" t="str">
        <f>IFERROR(__xludf.DUMMYFUNCTION("""COMPUTED_VALUE"""),"#N/A")</f>
        <v>#N/A</v>
      </c>
      <c r="F1034" s="7" t="str">
        <f>IFERROR(__xludf.DUMMYFUNCTION("""COMPUTED_VALUE"""),"Not Pres. ")</f>
        <v>Not Pres. </v>
      </c>
      <c r="G1034" s="7" t="str">
        <f>IFERROR(__xludf.DUMMYFUNCTION("""COMPUTED_VALUE"""),"NP Findings Not Presenting ")</f>
        <v>NP Findings Not Presenting </v>
      </c>
      <c r="H1034" s="7"/>
      <c r="I1034" s="7" t="str">
        <f>IFERROR(__xludf.DUMMYFUNCTION("""COMPUTED_VALUE"""),"NP-Find")</f>
        <v>NP-Find</v>
      </c>
      <c r="J1034" s="7"/>
      <c r="K1034" s="7"/>
      <c r="L1034" s="8"/>
      <c r="M1034" s="7"/>
      <c r="N1034" s="7"/>
    </row>
    <row r="1035">
      <c r="A1035" s="7" t="str">
        <f>IFERROR(__xludf.DUMMYFUNCTION("""COMPUTED_VALUE"""),"3648-FIND")</f>
        <v>3648-FIND</v>
      </c>
      <c r="B1035" s="7" t="str">
        <f>IFERROR(__xludf.DUMMYFUNCTION("""COMPUTED_VALUE"""),"Right Answer, Wrong Score: Uncovering the Inconsistencies of LLM Evaluation in Multiple-Choice Question Answering")</f>
        <v>Right Answer, Wrong Score: Uncovering the Inconsistencies of LLM Evaluation in Multiple-Choice Question Answering</v>
      </c>
      <c r="C1035" s="7" t="str">
        <f>IFERROR(__xludf.DUMMYFUNCTION("""COMPUTED_VALUE"""),"One of the most widely used tasks to evaluate Large Language Models (LLMs) is Multiple-Choice Question Answering (MCQA). While open-ended question answering tasks are more challenging to evaluate, MCQA tasks are, in principle, easier to assess, as the mod"&amp;"el's answer is thought to be simple to extract and is directly compared to a set of predefined choices. However, recent studies have started to question the reliability of MCQA evaluation, showing that multiple factors can significantly impact the reporte"&amp;"d performance of LLMs, especially when the model generates free-form text before selecting one of the answer choices. In this work, we shed light on the inconsistencies of MCQA evaluation strategies, which can lead to inaccurate and misleading model compa"&amp;"risons. We systematically analyze whether existing answer extraction methods are aligned with human judgment, and how they are influenced by answer constraints in the prompt across different domains. Our experiments demonstrate that traditional evaluation"&amp;" strategies often underestimate LLM capabilities, while LLM-based answer extractors are prone to systematic errors. Moreover, we reveal a fundamental trade-off between including format constraints in the prompt to simplify answer extraction and allowing m"&amp;"odels to generate free-form text to improve reasoning. Our findings call for standardized evaluation methodologies and highlight the need for more reliable and consistent MCQA evaluation practices.")</f>
        <v>One of the most widely used tasks to evaluate Large Language Models (LLMs) is Multiple-Choice Question Answering (MCQA). While open-ended question answering tasks are more challenging to evaluate, MCQA tasks are, in principle, easier to assess, as the model's answer is thought to be simple to extract and is directly compared to a set of predefined choices. However, recent studies have started to question the reliability of MCQA evaluation, showing that multiple factors can significantly impact the reported performance of LLMs, especially when the model generates free-form text before selecting one of the answer choices. In this work, we shed light on the inconsistencies of MCQA evaluation strategies, which can lead to inaccurate and misleading model comparisons. We systematically analyze whether existing answer extraction methods are aligned with human judgment, and how they are influenced by answer constraints in the prompt across different domains. Our experiments demonstrate that traditional evaluation strategies often underestimate LLM capabilities, while LLM-based answer extractors are prone to systematic errors. Moreover, we reveal a fundamental trade-off between including format constraints in the prompt to simplify answer extraction and allowing models to generate free-form text to improve reasoning. Our findings call for standardized evaluation methodologies and highlight the need for more reliable and consistent MCQA evaluation practices.</v>
      </c>
      <c r="D1035" s="7" t="str">
        <f>IFERROR(__xludf.DUMMYFUNCTION("""COMPUTED_VALUE"""),"Francesco Maria Molfese")</f>
        <v>Francesco Maria Molfese</v>
      </c>
      <c r="E1035" s="7" t="str">
        <f>IFERROR(__xludf.DUMMYFUNCTION("""COMPUTED_VALUE"""),"Yes")</f>
        <v>Yes</v>
      </c>
      <c r="F1035" s="7" t="str">
        <f>IFERROR(__xludf.DUMMYFUNCTION("""COMPUTED_VALUE"""),"IP-Poster")</f>
        <v>IP-Poster</v>
      </c>
      <c r="G1035" s="7" t="str">
        <f>IFERROR(__xludf.DUMMYFUNCTION("""COMPUTED_VALUE"""),"In-Person")</f>
        <v>In-Person</v>
      </c>
      <c r="H1035" s="7" t="str">
        <f>IFERROR(__xludf.DUMMYFUNCTION("""COMPUTED_VALUE"""),"Hall 4/5")</f>
        <v>Hall 4/5</v>
      </c>
      <c r="I1035" s="7" t="str">
        <f>IFERROR(__xludf.DUMMYFUNCTION("""COMPUTED_VALUE"""),"Session 5 :IP-Posters Find ")</f>
        <v>Session 5 :IP-Posters Find </v>
      </c>
      <c r="J1035" s="7" t="str">
        <f>IFERROR(__xludf.DUMMYFUNCTION("""COMPUTED_VALUE"""),"Findings Posters - In-Person 1")</f>
        <v>Findings Posters - In-Person 1</v>
      </c>
      <c r="K1035" s="7"/>
      <c r="L1035" s="8">
        <f>IFERROR(__xludf.DUMMYFUNCTION("""COMPUTED_VALUE"""),45866.0)</f>
        <v>45866</v>
      </c>
      <c r="M1035" s="7" t="str">
        <f>IFERROR(__xludf.DUMMYFUNCTION("""COMPUTED_VALUE"""),"18:00-19:30")</f>
        <v>18:00-19:30</v>
      </c>
      <c r="N1035" s="7"/>
    </row>
    <row r="1036">
      <c r="A1036" s="7" t="str">
        <f>IFERROR(__xludf.DUMMYFUNCTION("""COMPUTED_VALUE"""),"3649-FIND")</f>
        <v>3649-FIND</v>
      </c>
      <c r="B1036" s="7" t="str">
        <f>IFERROR(__xludf.DUMMYFUNCTION("""COMPUTED_VALUE"""),"Machine Theory of Mind Needs Machine Validation")</f>
        <v>Machine Theory of Mind Needs Machine Validation</v>
      </c>
      <c r="C1036" s="7" t="str">
        <f>IFERROR(__xludf.DUMMYFUNCTION("""COMPUTED_VALUE"""),"In the last couple years, there has been a flood of interest in studying the extent to which language models (LMs) have a theory of mind (ToM) — the ability to ascribe mental states to themselves and others. The results provide an unclear picture of the c"&amp;"urrent state of the art, with some finding near-human performance and others near-zero. To make sense of this landscape, we perform a survey of 15 recent studies aimed at measuring ToM in LMs and find that, while almost all perform checks for human identi"&amp;"fiable issues, less than half do so for patterns only a machine might exploit. Among those which do perform such validation, none identify LMs to exceed human performance. We conclude that these datasets are easier than their peers, likely due to the pres"&amp;"ence of spurious patterns in the data, and we caution against building ToM benchmarks relying solely on human validation of the data.")</f>
        <v>In the last couple years, there has been a flood of interest in studying the extent to which language models (LMs) have a theory of mind (ToM) — the ability to ascribe mental states to themselves and others. The results provide an unclear picture of the current state of the art, with some finding near-human performance and others near-zero. To make sense of this landscape, we perform a survey of 15 recent studies aimed at measuring ToM in LMs and find that, while almost all perform checks for human identifiable issues, less than half do so for patterns only a machine might exploit. Among those which do perform such validation, none identify LMs to exceed human performance. We conclude that these datasets are easier than their peers, likely due to the presence of spurious patterns in the data, and we caution against building ToM benchmarks relying solely on human validation of the data.</v>
      </c>
      <c r="D1036" s="7" t="str">
        <f>IFERROR(__xludf.DUMMYFUNCTION("""COMPUTED_VALUE"""),"Adil Soubki")</f>
        <v>Adil Soubki</v>
      </c>
      <c r="E1036" s="7" t="str">
        <f>IFERROR(__xludf.DUMMYFUNCTION("""COMPUTED_VALUE"""),"Yes")</f>
        <v>Yes</v>
      </c>
      <c r="F1036" s="7" t="str">
        <f>IFERROR(__xludf.DUMMYFUNCTION("""COMPUTED_VALUE"""),"IP-Poster")</f>
        <v>IP-Poster</v>
      </c>
      <c r="G1036" s="7" t="str">
        <f>IFERROR(__xludf.DUMMYFUNCTION("""COMPUTED_VALUE"""),"In-Person")</f>
        <v>In-Person</v>
      </c>
      <c r="H1036" s="7" t="str">
        <f>IFERROR(__xludf.DUMMYFUNCTION("""COMPUTED_VALUE"""),"Hall 4/5")</f>
        <v>Hall 4/5</v>
      </c>
      <c r="I1036" s="7" t="str">
        <f>IFERROR(__xludf.DUMMYFUNCTION("""COMPUTED_VALUE"""),"Session 5 :IP-Posters Find ")</f>
        <v>Session 5 :IP-Posters Find </v>
      </c>
      <c r="J1036" s="7" t="str">
        <f>IFERROR(__xludf.DUMMYFUNCTION("""COMPUTED_VALUE"""),"Findings Posters - In-Person 1")</f>
        <v>Findings Posters - In-Person 1</v>
      </c>
      <c r="K1036" s="7"/>
      <c r="L1036" s="8">
        <f>IFERROR(__xludf.DUMMYFUNCTION("""COMPUTED_VALUE"""),45866.0)</f>
        <v>45866</v>
      </c>
      <c r="M1036" s="7" t="str">
        <f>IFERROR(__xludf.DUMMYFUNCTION("""COMPUTED_VALUE"""),"18:00-19:30")</f>
        <v>18:00-19:30</v>
      </c>
      <c r="N1036" s="7"/>
    </row>
    <row r="1037">
      <c r="A1037" s="7" t="str">
        <f>IFERROR(__xludf.DUMMYFUNCTION("""COMPUTED_VALUE"""),"3655-FIND")</f>
        <v>3655-FIND</v>
      </c>
      <c r="B1037" s="7" t="str">
        <f>IFERROR(__xludf.DUMMYFUNCTION("""COMPUTED_VALUE"""),"MiniKV: Pushing the Limits of 2-Bit KV Cache via Compression and System Co-Design for Efficient Long Context Inference")</f>
        <v>MiniKV: Pushing the Limits of 2-Bit KV Cache via Compression and System Co-Design for Efficient Long Context Inference</v>
      </c>
      <c r="C1037" s="7" t="str">
        <f>IFERROR(__xludf.DUMMYFUNCTION("""COMPUTED_VALUE"""),"State-of-the-art 2-bit KV cache quantization techniques achieve excellent results in accelerating LLM inference while retaining accuracy on long context tasks. However, further pushing the compression ratio fails to deliver performance gains. In this work"&amp;", we revisit these approaches by considering, additionally, adaptive KV methods that retain LLM accuracy with only a subset of KV states. This leads us to propose a method based on 2-bit KV cache quantization with adaptive KV policies. In addition, we tak"&amp;"e an algorithm and system co-design approach by developing hardware-friendly kernels to accelerate LLM inference while making MiniKV compatible with existing memory-efficient attention techniques such as FlashAttention, effectively translating algorithmic"&amp;" improvements into system performance gains. Experiments on a wide range of long context tasks show that MiniKV effectively achieves &gt;80% KV cache compression while retaining accuracy, outperforming state-of-the-art methods while achieving excellent laten"&amp;"cy, throughput, and memory consumption improvements in long context inference.")</f>
        <v>State-of-the-art 2-bit KV cache quantization techniques achieve excellent results in accelerating LLM inference while retaining accuracy on long context tasks. However, further pushing the compression ratio fails to deliver performance gains. In this work, we revisit these approaches by considering, additionally, adaptive KV methods that retain LLM accuracy with only a subset of KV states. This leads us to propose a method based on 2-bit KV cache quantization with adaptive KV policies. In addition, we take an algorithm and system co-design approach by developing hardware-friendly kernels to accelerate LLM inference while making MiniKV compatible with existing memory-efficient attention techniques such as FlashAttention, effectively translating algorithmic improvements into system performance gains. Experiments on a wide range of long context tasks show that MiniKV effectively achieves &gt;80% KV cache compression while retaining accuracy, outperforming state-of-the-art methods while achieving excellent latency, throughput, and memory consumption improvements in long context inference.</v>
      </c>
      <c r="D1037" s="7" t="str">
        <f>IFERROR(__xludf.DUMMYFUNCTION("""COMPUTED_VALUE"""),"Akshat Sharma")</f>
        <v>Akshat Sharma</v>
      </c>
      <c r="E1037" s="7" t="str">
        <f>IFERROR(__xludf.DUMMYFUNCTION("""COMPUTED_VALUE"""),"N/A")</f>
        <v>N/A</v>
      </c>
      <c r="F1037" s="7" t="str">
        <f>IFERROR(__xludf.DUMMYFUNCTION("""COMPUTED_VALUE"""),"Not Pres. ")</f>
        <v>Not Pres. </v>
      </c>
      <c r="G1037" s="7"/>
      <c r="H1037" s="7"/>
      <c r="I1037" s="7" t="str">
        <f>IFERROR(__xludf.DUMMYFUNCTION("""COMPUTED_VALUE"""),"NP-Find")</f>
        <v>NP-Find</v>
      </c>
      <c r="J1037" s="7"/>
      <c r="K1037" s="7"/>
      <c r="L1037" s="8"/>
      <c r="M1037" s="7"/>
      <c r="N1037" s="7"/>
    </row>
    <row r="1038">
      <c r="A1038" s="7" t="str">
        <f>IFERROR(__xludf.DUMMYFUNCTION("""COMPUTED_VALUE"""),"3661-FIND")</f>
        <v>3661-FIND</v>
      </c>
      <c r="B1038" s="7" t="str">
        <f>IFERROR(__xludf.DUMMYFUNCTION("""COMPUTED_VALUE"""),"Sci-LoRA: Mixture of Scientific LoRAs for Cross-Domain Lay Paraphrasing")</f>
        <v>Sci-LoRA: Mixture of Scientific LoRAs for Cross-Domain Lay Paraphrasing</v>
      </c>
      <c r="C1038" s="7" t="str">
        <f>IFERROR(__xludf.DUMMYFUNCTION("""COMPUTED_VALUE"""),"Lay paraphrasing aims to make scientific information accessible to audiences without technical backgrounds. However, most existing studies focus on a single domain, such as biomedicine. With the rise of interdisciplinary research, it is increasingly neces"&amp;"sary to comprehend knowledge spanning multiple technical fields. To address this, we propose Sci-LoRA, a model that leverages a mixture of LoRAs fine-tuned on multiple scientific domains. In particular, Sci-LoRA dynamically generates and applies weights f"&amp;"or each LoRA, enabling it to adjust the impact of different domains based on the input text, without requiring explicit domain labels. To balance domain-specific knowledge and generalization across various domains, Sci-LoRA integrates information at both "&amp;"the data and model levels. This dynamic fusion enhances the adaptability and performance across various domains. Experimental results across twelve domains on five public datasets show that Sci-LoRA significantly outperforms state-of-the-art large languag"&amp;"e models and demonstrates flexible generalization and adaptability in cross-domain lay paraphrasing.")</f>
        <v>Lay paraphrasing aims to make scientific information accessible to audiences without technical backgrounds. However, most existing studies focus on a single domain, such as biomedicine. With the rise of interdisciplinary research, it is increasingly necessary to comprehend knowledge spanning multiple technical fields. To address this, we propose Sci-LoRA, a model that leverages a mixture of LoRAs fine-tuned on multiple scientific domains. In particular, Sci-LoRA dynamically generates and applies weights for each LoRA, enabling it to adjust the impact of different domains based on the input text, without requiring explicit domain labels. To balance domain-specific knowledge and generalization across various domains, Sci-LoRA integrates information at both the data and model levels. This dynamic fusion enhances the adaptability and performance across various domains. Experimental results across twelve domains on five public datasets show that Sci-LoRA significantly outperforms state-of-the-art large language models and demonstrates flexible generalization and adaptability in cross-domain lay paraphrasing.</v>
      </c>
      <c r="D1038" s="7" t="str">
        <f>IFERROR(__xludf.DUMMYFUNCTION("""COMPUTED_VALUE"""),"Ming Cheng")</f>
        <v>Ming Cheng</v>
      </c>
      <c r="E1038" s="7" t="str">
        <f>IFERROR(__xludf.DUMMYFUNCTION("""COMPUTED_VALUE"""),"#N/A")</f>
        <v>#N/A</v>
      </c>
      <c r="F1038" s="7" t="str">
        <f>IFERROR(__xludf.DUMMYFUNCTION("""COMPUTED_VALUE"""),"Not Pres. ")</f>
        <v>Not Pres. </v>
      </c>
      <c r="G1038" s="7" t="str">
        <f>IFERROR(__xludf.DUMMYFUNCTION("""COMPUTED_VALUE"""),"NP Findings Not Presenting ")</f>
        <v>NP Findings Not Presenting </v>
      </c>
      <c r="H1038" s="7"/>
      <c r="I1038" s="7" t="str">
        <f>IFERROR(__xludf.DUMMYFUNCTION("""COMPUTED_VALUE"""),"NP-Find")</f>
        <v>NP-Find</v>
      </c>
      <c r="J1038" s="7"/>
      <c r="K1038" s="7"/>
      <c r="L1038" s="8"/>
      <c r="M1038" s="7"/>
      <c r="N1038" s="7"/>
    </row>
    <row r="1039">
      <c r="A1039" s="7" t="str">
        <f>IFERROR(__xludf.DUMMYFUNCTION("""COMPUTED_VALUE"""),"3663-FIND")</f>
        <v>3663-FIND</v>
      </c>
      <c r="B1039" s="7" t="str">
        <f>IFERROR(__xludf.DUMMYFUNCTION("""COMPUTED_VALUE"""),"Chameleon LLMs: User Personas Influence Chatbot Personality Shifts")</f>
        <v>Chameleon LLMs: User Personas Influence Chatbot Personality Shifts</v>
      </c>
      <c r="C1039" s="7" t="str">
        <f>IFERROR(__xludf.DUMMYFUNCTION("""COMPUTED_VALUE"""),"As large language models (LLMs) integrate into society, their ability to adapt to users is as critical as their accuracy. While prior work has used personality tests to examine the perceived personalities of LLMs, little research has explored whether LLMs"&amp;" adapt their perceived personalities in response to user interactions. We investigate whether and how LLMs exhibit conversational adaptations over prolonged interactions. Using a controlled simulations where a user and chatbot engage in dialogue, we measu"&amp;"re the chatbot’s personality shift before and after the conversation. Across multiple models, we find that traits such as Agreeableness, Extraversion, and Conscientiousness are highly susceptible to user influence, whereas Emotional Stability and Intellec"&amp;"t remain relatively more stable. Our results suggest that LLMs dynamically adjust their conversational style in response to user personas, raising important implications for AI alignment, trust, and safety.")</f>
        <v>As large language models (LLMs) integrate into society, their ability to adapt to users is as critical as their accuracy. While prior work has used personality tests to examine the perceived personalities of LLMs, little research has explored whether LLMs adapt their perceived personalities in response to user interactions. We investigate whether and how LLMs exhibit conversational adaptations over prolonged interactions. Using a controlled simulations where a user and chatbot engage in dialogue, we measure the chatbot’s personality shift before and after the conversation. Across multiple models, we find that traits such as Agreeableness, Extraversion, and Conscientiousness are highly susceptible to user influence, whereas Emotional Stability and Intellect remain relatively more stable. Our results suggest that LLMs dynamically adjust their conversational style in response to user personas, raising important implications for AI alignment, trust, and safety.</v>
      </c>
      <c r="D1039" s="7" t="str">
        <f>IFERROR(__xludf.DUMMYFUNCTION("""COMPUTED_VALUE"""),"-")</f>
        <v>-</v>
      </c>
      <c r="E1039" s="7" t="str">
        <f>IFERROR(__xludf.DUMMYFUNCTION("""COMPUTED_VALUE"""),"#N/A")</f>
        <v>#N/A</v>
      </c>
      <c r="F1039" s="7" t="str">
        <f>IFERROR(__xludf.DUMMYFUNCTION("""COMPUTED_VALUE"""),"Not Pres. ")</f>
        <v>Not Pres. </v>
      </c>
      <c r="G1039" s="7" t="str">
        <f>IFERROR(__xludf.DUMMYFUNCTION("""COMPUTED_VALUE"""),"NP Findings Not Presenting ")</f>
        <v>NP Findings Not Presenting </v>
      </c>
      <c r="H1039" s="7"/>
      <c r="I1039" s="7" t="str">
        <f>IFERROR(__xludf.DUMMYFUNCTION("""COMPUTED_VALUE"""),"NP-Find")</f>
        <v>NP-Find</v>
      </c>
      <c r="J1039" s="7"/>
      <c r="K1039" s="7"/>
      <c r="L1039" s="8"/>
      <c r="M1039" s="7"/>
      <c r="N1039" s="7"/>
    </row>
    <row r="1040">
      <c r="A1040" s="7" t="str">
        <f>IFERROR(__xludf.DUMMYFUNCTION("""COMPUTED_VALUE"""),"3666-FIND")</f>
        <v>3666-FIND</v>
      </c>
      <c r="B1040" s="7" t="str">
        <f>IFERROR(__xludf.DUMMYFUNCTION("""COMPUTED_VALUE"""),"Trick or Neat: Adversarial Ambiguity and Language Model Evaluation")</f>
        <v>Trick or Neat: Adversarial Ambiguity and Language Model Evaluation</v>
      </c>
      <c r="C1040" s="7" t="str">
        <f>IFERROR(__xludf.DUMMYFUNCTION("""COMPUTED_VALUE"""),"Detecting ambiguity is important for language understanding, including uncertainty estimation, humour detection, and processing garden path sentences. We assess language models' sensitivity to ambiguity by introducing an adversarial ambiguity dataset that"&amp;" includes syntactic, lexical, and phonological ambiguities along with adversarial variations (e.g., word-order changes, synonym replacements, and random-based alterations). Our findings show that direct prompting fails to robustly identify ambiguity, whil"&amp;"e linear probes trained on model representations can decode ambiguity with high accuracy, sometimes exceeding 90%. Our results offer insights into the prompting paradigm and how language models encode ambiguity at different layers.")</f>
        <v>Detecting ambiguity is important for language understanding, including uncertainty estimation, humour detection, and processing garden path sentences. We assess language models' sensitivity to ambiguity by introducing an adversarial ambiguity dataset that includes syntactic, lexical, and phonological ambiguities along with adversarial variations (e.g., word-order changes, synonym replacements, and random-based alterations). Our findings show that direct prompting fails to robustly identify ambiguity, while linear probes trained on model representations can decode ambiguity with high accuracy, sometimes exceeding 90%. Our results offer insights into the prompting paradigm and how language models encode ambiguity at different layers.</v>
      </c>
      <c r="D1040" s="7" t="str">
        <f>IFERROR(__xludf.DUMMYFUNCTION("""COMPUTED_VALUE"""),"Antonia Karamolegkou")</f>
        <v>Antonia Karamolegkou</v>
      </c>
      <c r="E1040" s="7" t="str">
        <f>IFERROR(__xludf.DUMMYFUNCTION("""COMPUTED_VALUE"""),"Yes")</f>
        <v>Yes</v>
      </c>
      <c r="F1040" s="7" t="str">
        <f>IFERROR(__xludf.DUMMYFUNCTION("""COMPUTED_VALUE"""),"IP-Poster")</f>
        <v>IP-Poster</v>
      </c>
      <c r="G1040" s="7" t="str">
        <f>IFERROR(__xludf.DUMMYFUNCTION("""COMPUTED_VALUE"""),"In-Person")</f>
        <v>In-Person</v>
      </c>
      <c r="H1040" s="7" t="str">
        <f>IFERROR(__xludf.DUMMYFUNCTION("""COMPUTED_VALUE"""),"Hall 4/5")</f>
        <v>Hall 4/5</v>
      </c>
      <c r="I1040" s="7" t="str">
        <f>IFERROR(__xludf.DUMMYFUNCTION("""COMPUTED_VALUE"""),"Session 5 :IP-Posters Find ")</f>
        <v>Session 5 :IP-Posters Find </v>
      </c>
      <c r="J1040" s="7" t="str">
        <f>IFERROR(__xludf.DUMMYFUNCTION("""COMPUTED_VALUE"""),"Findings Posters - In-Person 1")</f>
        <v>Findings Posters - In-Person 1</v>
      </c>
      <c r="K1040" s="7"/>
      <c r="L1040" s="8">
        <f>IFERROR(__xludf.DUMMYFUNCTION("""COMPUTED_VALUE"""),45866.0)</f>
        <v>45866</v>
      </c>
      <c r="M1040" s="7" t="str">
        <f>IFERROR(__xludf.DUMMYFUNCTION("""COMPUTED_VALUE"""),"18:00-19:30")</f>
        <v>18:00-19:30</v>
      </c>
      <c r="N1040" s="7"/>
    </row>
    <row r="1041">
      <c r="A1041" s="7" t="str">
        <f>IFERROR(__xludf.DUMMYFUNCTION("""COMPUTED_VALUE"""),"3668-FIND")</f>
        <v>3668-FIND</v>
      </c>
      <c r="B1041" s="7" t="str">
        <f>IFERROR(__xludf.DUMMYFUNCTION("""COMPUTED_VALUE"""),"Biases Propagate in Encoder-based Vision-Language Models: A Systematic Analysis From Intrinsic Measures to Zero-shot Retrieval Outcomes")</f>
        <v>Biases Propagate in Encoder-based Vision-Language Models: A Systematic Analysis From Intrinsic Measures to Zero-shot Retrieval Outcomes</v>
      </c>
      <c r="C1041" s="7" t="str">
        <f>IFERROR(__xludf.DUMMYFUNCTION("""COMPUTED_VALUE"""),"To build fair AI systems we need to understand how social-group biases intrinsic to foundational encoder-based vision-language models (VLMs) manifest in biases in downstream tasks. In this study, we demonstrate that intrinsic biases in VLM representations"&amp;" systematically “carry over” or propagate into zero-shot retrieval tasks, revealing how deeply rooted biases shape a model’s outputs. We introduce a controlled framework to measure this propagation by correlating (a) intrinsic measures of bias in the repr"&amp;"esentational space with (b) extrinsic measures of bias in zero-shot text-to-image (TTI) and image-to-text (ITT) retrieval. Results show substantial correlations between intrinsic and extrinsic bias, with an average 𝜌 = 0.83 ± 0.10. This pattern is consis"&amp;"tent across 114 analyses, both retrieval directions, six social groups, and three distinct VLMs. Notably, we find that larger/better-performing models exhibit greater bias propagation, a finding that raises concerns given the trend towards increasingly co"&amp;"mplex AI models. Our framework introduces baseline evaluation tasks to measure the propagation of group and valence signals. Investigations reveal that underrepresented groups experience less robust propagation, further skewing their model-related outcome"&amp;"s.")</f>
        <v>To build fair AI systems we need to understand how social-group biases intrinsic to foundational encoder-based vision-language models (VLMs) manifest in biases in downstream tasks. In this study, we demonstrate that intrinsic biases in VLM representations systematically “carry over” or propagate into zero-shot retrieval tasks, revealing how deeply rooted biases shape a model’s outputs. We introduce a controlled framework to measure this propagation by correlating (a) intrinsic measures of bias in the representational space with (b) extrinsic measures of bias in zero-shot text-to-image (TTI) and image-to-text (ITT) retrieval. Results show substantial correlations between intrinsic and extrinsic bias, with an average 𝜌 = 0.83 ± 0.10. This pattern is consistent across 114 analyses, both retrieval directions, six social groups, and three distinct VLMs. Notably, we find that larger/better-performing models exhibit greater bias propagation, a finding that raises concerns given the trend towards increasingly complex AI models. Our framework introduces baseline evaluation tasks to measure the propagation of group and valence signals. Investigations reveal that underrepresented groups experience less robust propagation, further skewing their model-related outcomes.</v>
      </c>
      <c r="D1041" s="7" t="str">
        <f>IFERROR(__xludf.DUMMYFUNCTION("""COMPUTED_VALUE"""),"Kshitish Ghate")</f>
        <v>Kshitish Ghate</v>
      </c>
      <c r="E1041" s="7" t="str">
        <f>IFERROR(__xludf.DUMMYFUNCTION("""COMPUTED_VALUE"""),"N/A")</f>
        <v>N/A</v>
      </c>
      <c r="F1041" s="7" t="str">
        <f>IFERROR(__xludf.DUMMYFUNCTION("""COMPUTED_VALUE"""),"Not Pres. ")</f>
        <v>Not Pres. </v>
      </c>
      <c r="G1041" s="7" t="str">
        <f>IFERROR(__xludf.DUMMYFUNCTION("""COMPUTED_VALUE"""),"NP Findings Not Presenting ")</f>
        <v>NP Findings Not Presenting </v>
      </c>
      <c r="H1041" s="7"/>
      <c r="I1041" s="7"/>
      <c r="J1041" s="7"/>
      <c r="K1041" s="7"/>
      <c r="L1041" s="8"/>
      <c r="M1041" s="7"/>
      <c r="N1041" s="7"/>
    </row>
    <row r="1042">
      <c r="A1042" s="7" t="str">
        <f>IFERROR(__xludf.DUMMYFUNCTION("""COMPUTED_VALUE"""),"3669-FIND")</f>
        <v>3669-FIND</v>
      </c>
      <c r="B1042" s="7" t="str">
        <f>IFERROR(__xludf.DUMMYFUNCTION("""COMPUTED_VALUE"""),"Stepwise Perplexity-Guided Refinement for Efficient Chain-of-Thought Reasoning in Large Language Models")</f>
        <v>Stepwise Perplexity-Guided Refinement for Efficient Chain-of-Thought Reasoning in Large Language Models</v>
      </c>
      <c r="C1042" s="7" t="str">
        <f>IFERROR(__xludf.DUMMYFUNCTION("""COMPUTED_VALUE"""),"Chain-of-Thought (CoT) reasoning, which breaks down complex tasks into intermediate reasoning steps, has significantly enhanced the performance of large language models (LLMs) on challenging tasks. However, the detailed reasoning process in CoT often incu"&amp;"rs long generation times and high computational costs, partly due to the inclusion of unnecessary steps. To address this, we propose a method to identify critical reasoning steps using perplexity as a measure of their importance: a step is deemed critical"&amp;" if its removal causes a significant increase in perplexity. Our method enables models to focus solely on generating these critical steps. This can be achieved through two approaches: refining demonstration examples in few-shot CoT or fine-tuning the mode"&amp;"l using selected examples that include only critical steps. Comprehensive experiments validate the effectiveness of our method, which achieves a better balance between the reasoning accuracy and efficiency of CoT.")</f>
        <v>Chain-of-Thought (CoT) reasoning, which breaks down complex tasks into intermediate reasoning steps, has significantly enhanced the performance of large language models (LLMs) on challenging tasks. However, the detailed reasoning process in CoT often incurs long generation times and high computational costs, partly due to the inclusion of unnecessary steps. To address this, we propose a method to identify critical reasoning steps using perplexity as a measure of their importance: a step is deemed critical if its removal causes a significant increase in perplexity. Our method enables models to focus solely on generating these critical steps. This can be achieved through two approaches: refining demonstration examples in few-shot CoT or fine-tuning the model using selected examples that include only critical steps. Comprehensive experiments validate the effectiveness of our method, which achieves a better balance between the reasoning accuracy and efficiency of CoT.</v>
      </c>
      <c r="D1042" s="7" t="str">
        <f>IFERROR(__xludf.DUMMYFUNCTION("""COMPUTED_VALUE"""),"Yingqian Cui")</f>
        <v>Yingqian Cui</v>
      </c>
      <c r="E1042" s="7" t="str">
        <f>IFERROR(__xludf.DUMMYFUNCTION("""COMPUTED_VALUE"""),"#N/A")</f>
        <v>#N/A</v>
      </c>
      <c r="F1042" s="7" t="str">
        <f>IFERROR(__xludf.DUMMYFUNCTION("""COMPUTED_VALUE"""),"Not Pres. ")</f>
        <v>Not Pres. </v>
      </c>
      <c r="G1042" s="7" t="str">
        <f>IFERROR(__xludf.DUMMYFUNCTION("""COMPUTED_VALUE"""),"NP Findings Not Presenting ")</f>
        <v>NP Findings Not Presenting </v>
      </c>
      <c r="H1042" s="7"/>
      <c r="I1042" s="7" t="str">
        <f>IFERROR(__xludf.DUMMYFUNCTION("""COMPUTED_VALUE"""),"NP-Find")</f>
        <v>NP-Find</v>
      </c>
      <c r="J1042" s="7"/>
      <c r="K1042" s="7"/>
      <c r="L1042" s="8"/>
      <c r="M1042" s="7"/>
      <c r="N1042" s="7"/>
    </row>
    <row r="1043">
      <c r="A1043" s="7" t="str">
        <f>IFERROR(__xludf.DUMMYFUNCTION("""COMPUTED_VALUE"""),"3674-FIND")</f>
        <v>3674-FIND</v>
      </c>
      <c r="B1043" s="7" t="str">
        <f>IFERROR(__xludf.DUMMYFUNCTION("""COMPUTED_VALUE"""),"Can Multimodal Foundation Models Understand Schematic Diagrams? An Empirical Study on Information-Seeking QA over Scientific Papers")</f>
        <v>Can Multimodal Foundation Models Understand Schematic Diagrams? An Empirical Study on Information-Seeking QA over Scientific Papers</v>
      </c>
      <c r="C1043" s="7" t="str">
        <f>IFERROR(__xludf.DUMMYFUNCTION("""COMPUTED_VALUE"""),"This paper introduces MISS-QA, the first benchmark specifically designed to evaluate the ability of models to interpret schematic diagrams within scientific literature. MISS-QA comprises 3,000 expert-annotated examples over 983 scientific papers. In this "&amp;"benchmark, models are tasked with interpreting schematic diagrams that illustrate research overviews and answering corresponding information-seeking questions based on the broader context of the paper. To ensure reliable and consistent evaluation, we prop"&amp;"ose an automated evaluating protocol powered by open-source LLMs trained on human-scored data. We assess the performance of 18 frontier multimodal foundation models, including o1, Claude-3.5, Llama-3.2-Vision, and Qwen2-VL. We reveal a significant perform"&amp;"ance gap between these models and human experts on MISS-QA. Our analysis of model performance on unanswerable questions and our detailed error analysis further highlight the strengths and limitations of current models, offering key insights to enhance mod"&amp;"els in comprehending multimodal scientific literature.")</f>
        <v>This paper introduces MISS-QA, the first benchmark specifically designed to evaluate the ability of models to interpret schematic diagrams within scientific literature. MISS-QA comprises 3,000 expert-annotated examples over 983 scientific papers. In this benchmark, models are tasked with interpreting schematic diagrams that illustrate research overviews and answering corresponding information-seeking questions based on the broader context of the paper. To ensure reliable and consistent evaluation, we propose an automated evaluating protocol powered by open-source LLMs trained on human-scored data. We assess the performance of 18 frontier multimodal foundation models, including o1, Claude-3.5, Llama-3.2-Vision, and Qwen2-VL. We reveal a significant performance gap between these models and human experts on MISS-QA. Our analysis of model performance on unanswerable questions and our detailed error analysis further highlight the strengths and limitations of current models, offering key insights to enhance models in comprehending multimodal scientific literature.</v>
      </c>
      <c r="D1043" s="7" t="str">
        <f>IFERROR(__xludf.DUMMYFUNCTION("""COMPUTED_VALUE"""),"Yilun Zhao")</f>
        <v>Yilun Zhao</v>
      </c>
      <c r="E1043" s="7" t="str">
        <f>IFERROR(__xludf.DUMMYFUNCTION("""COMPUTED_VALUE"""),"#N/A")</f>
        <v>#N/A</v>
      </c>
      <c r="F1043" s="7" t="str">
        <f>IFERROR(__xludf.DUMMYFUNCTION("""COMPUTED_VALUE"""),"Not Pres. ")</f>
        <v>Not Pres. </v>
      </c>
      <c r="G1043" s="7" t="str">
        <f>IFERROR(__xludf.DUMMYFUNCTION("""COMPUTED_VALUE"""),"NP Findings Not Presenting ")</f>
        <v>NP Findings Not Presenting </v>
      </c>
      <c r="H1043" s="7"/>
      <c r="I1043" s="7" t="str">
        <f>IFERROR(__xludf.DUMMYFUNCTION("""COMPUTED_VALUE"""),"NP-Find")</f>
        <v>NP-Find</v>
      </c>
      <c r="J1043" s="7"/>
      <c r="K1043" s="7"/>
      <c r="L1043" s="8"/>
      <c r="M1043" s="7"/>
      <c r="N1043" s="7"/>
    </row>
    <row r="1044">
      <c r="A1044" s="7" t="str">
        <f>IFERROR(__xludf.DUMMYFUNCTION("""COMPUTED_VALUE"""),"3680-FIND")</f>
        <v>3680-FIND</v>
      </c>
      <c r="B1044" s="7" t="str">
        <f>IFERROR(__xludf.DUMMYFUNCTION("""COMPUTED_VALUE"""),"MultiChallenge: A Realistic Multi-Turn Conversation Evaluation Benchmark Challenging to Frontier LLMs")</f>
        <v>MultiChallenge: A Realistic Multi-Turn Conversation Evaluation Benchmark Challenging to Frontier LLMs</v>
      </c>
      <c r="C1044" s="7" t="str">
        <f>IFERROR(__xludf.DUMMYFUNCTION("""COMPUTED_VALUE"""),"We present MultiChallenge, a pioneering benchmark evaluating large language models (LLMs) on conducting multi-turn conversations with human users, a crucial yet underexamined capability for their applications. MultiChallenge identifies four categories of "&amp;"challenges in multi-turn conversations that are not only common and realistic among current human-LLM interactions, but are also challenging to all current frontier LLMs. All 4 challenges require accurate instruction-following, context allocation, and in-"&amp;"context reasoning at the same time.
We also develop LLM as judge with instance-level rubrics to facilitate an automatic evaluation method with fair agreement with experienced human raters. Despite achieving near perfect scores on existing multi-turn evalu"&amp;"ation benchmarks, all frontier models have less than 50\% accuracy on MultiChallenge, with the top-performing Claude 3.5 Sonnet (October 2024) achieving just a 41.4\% average accuracy.")</f>
        <v>We present MultiChallenge, a pioneering benchmark evaluating large language models (LLMs) on conducting multi-turn conversations with human users, a crucial yet underexamined capability for their applications. MultiChallenge identifies four categories of challenges in multi-turn conversations that are not only common and realistic among current human-LLM interactions, but are also challenging to all current frontier LLMs. All 4 challenges require accurate instruction-following, context allocation, and in-context reasoning at the same time.
We also develop LLM as judge with instance-level rubrics to facilitate an automatic evaluation method with fair agreement with experienced human raters. Despite achieving near perfect scores on existing multi-turn evaluation benchmarks, all frontier models have less than 50\% accuracy on MultiChallenge, with the top-performing Claude 3.5 Sonnet (October 2024) achieving just a 41.4\% average accuracy.</v>
      </c>
      <c r="D1044" s="7" t="str">
        <f>IFERROR(__xludf.DUMMYFUNCTION("""COMPUTED_VALUE"""),"Kaustubh Deshpande")</f>
        <v>Kaustubh Deshpande</v>
      </c>
      <c r="E1044" s="7" t="str">
        <f>IFERROR(__xludf.DUMMYFUNCTION("""COMPUTED_VALUE"""),"Yes")</f>
        <v>Yes</v>
      </c>
      <c r="F1044" s="7" t="str">
        <f>IFERROR(__xludf.DUMMYFUNCTION("""COMPUTED_VALUE"""),"IP-Poster")</f>
        <v>IP-Poster</v>
      </c>
      <c r="G1044" s="7" t="str">
        <f>IFERROR(__xludf.DUMMYFUNCTION("""COMPUTED_VALUE"""),"In-Person")</f>
        <v>In-Person</v>
      </c>
      <c r="H1044" s="7" t="str">
        <f>IFERROR(__xludf.DUMMYFUNCTION("""COMPUTED_VALUE"""),"Hall 4/5")</f>
        <v>Hall 4/5</v>
      </c>
      <c r="I1044" s="7" t="str">
        <f>IFERROR(__xludf.DUMMYFUNCTION("""COMPUTED_VALUE"""),"Session 12: IP-Posters")</f>
        <v>Session 12: IP-Posters</v>
      </c>
      <c r="J1044" s="7" t="str">
        <f>IFERROR(__xludf.DUMMYFUNCTION("""COMPUTED_VALUE"""),"Findings Posters - In-Person 4")</f>
        <v>Findings Posters - In-Person 4</v>
      </c>
      <c r="K1044" s="7"/>
      <c r="L1044" s="8">
        <f>IFERROR(__xludf.DUMMYFUNCTION("""COMPUTED_VALUE"""),45868.0)</f>
        <v>45868</v>
      </c>
      <c r="M1044" s="7" t="str">
        <f>IFERROR(__xludf.DUMMYFUNCTION("""COMPUTED_VALUE"""),"11:00-12:30")</f>
        <v>11:00-12:30</v>
      </c>
      <c r="N1044" s="7"/>
    </row>
    <row r="1045">
      <c r="A1045" s="7" t="str">
        <f>IFERROR(__xludf.DUMMYFUNCTION("""COMPUTED_VALUE"""),"3681-FIND")</f>
        <v>3681-FIND</v>
      </c>
      <c r="B1045" s="7" t="str">
        <f>IFERROR(__xludf.DUMMYFUNCTION("""COMPUTED_VALUE"""),"Privacy Ripple Effects from Adding or Removing Personal Information in Language Model Training")</f>
        <v>Privacy Ripple Effects from Adding or Removing Personal Information in Language Model Training</v>
      </c>
      <c r="C1045" s="7" t="str">
        <f>IFERROR(__xludf.DUMMYFUNCTION("""COMPUTED_VALUE"""),"Due to the sensitive nature of personally identifiable information (PII), its owners may have the authority to control its inclusion or request its removal from large-language model (LLM) training. Beyond this, PII may be added or removed from training da"&amp;"tasets due to evolving dataset curation techniques, because they were newly scraped for retraining, or because they were included in a new downstream fine-tuning stage. We find that the amount and ease of PII memorization is a dynamic property of a model "&amp;"that evolves throughout training pipelines and depends on commonly altered design choices. We characterize three such novel phenomena: (1) similar-appearing PII seen later in training can elicit memorization of earlier-seen sequences in what we call assis"&amp;"ted memorization, and this is a significant factor (in our settings, up to 1/3); (2) adding PII can increase memorization of other PII; and (3) removing PII can lead to other PII being memorized.")</f>
        <v>Due to the sensitive nature of personally identifiable information (PII), its owners may have the authority to control its inclusion or request its removal from large-language model (LLM) training. Beyond this, PII may be added or removed from training datasets due to evolving dataset curation techniques, because they were newly scraped for retraining, or because they were included in a new downstream fine-tuning stage. We find that the amount and ease of PII memorization is a dynamic property of a model that evolves throughout training pipelines and depends on commonly altered design choices. We characterize three such novel phenomena: (1) similar-appearing PII seen later in training can elicit memorization of earlier-seen sequences in what we call assisted memorization, and this is a significant factor (in our settings, up to 1/3); (2) adding PII can increase memorization of other PII; and (3) removing PII can lead to other PII being memorized.</v>
      </c>
      <c r="D1045" s="7" t="str">
        <f>IFERROR(__xludf.DUMMYFUNCTION("""COMPUTED_VALUE"""),"Jaydeep Borkar")</f>
        <v>Jaydeep Borkar</v>
      </c>
      <c r="E1045" s="7" t="str">
        <f>IFERROR(__xludf.DUMMYFUNCTION("""COMPUTED_VALUE"""),"Yes")</f>
        <v>Yes</v>
      </c>
      <c r="F1045" s="7" t="str">
        <f>IFERROR(__xludf.DUMMYFUNCTION("""COMPUTED_VALUE"""),"IP-Poster")</f>
        <v>IP-Poster</v>
      </c>
      <c r="G1045" s="7" t="str">
        <f>IFERROR(__xludf.DUMMYFUNCTION("""COMPUTED_VALUE"""),"In-Person")</f>
        <v>In-Person</v>
      </c>
      <c r="H1045" s="7" t="str">
        <f>IFERROR(__xludf.DUMMYFUNCTION("""COMPUTED_VALUE"""),"Hall 4/5")</f>
        <v>Hall 4/5</v>
      </c>
      <c r="I1045" s="7" t="str">
        <f>IFERROR(__xludf.DUMMYFUNCTION("""COMPUTED_VALUE"""),"Session 10: IP-Posters")</f>
        <v>Session 10: IP-Posters</v>
      </c>
      <c r="J1045" s="7" t="str">
        <f>IFERROR(__xludf.DUMMYFUNCTION("""COMPUTED_VALUE"""),"Findings Posters - In-Person 3")</f>
        <v>Findings Posters - In-Person 3</v>
      </c>
      <c r="K1045" s="7"/>
      <c r="L1045" s="8">
        <f>IFERROR(__xludf.DUMMYFUNCTION("""COMPUTED_VALUE"""),45867.0)</f>
        <v>45867</v>
      </c>
      <c r="M1045" s="7" t="str">
        <f>IFERROR(__xludf.DUMMYFUNCTION("""COMPUTED_VALUE"""),"16:00-17:30")</f>
        <v>16:00-17:30</v>
      </c>
      <c r="N1045" s="7"/>
    </row>
    <row r="1046">
      <c r="A1046" s="7" t="str">
        <f>IFERROR(__xludf.DUMMYFUNCTION("""COMPUTED_VALUE"""),"3683-FIND")</f>
        <v>3683-FIND</v>
      </c>
      <c r="B1046" s="7" t="str">
        <f>IFERROR(__xludf.DUMMYFUNCTION("""COMPUTED_VALUE"""),"Safety is Not Only About Refusal: Reasoning-Enhanced Fine-tuning for Interpretable LLM Safety")</f>
        <v>Safety is Not Only About Refusal: Reasoning-Enhanced Fine-tuning for Interpretable LLM Safety</v>
      </c>
      <c r="C1046" s="7" t="str">
        <f>IFERROR(__xludf.DUMMYFUNCTION("""COMPUTED_VALUE"""),"Large Language Models (LLMs) are vulnerable to jailbreak attacks that exploit weaknesses in traditional safety alignment, which often relies on rigid refusal heuristics or representation engineering to block harmful outputs. While they are effective for d"&amp;"irect adversarial attacks, they fall short of broader safety challenges requiring nuanced, context-aware decision-making. To address this, we propose Reasoning-enhanced Fine-Tuning for interpretable LLM Safety (RATIONAL), a novel framework that trains mod"&amp;"els to engage in explicit safe reasoning before response. Fine-tuned models leverage the extensive pretraining knowledge in self-generated reasoning to bootstrap their own safety through structured reasoning, internalizing context-sensitive decision-makin"&amp;"g. Our findings suggest that safety extends beyond refusal, requiring context awareness for more robust, interpretable, and adaptive responses. Reasoning is not only a core capability of LLMs but also a fundamental mechanism for LLM safety. RATIONAL emplo"&amp;"ys reasoning-enhanced fine-tuning, allowing it to reject harmful prompts while providing meaningful and context-aware responses in complex scenarios.")</f>
        <v>Large Language Models (LLMs) are vulnerable to jailbreak attacks that exploit weaknesses in traditional safety alignment, which often relies on rigid refusal heuristics or representation engineering to block harmful outputs. While they are effective for direct adversarial attacks, they fall short of broader safety challenges requiring nuanced, context-aware decision-making. To address this, we propose Reasoning-enhanced Fine-Tuning for interpretable LLM Safety (RATIONAL), a novel framework that trains models to engage in explicit safe reasoning before response. Fine-tuned models leverage the extensive pretraining knowledge in self-generated reasoning to bootstrap their own safety through structured reasoning, internalizing context-sensitive decision-making. Our findings suggest that safety extends beyond refusal, requiring context awareness for more robust, interpretable, and adaptive responses. Reasoning is not only a core capability of LLMs but also a fundamental mechanism for LLM safety. RATIONAL employs reasoning-enhanced fine-tuning, allowing it to reject harmful prompts while providing meaningful and context-aware responses in complex scenarios.</v>
      </c>
      <c r="D1046" s="7" t="str">
        <f>IFERROR(__xludf.DUMMYFUNCTION("""COMPUTED_VALUE"""),"Yuyou Zhang")</f>
        <v>Yuyou Zhang</v>
      </c>
      <c r="E1046" s="7" t="str">
        <f>IFERROR(__xludf.DUMMYFUNCTION("""COMPUTED_VALUE"""),"Yes")</f>
        <v>Yes</v>
      </c>
      <c r="F1046" s="7" t="str">
        <f>IFERROR(__xludf.DUMMYFUNCTION("""COMPUTED_VALUE"""),"Not Pres. ")</f>
        <v>Not Pres. </v>
      </c>
      <c r="G1046" s="7" t="str">
        <f>IFERROR(__xludf.DUMMYFUNCTION("""COMPUTED_VALUE"""),"NP Findings Not Presenting ")</f>
        <v>NP Findings Not Presenting </v>
      </c>
      <c r="H1046" s="7"/>
      <c r="I1046" s="7"/>
      <c r="J1046" s="7"/>
      <c r="K1046" s="7"/>
      <c r="L1046" s="8"/>
      <c r="M1046" s="7"/>
      <c r="N1046" s="7"/>
    </row>
    <row r="1047">
      <c r="A1047" s="7" t="str">
        <f>IFERROR(__xludf.DUMMYFUNCTION("""COMPUTED_VALUE"""),"3684-FIND")</f>
        <v>3684-FIND</v>
      </c>
      <c r="B1047" s="7" t="str">
        <f>IFERROR(__xludf.DUMMYFUNCTION("""COMPUTED_VALUE"""),"A puyfred feels less of a puyfred if you say it's cute, but it still feels bad: context-dependent form-meaning systematicity in LLMs")</f>
        <v>A puyfred feels less of a puyfred if you say it's cute, but it still feels bad: context-dependent form-meaning systematicity in LLMs</v>
      </c>
      <c r="C1047" s="7" t="str">
        <f>IFERROR(__xludf.DUMMYFUNCTION("""COMPUTED_VALUE"""),"We investigate static and contextualized embeddings for English pseudowords across a variety of Large Language Models (LLMs), to study (i) how these models represent semantic attributes of strings they encounter for the very first time and how (ii) these "&amp;"representations interact with sentence context. We zoom in a key semantic attribute, valence, which plays an important role in theories of language processing, acquisition, and evolution. In three experiments, we show that pseudoword valence is encoded in"&amp;" meaningful ways both in isolation and in context, and that pseudowords affect the representation of whole sentences similarly to words. This highlights how, at least for most LLMs we surveyed, pseudowords and words are not qualitatively different constru"&amp;"cts. Our study confirms that LLMs capture systematic mappings between form and valence, and shows that embeddings of novel words are sufficiently stable in context, largely preserving their valence connotations. Our findings provide a computational explor"&amp;"ation of how sub-lexical distributional patterns influence the valence of novel strings, offering useful insights for theories on the form-meaning interface and how it affects language learning and processing.")</f>
        <v>We investigate static and contextualized embeddings for English pseudowords across a variety of Large Language Models (LLMs), to study (i) how these models represent semantic attributes of strings they encounter for the very first time and how (ii) these representations interact with sentence context. We zoom in a key semantic attribute, valence, which plays an important role in theories of language processing, acquisition, and evolution. In three experiments, we show that pseudoword valence is encoded in meaningful ways both in isolation and in context, and that pseudowords affect the representation of whole sentences similarly to words. This highlights how, at least for most LLMs we surveyed, pseudowords and words are not qualitatively different constructs. Our study confirms that LLMs capture systematic mappings between form and valence, and shows that embeddings of novel words are sufficiently stable in context, largely preserving their valence connotations. Our findings provide a computational exploration of how sub-lexical distributional patterns influence the valence of novel strings, offering useful insights for theories on the form-meaning interface and how it affects language learning and processing.</v>
      </c>
      <c r="D1047" s="7" t="str">
        <f>IFERROR(__xludf.DUMMYFUNCTION("""COMPUTED_VALUE"""),"Giovanni Cassani")</f>
        <v>Giovanni Cassani</v>
      </c>
      <c r="E1047" s="7" t="str">
        <f>IFERROR(__xludf.DUMMYFUNCTION("""COMPUTED_VALUE"""),"Yes")</f>
        <v>Yes</v>
      </c>
      <c r="F1047" s="7" t="str">
        <f>IFERROR(__xludf.DUMMYFUNCTION("""COMPUTED_VALUE"""),"IP-Poster")</f>
        <v>IP-Poster</v>
      </c>
      <c r="G1047" s="7" t="str">
        <f>IFERROR(__xludf.DUMMYFUNCTION("""COMPUTED_VALUE"""),"In-Person")</f>
        <v>In-Person</v>
      </c>
      <c r="H1047" s="7" t="str">
        <f>IFERROR(__xludf.DUMMYFUNCTION("""COMPUTED_VALUE"""),"Hall 4/5")</f>
        <v>Hall 4/5</v>
      </c>
      <c r="I1047" s="7" t="str">
        <f>IFERROR(__xludf.DUMMYFUNCTION("""COMPUTED_VALUE"""),"Session 5 :IP-Posters Find ")</f>
        <v>Session 5 :IP-Posters Find </v>
      </c>
      <c r="J1047" s="7" t="str">
        <f>IFERROR(__xludf.DUMMYFUNCTION("""COMPUTED_VALUE"""),"Findings Posters - In-Person 1")</f>
        <v>Findings Posters - In-Person 1</v>
      </c>
      <c r="K1047" s="7"/>
      <c r="L1047" s="8">
        <f>IFERROR(__xludf.DUMMYFUNCTION("""COMPUTED_VALUE"""),45866.0)</f>
        <v>45866</v>
      </c>
      <c r="M1047" s="7" t="str">
        <f>IFERROR(__xludf.DUMMYFUNCTION("""COMPUTED_VALUE"""),"18:00-19:30")</f>
        <v>18:00-19:30</v>
      </c>
      <c r="N1047" s="7"/>
    </row>
    <row r="1048">
      <c r="A1048" s="7" t="str">
        <f>IFERROR(__xludf.DUMMYFUNCTION("""COMPUTED_VALUE"""),"3691-FIND")</f>
        <v>3691-FIND</v>
      </c>
      <c r="B1048" s="7" t="str">
        <f>IFERROR(__xludf.DUMMYFUNCTION("""COMPUTED_VALUE"""),"MetaSynth: Meta-Prompting-Driven Agentic Scaffolds for Diverse Synthetic Data Generation")</f>
        <v>MetaSynth: Meta-Prompting-Driven Agentic Scaffolds for Diverse Synthetic Data Generation</v>
      </c>
      <c r="C1048" s="7" t="str">
        <f>IFERROR(__xludf.DUMMYFUNCTION("""COMPUTED_VALUE"""),"Recent smaller language models such Phi-3.5 and Phi-4 rely on synthetic data generated using larger language models. Questions remain about leveraging synthetic data for other use cases, such as adapting LLMs to specific domains. A key limitation of synth"&amp;"etic data is low diversity, which negatively impacts its downstream applicability for improving other models. To address this, we propose MetaSynth, a method for generating synthetic data that enhances diversity through meta-prompting, where a language mo"&amp;"del orchestrates multiple expert LLM agents to collaboratively generate data. Using only 25 million tokens of synthetic data generated with MetaSynth, we successfully adapt a well-trained LLM (Mistral-7B) to two specialized domains--Finance and Biomedicin"&amp;"e--without compromising the capabilities of the resulting model in general tasks. In addition, we evaluate the diversity of our synthetic data using seven automated metrics, and find that it approaches the diversity of LLM pre-training corpora.")</f>
        <v>Recent smaller language models such Phi-3.5 and Phi-4 rely on synthetic data generated using larger language models. Questions remain about leveraging synthetic data for other use cases, such as adapting LLMs to specific domains. A key limitation of synthetic data is low diversity, which negatively impacts its downstream applicability for improving other models. To address this, we propose MetaSynth, a method for generating synthetic data that enhances diversity through meta-prompting, where a language model orchestrates multiple expert LLM agents to collaboratively generate data. Using only 25 million tokens of synthetic data generated with MetaSynth, we successfully adapt a well-trained LLM (Mistral-7B) to two specialized domains--Finance and Biomedicine--without compromising the capabilities of the resulting model in general tasks. In addition, we evaluate the diversity of our synthetic data using seven automated metrics, and find that it approaches the diversity of LLM pre-training corpora.</v>
      </c>
      <c r="D1048" s="7" t="str">
        <f>IFERROR(__xludf.DUMMYFUNCTION("""COMPUTED_VALUE"""),"Haris Riaz")</f>
        <v>Haris Riaz</v>
      </c>
      <c r="E1048" s="7" t="str">
        <f>IFERROR(__xludf.DUMMYFUNCTION("""COMPUTED_VALUE"""),"Yes")</f>
        <v>Yes</v>
      </c>
      <c r="F1048" s="7" t="str">
        <f>IFERROR(__xludf.DUMMYFUNCTION("""COMPUTED_VALUE"""),"IP-Poster")</f>
        <v>IP-Poster</v>
      </c>
      <c r="G1048" s="7" t="str">
        <f>IFERROR(__xludf.DUMMYFUNCTION("""COMPUTED_VALUE"""),"In-Person")</f>
        <v>In-Person</v>
      </c>
      <c r="H1048" s="7" t="str">
        <f>IFERROR(__xludf.DUMMYFUNCTION("""COMPUTED_VALUE"""),"Hall 4/5")</f>
        <v>Hall 4/5</v>
      </c>
      <c r="I1048" s="7" t="str">
        <f>IFERROR(__xludf.DUMMYFUNCTION("""COMPUTED_VALUE"""),"Session 10: IP-Posters")</f>
        <v>Session 10: IP-Posters</v>
      </c>
      <c r="J1048" s="7" t="str">
        <f>IFERROR(__xludf.DUMMYFUNCTION("""COMPUTED_VALUE"""),"Findings Posters - In-Person 3")</f>
        <v>Findings Posters - In-Person 3</v>
      </c>
      <c r="K1048" s="7"/>
      <c r="L1048" s="8">
        <f>IFERROR(__xludf.DUMMYFUNCTION("""COMPUTED_VALUE"""),45867.0)</f>
        <v>45867</v>
      </c>
      <c r="M1048" s="7" t="str">
        <f>IFERROR(__xludf.DUMMYFUNCTION("""COMPUTED_VALUE"""),"16:00-17:30")</f>
        <v>16:00-17:30</v>
      </c>
      <c r="N1048" s="7"/>
    </row>
    <row r="1049">
      <c r="A1049" s="7" t="str">
        <f>IFERROR(__xludf.DUMMYFUNCTION("""COMPUTED_VALUE"""),"3693-FIND")</f>
        <v>3693-FIND</v>
      </c>
      <c r="B1049" s="7" t="str">
        <f>IFERROR(__xludf.DUMMYFUNCTION("""COMPUTED_VALUE"""),"MVTamperBench: Evaluating Robustness of Vision-Language Models")</f>
        <v>MVTamperBench: Evaluating Robustness of Vision-Language Models</v>
      </c>
      <c r="C1049" s="7" t="str">
        <f>IFERROR(__xludf.DUMMYFUNCTION("""COMPUTED_VALUE"""),"Multimodal Large Language Models (MLLMs), are recent advancement of  Vision-Language Models (VLMs) that have driven major advances in video understanding. However, their vulnerability to adversarial tampering and manipulations remains underexplored. To ad"&amp;"dress this gap, we introduce \textbf{MVTamperBench}, a benchmark that systematically evaluates MLLM robustness against five prevalent tampering techniques: rotation, masking, substitution, repetition, and dropping; based on real-world visual tampering sce"&amp;"narios such as surveillance interference, social media content edits, and misinformation injection. MVTamperBench comprises ~3.4K original videos, expanded into over ~17K tampered clips covering 19 distinct video manipulation tasks. This benchmark challen"&amp;"ges models to detect manipulations in spatial and temporal coherence. We evaluate 45 recent MLLMs from 15+ model families. We reveal substantial variability in resilience across tampering types and show that larger parameter counts do not necessarily guar"&amp;"antee robustness. MVTamperBench sets a new benchmark for developing tamper-resilient MLLM in safety-critical applications, including detecting clickbait, preventing harmful content distribution, and enforcing policies on media platforms. We release all co"&amp;"de, data, and benchmark to foster open research in trustworthy video understanding.")</f>
        <v>Multimodal Large Language Models (MLLMs), are recent advancement of  Vision-Language Models (VLMs) that have driven major advances in video understanding. However, their vulnerability to adversarial tampering and manipulations remains underexplored. To address this gap, we introduce \textbf{MVTamperBench}, a benchmark that systematically evaluates MLLM robustness against five prevalent tampering techniques: rotation, masking, substitution, repetition, and dropping; based on real-world visual tampering scenarios such as surveillance interference, social media content edits, and misinformation injection. MVTamperBench comprises ~3.4K original videos, expanded into over ~17K tampered clips covering 19 distinct video manipulation tasks. This benchmark challenges models to detect manipulations in spatial and temporal coherence. We evaluate 45 recent MLLMs from 15+ model families. We reveal substantial variability in resilience across tampering types and show that larger parameter counts do not necessarily guarantee robustness. MVTamperBench sets a new benchmark for developing tamper-resilient MLLM in safety-critical applications, including detecting clickbait, preventing harmful content distribution, and enforcing policies on media platforms. We release all code, data, and benchmark to foster open research in trustworthy video understanding.</v>
      </c>
      <c r="D1049" s="7" t="str">
        <f>IFERROR(__xludf.DUMMYFUNCTION("""COMPUTED_VALUE"""),"Hansa Meghwani,")</f>
        <v>Hansa Meghwani,</v>
      </c>
      <c r="E1049" s="7" t="str">
        <f>IFERROR(__xludf.DUMMYFUNCTION("""COMPUTED_VALUE"""),"Yes")</f>
        <v>Yes</v>
      </c>
      <c r="F1049" s="7" t="str">
        <f>IFERROR(__xludf.DUMMYFUNCTION("""COMPUTED_VALUE"""),"IP-Poster")</f>
        <v>IP-Poster</v>
      </c>
      <c r="G1049" s="7" t="str">
        <f>IFERROR(__xludf.DUMMYFUNCTION("""COMPUTED_VALUE"""),"In-Person")</f>
        <v>In-Person</v>
      </c>
      <c r="H1049" s="7" t="str">
        <f>IFERROR(__xludf.DUMMYFUNCTION("""COMPUTED_VALUE"""),"Hall 4/5")</f>
        <v>Hall 4/5</v>
      </c>
      <c r="I1049" s="7" t="str">
        <f>IFERROR(__xludf.DUMMYFUNCTION("""COMPUTED_VALUE"""),"Session 12: IP-Posters")</f>
        <v>Session 12: IP-Posters</v>
      </c>
      <c r="J1049" s="7" t="str">
        <f>IFERROR(__xludf.DUMMYFUNCTION("""COMPUTED_VALUE"""),"Findings Posters - In-Person 4")</f>
        <v>Findings Posters - In-Person 4</v>
      </c>
      <c r="K1049" s="7"/>
      <c r="L1049" s="8">
        <f>IFERROR(__xludf.DUMMYFUNCTION("""COMPUTED_VALUE"""),45868.0)</f>
        <v>45868</v>
      </c>
      <c r="M1049" s="7" t="str">
        <f>IFERROR(__xludf.DUMMYFUNCTION("""COMPUTED_VALUE"""),"11:00-12:30")</f>
        <v>11:00-12:30</v>
      </c>
      <c r="N1049" s="7"/>
    </row>
    <row r="1050">
      <c r="A1050" s="7" t="str">
        <f>IFERROR(__xludf.DUMMYFUNCTION("""COMPUTED_VALUE"""),"3694-FIND")</f>
        <v>3694-FIND</v>
      </c>
      <c r="B1050" s="7" t="str">
        <f>IFERROR(__xludf.DUMMYFUNCTION("""COMPUTED_VALUE"""),"Multimodal Inconsistency Reasoning (MMIR): A New Benchmark for Multimodal Reasoning Models")</f>
        <v>Multimodal Inconsistency Reasoning (MMIR): A New Benchmark for Multimodal Reasoning Models</v>
      </c>
      <c r="C1050" s="7" t="str">
        <f>IFERROR(__xludf.DUMMYFUNCTION("""COMPUTED_VALUE"""),"Existing Multimodal Large Language Models (MLLMs) are predominantly trained and tested on consistent visual-textual inputs, leaving open the question of whether they can handle inconsistencies in real-world, layout-rich content. To bridge this gap, we pro"&amp;"pose the Multimodal Inconsistency Reasoning (MMIR) benchmark to assess MLLMs’ ability to detect and reason about semantic mismatches in artifacts such as webpages, presentation slides, and posters. MMIR comprises 534 challenging samples, each containing s"&amp;"ynthetically injected errors across five reasoning-heavy categories: Factual Contradiction, Identity Misattribution, Contextual Mismatch, Quantitative Discrepancy, and Temporal/Spatial Incoherence. We evaluate six state-of-the-art MLLMs, showing that mode"&amp;"ls with dedicated multimodal reasoning capabilities, such as o1, substantially outperform their counterparts while open-source models remain particularly vulnerable to inconsistency errors. Detailed error analyses further show that models excel in detecti"&amp;"ng inconsistencies confined to a single modality, particularly in text, but struggle with cross-modal conflicts and complex layouts. Probing experiments reveal that single-modality prompting, including Chain-of-Thought (CoT) and Set-of-Mark (SoM) methods,"&amp;" yields marginal gains, revealing a key bottleneck in cross-modal reasoning. Our findings highlight the need for advanced multimodal reasoning and point to future research on multimodal inconsistency.")</f>
        <v>Existing Multimodal Large Language Models (MLLMs) are predominantly trained and tested on consistent visual-textual inputs, leaving open the question of whether they can handle inconsistencies in real-world, layout-rich content. To bridge this gap, we propose the Multimodal Inconsistency Reasoning (MMIR) benchmark to assess MLLMs’ ability to detect and reason about semantic mismatches in artifacts such as webpages, presentation slides, and posters. MMIR comprises 534 challenging samples, each containing synthetically injected errors across five reasoning-heavy categories: Factual Contradiction, Identity Misattribution, Contextual Mismatch, Quantitative Discrepancy, and Temporal/Spatial Incoherence. We evaluate six state-of-the-art MLLMs, showing that models with dedicated multimodal reasoning capabilities, such as o1, substantially outperform their counterparts while open-source models remain particularly vulnerable to inconsistency errors. Detailed error analyses further show that models excel in detecting inconsistencies confined to a single modality, particularly in text, but struggle with cross-modal conflicts and complex layouts. Probing experiments reveal that single-modality prompting, including Chain-of-Thought (CoT) and Set-of-Mark (SoM) methods, yields marginal gains, revealing a key bottleneck in cross-modal reasoning. Our findings highlight the need for advanced multimodal reasoning and point to future research on multimodal inconsistency.</v>
      </c>
      <c r="D1050" s="7" t="str">
        <f>IFERROR(__xludf.DUMMYFUNCTION("""COMPUTED_VALUE"""),"Qianqi Yan")</f>
        <v>Qianqi Yan</v>
      </c>
      <c r="E1050" s="7" t="str">
        <f>IFERROR(__xludf.DUMMYFUNCTION("""COMPUTED_VALUE"""),"N/A")</f>
        <v>N/A</v>
      </c>
      <c r="F1050" s="7" t="str">
        <f>IFERROR(__xludf.DUMMYFUNCTION("""COMPUTED_VALUE"""),"Not Pres. ")</f>
        <v>Not Pres. </v>
      </c>
      <c r="G1050" s="7" t="str">
        <f>IFERROR(__xludf.DUMMYFUNCTION("""COMPUTED_VALUE"""),"NP Findings Not Presenting ")</f>
        <v>NP Findings Not Presenting </v>
      </c>
      <c r="H1050" s="7"/>
      <c r="I1050" s="7"/>
      <c r="J1050" s="7"/>
      <c r="K1050" s="7"/>
      <c r="L1050" s="8"/>
      <c r="M1050" s="7"/>
      <c r="N1050" s="7"/>
    </row>
    <row r="1051">
      <c r="A1051" s="7" t="str">
        <f>IFERROR(__xludf.DUMMYFUNCTION("""COMPUTED_VALUE"""),"3695-FIND")</f>
        <v>3695-FIND</v>
      </c>
      <c r="B1051" s="7" t="str">
        <f>IFERROR(__xludf.DUMMYFUNCTION("""COMPUTED_VALUE"""),"Vision-Language Models Struggle to Align Entities across Modalities")</f>
        <v>Vision-Language Models Struggle to Align Entities across Modalities</v>
      </c>
      <c r="C1051" s="7" t="str">
        <f>IFERROR(__xludf.DUMMYFUNCTION("""COMPUTED_VALUE"""),"Cross-modal entity linking refers to the ability to align entities and their attributes across different modalities. While cross-modal entity linking is a fundamental skill needed for real-world applications such as multimodal code generation, fake news d"&amp;"etection, or scene understanding, it has not been thoroughly studied in the literature. In this paper, we introduce a new task and benchmark to address this gap. Our benchmark, MATE, consists of 5.5k evaluation instances featuring visual scenes aligned wi"&amp;"th their textual representations. To evaluate cross-modal entity linking performance, we design a question-answering task that involves retrieving one attribute of an object in one modality based on a unique attribute of that object in another modality. W"&amp;"e evaluate state-of-the-art Vision-Language Models (VLMs) and humans on this task, and find that VLMs struggle significantly compared to humans, particularly as the number of objects in the scene increases. Our analysis also shows that, while chain-of-tho"&amp;"ught prompting can improve VLM performance, models remain far from achieving human-level proficiency. These findings highlight the need for further research in cross-modal entity linking and show that MATE is a strong benchmark to support that progress.")</f>
        <v>Cross-modal entity linking refers to the ability to align entities and their attributes across different modalities. While cross-modal entity linking is a fundamental skill needed for real-world applications such as multimodal code generation, fake news detection, or scene understanding, it has not been thoroughly studied in the literature. In this paper, we introduce a new task and benchmark to address this gap. Our benchmark, MATE, consists of 5.5k evaluation instances featuring visual scenes aligned with their textual representations. To evaluate cross-modal entity linking performance, we design a question-answering task that involves retrieving one attribute of an object in one modality based on a unique attribute of that object in another modality. We evaluate state-of-the-art Vision-Language Models (VLMs) and humans on this task, and find that VLMs struggle significantly compared to humans, particularly as the number of objects in the scene increases. Our analysis also shows that, while chain-of-thought prompting can improve VLM performance, models remain far from achieving human-level proficiency. These findings highlight the need for further research in cross-modal entity linking and show that MATE is a strong benchmark to support that progress.</v>
      </c>
      <c r="D1051" s="7" t="str">
        <f>IFERROR(__xludf.DUMMYFUNCTION("""COMPUTED_VALUE"""),"Iñigo Alonso")</f>
        <v>Iñigo Alonso</v>
      </c>
      <c r="E1051" s="7" t="str">
        <f>IFERROR(__xludf.DUMMYFUNCTION("""COMPUTED_VALUE"""),"Yes")</f>
        <v>Yes</v>
      </c>
      <c r="F1051" s="7" t="str">
        <f>IFERROR(__xludf.DUMMYFUNCTION("""COMPUTED_VALUE"""),"IP-Poster")</f>
        <v>IP-Poster</v>
      </c>
      <c r="G1051" s="7" t="str">
        <f>IFERROR(__xludf.DUMMYFUNCTION("""COMPUTED_VALUE"""),"In-Person")</f>
        <v>In-Person</v>
      </c>
      <c r="H1051" s="7" t="str">
        <f>IFERROR(__xludf.DUMMYFUNCTION("""COMPUTED_VALUE"""),"Hall 4/5")</f>
        <v>Hall 4/5</v>
      </c>
      <c r="I1051" s="7" t="str">
        <f>IFERROR(__xludf.DUMMYFUNCTION("""COMPUTED_VALUE"""),"Session 10: IP-Posters")</f>
        <v>Session 10: IP-Posters</v>
      </c>
      <c r="J1051" s="7" t="str">
        <f>IFERROR(__xludf.DUMMYFUNCTION("""COMPUTED_VALUE"""),"Findings Posters - In-Person 3")</f>
        <v>Findings Posters - In-Person 3</v>
      </c>
      <c r="K1051" s="7"/>
      <c r="L1051" s="8">
        <f>IFERROR(__xludf.DUMMYFUNCTION("""COMPUTED_VALUE"""),45867.0)</f>
        <v>45867</v>
      </c>
      <c r="M1051" s="7" t="str">
        <f>IFERROR(__xludf.DUMMYFUNCTION("""COMPUTED_VALUE"""),"16:00-17:30")</f>
        <v>16:00-17:30</v>
      </c>
      <c r="N1051" s="7"/>
    </row>
    <row r="1052">
      <c r="A1052" s="7" t="str">
        <f>IFERROR(__xludf.DUMMYFUNCTION("""COMPUTED_VALUE"""),"3696-FIND")</f>
        <v>3696-FIND</v>
      </c>
      <c r="B1052" s="7" t="str">
        <f>IFERROR(__xludf.DUMMYFUNCTION("""COMPUTED_VALUE"""),"A Multi-Labeled Dataset for Indonesian Discourse: Examining Toxicity, Polarization, and Demographics Information")</f>
        <v>A Multi-Labeled Dataset for Indonesian Discourse: Examining Toxicity, Polarization, and Demographics Information</v>
      </c>
      <c r="C1052" s="7" t="str">
        <f>IFERROR(__xludf.DUMMYFUNCTION("""COMPUTED_VALUE"""),"Online discourse is increasingly trapped in a vicious cycle where polarizing language fuels
toxicity and vice versa. Identity, one of the most divisive issues in modern politics, often
increases polarization. Yet, prior NLP research has mostly treated tox"&amp;"icity and polarization as
separate problems. In Indonesia, the world’s third-largest democracy, this dynamic threatens democratic discourse, particularly in online spaces. We argue that polarization and toxicity must be studied in relation to each other. "&amp;"To this end, we present a novel multi-label Indonesian dataset annotated for toxicity, polarization, and annotator demographic information. Benchmarking with BERT-base models and large language models (LLMs) reveals that polarization cues improve toxicity"&amp;" classification and vice versa. Including demographic context further enhances polarization classification performance.")</f>
        <v>Online discourse is increasingly trapped in a vicious cycle where polarizing language fuels
toxicity and vice versa. Identity, one of the most divisive issues in modern politics, often
increases polarization. Yet, prior NLP research has mostly treated toxicity and polarization as
separate problems. In Indonesia, the world’s third-largest democracy, this dynamic threatens democratic discourse, particularly in online spaces. We argue that polarization and toxicity must be studied in relation to each other. To this end, we present a novel multi-label Indonesian dataset annotated for toxicity, polarization, and annotator demographic information. Benchmarking with BERT-base models and large language models (LLMs) reveals that polarization cues improve toxicity classification and vice versa. Including demographic context further enhances polarization classification performance.</v>
      </c>
      <c r="D1052" s="7" t="str">
        <f>IFERROR(__xludf.DUMMYFUNCTION("""COMPUTED_VALUE"""),"Lucky Susanto")</f>
        <v>Lucky Susanto</v>
      </c>
      <c r="E1052" s="7" t="str">
        <f>IFERROR(__xludf.DUMMYFUNCTION("""COMPUTED_VALUE"""),"Yes")</f>
        <v>Yes</v>
      </c>
      <c r="F1052" s="7" t="str">
        <f>IFERROR(__xludf.DUMMYFUNCTION("""COMPUTED_VALUE"""),"IP-Poster")</f>
        <v>IP-Poster</v>
      </c>
      <c r="G1052" s="7" t="str">
        <f>IFERROR(__xludf.DUMMYFUNCTION("""COMPUTED_VALUE"""),"In-Person")</f>
        <v>In-Person</v>
      </c>
      <c r="H1052" s="7" t="str">
        <f>IFERROR(__xludf.DUMMYFUNCTION("""COMPUTED_VALUE"""),"Hall 4/5")</f>
        <v>Hall 4/5</v>
      </c>
      <c r="I1052" s="7" t="str">
        <f>IFERROR(__xludf.DUMMYFUNCTION("""COMPUTED_VALUE"""),"Session 12: IP-Posters")</f>
        <v>Session 12: IP-Posters</v>
      </c>
      <c r="J1052" s="7" t="str">
        <f>IFERROR(__xludf.DUMMYFUNCTION("""COMPUTED_VALUE"""),"Findings Posters - In-Person 4")</f>
        <v>Findings Posters - In-Person 4</v>
      </c>
      <c r="K1052" s="7"/>
      <c r="L1052" s="8">
        <f>IFERROR(__xludf.DUMMYFUNCTION("""COMPUTED_VALUE"""),45868.0)</f>
        <v>45868</v>
      </c>
      <c r="M1052" s="7" t="str">
        <f>IFERROR(__xludf.DUMMYFUNCTION("""COMPUTED_VALUE"""),"11:00-12:30")</f>
        <v>11:00-12:30</v>
      </c>
      <c r="N1052" s="7"/>
    </row>
    <row r="1053">
      <c r="A1053" s="7" t="str">
        <f>IFERROR(__xludf.DUMMYFUNCTION("""COMPUTED_VALUE"""),"3701-FIND")</f>
        <v>3701-FIND</v>
      </c>
      <c r="B1053" s="7" t="str">
        <f>IFERROR(__xludf.DUMMYFUNCTION("""COMPUTED_VALUE"""),"MedCite: Can Language Models Generate Verifiable Text for Medicine?")</f>
        <v>MedCite: Can Language Models Generate Verifiable Text for Medicine?</v>
      </c>
      <c r="C1053" s="7" t="str">
        <f>IFERROR(__xludf.DUMMYFUNCTION("""COMPUTED_VALUE"""),"Existing LLM-based medical question answering systems lack citation generation and evaluation capabilities, raising concerns about their adoption in practice. In this work, we introduce MedCite, the first end-to-end framework that facilitates the design a"&amp;"nd evaluation of LLM citations for medical tasks. Meanwhile, we introduce a novel multi-pass retrieval-citation method that generates high-quality citations.
Our extensive evaluation highlights the challenges and opportunities of citation generation for "&amp;"medical tasks, while identifying important design choices that have a significant impact on the final citation quality. Our proposed method achieves superior citation precision and recall improvements compared to strong baseline methods, and we show that "&amp;"our evaluation results correlate well with annotation results from professional experts.")</f>
        <v>Existing LLM-based medical question answering systems lack citation generation and evaluation capabilities, raising concerns about their adoption in practice. In this work, we introduce MedCite, the first end-to-end framework that facilitates the design and evaluation of LLM citations for medical tasks. Meanwhile, we introduce a novel multi-pass retrieval-citation method that generates high-quality citations.
Our extensive evaluation highlights the challenges and opportunities of citation generation for medical tasks, while identifying important design choices that have a significant impact on the final citation quality. Our proposed method achieves superior citation precision and recall improvements compared to strong baseline methods, and we show that our evaluation results correlate well with annotation results from professional experts.</v>
      </c>
      <c r="D1053" s="7" t="str">
        <f>IFERROR(__xludf.DUMMYFUNCTION("""COMPUTED_VALUE"""),"I do not plan to present.")</f>
        <v>I do not plan to present.</v>
      </c>
      <c r="E1053" s="7" t="str">
        <f>IFERROR(__xludf.DUMMYFUNCTION("""COMPUTED_VALUE"""),"#N/A")</f>
        <v>#N/A</v>
      </c>
      <c r="F1053" s="7" t="str">
        <f>IFERROR(__xludf.DUMMYFUNCTION("""COMPUTED_VALUE"""),"Not Pres. ")</f>
        <v>Not Pres. </v>
      </c>
      <c r="G1053" s="7" t="str">
        <f>IFERROR(__xludf.DUMMYFUNCTION("""COMPUTED_VALUE"""),"NP Findings Not Presenting ")</f>
        <v>NP Findings Not Presenting </v>
      </c>
      <c r="H1053" s="7"/>
      <c r="I1053" s="7" t="str">
        <f>IFERROR(__xludf.DUMMYFUNCTION("""COMPUTED_VALUE"""),"NP-Find")</f>
        <v>NP-Find</v>
      </c>
      <c r="J1053" s="7"/>
      <c r="K1053" s="7"/>
      <c r="L1053" s="8"/>
      <c r="M1053" s="7"/>
      <c r="N1053" s="7"/>
    </row>
    <row r="1054">
      <c r="A1054" s="7" t="str">
        <f>IFERROR(__xludf.DUMMYFUNCTION("""COMPUTED_VALUE"""),"3704-FIND")</f>
        <v>3704-FIND</v>
      </c>
      <c r="B1054" s="7" t="str">
        <f>IFERROR(__xludf.DUMMYFUNCTION("""COMPUTED_VALUE"""),"Let The Jury Decide: Fair Demonstration Selection for In-Context Learning through Incremental Greedy Evaluation")</f>
        <v>Let The Jury Decide: Fair Demonstration Selection for In-Context Learning through Incremental Greedy Evaluation</v>
      </c>
      <c r="C1054" s="7" t="str">
        <f>IFERROR(__xludf.DUMMYFUNCTION("""COMPUTED_VALUE"""),"Large Language Models (LLMs) are powerful in-context learners, achieving strong performance with just a few high-quality demonstrations. However, fairness concerns arise in many in-context classification tasks, especially when predictions involve sensitiv"&amp;"e attributes. To address this, we propose JUDGE—a simple yet effective framework for selecting fair and representative demonstrations that improve group fairness in In-Context Learning. JUDGE constructs the demonstration set iteratively using a greedy app"&amp;"roach, guided by a small, carefully selected jury set. Our method remains robust across varying LLM architectures and datasets, ensuring consistent fairness improvements. We evaluate JUDGE on four datasets using four LLMs, comparing it against seven basel"&amp;"ines. Results show that JUDGE consistently improves fairness metrics without compromising accuracy.")</f>
        <v>Large Language Models (LLMs) are powerful in-context learners, achieving strong performance with just a few high-quality demonstrations. However, fairness concerns arise in many in-context classification tasks, especially when predictions involve sensitive attributes. To address this, we propose JUDGE—a simple yet effective framework for selecting fair and representative demonstrations that improve group fairness in In-Context Learning. JUDGE constructs the demonstration set iteratively using a greedy approach, guided by a small, carefully selected jury set. Our method remains robust across varying LLM architectures and datasets, ensuring consistent fairness improvements. We evaluate JUDGE on four datasets using four LLMs, comparing it against seven baselines. Results show that JUDGE consistently improves fairness metrics without compromising accuracy.</v>
      </c>
      <c r="D1054" s="7" t="str">
        <f>IFERROR(__xludf.DUMMYFUNCTION("""COMPUTED_VALUE"""),"Latifur Khan")</f>
        <v>Latifur Khan</v>
      </c>
      <c r="E1054" s="7" t="str">
        <f>IFERROR(__xludf.DUMMYFUNCTION("""COMPUTED_VALUE"""),"Yes")</f>
        <v>Yes</v>
      </c>
      <c r="F1054" s="7" t="str">
        <f>IFERROR(__xludf.DUMMYFUNCTION("""COMPUTED_VALUE"""),"IP-Poster")</f>
        <v>IP-Poster</v>
      </c>
      <c r="G1054" s="7" t="str">
        <f>IFERROR(__xludf.DUMMYFUNCTION("""COMPUTED_VALUE"""),"In-Person")</f>
        <v>In-Person</v>
      </c>
      <c r="H1054" s="7" t="str">
        <f>IFERROR(__xludf.DUMMYFUNCTION("""COMPUTED_VALUE"""),"Hall 4/5")</f>
        <v>Hall 4/5</v>
      </c>
      <c r="I1054" s="7" t="str">
        <f>IFERROR(__xludf.DUMMYFUNCTION("""COMPUTED_VALUE"""),"Session 10: IP-Posters")</f>
        <v>Session 10: IP-Posters</v>
      </c>
      <c r="J1054" s="7" t="str">
        <f>IFERROR(__xludf.DUMMYFUNCTION("""COMPUTED_VALUE"""),"Findings Posters - In-Person 3")</f>
        <v>Findings Posters - In-Person 3</v>
      </c>
      <c r="K1054" s="7"/>
      <c r="L1054" s="8">
        <f>IFERROR(__xludf.DUMMYFUNCTION("""COMPUTED_VALUE"""),45867.0)</f>
        <v>45867</v>
      </c>
      <c r="M1054" s="7" t="str">
        <f>IFERROR(__xludf.DUMMYFUNCTION("""COMPUTED_VALUE"""),"16:00-17:30")</f>
        <v>16:00-17:30</v>
      </c>
      <c r="N1054" s="7"/>
    </row>
    <row r="1055">
      <c r="A1055" s="7" t="str">
        <f>IFERROR(__xludf.DUMMYFUNCTION("""COMPUTED_VALUE"""),"3711-FIND")</f>
        <v>3711-FIND</v>
      </c>
      <c r="B1055" s="7" t="str">
        <f>IFERROR(__xludf.DUMMYFUNCTION("""COMPUTED_VALUE"""),"The Lies Characters Tell: Utilizing Large Language Models to Normalize Adversarial Unicode Perturbations")</f>
        <v>The Lies Characters Tell: Utilizing Large Language Models to Normalize Adversarial Unicode Perturbations</v>
      </c>
      <c r="C1055" s="7" t="str">
        <f>IFERROR(__xludf.DUMMYFUNCTION("""COMPUTED_VALUE"""),"Homoglyphs, Unicode characters that are visually homogeneous to Latin letters, are widely used to mask offensive content. Dynamic strategies are needed to combat homoglyphs as the Unicode library is ever-expanding and new substitution possibilities for La"&amp;"tin letters continuously emerge. The present study investigated two novel mitigation approaches that do not rely on strict mappings but instead harness the power of large language models to neutralize both known and unknown homoglyphs: (1) indirectly norm"&amp;"alizing homoglyphs by replacing non-Latin characters with a delimiter and prompting large language models to ""fill in the blanks"" and (2) directly normalizing homoglyphs by using large language models to determine which characters should be replaced wit"&amp;"h Latin letters. We found that the normalizations produced using GPT-4o-mini were able to construct normalized text with an average cosine similarity score of 0.91 to the original tweets when applying our indirect method and 0.96 when applying our direct "&amp;"method. This study indicates that large language model-based normalization techniques can effectively unmask offensive content concealed by homoglyphs.")</f>
        <v>Homoglyphs, Unicode characters that are visually homogeneous to Latin letters, are widely used to mask offensive content. Dynamic strategies are needed to combat homoglyphs as the Unicode library is ever-expanding and new substitution possibilities for Latin letters continuously emerge. The present study investigated two novel mitigation approaches that do not rely on strict mappings but instead harness the power of large language models to neutralize both known and unknown homoglyphs: (1) indirectly normalizing homoglyphs by replacing non-Latin characters with a delimiter and prompting large language models to "fill in the blanks" and (2) directly normalizing homoglyphs by using large language models to determine which characters should be replaced with Latin letters. We found that the normalizations produced using GPT-4o-mini were able to construct normalized text with an average cosine similarity score of 0.91 to the original tweets when applying our indirect method and 0.96 when applying our direct method. This study indicates that large language model-based normalization techniques can effectively unmask offensive content concealed by homoglyphs.</v>
      </c>
      <c r="D1055" s="7" t="str">
        <f>IFERROR(__xludf.DUMMYFUNCTION("""COMPUTED_VALUE"""),"N/A")</f>
        <v>N/A</v>
      </c>
      <c r="E1055" s="7" t="str">
        <f>IFERROR(__xludf.DUMMYFUNCTION("""COMPUTED_VALUE"""),"#N/A")</f>
        <v>#N/A</v>
      </c>
      <c r="F1055" s="7" t="str">
        <f>IFERROR(__xludf.DUMMYFUNCTION("""COMPUTED_VALUE"""),"Not Pres. ")</f>
        <v>Not Pres. </v>
      </c>
      <c r="G1055" s="7" t="str">
        <f>IFERROR(__xludf.DUMMYFUNCTION("""COMPUTED_VALUE"""),"NP Findings Not Presenting ")</f>
        <v>NP Findings Not Presenting </v>
      </c>
      <c r="H1055" s="7"/>
      <c r="I1055" s="7" t="str">
        <f>IFERROR(__xludf.DUMMYFUNCTION("""COMPUTED_VALUE"""),"NP-Find")</f>
        <v>NP-Find</v>
      </c>
      <c r="J1055" s="7"/>
      <c r="K1055" s="7"/>
      <c r="L1055" s="8"/>
      <c r="M1055" s="7"/>
      <c r="N1055" s="7"/>
    </row>
    <row r="1056">
      <c r="A1056" s="7" t="str">
        <f>IFERROR(__xludf.DUMMYFUNCTION("""COMPUTED_VALUE"""),"3713-FIND")</f>
        <v>3713-FIND</v>
      </c>
      <c r="B1056" s="7" t="str">
        <f>IFERROR(__xludf.DUMMYFUNCTION("""COMPUTED_VALUE"""),"Speech Act Patterns for Improving Generalizability of Explainable Politeness Detection Models")</f>
        <v>Speech Act Patterns for Improving Generalizability of Explainable Politeness Detection Models</v>
      </c>
      <c r="C1056" s="7" t="str">
        <f>IFERROR(__xludf.DUMMYFUNCTION("""COMPUTED_VALUE"""),"The lack of explainability in state-of-the-art Natural Language Understanding (NLU) classification models has increased interest in developing techniques for improving explainable linear feature-based models (e.g., Logistic Regression/SVM). Politeness det"&amp;"ection is a task that exemplifies this interest. While those techniques perform well on the task when applied to data from the same domain as the training data, they lack generalizability and thus fall short when applied to data from other domains. This i"&amp;"s due to their reliance on discovering domain-specific word-level features. We introduce a method for improving the generalizability of explainable politeness models by relying on speech act patterns instead of words, leveraging speech act labels assigned"&amp;" by the GPT-4 model. This approach goes beyond the mere words and injects intent into politeness classification models, enhancing their generalizability. Results demonstrate that the proposed method achieves state-of-the-art accuracy in the cross-domain s"&amp;"etting among explainable methods, while falling short in the in-domain setting. Our findings illustrate that explainable models can benefit from Large Language Models.")</f>
        <v>The lack of explainability in state-of-the-art Natural Language Understanding (NLU) classification models has increased interest in developing techniques for improving explainable linear feature-based models (e.g., Logistic Regression/SVM). Politeness detection is a task that exemplifies this interest. While those techniques perform well on the task when applied to data from the same domain as the training data, they lack generalizability and thus fall short when applied to data from other domains. This is due to their reliance on discovering domain-specific word-level features. We introduce a method for improving the generalizability of explainable politeness models by relying on speech act patterns instead of words, leveraging speech act labels assigned by the GPT-4 model. This approach goes beyond the mere words and injects intent into politeness classification models, enhancing their generalizability. Results demonstrate that the proposed method achieves state-of-the-art accuracy in the cross-domain setting among explainable methods, while falling short in the in-domain setting. Our findings illustrate that explainable models can benefit from Large Language Models.</v>
      </c>
      <c r="D1056" s="7" t="str">
        <f>IFERROR(__xludf.DUMMYFUNCTION("""COMPUTED_VALUE"""),"Ahmad Aljanaideh")</f>
        <v>Ahmad Aljanaideh</v>
      </c>
      <c r="E1056" s="7" t="str">
        <f>IFERROR(__xludf.DUMMYFUNCTION("""COMPUTED_VALUE"""),"Yes")</f>
        <v>Yes</v>
      </c>
      <c r="F1056" s="7" t="str">
        <f>IFERROR(__xludf.DUMMYFUNCTION("""COMPUTED_VALUE"""),"V-Presentation")</f>
        <v>V-Presentation</v>
      </c>
      <c r="G1056" s="7" t="str">
        <f>IFERROR(__xludf.DUMMYFUNCTION("""COMPUTED_VALUE"""),"Virtual/Gather")</f>
        <v>Virtual/Gather</v>
      </c>
      <c r="H1056" s="7" t="str">
        <f>IFERROR(__xludf.DUMMYFUNCTION("""COMPUTED_VALUE"""),"Gather")</f>
        <v>Gather</v>
      </c>
      <c r="I1056" s="7" t="str">
        <f>IFERROR(__xludf.DUMMYFUNCTION("""COMPUTED_VALUE"""),"Session5: V-Gather Find")</f>
        <v>Session5: V-Gather Find</v>
      </c>
      <c r="J1056" s="7" t="str">
        <f>IFERROR(__xludf.DUMMYFUNCTION("""COMPUTED_VALUE"""),"Findings Posters - Virtual")</f>
        <v>Findings Posters - Virtual</v>
      </c>
      <c r="K1056" s="7"/>
      <c r="L1056" s="8">
        <f>IFERROR(__xludf.DUMMYFUNCTION("""COMPUTED_VALUE"""),45866.0)</f>
        <v>45866</v>
      </c>
      <c r="M1056" s="7" t="str">
        <f>IFERROR(__xludf.DUMMYFUNCTION("""COMPUTED_VALUE"""),"18:00-19:30")</f>
        <v>18:00-19:30</v>
      </c>
      <c r="N1056" s="7"/>
    </row>
    <row r="1057">
      <c r="A1057" s="7" t="str">
        <f>IFERROR(__xludf.DUMMYFUNCTION("""COMPUTED_VALUE"""),"3721-FIND")</f>
        <v>3721-FIND</v>
      </c>
      <c r="B1057" s="7" t="str">
        <f>IFERROR(__xludf.DUMMYFUNCTION("""COMPUTED_VALUE"""),"A Systematic Evaluation of Transformer-LM Representations for Capturing Author States and Traits")</f>
        <v>A Systematic Evaluation of Transformer-LM Representations for Capturing Author States and Traits</v>
      </c>
      <c r="C1057" s="7" t="str">
        <f>IFERROR(__xludf.DUMMYFUNCTION("""COMPUTED_VALUE"""),"Large Language Models (LLMs) are increasingly used in human-centered applications, yet their ability to model diverse psychological constructs is not well understood. In this study, we systematically evaluate a range of Transformer-based LLMs to predict p"&amp;"sychological variables across five major dimensions: affect, substance use, mental health, sociodemographics, and personality. Analyses span three temporal levels—short daily text responses, two-week, and user-level text collected over two years—allowing "&amp;"us to examine how each model’s strengths align with the underlying stability of different constructs. The findings show that mental health signals emerge as the most reliably captured dimension, possibly because people often use detailed, specific languag"&amp;"e when describing their emotional experiences, which makes these cues easier for models to detect. At the daily scale, context-rich embeddings of DeBERTa and HaRT excel at capturing short-term emotional fluctuations, whereas few-shot Llama3-8B proves part"&amp;"icularly adept at modeling nuanced substance use behaviors at the two-week interval. Aggregating text over the entire study period yields stronger correlations for socio-demographic factors e.g., age, income. These results suggest actionable insights into"&amp;" the design of LLM-based approaches for psychological assessments, emphasizing the importance of selecting appropriate model architectures and temporal aggregation techniques to the stability and nature of the target construct.")</f>
        <v>Large Language Models (LLMs) are increasingly used in human-centered applications, yet their ability to model diverse psychological constructs is not well understood. In this study, we systematically evaluate a range of Transformer-based LLMs to predict psychological variables across five major dimensions: affect, substance use, mental health, sociodemographics, and personality. Analyses span three temporal levels—short daily text responses, two-week, and user-level text collected over two years—allowing us to examine how each model’s strengths align with the underlying stability of different constructs. The findings show that mental health signals emerge as the most reliably captured dimension, possibly because people often use detailed, specific language when describing their emotional experiences, which makes these cues easier for models to detect. At the daily scale, context-rich embeddings of DeBERTa and HaRT excel at capturing short-term emotional fluctuations, whereas few-shot Llama3-8B proves particularly adept at modeling nuanced substance use behaviors at the two-week interval. Aggregating text over the entire study period yields stronger correlations for socio-demographic factors e.g., age, income. These results suggest actionable insights into the design of LLM-based approaches for psychological assessments, emphasizing the importance of selecting appropriate model architectures and temporal aggregation techniques to the stability and nature of the target construct.</v>
      </c>
      <c r="D1057" s="7" t="str">
        <f>IFERROR(__xludf.DUMMYFUNCTION("""COMPUTED_VALUE"""),"Khushboo Singh")</f>
        <v>Khushboo Singh</v>
      </c>
      <c r="E1057" s="7" t="str">
        <f>IFERROR(__xludf.DUMMYFUNCTION("""COMPUTED_VALUE"""),"#N/A")</f>
        <v>#N/A</v>
      </c>
      <c r="F1057" s="7" t="str">
        <f>IFERROR(__xludf.DUMMYFUNCTION("""COMPUTED_VALUE"""),"Not Pres. ")</f>
        <v>Not Pres. </v>
      </c>
      <c r="G1057" s="7" t="str">
        <f>IFERROR(__xludf.DUMMYFUNCTION("""COMPUTED_VALUE"""),"NP Findings Not Presenting ")</f>
        <v>NP Findings Not Presenting </v>
      </c>
      <c r="H1057" s="7"/>
      <c r="I1057" s="7" t="str">
        <f>IFERROR(__xludf.DUMMYFUNCTION("""COMPUTED_VALUE"""),"NP-Find")</f>
        <v>NP-Find</v>
      </c>
      <c r="J1057" s="7"/>
      <c r="K1057" s="7"/>
      <c r="L1057" s="8"/>
      <c r="M1057" s="7"/>
      <c r="N1057" s="7"/>
    </row>
    <row r="1058">
      <c r="A1058" s="7" t="str">
        <f>IFERROR(__xludf.DUMMYFUNCTION("""COMPUTED_VALUE"""),"3729-FIND")</f>
        <v>3729-FIND</v>
      </c>
      <c r="B1058" s="7" t="str">
        <f>IFERROR(__xludf.DUMMYFUNCTION("""COMPUTED_VALUE"""),"TReMu: Towards Neuro-Symbolic Temporal Reasoning for LLM-Agents with Memory in Multi-Session Dialogues")</f>
        <v>TReMu: Towards Neuro-Symbolic Temporal Reasoning for LLM-Agents with Memory in Multi-Session Dialogues</v>
      </c>
      <c r="C1058" s="7" t="str">
        <f>IFERROR(__xludf.DUMMYFUNCTION("""COMPUTED_VALUE"""),"Temporal reasoning in multi-session dialogues presents a significant challenge which has been under-studied in previous temporal reasoning benchmarks. To bridge this gap, we propose a new evaluation task for temporal reasoning in multi-session dialogues a"&amp;"nd introduce an approach to construct a new benchmark by augmenting dialogues from LoCoMo and creating multi-choice QAs. Furthermore, we present TReMu, a new framework aimed at enhancing the temporal reasoning capabilities of LLM-agents in this context. S"&amp;"pecifically, the framework employs time-aware memorization through timeline summarization, generating retrievable memory by summarizing events in each dialogue session with their inferred dates. Additionally, we integrate neuro-symbolic temporal reasoning"&amp;", where LLMs generate Python code to perform temporal calculations and select answers. Experimental evaluations on popular LLMs demonstrate that our benchmark is challenging, and the proposed framework significantly improves temporal reasoning performance"&amp;" compared to baseline methods, raising from 29.83 on GPT-4o via standard prompting to 77.67 via our approach and highlighting its effectiveness in addressing temporal reasoning in multi-session dialogues.")</f>
        <v>Temporal reasoning in multi-session dialogues presents a significant challenge which has been under-studied in previous temporal reasoning benchmarks. To bridge this gap, we propose a new evaluation task for temporal reasoning in multi-session dialogues and introduce an approach to construct a new benchmark by augmenting dialogues from LoCoMo and creating multi-choice QAs. Furthermore, we present TReMu, a new framework aimed at enhancing the temporal reasoning capabilities of LLM-agents in this context. Specifically, the framework employs time-aware memorization through timeline summarization, generating retrievable memory by summarizing events in each dialogue session with their inferred dates. Additionally, we integrate neuro-symbolic temporal reasoning, where LLMs generate Python code to perform temporal calculations and select answers. Experimental evaluations on popular LLMs demonstrate that our benchmark is challenging, and the proposed framework significantly improves temporal reasoning performance compared to baseline methods, raising from 29.83 on GPT-4o via standard prompting to 77.67 via our approach and highlighting its effectiveness in addressing temporal reasoning in multi-session dialogues.</v>
      </c>
      <c r="D1058" s="7" t="str">
        <f>IFERROR(__xludf.DUMMYFUNCTION("""COMPUTED_VALUE"""),"Salvatore Romeo")</f>
        <v>Salvatore Romeo</v>
      </c>
      <c r="E1058" s="7" t="str">
        <f>IFERROR(__xludf.DUMMYFUNCTION("""COMPUTED_VALUE"""),"Yes")</f>
        <v>Yes</v>
      </c>
      <c r="F1058" s="7" t="str">
        <f>IFERROR(__xludf.DUMMYFUNCTION("""COMPUTED_VALUE"""),"IP-Poster")</f>
        <v>IP-Poster</v>
      </c>
      <c r="G1058" s="7" t="str">
        <f>IFERROR(__xludf.DUMMYFUNCTION("""COMPUTED_VALUE"""),"In-Person")</f>
        <v>In-Person</v>
      </c>
      <c r="H1058" s="7" t="str">
        <f>IFERROR(__xludf.DUMMYFUNCTION("""COMPUTED_VALUE"""),"Hall 4/5")</f>
        <v>Hall 4/5</v>
      </c>
      <c r="I1058" s="7" t="str">
        <f>IFERROR(__xludf.DUMMYFUNCTION("""COMPUTED_VALUE"""),"Session 10: IP-Posters")</f>
        <v>Session 10: IP-Posters</v>
      </c>
      <c r="J1058" s="7" t="str">
        <f>IFERROR(__xludf.DUMMYFUNCTION("""COMPUTED_VALUE"""),"Findings Posters - In-Person 3")</f>
        <v>Findings Posters - In-Person 3</v>
      </c>
      <c r="K1058" s="7"/>
      <c r="L1058" s="8">
        <f>IFERROR(__xludf.DUMMYFUNCTION("""COMPUTED_VALUE"""),45867.0)</f>
        <v>45867</v>
      </c>
      <c r="M1058" s="7" t="str">
        <f>IFERROR(__xludf.DUMMYFUNCTION("""COMPUTED_VALUE"""),"16:00-17:30")</f>
        <v>16:00-17:30</v>
      </c>
      <c r="N1058" s="7"/>
    </row>
    <row r="1059">
      <c r="A1059" s="7" t="str">
        <f>IFERROR(__xludf.DUMMYFUNCTION("""COMPUTED_VALUE"""),"3730-FIND")</f>
        <v>3730-FIND</v>
      </c>
      <c r="B1059" s="7" t="str">
        <f>IFERROR(__xludf.DUMMYFUNCTION("""COMPUTED_VALUE"""),"Conservative Bias in Large Language Models: Measuring Relation Predictions")</f>
        <v>Conservative Bias in Large Language Models: Measuring Relation Predictions</v>
      </c>
      <c r="C1059" s="7" t="str">
        <f>IFERROR(__xludf.DUMMYFUNCTION("""COMPUTED_VALUE"""),"Large language models (LLMs) exhibit pronounced conservative bias in relation extraction tasks, frequently defaulting to no_relation label when an appropriate option is unavailable. While this behavior helps prevent incorrect relation assignments, our ana"&amp;"lysis reveals that it also leads to significant information loss when reasoning is not explicitly included in the output. We systematically evaluate this trade-off across multiple prompts, datasets, and relation types, introducing the concept of Hobson's "&amp;"choice to capture scenarios where models opt for safe but uninformative labels over hallucinated ones. Our findings suggest that conservative bias occurs twice as often as hallucination. To quantify this effect, we use SBERT and LLM prompts to capture the"&amp;" semantic similarity between conservative bias behaviors in constrained prompts and labels generated from semi-constrained and open-ended prompts.")</f>
        <v>Large language models (LLMs) exhibit pronounced conservative bias in relation extraction tasks, frequently defaulting to no_relation label when an appropriate option is unavailable. While this behavior helps prevent incorrect relation assignments, our analysis reveals that it also leads to significant information loss when reasoning is not explicitly included in the output. We systematically evaluate this trade-off across multiple prompts, datasets, and relation types, introducing the concept of Hobson's choice to capture scenarios where models opt for safe but uninformative labels over hallucinated ones. Our findings suggest that conservative bias occurs twice as often as hallucination. To quantify this effect, we use SBERT and LLM prompts to capture the semantic similarity between conservative bias behaviors in constrained prompts and labels generated from semi-constrained and open-ended prompts.</v>
      </c>
      <c r="D1059" s="7" t="str">
        <f>IFERROR(__xludf.DUMMYFUNCTION("""COMPUTED_VALUE"""),"Toyin Aguda, Erik Wilson")</f>
        <v>Toyin Aguda, Erik Wilson</v>
      </c>
      <c r="E1059" s="7" t="str">
        <f>IFERROR(__xludf.DUMMYFUNCTION("""COMPUTED_VALUE"""),"Yes")</f>
        <v>Yes</v>
      </c>
      <c r="F1059" s="7" t="str">
        <f>IFERROR(__xludf.DUMMYFUNCTION("""COMPUTED_VALUE"""),"IP-Poster")</f>
        <v>IP-Poster</v>
      </c>
      <c r="G1059" s="7" t="str">
        <f>IFERROR(__xludf.DUMMYFUNCTION("""COMPUTED_VALUE"""),"In-Person")</f>
        <v>In-Person</v>
      </c>
      <c r="H1059" s="7" t="str">
        <f>IFERROR(__xludf.DUMMYFUNCTION("""COMPUTED_VALUE"""),"Hall 4/5")</f>
        <v>Hall 4/5</v>
      </c>
      <c r="I1059" s="7" t="str">
        <f>IFERROR(__xludf.DUMMYFUNCTION("""COMPUTED_VALUE"""),"Session 5 :IP-Posters Find ")</f>
        <v>Session 5 :IP-Posters Find </v>
      </c>
      <c r="J1059" s="7" t="str">
        <f>IFERROR(__xludf.DUMMYFUNCTION("""COMPUTED_VALUE"""),"Findings Posters - In-Person 1")</f>
        <v>Findings Posters - In-Person 1</v>
      </c>
      <c r="K1059" s="7"/>
      <c r="L1059" s="8">
        <f>IFERROR(__xludf.DUMMYFUNCTION("""COMPUTED_VALUE"""),45866.0)</f>
        <v>45866</v>
      </c>
      <c r="M1059" s="7" t="str">
        <f>IFERROR(__xludf.DUMMYFUNCTION("""COMPUTED_VALUE"""),"18:00-19:30")</f>
        <v>18:00-19:30</v>
      </c>
      <c r="N1059" s="7"/>
    </row>
    <row r="1060">
      <c r="A1060" s="7" t="str">
        <f>IFERROR(__xludf.DUMMYFUNCTION("""COMPUTED_VALUE"""),"3733-FIND")</f>
        <v>3733-FIND</v>
      </c>
      <c r="B1060" s="7" t="str">
        <f>IFERROR(__xludf.DUMMYFUNCTION("""COMPUTED_VALUE"""),"Mitigating Bias in RAG: Controlling the Embedder")</f>
        <v>Mitigating Bias in RAG: Controlling the Embedder</v>
      </c>
      <c r="C1060" s="7" t="str">
        <f>IFERROR(__xludf.DUMMYFUNCTION("""COMPUTED_VALUE"""),"In retrieval augmented generation (RAG) systems, each individual component---the LLM, embedder, and corpus---could introduce biases in the form of skews towards certain genders or political leanings. In this work, we study the conflict between biases of e"&amp;"ach component and their relationship to the overall bias of the RAG system, which we call bias conflict. Examining both gender and political biases as case studies, we show that bias conflict can be characterized through a linear relationship among compon"&amp;"ents despite its complexity. Through fine-tuning, we demonstrate how to control the bias of the embedder while maintaining utility and reveal the importance of reverse-biasing the embedder to mitigate bias in the overall system, Additionally, we find that"&amp;" LLMs and tasks exhibit varying sensitivities to bias, a crucial factor to consider for debiasing. Our results underscore that a fair RAG system can be better achieved by carefully controlling the bias of the embedder rather than increasing its fairness.")</f>
        <v>In retrieval augmented generation (RAG) systems, each individual component---the LLM, embedder, and corpus---could introduce biases in the form of skews towards certain genders or political leanings. In this work, we study the conflict between biases of each component and their relationship to the overall bias of the RAG system, which we call bias conflict. Examining both gender and political biases as case studies, we show that bias conflict can be characterized through a linear relationship among components despite its complexity. Through fine-tuning, we demonstrate how to control the bias of the embedder while maintaining utility and reveal the importance of reverse-biasing the embedder to mitigate bias in the overall system, Additionally, we find that LLMs and tasks exhibit varying sensitivities to bias, a crucial factor to consider for debiasing. Our results underscore that a fair RAG system can be better achieved by carefully controlling the bias of the embedder rather than increasing its fairness.</v>
      </c>
      <c r="D1060" s="7" t="str">
        <f>IFERROR(__xludf.DUMMYFUNCTION("""COMPUTED_VALUE"""),"Taeyoun Kim")</f>
        <v>Taeyoun Kim</v>
      </c>
      <c r="E1060" s="7" t="str">
        <f>IFERROR(__xludf.DUMMYFUNCTION("""COMPUTED_VALUE"""),"#N/A")</f>
        <v>#N/A</v>
      </c>
      <c r="F1060" s="7" t="str">
        <f>IFERROR(__xludf.DUMMYFUNCTION("""COMPUTED_VALUE"""),"Not Pres. ")</f>
        <v>Not Pres. </v>
      </c>
      <c r="G1060" s="7" t="str">
        <f>IFERROR(__xludf.DUMMYFUNCTION("""COMPUTED_VALUE"""),"NP Findings Not Presenting ")</f>
        <v>NP Findings Not Presenting </v>
      </c>
      <c r="H1060" s="7"/>
      <c r="I1060" s="7" t="str">
        <f>IFERROR(__xludf.DUMMYFUNCTION("""COMPUTED_VALUE"""),"NP-Find")</f>
        <v>NP-Find</v>
      </c>
      <c r="J1060" s="7"/>
      <c r="K1060" s="7"/>
      <c r="L1060" s="8"/>
      <c r="M1060" s="7"/>
      <c r="N1060" s="7"/>
    </row>
    <row r="1061">
      <c r="A1061" s="7" t="str">
        <f>IFERROR(__xludf.DUMMYFUNCTION("""COMPUTED_VALUE"""),"3734-FIND")</f>
        <v>3734-FIND</v>
      </c>
      <c r="B1061" s="7" t="str">
        <f>IFERROR(__xludf.DUMMYFUNCTION("""COMPUTED_VALUE"""),"V-ALPHASOCIAL: Benchmark and Self-Reflective Chain-of-Thought Generation for Visual Social Commonsense Reasoning")</f>
        <v>V-ALPHASOCIAL: Benchmark and Self-Reflective Chain-of-Thought Generation for Visual Social Commonsense Reasoning</v>
      </c>
      <c r="C1061" s="7" t="str">
        <f>IFERROR(__xludf.DUMMYFUNCTION("""COMPUTED_VALUE"""),"Social commonsense reasoning naturally involves both the verbal and non-verbal cues of a social interaction. It is important for Large Vision-Language Models (VLMs) to leverage both textual and visual information in performing tasks like social understand"&amp;"ing and reasoning. However, while current LLMs have shown good social reasoning capabilities in textual context, whether they can effectively incorporate visual information in social comprehension remains under-explored. To narrow the gap, we first constr"&amp;"uct and propose a benchmark: V-Social, featuring well-aligned text and visual content, tailored to assess visual social commonsense for multimodal foundation models. Through experimenting with V-Social, we find that even the most advanced VLM, GPT-4o, oft"&amp;"en falls short in social commonsense reasoning. This highlights the critical need to enhance the social grounding of VLMs. One major obstacle for improving this is the lack of high-quality data with good reasoning process. To overcome this obstacle, we in"&amp;"troduce V-AlphaSocial, a novel method that generates high-quality chain-of-thought reasoning paths from unlabeled data. We design a visual reasoning reward model to improve VLM, and then iteratively refine both the VLM and the reward model. Our extensive "&amp;"analysis showcases how our method enhances social commonsense reasoning, proposing an effective approach that facilitates deeper exploration into field.")</f>
        <v>Social commonsense reasoning naturally involves both the verbal and non-verbal cues of a social interaction. It is important for Large Vision-Language Models (VLMs) to leverage both textual and visual information in performing tasks like social understanding and reasoning. However, while current LLMs have shown good social reasoning capabilities in textual context, whether they can effectively incorporate visual information in social comprehension remains under-explored. To narrow the gap, we first construct and propose a benchmark: V-Social, featuring well-aligned text and visual content, tailored to assess visual social commonsense for multimodal foundation models. Through experimenting with V-Social, we find that even the most advanced VLM, GPT-4o, often falls short in social commonsense reasoning. This highlights the critical need to enhance the social grounding of VLMs. One major obstacle for improving this is the lack of high-quality data with good reasoning process. To overcome this obstacle, we introduce V-AlphaSocial, a novel method that generates high-quality chain-of-thought reasoning paths from unlabeled data. We design a visual reasoning reward model to improve VLM, and then iteratively refine both the VLM and the reward model. Our extensive analysis showcases how our method enhances social commonsense reasoning, proposing an effective approach that facilitates deeper exploration into field.</v>
      </c>
      <c r="D1061" s="7" t="str">
        <f>IFERROR(__xludf.DUMMYFUNCTION("""COMPUTED_VALUE"""),"Zongyu Lin")</f>
        <v>Zongyu Lin</v>
      </c>
      <c r="E1061" s="7" t="str">
        <f>IFERROR(__xludf.DUMMYFUNCTION("""COMPUTED_VALUE"""),"N/A")</f>
        <v>N/A</v>
      </c>
      <c r="F1061" s="7" t="str">
        <f>IFERROR(__xludf.DUMMYFUNCTION("""COMPUTED_VALUE"""),"Not Pres. ")</f>
        <v>Not Pres. </v>
      </c>
      <c r="G1061" s="7" t="str">
        <f>IFERROR(__xludf.DUMMYFUNCTION("""COMPUTED_VALUE"""),"NP Findings Not Presenting ")</f>
        <v>NP Findings Not Presenting </v>
      </c>
      <c r="H1061" s="7"/>
      <c r="I1061" s="7"/>
      <c r="J1061" s="7"/>
      <c r="K1061" s="7"/>
      <c r="L1061" s="8"/>
      <c r="M1061" s="7"/>
      <c r="N1061" s="7"/>
    </row>
    <row r="1062">
      <c r="A1062" s="7" t="str">
        <f>IFERROR(__xludf.DUMMYFUNCTION("""COMPUTED_VALUE"""),"3737-FIND")</f>
        <v>3737-FIND</v>
      </c>
      <c r="B1062" s="7" t="str">
        <f>IFERROR(__xludf.DUMMYFUNCTION("""COMPUTED_VALUE"""),"AfroBench: How Good are Large Language Models on African Languages?")</f>
        <v>AfroBench: How Good are Large Language Models on African Languages?</v>
      </c>
      <c r="C1062" s="7" t="str">
        <f>IFERROR(__xludf.DUMMYFUNCTION("""COMPUTED_VALUE"""),"Large-scale multilingual evaluations, such as MEGA, often include only a handful of African languages due to the scarcity of high-quality evaluation data and the limited discoverability of existing African datasets. This lack of representation hinders com"&amp;"prehensive LLM evaluation across a diverse range of languages and tasks. To address these challenges, we introduce AfroBench - a multi-task benchmark for evaluating the performance of LLMs across 64 African languages, 15 tasks and 22 datasets. AfroBench c"&amp;"onsists of nine natural language understanding datasets, five text generation datasets, five knowledge and question answering tasks, and one mathematical reasoning task. We present results comparing the performance of prompting LLMs to fine-tuned baseline"&amp;"s based on BERT and T5-style models. Our results suggest large gaps in performance between high-resource languages, such as English, and African languages across most tasks; but performance also varies based on the availability of monolingual data resourc"&amp;"es. Our findings confirm that performance on African languages continues to remain a hurdle for current LLMs, underscoring the need for additional efforts to close this gap")</f>
        <v>Large-scale multilingual evaluations, such as MEGA, often include only a handful of African languages due to the scarcity of high-quality evaluation data and the limited discoverability of existing African datasets. This lack of representation hinders comprehensive LLM evaluation across a diverse range of languages and tasks. To address these challenges, we introduce AfroBench - a multi-task benchmark for evaluating the performance of LLMs across 64 African languages, 15 tasks and 22 datasets. AfroBench consists of nine natural language understanding datasets, five text generation datasets, five knowledge and question answering tasks, and one mathematical reasoning task. We present results comparing the performance of prompting LLMs to fine-tuned baselines based on BERT and T5-style models. Our results suggest large gaps in performance between high-resource languages, such as English, and African languages across most tasks; but performance also varies based on the availability of monolingual data resources. Our findings confirm that performance on African languages continues to remain a hurdle for current LLMs, underscoring the need for additional efforts to close this gap</v>
      </c>
      <c r="D1062" s="7" t="str">
        <f>IFERROR(__xludf.DUMMYFUNCTION("""COMPUTED_VALUE"""),"Jessica Ojo
David Ifeoluwa Adelani")</f>
        <v>Jessica Ojo
David Ifeoluwa Adelani</v>
      </c>
      <c r="E1062" s="7" t="str">
        <f>IFERROR(__xludf.DUMMYFUNCTION("""COMPUTED_VALUE"""),"Yes")</f>
        <v>Yes</v>
      </c>
      <c r="F1062" s="7" t="str">
        <f>IFERROR(__xludf.DUMMYFUNCTION("""COMPUTED_VALUE"""),"IP-Poster")</f>
        <v>IP-Poster</v>
      </c>
      <c r="G1062" s="7" t="str">
        <f>IFERROR(__xludf.DUMMYFUNCTION("""COMPUTED_VALUE"""),"In-Person")</f>
        <v>In-Person</v>
      </c>
      <c r="H1062" s="7" t="str">
        <f>IFERROR(__xludf.DUMMYFUNCTION("""COMPUTED_VALUE"""),"Hall 4/5")</f>
        <v>Hall 4/5</v>
      </c>
      <c r="I1062" s="7" t="str">
        <f>IFERROR(__xludf.DUMMYFUNCTION("""COMPUTED_VALUE"""),"Session 5 :IP-Posters Find ")</f>
        <v>Session 5 :IP-Posters Find </v>
      </c>
      <c r="J1062" s="7" t="str">
        <f>IFERROR(__xludf.DUMMYFUNCTION("""COMPUTED_VALUE"""),"Findings Posters - In-Person 1")</f>
        <v>Findings Posters - In-Person 1</v>
      </c>
      <c r="K1062" s="7"/>
      <c r="L1062" s="8">
        <f>IFERROR(__xludf.DUMMYFUNCTION("""COMPUTED_VALUE"""),45866.0)</f>
        <v>45866</v>
      </c>
      <c r="M1062" s="7" t="str">
        <f>IFERROR(__xludf.DUMMYFUNCTION("""COMPUTED_VALUE"""),"18:00-19:30")</f>
        <v>18:00-19:30</v>
      </c>
      <c r="N1062" s="7"/>
    </row>
    <row r="1063">
      <c r="A1063" s="7" t="str">
        <f>IFERROR(__xludf.DUMMYFUNCTION("""COMPUTED_VALUE"""),"3741-FIND")</f>
        <v>3741-FIND</v>
      </c>
      <c r="B1063" s="7" t="str">
        <f>IFERROR(__xludf.DUMMYFUNCTION("""COMPUTED_VALUE"""),"Training Bilingual LMs with Data Constraints in the Targeted Language")</f>
        <v>Training Bilingual LMs with Data Constraints in the Targeted Language</v>
      </c>
      <c r="C1063" s="7" t="str">
        <f>IFERROR(__xludf.DUMMYFUNCTION("""COMPUTED_VALUE"""),"Large language models are trained on massive scrapes of the web, as required by current scaling laws. Most progress is made for English, given its abundance of high-quality pretraining data. For most other languages, however, such high quality pretraining"&amp;" data is unavailable. In this work, we study how to boost pretrained model performance in a target language with insufficient pretraining data for training a high performing language model by enlisting data from an auxiliary language for which high qualit"&amp;"y data is available. We study this by quantifying the performance gap between training with data in a data-rich auxiliary language compared with training in the target language, exploring the benefits of translation systems, studying the limitations of mo"&amp;"del scaling when data is limited in the target languages, and proposing new methods for upsampling data from the auxiliary language. Our results show that stronger auxiliary datasets result in performance gains without modification to the model or trainin"&amp;"g objective for close languages, and, in particular, that performance gains due to the development of more information-rich English pretraining datasets can extend to targeted language settings with limited data.")</f>
        <v>Large language models are trained on massive scrapes of the web, as required by current scaling laws. Most progress is made for English, given its abundance of high-quality pretraining data. For most other languages, however, such high quality pretraining data is unavailable. In this work, we study how to boost pretrained model performance in a target language with insufficient pretraining data for training a high performing language model by enlisting data from an auxiliary language for which high quality data is available. We study this by quantifying the performance gap between training with data in a data-rich auxiliary language compared with training in the target language, exploring the benefits of translation systems, studying the limitations of model scaling when data is limited in the target languages, and proposing new methods for upsampling data from the auxiliary language. Our results show that stronger auxiliary datasets result in performance gains without modification to the model or training objective for close languages, and, in particular, that performance gains due to the development of more information-rich English pretraining datasets can extend to targeted language settings with limited data.</v>
      </c>
      <c r="D1063" s="7" t="str">
        <f>IFERROR(__xludf.DUMMYFUNCTION("""COMPUTED_VALUE"""),"Skyler Seto")</f>
        <v>Skyler Seto</v>
      </c>
      <c r="E1063" s="7" t="str">
        <f>IFERROR(__xludf.DUMMYFUNCTION("""COMPUTED_VALUE"""),"Yes")</f>
        <v>Yes</v>
      </c>
      <c r="F1063" s="7" t="str">
        <f>IFERROR(__xludf.DUMMYFUNCTION("""COMPUTED_VALUE"""),"IP-Poster")</f>
        <v>IP-Poster</v>
      </c>
      <c r="G1063" s="7" t="str">
        <f>IFERROR(__xludf.DUMMYFUNCTION("""COMPUTED_VALUE"""),"In-Person")</f>
        <v>In-Person</v>
      </c>
      <c r="H1063" s="7" t="str">
        <f>IFERROR(__xludf.DUMMYFUNCTION("""COMPUTED_VALUE"""),"Hall 4/5")</f>
        <v>Hall 4/5</v>
      </c>
      <c r="I1063" s="7" t="str">
        <f>IFERROR(__xludf.DUMMYFUNCTION("""COMPUTED_VALUE"""),"Session 5 :IP-Posters Find ")</f>
        <v>Session 5 :IP-Posters Find </v>
      </c>
      <c r="J1063" s="7" t="str">
        <f>IFERROR(__xludf.DUMMYFUNCTION("""COMPUTED_VALUE"""),"Findings Posters - In-Person 1")</f>
        <v>Findings Posters - In-Person 1</v>
      </c>
      <c r="K1063" s="7"/>
      <c r="L1063" s="8">
        <f>IFERROR(__xludf.DUMMYFUNCTION("""COMPUTED_VALUE"""),45866.0)</f>
        <v>45866</v>
      </c>
      <c r="M1063" s="7" t="str">
        <f>IFERROR(__xludf.DUMMYFUNCTION("""COMPUTED_VALUE"""),"18:00-19:30")</f>
        <v>18:00-19:30</v>
      </c>
      <c r="N1063" s="7"/>
    </row>
    <row r="1064">
      <c r="A1064" s="7" t="str">
        <f>IFERROR(__xludf.DUMMYFUNCTION("""COMPUTED_VALUE"""),"3742-FIND")</f>
        <v>3742-FIND</v>
      </c>
      <c r="B1064" s="7" t="str">
        <f>IFERROR(__xludf.DUMMYFUNCTION("""COMPUTED_VALUE"""),"ChartQAPro: A More Diverse and Challenging Benchmark for Chart Question Answering")</f>
        <v>ChartQAPro: A More Diverse and Challenging Benchmark for Chart Question Answering</v>
      </c>
      <c r="C1064" s="7" t="str">
        <f>IFERROR(__xludf.DUMMYFUNCTION("""COMPUTED_VALUE"""),"Charts are ubiquitous, as people often use them to analyze data, answer questions, and discover critical insights. However, performing complex analytical tasks with charts requires significant perceptual and cognitive effort. Chart Question Answering (CQA"&amp;") systems automate this process by enabling models to interpret and reason with visual representations of data. However, existing benchmarks like ChartQA lack real-world diversity and have recently shown performance saturation with modern large vision-lan"&amp;"guage models (LVLMs). To address these limitations, we introduce ChartQAPro, a new benchmark that includes 1,341 charts from 157 diverse sources, spanning various chart types—including infographics and dashboards—and featuring 1,948 questions in various t"&amp;"ypes, such as multiple-choice, conversational, hypothetical, and unanswerable questions, to better reflect real-world challenges. Our evaluations with 21 models show a substantial performance drop for LVLMs on ChartQAPro; e.g., Claude Sonnet 3.5 scores 90"&amp;".5% on ChartQA but only 55.81% on ChartQAPro, underscoring the complexity of chart reasoning. We complement our findings with detailed error analyses and ablation studies, identifying key challenges and opportunities for advancing LVLMs in chart understan"&amp;"ding and reasoning. We release ChartQAPro at &lt;redacted&gt;.")</f>
        <v>Charts are ubiquitous, as people often use them to analyze data, answer questions, and discover critical insights. However, performing complex analytical tasks with charts requires significant perceptual and cognitive effort. Chart Question Answering (CQA) systems automate this process by enabling models to interpret and reason with visual representations of data. However, existing benchmarks like ChartQA lack real-world diversity and have recently shown performance saturation with modern large vision-language models (LVLMs). To address these limitations, we introduce ChartQAPro, a new benchmark that includes 1,341 charts from 157 diverse sources, spanning various chart types—including infographics and dashboards—and featuring 1,948 questions in various types, such as multiple-choice, conversational, hypothetical, and unanswerable questions, to better reflect real-world challenges. Our evaluations with 21 models show a substantial performance drop for LVLMs on ChartQAPro; e.g., Claude Sonnet 3.5 scores 90.5% on ChartQA but only 55.81% on ChartQAPro, underscoring the complexity of chart reasoning. We complement our findings with detailed error analyses and ablation studies, identifying key challenges and opportunities for advancing LVLMs in chart understanding and reasoning. We release ChartQAPro at &lt;redacted&gt;.</v>
      </c>
      <c r="D1064" s="7" t="str">
        <f>IFERROR(__xludf.DUMMYFUNCTION("""COMPUTED_VALUE"""),"Ahmed Masry")</f>
        <v>Ahmed Masry</v>
      </c>
      <c r="E1064" s="7" t="str">
        <f>IFERROR(__xludf.DUMMYFUNCTION("""COMPUTED_VALUE"""),"Yes")</f>
        <v>Yes</v>
      </c>
      <c r="F1064" s="7" t="str">
        <f>IFERROR(__xludf.DUMMYFUNCTION("""COMPUTED_VALUE"""),"IP-Poster")</f>
        <v>IP-Poster</v>
      </c>
      <c r="G1064" s="7" t="str">
        <f>IFERROR(__xludf.DUMMYFUNCTION("""COMPUTED_VALUE"""),"In-Person")</f>
        <v>In-Person</v>
      </c>
      <c r="H1064" s="7" t="str">
        <f>IFERROR(__xludf.DUMMYFUNCTION("""COMPUTED_VALUE"""),"Hall 4/5")</f>
        <v>Hall 4/5</v>
      </c>
      <c r="I1064" s="7" t="str">
        <f>IFERROR(__xludf.DUMMYFUNCTION("""COMPUTED_VALUE"""),"Session 10: IP-Posters")</f>
        <v>Session 10: IP-Posters</v>
      </c>
      <c r="J1064" s="7" t="str">
        <f>IFERROR(__xludf.DUMMYFUNCTION("""COMPUTED_VALUE"""),"Findings Posters - In-Person 3")</f>
        <v>Findings Posters - In-Person 3</v>
      </c>
      <c r="K1064" s="7"/>
      <c r="L1064" s="8">
        <f>IFERROR(__xludf.DUMMYFUNCTION("""COMPUTED_VALUE"""),45867.0)</f>
        <v>45867</v>
      </c>
      <c r="M1064" s="7" t="str">
        <f>IFERROR(__xludf.DUMMYFUNCTION("""COMPUTED_VALUE"""),"16:00-17:30")</f>
        <v>16:00-17:30</v>
      </c>
      <c r="N1064" s="7"/>
    </row>
    <row r="1065">
      <c r="A1065" s="7" t="str">
        <f>IFERROR(__xludf.DUMMYFUNCTION("""COMPUTED_VALUE"""),"3744-FIND")</f>
        <v>3744-FIND</v>
      </c>
      <c r="B1065" s="7" t="str">
        <f>IFERROR(__xludf.DUMMYFUNCTION("""COMPUTED_VALUE"""),"From Observation to Understanding: Front-Door Adjustments with Uncertainty Calibration for Enhancing Egocentric Reasoning in LVLMs")</f>
        <v>From Observation to Understanding: Front-Door Adjustments with Uncertainty Calibration for Enhancing Egocentric Reasoning in LVLMs</v>
      </c>
      <c r="C1065" s="7" t="str">
        <f>IFERROR(__xludf.DUMMYFUNCTION("""COMPUTED_VALUE"""),"Recent progress in large vision-language models (LVLMs) has shown substantial potential across a broad spectrum of third-person tasks. However, adapting these LVLMs to egocentric scenarios remains challenging due to their third-person training bias. Exist"&amp;"ing methods that adapt LVLMs for first-person tasks often overlook critical agent-environment interactions, limiting their ability to perform egocentric reasoning. To address these challenges, we propose a novel zero-shot paradigm termed Front-Door Adjust"&amp;"ments with Uncertainty Calibration (FRUIT) to enhance the egocentric reasoning abilities of LVLMs by simulating human causal reasoning. Specifically, the FRUIT operates in two stages: observation and understanding. Unlike conventional prompting techniques"&amp;", we formalize egocentric reasoning using a structural causal model. Then, we ground interaction regions and expand them into hierarchical visual cues, augmented with corresponding captions, to form the initial observations. To reduce noise in these obser"&amp;"vations, we employ uncertainty calibration to filter out unreliable information. These refined observations as mediators are then incorporated into the prompt template, guiding the model to understand semantics from a first-person perspective. Extensive e"&amp;"xperiments conducted on the EgoThink benchmark demonstrate that our FRUIT method consistently enhances the performance of existing LVLMs on six distinct tasks. Our anonymous code is available at https://anonymous.4open.science/r/FRUIT-B0F0/.")</f>
        <v>Recent progress in large vision-language models (LVLMs) has shown substantial potential across a broad spectrum of third-person tasks. However, adapting these LVLMs to egocentric scenarios remains challenging due to their third-person training bias. Existing methods that adapt LVLMs for first-person tasks often overlook critical agent-environment interactions, limiting their ability to perform egocentric reasoning. To address these challenges, we propose a novel zero-shot paradigm termed Front-Door Adjustments with Uncertainty Calibration (FRUIT) to enhance the egocentric reasoning abilities of LVLMs by simulating human causal reasoning. Specifically, the FRUIT operates in two stages: observation and understanding. Unlike conventional prompting techniques, we formalize egocentric reasoning using a structural causal model. Then, we ground interaction regions and expand them into hierarchical visual cues, augmented with corresponding captions, to form the initial observations. To reduce noise in these observations, we employ uncertainty calibration to filter out unreliable information. These refined observations as mediators are then incorporated into the prompt template, guiding the model to understand semantics from a first-person perspective. Extensive experiments conducted on the EgoThink benchmark demonstrate that our FRUIT method consistently enhances the performance of existing LVLMs on six distinct tasks. Our anonymous code is available at https://anonymous.4open.science/r/FRUIT-B0F0/.</v>
      </c>
      <c r="D1065" s="7" t="str">
        <f>IFERROR(__xludf.DUMMYFUNCTION("""COMPUTED_VALUE"""),"Shenshen Li (I do not plan to present)")</f>
        <v>Shenshen Li (I do not plan to present)</v>
      </c>
      <c r="E1065" s="7" t="str">
        <f>IFERROR(__xludf.DUMMYFUNCTION("""COMPUTED_VALUE"""),"#N/A")</f>
        <v>#N/A</v>
      </c>
      <c r="F1065" s="7" t="str">
        <f>IFERROR(__xludf.DUMMYFUNCTION("""COMPUTED_VALUE"""),"Not Pres. ")</f>
        <v>Not Pres. </v>
      </c>
      <c r="G1065" s="7" t="str">
        <f>IFERROR(__xludf.DUMMYFUNCTION("""COMPUTED_VALUE"""),"NP Findings Not Presenting ")</f>
        <v>NP Findings Not Presenting </v>
      </c>
      <c r="H1065" s="7"/>
      <c r="I1065" s="7" t="str">
        <f>IFERROR(__xludf.DUMMYFUNCTION("""COMPUTED_VALUE"""),"NP-Find")</f>
        <v>NP-Find</v>
      </c>
      <c r="J1065" s="7"/>
      <c r="K1065" s="7"/>
      <c r="L1065" s="8"/>
      <c r="M1065" s="7"/>
      <c r="N1065" s="7"/>
    </row>
    <row r="1066">
      <c r="A1066" s="7" t="str">
        <f>IFERROR(__xludf.DUMMYFUNCTION("""COMPUTED_VALUE"""),"3749-FIND")</f>
        <v>3749-FIND</v>
      </c>
      <c r="B1066" s="7" t="str">
        <f>IFERROR(__xludf.DUMMYFUNCTION("""COMPUTED_VALUE"""),"Hypothetical Documents or Knowledge Leakage? Rethinking LLM-based Query Expansion")</f>
        <v>Hypothetical Documents or Knowledge Leakage? Rethinking LLM-based Query Expansion</v>
      </c>
      <c r="C1066" s="7" t="str">
        <f>IFERROR(__xludf.DUMMYFUNCTION("""COMPUTED_VALUE"""),"Query expansion methods powered by large language models (LLMs) have demonstrated effectiveness in zero-shot retrieval tasks. These methods assume that LLMs can generate hypothetical documents that, when incorporated into a query vector, enhance the retri"&amp;"eval of real evidence. However, we challenge this assumption by investigating whether knowledge leakage in benchmarks contributes to the observed performance gains. Using fact verification as a testbed, we analyzed whether the generated documents containe"&amp;"d information entailed by ground truth evidence and assessed their impact on performance. Our findings indicate that performance improvements occurred consistently only for claims whose generated documents included sentences entailed by ground truth evide"&amp;"nce. This suggests that knowledge leakage may be present in these benchmarks, potentially inflating the perceived performance of query expansion methods, particularly in real-world scenarios that require retrieving niche or novel knowledge.")</f>
        <v>Query expansion methods powered by large language models (LLMs) have demonstrated effectiveness in zero-shot retrieval tasks. These methods assume that LLMs can generate hypothetical documents that, when incorporated into a query vector, enhance the retrieval of real evidence. However, we challenge this assumption by investigating whether knowledge leakage in benchmarks contributes to the observed performance gains. Using fact verification as a testbed, we analyzed whether the generated documents contained information entailed by ground truth evidence and assessed their impact on performance. Our findings indicate that performance improvements occurred consistently only for claims whose generated documents included sentences entailed by ground truth evidence. This suggests that knowledge leakage may be present in these benchmarks, potentially inflating the perceived performance of query expansion methods, particularly in real-world scenarios that require retrieving niche or novel knowledge.</v>
      </c>
      <c r="D1066" s="7" t="str">
        <f>IFERROR(__xludf.DUMMYFUNCTION("""COMPUTED_VALUE"""),"Yejun Yoon")</f>
        <v>Yejun Yoon</v>
      </c>
      <c r="E1066" s="7" t="str">
        <f>IFERROR(__xludf.DUMMYFUNCTION("""COMPUTED_VALUE"""),"Yes")</f>
        <v>Yes</v>
      </c>
      <c r="F1066" s="7" t="str">
        <f>IFERROR(__xludf.DUMMYFUNCTION("""COMPUTED_VALUE"""),"IP-Poster")</f>
        <v>IP-Poster</v>
      </c>
      <c r="G1066" s="7" t="str">
        <f>IFERROR(__xludf.DUMMYFUNCTION("""COMPUTED_VALUE"""),"In-Person")</f>
        <v>In-Person</v>
      </c>
      <c r="H1066" s="7" t="str">
        <f>IFERROR(__xludf.DUMMYFUNCTION("""COMPUTED_VALUE"""),"Hall 4/5")</f>
        <v>Hall 4/5</v>
      </c>
      <c r="I1066" s="7" t="str">
        <f>IFERROR(__xludf.DUMMYFUNCTION("""COMPUTED_VALUE"""),"Session 5 :IP-Posters Find ")</f>
        <v>Session 5 :IP-Posters Find </v>
      </c>
      <c r="J1066" s="7" t="str">
        <f>IFERROR(__xludf.DUMMYFUNCTION("""COMPUTED_VALUE"""),"Findings Posters - In-Person 1")</f>
        <v>Findings Posters - In-Person 1</v>
      </c>
      <c r="K1066" s="7"/>
      <c r="L1066" s="8">
        <f>IFERROR(__xludf.DUMMYFUNCTION("""COMPUTED_VALUE"""),45866.0)</f>
        <v>45866</v>
      </c>
      <c r="M1066" s="7" t="str">
        <f>IFERROR(__xludf.DUMMYFUNCTION("""COMPUTED_VALUE"""),"18:00-19:30")</f>
        <v>18:00-19:30</v>
      </c>
      <c r="N1066" s="7"/>
    </row>
    <row r="1067">
      <c r="A1067" s="7" t="str">
        <f>IFERROR(__xludf.DUMMYFUNCTION("""COMPUTED_VALUE"""),"3756-FIND")</f>
        <v>3756-FIND</v>
      </c>
      <c r="B1067" s="7" t="str">
        <f>IFERROR(__xludf.DUMMYFUNCTION("""COMPUTED_VALUE"""),"Worse than Random? An Embarrassingly Simple Probing Evaluation of Large Multimodal Models in Medical VQA")</f>
        <v>Worse than Random? An Embarrassingly Simple Probing Evaluation of Large Multimodal Models in Medical VQA</v>
      </c>
      <c r="C1067" s="7" t="str">
        <f>IFERROR(__xludf.DUMMYFUNCTION("""COMPUTED_VALUE"""),"Large Multimodal Models (LMMs) have demonstrated impressive performance on existing medical Visual Question Answering (Med-VQA) benchmarks. However, high reported accuracy does not necessarily reflect their true diagnostic reliability in clinical settings"&amp;". This study reveals that state-of-the-art models perform worse than random guessing on medical diagnosis questions when subjected to simple Probing Evaluation for Medical Diagnosis (ProbMed). ProbMed challenges models through probing evaluation and proce"&amp;"dural diagnosis. Particularly, probing evaluation features pairing ground-truth questions with adversarial counterparts that feature negated and hallucinated attributes, while procedural diagnosis requires reasoning across various dimensions for each imag"&amp;"e, including modality recognition, organ identification, clinical findings, abnormalities, and positional grounding. Our evaluation reveals that even top-performing models like GPT-4o, GPT-4V, and Gemini Pro perform worse than random guessing on specializ"&amp;"ed diagnostic questions, indicating significant limitations in handling fine-grained medical inquiries. Furthermore, our ablation study on open-source models (e.g., LLaVA, LLaVA-Med, and Med-Flamingo) identifies poor visual understanding as a primary bott"&amp;"leneck—a limitation that can be partially mitigated by incorporating visual descriptions generated by GPT-4o, resulting in an average performance improvement of 9.44%. These findings underscore the urgent need for more robust evaluation methods and domain"&amp;"-specific expertise to ensure the reliability of LMMs in high-stakes medical applications.")</f>
        <v>Large Multimodal Models (LMMs) have demonstrated impressive performance on existing medical Visual Question Answering (Med-VQA) benchmarks. However, high reported accuracy does not necessarily reflect their true diagnostic reliability in clinical settings. This study reveals that state-of-the-art models perform worse than random guessing on medical diagnosis questions when subjected to simple Probing Evaluation for Medical Diagnosis (ProbMed). ProbMed challenges models through probing evaluation and procedural diagnosis. Particularly, probing evaluation features pairing ground-truth questions with adversarial counterparts that feature negated and hallucinated attributes, while procedural diagnosis requires reasoning across various dimensions for each image, including modality recognition, organ identification, clinical findings, abnormalities, and positional grounding. Our evaluation reveals that even top-performing models like GPT-4o, GPT-4V, and Gemini Pro perform worse than random guessing on specialized diagnostic questions, indicating significant limitations in handling fine-grained medical inquiries. Furthermore, our ablation study on open-source models (e.g., LLaVA, LLaVA-Med, and Med-Flamingo) identifies poor visual understanding as a primary bottleneck—a limitation that can be partially mitigated by incorporating visual descriptions generated by GPT-4o, resulting in an average performance improvement of 9.44%. These findings underscore the urgent need for more robust evaluation methods and domain-specific expertise to ensure the reliability of LMMs in high-stakes medical applications.</v>
      </c>
      <c r="D1067" s="7" t="str">
        <f>IFERROR(__xludf.DUMMYFUNCTION("""COMPUTED_VALUE"""),"Qianqi Yan")</f>
        <v>Qianqi Yan</v>
      </c>
      <c r="E1067" s="7" t="str">
        <f>IFERROR(__xludf.DUMMYFUNCTION("""COMPUTED_VALUE"""),"N/A")</f>
        <v>N/A</v>
      </c>
      <c r="F1067" s="7" t="str">
        <f>IFERROR(__xludf.DUMMYFUNCTION("""COMPUTED_VALUE"""),"Not Pres. ")</f>
        <v>Not Pres. </v>
      </c>
      <c r="G1067" s="7" t="str">
        <f>IFERROR(__xludf.DUMMYFUNCTION("""COMPUTED_VALUE"""),"NP Findings Not Presenting ")</f>
        <v>NP Findings Not Presenting </v>
      </c>
      <c r="H1067" s="7"/>
      <c r="I1067" s="7"/>
      <c r="J1067" s="7"/>
      <c r="K1067" s="7"/>
      <c r="L1067" s="8"/>
      <c r="M1067" s="7"/>
      <c r="N1067" s="7"/>
    </row>
    <row r="1068">
      <c r="A1068" s="7" t="str">
        <f>IFERROR(__xludf.DUMMYFUNCTION("""COMPUTED_VALUE"""),"3757-FIND")</f>
        <v>3757-FIND</v>
      </c>
      <c r="B1068" s="7" t="str">
        <f>IFERROR(__xludf.DUMMYFUNCTION("""COMPUTED_VALUE"""),"Optimizing Reasoning for Text-to-SQL with Execution Feedback")</f>
        <v>Optimizing Reasoning for Text-to-SQL with Execution Feedback</v>
      </c>
      <c r="C1068" s="7" t="str">
        <f>IFERROR(__xludf.DUMMYFUNCTION("""COMPUTED_VALUE"""),"Text-to-SQL demands precise reasoning to convert natural language questions into structured queries. While large language models (LLMs) excel in many reasoning tasks, their ability to leverage Chain-of-Thought (CoT) reasoning for text-to-SQL remains under"&amp;"explored. We identify critical limitations: zero-shot CoT offers minimal gains, and Direct Preference Optimization (DPO) applied without CoT yields marginal improvements. We propose ExCoT-DPO, a novel framework that iteratively optimizes open-source LLMs "&amp;"by combining CoT reasoning with off-policy and on-policy DPO, relying solely on execution accuracy as feedback. This approach eliminates the need for reward models or human-annotated preferences. Our experimental results demonstrate significant performanc"&amp;"e gains: ExCoT-DPO improves execution accuracy on BIRD from 57.37% to 68.51% and on Spider from 78.81% to 86.59% for LLaMA-3 70B, with Qwen-2.5-Coder demonstrating similar improvements. Our best model achieves state-of-the-art performance in the single-mo"&amp;"del setting on both BIRD and Spider datasets.")</f>
        <v>Text-to-SQL demands precise reasoning to convert natural language questions into structured queries. While large language models (LLMs) excel in many reasoning tasks, their ability to leverage Chain-of-Thought (CoT) reasoning for text-to-SQL remains underexplored. We identify critical limitations: zero-shot CoT offers minimal gains, and Direct Preference Optimization (DPO) applied without CoT yields marginal improvements. We propose ExCoT-DPO, a novel framework that iteratively optimizes open-source LLMs by combining CoT reasoning with off-policy and on-policy DPO, relying solely on execution accuracy as feedback. This approach eliminates the need for reward models or human-annotated preferences. Our experimental results demonstrate significant performance gains: ExCoT-DPO improves execution accuracy on BIRD from 57.37% to 68.51% and on Spider from 78.81% to 86.59% for LLaMA-3 70B, with Qwen-2.5-Coder demonstrating similar improvements. Our best model achieves state-of-the-art performance in the single-model setting on both BIRD and Spider datasets.</v>
      </c>
      <c r="D1068" s="7" t="str">
        <f>IFERROR(__xludf.DUMMYFUNCTION("""COMPUTED_VALUE"""),"Zhewei Yao")</f>
        <v>Zhewei Yao</v>
      </c>
      <c r="E1068" s="7" t="str">
        <f>IFERROR(__xludf.DUMMYFUNCTION("""COMPUTED_VALUE"""),"Yes")</f>
        <v>Yes</v>
      </c>
      <c r="F1068" s="7" t="str">
        <f>IFERROR(__xludf.DUMMYFUNCTION("""COMPUTED_VALUE"""),"IP-Poster")</f>
        <v>IP-Poster</v>
      </c>
      <c r="G1068" s="7" t="str">
        <f>IFERROR(__xludf.DUMMYFUNCTION("""COMPUTED_VALUE"""),"In-Person")</f>
        <v>In-Person</v>
      </c>
      <c r="H1068" s="7" t="str">
        <f>IFERROR(__xludf.DUMMYFUNCTION("""COMPUTED_VALUE"""),"Hall 4/5")</f>
        <v>Hall 4/5</v>
      </c>
      <c r="I1068" s="7" t="str">
        <f>IFERROR(__xludf.DUMMYFUNCTION("""COMPUTED_VALUE"""),"Session 12: IP-Posters")</f>
        <v>Session 12: IP-Posters</v>
      </c>
      <c r="J1068" s="7" t="str">
        <f>IFERROR(__xludf.DUMMYFUNCTION("""COMPUTED_VALUE"""),"Findings Posters - In-Person 4")</f>
        <v>Findings Posters - In-Person 4</v>
      </c>
      <c r="K1068" s="7"/>
      <c r="L1068" s="8">
        <f>IFERROR(__xludf.DUMMYFUNCTION("""COMPUTED_VALUE"""),45868.0)</f>
        <v>45868</v>
      </c>
      <c r="M1068" s="7" t="str">
        <f>IFERROR(__xludf.DUMMYFUNCTION("""COMPUTED_VALUE"""),"11:00-12:30")</f>
        <v>11:00-12:30</v>
      </c>
      <c r="N1068" s="7"/>
    </row>
    <row r="1069">
      <c r="A1069" s="7" t="str">
        <f>IFERROR(__xludf.DUMMYFUNCTION("""COMPUTED_VALUE"""),"3758-FIND")</f>
        <v>3758-FIND</v>
      </c>
      <c r="B1069" s="7" t="str">
        <f>IFERROR(__xludf.DUMMYFUNCTION("""COMPUTED_VALUE"""),"Disentangling Logic: The Role of Context in Large Language Model Reasoning Capabilities")</f>
        <v>Disentangling Logic: The Role of Context in Large Language Model Reasoning Capabilities</v>
      </c>
      <c r="C1069" s="7" t="str">
        <f>IFERROR(__xludf.DUMMYFUNCTION("""COMPUTED_VALUE"""),"This study intends to systematically disentangle pure logic reasoning and text understanding by investigating the contrast across abstract and contextualized logical problems from a comprehensive set of domains. We explore whether LLMs demonstrate genuine"&amp;" reasoning capabilities across various domains when the underlying logical structure remains constant. We focus on two main questions (1) Can abstract logical problems alone accurately benchmark LLMs' reasoning ability in real-world scenarios, disentangle"&amp;"d from contextual support in practical settings? (2) Does fine-tuning LLMs on abstract logic problems generalize to contextualized logic problems and vice versa? To investigate these questions, we focus on standard propositional logic, specifically propos"&amp;"itional deductive and abductive logic reasoning. We construct datasets for both reasoning types with four difficulty levels across 12 distinct domains based on the Wikipedia categorization in addition to those with purely abstract variables. Our experimen"&amp;"ts aim to provide insights into disentangling context in logical reasoning, the genuine reasoning capabilities of LLMs, and their generalization potential. Coda and data are available at \url{https://anonymous.4open.science/r/ContextHub-957E}.")</f>
        <v>This study intends to systematically disentangle pure logic reasoning and text understanding by investigating the contrast across abstract and contextualized logical problems from a comprehensive set of domains. We explore whether LLMs demonstrate genuine reasoning capabilities across various domains when the underlying logical structure remains constant. We focus on two main questions (1) Can abstract logical problems alone accurately benchmark LLMs' reasoning ability in real-world scenarios, disentangled from contextual support in practical settings? (2) Does fine-tuning LLMs on abstract logic problems generalize to contextualized logic problems and vice versa? To investigate these questions, we focus on standard propositional logic, specifically propositional deductive and abductive logic reasoning. We construct datasets for both reasoning types with four difficulty levels across 12 distinct domains based on the Wikipedia categorization in addition to those with purely abstract variables. Our experiments aim to provide insights into disentangling context in logical reasoning, the genuine reasoning capabilities of LLMs, and their generalization potential. Coda and data are available at \url{https://anonymous.4open.science/r/ContextHub-957E}.</v>
      </c>
      <c r="D1069" s="7" t="str">
        <f>IFERROR(__xludf.DUMMYFUNCTION("""COMPUTED_VALUE"""),"Wenyue Hua")</f>
        <v>Wenyue Hua</v>
      </c>
      <c r="E1069" s="7" t="str">
        <f>IFERROR(__xludf.DUMMYFUNCTION("""COMPUTED_VALUE"""),"Yes")</f>
        <v>Yes</v>
      </c>
      <c r="F1069" s="7" t="str">
        <f>IFERROR(__xludf.DUMMYFUNCTION("""COMPUTED_VALUE"""),"IP-Poster")</f>
        <v>IP-Poster</v>
      </c>
      <c r="G1069" s="7" t="str">
        <f>IFERROR(__xludf.DUMMYFUNCTION("""COMPUTED_VALUE"""),"In-Person")</f>
        <v>In-Person</v>
      </c>
      <c r="H1069" s="7" t="str">
        <f>IFERROR(__xludf.DUMMYFUNCTION("""COMPUTED_VALUE"""),"Hall 4/5")</f>
        <v>Hall 4/5</v>
      </c>
      <c r="I1069" s="7" t="str">
        <f>IFERROR(__xludf.DUMMYFUNCTION("""COMPUTED_VALUE"""),"Session 12: IP-Posters")</f>
        <v>Session 12: IP-Posters</v>
      </c>
      <c r="J1069" s="7" t="str">
        <f>IFERROR(__xludf.DUMMYFUNCTION("""COMPUTED_VALUE"""),"Findings Posters - In-Person 4")</f>
        <v>Findings Posters - In-Person 4</v>
      </c>
      <c r="K1069" s="7"/>
      <c r="L1069" s="8">
        <f>IFERROR(__xludf.DUMMYFUNCTION("""COMPUTED_VALUE"""),45868.0)</f>
        <v>45868</v>
      </c>
      <c r="M1069" s="7" t="str">
        <f>IFERROR(__xludf.DUMMYFUNCTION("""COMPUTED_VALUE"""),"11:00-12:30")</f>
        <v>11:00-12:30</v>
      </c>
      <c r="N1069" s="7"/>
    </row>
    <row r="1070">
      <c r="A1070" s="7" t="str">
        <f>IFERROR(__xludf.DUMMYFUNCTION("""COMPUTED_VALUE"""),"3760-FIND")</f>
        <v>3760-FIND</v>
      </c>
      <c r="B1070" s="7" t="str">
        <f>IFERROR(__xludf.DUMMYFUNCTION("""COMPUTED_VALUE"""),"Sens-Merging: Sensitivity-Guided Parameter Balancing for Merging Large Language Models")</f>
        <v>Sens-Merging: Sensitivity-Guided Parameter Balancing for Merging Large Language Models</v>
      </c>
      <c r="C1070" s="7" t="str">
        <f>IFERROR(__xludf.DUMMYFUNCTION("""COMPUTED_VALUE"""),"Recent advances in large language models have led to numerous task-specialized fine-tuned variants, creating a need for efficient model merging techniques that preserve specialized capabilities while avoiding costly retraining. While existing task vector-"&amp;"based merging methods show promise, they typically apply uniform coefficients across all parameters, overlooking varying parameter importance both within and across tasks. We present Sens-Merging, a sensitivity-guided coefficient adjustment method that en"&amp;"hances existing model merging techniques by operating at both task-specific and cross-task levels. Our method analyzes parameter sensitivity within individual tasks and evaluates cross-task transferability to determine optimal merging coefficients. Extens"&amp;"ive experiments on Mistral 7B and LLaMA2 7B/13B models demonstrate that Sens-Merging significantly improves performance across general knowledge, mathematical reasoning, and code generation tasks. Notably, when combined with existing merging techniques, o"&amp;"ur method enables merged models to outperform specialized fine-tuned models, particularly in code generation tasks. Our findings reveal important trade-offs between task-specific and cross-task scalings, providing insights for future model merging strateg"&amp;"ies.")</f>
        <v>Recent advances in large language models have led to numerous task-specialized fine-tuned variants, creating a need for efficient model merging techniques that preserve specialized capabilities while avoiding costly retraining. While existing task vector-based merging methods show promise, they typically apply uniform coefficients across all parameters, overlooking varying parameter importance both within and across tasks. We present Sens-Merging, a sensitivity-guided coefficient adjustment method that enhances existing model merging techniques by operating at both task-specific and cross-task levels. Our method analyzes parameter sensitivity within individual tasks and evaluates cross-task transferability to determine optimal merging coefficients. Extensive experiments on Mistral 7B and LLaMA2 7B/13B models demonstrate that Sens-Merging significantly improves performance across general knowledge, mathematical reasoning, and code generation tasks. Notably, when combined with existing merging techniques, our method enables merged models to outperform specialized fine-tuned models, particularly in code generation tasks. Our findings reveal important trade-offs between task-specific and cross-task scalings, providing insights for future model merging strategies.</v>
      </c>
      <c r="D1070" s="7" t="str">
        <f>IFERROR(__xludf.DUMMYFUNCTION("""COMPUTED_VALUE"""),"Shuqi Liu")</f>
        <v>Shuqi Liu</v>
      </c>
      <c r="E1070" s="7" t="str">
        <f>IFERROR(__xludf.DUMMYFUNCTION("""COMPUTED_VALUE"""),"#N/A")</f>
        <v>#N/A</v>
      </c>
      <c r="F1070" s="7" t="str">
        <f>IFERROR(__xludf.DUMMYFUNCTION("""COMPUTED_VALUE"""),"Not Pres. ")</f>
        <v>Not Pres. </v>
      </c>
      <c r="G1070" s="7" t="str">
        <f>IFERROR(__xludf.DUMMYFUNCTION("""COMPUTED_VALUE"""),"NP Findings Not Presenting ")</f>
        <v>NP Findings Not Presenting </v>
      </c>
      <c r="H1070" s="7"/>
      <c r="I1070" s="7" t="str">
        <f>IFERROR(__xludf.DUMMYFUNCTION("""COMPUTED_VALUE"""),"NP-Find")</f>
        <v>NP-Find</v>
      </c>
      <c r="J1070" s="7"/>
      <c r="K1070" s="7"/>
      <c r="L1070" s="8"/>
      <c r="M1070" s="7"/>
      <c r="N1070" s="7"/>
    </row>
    <row r="1071">
      <c r="A1071" s="7" t="str">
        <f>IFERROR(__xludf.DUMMYFUNCTION("""COMPUTED_VALUE"""),"3762-FIND")</f>
        <v>3762-FIND</v>
      </c>
      <c r="B1071" s="7" t="str">
        <f>IFERROR(__xludf.DUMMYFUNCTION("""COMPUTED_VALUE"""),"EgoNormia: Benchmarking Physical Social Norm Understanding")</f>
        <v>EgoNormia: Benchmarking Physical Social Norm Understanding</v>
      </c>
      <c r="C1071" s="7" t="str">
        <f>IFERROR(__xludf.DUMMYFUNCTION("""COMPUTED_VALUE"""),"Human activity is moderated by norms. However, machines are often trained without explicit supervision on norm understanding and reasoning, especially when the norms are grounded in a physical and social context. To improve and evaluate the normative reas"&amp;"oning capability of vision-language models (VLMs), we present EgoNormia, consisting of 1,853 ego-centric videos of human interactions, each of which has two related questions evaluating both the prediction and justification of normative actions. The norma"&amp;"tive actions encompass seven categories: safety, privacy, proxemics, politeness, cooperation, coordination/proactivity, and communication/legibility. To compile this dataset at scale, we propose a novel pipeline leveraging video sampling, automatic answer"&amp;" generation, filtering, and human validation. Our work demonstrates that current state-of-the-art vision-language models lack robust norm understanding, scoring a maximum of 54% on EgoNormia (versus a human bench of 92%). Our analysis of performance in ea"&amp;"ch dimension highlights the significant risks of safety, privacy, and the lack of collaboration and communication capability when applied to real-world agents. We additionally show that through a retrieval-based generation method, it is possible to use Eg"&amp;"oNormia to enhance normative reasoning in VLMs.")</f>
        <v>Human activity is moderated by norms. However, machines are often trained without explicit supervision on norm understanding and reasoning, especially when the norms are grounded in a physical and social context. To improve and evaluate the normative reasoning capability of vision-language models (VLMs), we present EgoNormia, consisting of 1,853 ego-centric videos of human interactions, each of which has two related questions evaluating both the prediction and justification of normative actions. The normative actions encompass seven categories: safety, privacy, proxemics, politeness, cooperation, coordination/proactivity, and communication/legibility. To compile this dataset at scale, we propose a novel pipeline leveraging video sampling, automatic answer generation, filtering, and human validation. Our work demonstrates that current state-of-the-art vision-language models lack robust norm understanding, scoring a maximum of 54% on EgoNormia (versus a human bench of 92%). Our analysis of performance in each dimension highlights the significant risks of safety, privacy, and the lack of collaboration and communication capability when applied to real-world agents. We additionally show that through a retrieval-based generation method, it is possible to use EgoNormia to enhance normative reasoning in VLMs.</v>
      </c>
      <c r="D1071" s="7" t="str">
        <f>IFERROR(__xludf.DUMMYFUNCTION("""COMPUTED_VALUE"""),"Phil Cuvin")</f>
        <v>Phil Cuvin</v>
      </c>
      <c r="E1071" s="7" t="str">
        <f>IFERROR(__xludf.DUMMYFUNCTION("""COMPUTED_VALUE"""),"Yes")</f>
        <v>Yes</v>
      </c>
      <c r="F1071" s="7" t="str">
        <f>IFERROR(__xludf.DUMMYFUNCTION("""COMPUTED_VALUE"""),"IP-Poster")</f>
        <v>IP-Poster</v>
      </c>
      <c r="G1071" s="7" t="str">
        <f>IFERROR(__xludf.DUMMYFUNCTION("""COMPUTED_VALUE"""),"In-Person")</f>
        <v>In-Person</v>
      </c>
      <c r="H1071" s="7" t="str">
        <f>IFERROR(__xludf.DUMMYFUNCTION("""COMPUTED_VALUE"""),"Hall 4/5")</f>
        <v>Hall 4/5</v>
      </c>
      <c r="I1071" s="7" t="str">
        <f>IFERROR(__xludf.DUMMYFUNCTION("""COMPUTED_VALUE"""),"Session 10: IP-Posters")</f>
        <v>Session 10: IP-Posters</v>
      </c>
      <c r="J1071" s="7" t="str">
        <f>IFERROR(__xludf.DUMMYFUNCTION("""COMPUTED_VALUE"""),"Findings Posters - In-Person 3")</f>
        <v>Findings Posters - In-Person 3</v>
      </c>
      <c r="K1071" s="7"/>
      <c r="L1071" s="8">
        <f>IFERROR(__xludf.DUMMYFUNCTION("""COMPUTED_VALUE"""),45867.0)</f>
        <v>45867</v>
      </c>
      <c r="M1071" s="7" t="str">
        <f>IFERROR(__xludf.DUMMYFUNCTION("""COMPUTED_VALUE"""),"16:00-17:30")</f>
        <v>16:00-17:30</v>
      </c>
      <c r="N1071" s="7"/>
    </row>
    <row r="1072">
      <c r="A1072" s="7" t="str">
        <f>IFERROR(__xludf.DUMMYFUNCTION("""COMPUTED_VALUE"""),"3773-FIND")</f>
        <v>3773-FIND</v>
      </c>
      <c r="B1072" s="7" t="str">
        <f>IFERROR(__xludf.DUMMYFUNCTION("""COMPUTED_VALUE"""),"Large Language Models as Neurolinguistic Subjects: Discrepancy in Performance and Competence for Form and Meaning")</f>
        <v>Large Language Models as Neurolinguistic Subjects: Discrepancy in Performance and Competence for Form and Meaning</v>
      </c>
      <c r="C1072" s="7" t="str">
        <f>IFERROR(__xludf.DUMMYFUNCTION("""COMPUTED_VALUE"""),"This study investigates the linguistic understanding of Large Language Models (LLMs) regarding signifier (form) and signified (meaning) by distinguishing two LLM assessment paradigms: psycholinguistic and neurolinguistic. Traditional psycholinguistic eval"&amp;"uations often reflect statistical rules that may not accurately represent LLMs' true linguistic competence. We introduce a neurolinguistic approach, utilizing a novel method that combines minimal pair and diagnostic probing to analyze activation patterns "&amp;"across model layers. This method allows for a detailed examination of how LLMs represent form and meaning, and whether these representations are consistent across languages. We found: (1) Psycholinguistic and neurolinguistic methods reveal that language p"&amp;"erformance and competence are distinct; (2) Direct probability measurement may not accurately assess linguistic competence; (3) Instruction tuning won't change much competence but improve performance; (4) LLMs exhibit higher competence and performance in "&amp;"form compared to meaning. Additionally, we introduce new conceptual minimal pair datasets for Chinese (COMPS-ZH) and German (COMPS-DE), complementing existing English datasets.")</f>
        <v>This study investigates the linguistic understanding of Large Language Models (LLMs) regarding signifier (form) and signified (meaning) by distinguishing two LLM assessment paradigms: psycholinguistic and neurolinguistic. Traditional psycholinguistic evaluations often reflect statistical rules that may not accurately represent LLMs' true linguistic competence. We introduce a neurolinguistic approach, utilizing a novel method that combines minimal pair and diagnostic probing to analyze activation patterns across model layers. This method allows for a detailed examination of how LLMs represent form and meaning, and whether these representations are consistent across languages. We found: (1) Psycholinguistic and neurolinguistic methods reveal that language performance and competence are distinct; (2) Direct probability measurement may not accurately assess linguistic competence; (3) Instruction tuning won't change much competence but improve performance; (4) LLMs exhibit higher competence and performance in form compared to meaning. Additionally, we introduce new conceptual minimal pair datasets for Chinese (COMPS-ZH) and German (COMPS-DE), complementing existing English datasets.</v>
      </c>
      <c r="D1072" s="7" t="str">
        <f>IFERROR(__xludf.DUMMYFUNCTION("""COMPUTED_VALUE"""),"Ercong Nie")</f>
        <v>Ercong Nie</v>
      </c>
      <c r="E1072" s="7" t="str">
        <f>IFERROR(__xludf.DUMMYFUNCTION("""COMPUTED_VALUE"""),"Yes")</f>
        <v>Yes</v>
      </c>
      <c r="F1072" s="7" t="str">
        <f>IFERROR(__xludf.DUMMYFUNCTION("""COMPUTED_VALUE"""),"IP-Poster")</f>
        <v>IP-Poster</v>
      </c>
      <c r="G1072" s="7" t="str">
        <f>IFERROR(__xludf.DUMMYFUNCTION("""COMPUTED_VALUE"""),"In-Person")</f>
        <v>In-Person</v>
      </c>
      <c r="H1072" s="7" t="str">
        <f>IFERROR(__xludf.DUMMYFUNCTION("""COMPUTED_VALUE"""),"Hall 4/5")</f>
        <v>Hall 4/5</v>
      </c>
      <c r="I1072" s="7" t="str">
        <f>IFERROR(__xludf.DUMMYFUNCTION("""COMPUTED_VALUE"""),"Session 5 :IP-Posters Find ")</f>
        <v>Session 5 :IP-Posters Find </v>
      </c>
      <c r="J1072" s="7" t="str">
        <f>IFERROR(__xludf.DUMMYFUNCTION("""COMPUTED_VALUE"""),"Findings Posters - In-Person 1")</f>
        <v>Findings Posters - In-Person 1</v>
      </c>
      <c r="K1072" s="7"/>
      <c r="L1072" s="8">
        <f>IFERROR(__xludf.DUMMYFUNCTION("""COMPUTED_VALUE"""),45866.0)</f>
        <v>45866</v>
      </c>
      <c r="M1072" s="7" t="str">
        <f>IFERROR(__xludf.DUMMYFUNCTION("""COMPUTED_VALUE"""),"18:00-19:30")</f>
        <v>18:00-19:30</v>
      </c>
      <c r="N1072" s="7"/>
    </row>
    <row r="1073">
      <c r="A1073" s="7" t="str">
        <f>IFERROR(__xludf.DUMMYFUNCTION("""COMPUTED_VALUE"""),"3778-FIND")</f>
        <v>3778-FIND</v>
      </c>
      <c r="B1073" s="7" t="str">
        <f>IFERROR(__xludf.DUMMYFUNCTION("""COMPUTED_VALUE"""),"The Impact of Large Language Models in Academia: from Writing to Speaking")</f>
        <v>The Impact of Large Language Models in Academia: from Writing to Speaking</v>
      </c>
      <c r="C1073" s="7" t="str">
        <f>IFERROR(__xludf.DUMMYFUNCTION("""COMPUTED_VALUE"""),"Large language models (LLMs) are increasingly impacting human society, particularly in textual information. Based on more than 30,000 papers and 1,000 presentations from machine learning conferences, we examined and compared the words used in writing and "&amp;"speaking, representing the first large-scale study of how LLMs influence the two main modes of verbal communication and expression within the same group of people. Our empirical results show that LLM-style words such as significant have been used more fre"&amp;"quently in abstracts and oral presentations. The implicit impact on human expression like writing and speaking is beginning to emerge and is likely to grow in the future. We take the first step in building an automated monitoring platform to record its lo"&amp;"ngitudinal changes to call attention to the implicit influence and ripple effect of LLMs on human society.")</f>
        <v>Large language models (LLMs) are increasingly impacting human society, particularly in textual information. Based on more than 30,000 papers and 1,000 presentations from machine learning conferences, we examined and compared the words used in writing and speaking, representing the first large-scale study of how LLMs influence the two main modes of verbal communication and expression within the same group of people. Our empirical results show that LLM-style words such as significant have been used more frequently in abstracts and oral presentations. The implicit impact on human expression like writing and speaking is beginning to emerge and is likely to grow in the future. We take the first step in building an automated monitoring platform to record its longitudinal changes to call attention to the implicit influence and ripple effect of LLMs on human society.</v>
      </c>
      <c r="D1073" s="7" t="str">
        <f>IFERROR(__xludf.DUMMYFUNCTION("""COMPUTED_VALUE"""),"Mingmeng Geng")</f>
        <v>Mingmeng Geng</v>
      </c>
      <c r="E1073" s="7" t="str">
        <f>IFERROR(__xludf.DUMMYFUNCTION("""COMPUTED_VALUE"""),"Yes")</f>
        <v>Yes</v>
      </c>
      <c r="F1073" s="7" t="str">
        <f>IFERROR(__xludf.DUMMYFUNCTION("""COMPUTED_VALUE"""),"IP-Poster")</f>
        <v>IP-Poster</v>
      </c>
      <c r="G1073" s="7" t="str">
        <f>IFERROR(__xludf.DUMMYFUNCTION("""COMPUTED_VALUE"""),"In-Person")</f>
        <v>In-Person</v>
      </c>
      <c r="H1073" s="7" t="str">
        <f>IFERROR(__xludf.DUMMYFUNCTION("""COMPUTED_VALUE"""),"Hall 4/5")</f>
        <v>Hall 4/5</v>
      </c>
      <c r="I1073" s="7" t="str">
        <f>IFERROR(__xludf.DUMMYFUNCTION("""COMPUTED_VALUE"""),"Session 12: IP-Posters")</f>
        <v>Session 12: IP-Posters</v>
      </c>
      <c r="J1073" s="7" t="str">
        <f>IFERROR(__xludf.DUMMYFUNCTION("""COMPUTED_VALUE"""),"Findings Posters - In-Person 4")</f>
        <v>Findings Posters - In-Person 4</v>
      </c>
      <c r="K1073" s="7"/>
      <c r="L1073" s="8">
        <f>IFERROR(__xludf.DUMMYFUNCTION("""COMPUTED_VALUE"""),45868.0)</f>
        <v>45868</v>
      </c>
      <c r="M1073" s="7" t="str">
        <f>IFERROR(__xludf.DUMMYFUNCTION("""COMPUTED_VALUE"""),"11:00-12:30")</f>
        <v>11:00-12:30</v>
      </c>
      <c r="N1073" s="7"/>
    </row>
    <row r="1074">
      <c r="A1074" s="7" t="str">
        <f>IFERROR(__xludf.DUMMYFUNCTION("""COMPUTED_VALUE"""),"3779-FIND")</f>
        <v>3779-FIND</v>
      </c>
      <c r="B1074" s="7" t="str">
        <f>IFERROR(__xludf.DUMMYFUNCTION("""COMPUTED_VALUE"""),"X-WebAgentBench: A Multilingual Interactive Web Benchmark for Evaluating Global Agentic System")</f>
        <v>X-WebAgentBench: A Multilingual Interactive Web Benchmark for Evaluating Global Agentic System</v>
      </c>
      <c r="C1074" s="7" t="str">
        <f>IFERROR(__xludf.DUMMYFUNCTION("""COMPUTED_VALUE"""),"Recently, large language model (LLM)-based agents have achieved significant success in interactive environments, attracting significant academic and industrial attention. Despite these advancements, current research predominantly focuses on English scenar"&amp;"ios. In reality, there are over 7,000 languages worldwide, all of which demand access to comparable agentic services. Nevertheless, the development of language agents remains inadequate for meeting the diverse requirements of multilingual agentic applicat"&amp;"ions. To fill this gap, we introduce X-WebAgentBench, a novel multilingual agent benchmark in an interactive web environment, which evaluates the planning and interaction performance of language agents across multiple languages, thereby contributing to th"&amp;"e advancement of global agent intelligence. Additionally, we assess the performance of various LLMs and cross-lingual alignment methods, examining their effectiveness in enhancing agents. Our findings reveal that even advanced models like GPT-4o, when com"&amp;"bined with cross-lingual techniques, fail to achieve satisfactory results. We hope that X-WebAgentBench can serve as a valuable benchmark for multilingual agent scenario in real-world applications.")</f>
        <v>Recently, large language model (LLM)-based agents have achieved significant success in interactive environments, attracting significant academic and industrial attention. Despite these advancements, current research predominantly focuses on English scenarios. In reality, there are over 7,000 languages worldwide, all of which demand access to comparable agentic services. Nevertheless, the development of language agents remains inadequate for meeting the diverse requirements of multilingual agentic applications. To fill this gap, we introduce X-WebAgentBench, a novel multilingual agent benchmark in an interactive web environment, which evaluates the planning and interaction performance of language agents across multiple languages, thereby contributing to the advancement of global agent intelligence. Additionally, we assess the performance of various LLMs and cross-lingual alignment methods, examining their effectiveness in enhancing agents. Our findings reveal that even advanced models like GPT-4o, when combined with cross-lingual techniques, fail to achieve satisfactory results. We hope that X-WebAgentBench can serve as a valuable benchmark for multilingual agent scenario in real-world applications.</v>
      </c>
      <c r="D1074" s="7" t="str">
        <f>IFERROR(__xludf.DUMMYFUNCTION("""COMPUTED_VALUE"""),"None of the authors attend the chonferencce.")</f>
        <v>None of the authors attend the chonferencce.</v>
      </c>
      <c r="E1074" s="7" t="str">
        <f>IFERROR(__xludf.DUMMYFUNCTION("""COMPUTED_VALUE"""),"#N/A")</f>
        <v>#N/A</v>
      </c>
      <c r="F1074" s="7" t="str">
        <f>IFERROR(__xludf.DUMMYFUNCTION("""COMPUTED_VALUE"""),"Not Pres. ")</f>
        <v>Not Pres. </v>
      </c>
      <c r="G1074" s="7" t="str">
        <f>IFERROR(__xludf.DUMMYFUNCTION("""COMPUTED_VALUE"""),"NP Findings Not Presenting ")</f>
        <v>NP Findings Not Presenting </v>
      </c>
      <c r="H1074" s="7"/>
      <c r="I1074" s="7" t="str">
        <f>IFERROR(__xludf.DUMMYFUNCTION("""COMPUTED_VALUE"""),"NP-Find")</f>
        <v>NP-Find</v>
      </c>
      <c r="J1074" s="7"/>
      <c r="K1074" s="7"/>
      <c r="L1074" s="8"/>
      <c r="M1074" s="7"/>
      <c r="N1074" s="7"/>
    </row>
    <row r="1075">
      <c r="A1075" s="7" t="str">
        <f>IFERROR(__xludf.DUMMYFUNCTION("""COMPUTED_VALUE"""),"3780-FIND")</f>
        <v>3780-FIND</v>
      </c>
      <c r="B1075" s="7" t="str">
        <f>IFERROR(__xludf.DUMMYFUNCTION("""COMPUTED_VALUE"""),"MemBench: Towards More Comprehensive Evaluation on the Memory of LLM-based Agents")</f>
        <v>MemBench: Towards More Comprehensive Evaluation on the Memory of LLM-based Agents</v>
      </c>
      <c r="C1075" s="7" t="str">
        <f>IFERROR(__xludf.DUMMYFUNCTION("""COMPUTED_VALUE"""),"Recent works have highlighted the significance of memory mechanisms in LLM-based agents, which enable them to store observed information and adapt to dynamic environments. However, evaluating their memory capabilities still remains challenges. Previous ev"&amp;"aluations are commonly limited by the diversity of memory levels and interactive scenarios. They also lack comprehensive metrics to reflect the memory capabilities from multiple aspects. To address these problems, in this paper, we construct a more compre"&amp;"hensive dataset and benchmark to evaluate the memory capability of LLM-based agents. Our dataset incorporates factual memory and reflective memory as different levels, and proposes participation and observation as various interactive scenarios. Based on o"&amp;"ur dataset, we present a benchmark, named MemBench, to evaluate the memory capability of LLM-based agents from multiple aspects, including their effectiveness, efficiency, and capacity. To benefit the research community, we release our dataset and project"&amp;" at \url{https://anonymous.4open.science/r/Membench-2DB1 }.")</f>
        <v>Recent works have highlighted the significance of memory mechanisms in LLM-based agents, which enable them to store observed information and adapt to dynamic environments. However, evaluating their memory capabilities still remains challenges. Previous evaluations are commonly limited by the diversity of memory levels and interactive scenarios. They also lack comprehensive metrics to reflect the memory capabilities from multiple aspects. To address these problems, in this paper, we construct a more comprehensive dataset and benchmark to evaluate the memory capability of LLM-based agents. Our dataset incorporates factual memory and reflective memory as different levels, and proposes participation and observation as various interactive scenarios. Based on our dataset, we present a benchmark, named MemBench, to evaluate the memory capability of LLM-based agents from multiple aspects, including their effectiveness, efficiency, and capacity. To benefit the research community, we release our dataset and project at \url{https://anonymous.4open.science/r/Membench-2DB1 }.</v>
      </c>
      <c r="D1075" s="7" t="str">
        <f>IFERROR(__xludf.DUMMYFUNCTION("""COMPUTED_VALUE"""),"Haoran Tan")</f>
        <v>Haoran Tan</v>
      </c>
      <c r="E1075" s="7" t="str">
        <f>IFERROR(__xludf.DUMMYFUNCTION("""COMPUTED_VALUE"""),"#N/A")</f>
        <v>#N/A</v>
      </c>
      <c r="F1075" s="7" t="str">
        <f>IFERROR(__xludf.DUMMYFUNCTION("""COMPUTED_VALUE"""),"Not Pres. ")</f>
        <v>Not Pres. </v>
      </c>
      <c r="G1075" s="7" t="str">
        <f>IFERROR(__xludf.DUMMYFUNCTION("""COMPUTED_VALUE"""),"NP Findings Not Presenting ")</f>
        <v>NP Findings Not Presenting </v>
      </c>
      <c r="H1075" s="7"/>
      <c r="I1075" s="7" t="str">
        <f>IFERROR(__xludf.DUMMYFUNCTION("""COMPUTED_VALUE"""),"NP-Find")</f>
        <v>NP-Find</v>
      </c>
      <c r="J1075" s="7"/>
      <c r="K1075" s="7"/>
      <c r="L1075" s="8"/>
      <c r="M1075" s="7"/>
      <c r="N1075" s="7"/>
    </row>
    <row r="1076">
      <c r="A1076" s="7" t="str">
        <f>IFERROR(__xludf.DUMMYFUNCTION("""COMPUTED_VALUE"""),"3787-FIND")</f>
        <v>3787-FIND</v>
      </c>
      <c r="B1076" s="7" t="str">
        <f>IFERROR(__xludf.DUMMYFUNCTION("""COMPUTED_VALUE"""),"Adaptive LoRA Merge with Parameter Pruning for Low-Resource Generation")</f>
        <v>Adaptive LoRA Merge with Parameter Pruning for Low-Resource Generation</v>
      </c>
      <c r="C1076" s="7" t="str">
        <f>IFERROR(__xludf.DUMMYFUNCTION("""COMPUTED_VALUE"""),"This study proposes a simple yet effective LoRA merge method to achieve LLM adaptation for low-resource language generation tasks. The LoRA merge technique, which integrates multiple LoRA modules trained on different tasks, has gained attention as an effe"&amp;"ctive and efficient approach for adapting LLMs to target tasks. However, previous methods are limited in adaptability as they keep the LoRA parameters frozen. Additionally, the low-resource problem has been out of their scope. We propose a LoRA merge meth"&amp;"od that updates LoRA parameters during the merge process to improve task-specific adaptability. Furthermore, we further enhance the adaptability by parameter pruning that allows finer-grained adjustments of LoRA parameters during merging. Extensive experi"&amp;"ments have been conducted taking summarization as a benchmark task. Our datasets cover various domains and multiple languages of English and Japanese. The results confirm that the proposed method achieves significant and consistent improvements in task ad"&amp;"aptability over the previous methods.")</f>
        <v>This study proposes a simple yet effective LoRA merge method to achieve LLM adaptation for low-resource language generation tasks. The LoRA merge technique, which integrates multiple LoRA modules trained on different tasks, has gained attention as an effective and efficient approach for adapting LLMs to target tasks. However, previous methods are limited in adaptability as they keep the LoRA parameters frozen. Additionally, the low-resource problem has been out of their scope. We propose a LoRA merge method that updates LoRA parameters during the merge process to improve task-specific adaptability. Furthermore, we further enhance the adaptability by parameter pruning that allows finer-grained adjustments of LoRA parameters during merging. Extensive experiments have been conducted taking summarization as a benchmark task. Our datasets cover various domains and multiple languages of English and Japanese. The results confirm that the proposed method achieves significant and consistent improvements in task adaptability over the previous methods.</v>
      </c>
      <c r="D1076" s="7" t="str">
        <f>IFERROR(__xludf.DUMMYFUNCTION("""COMPUTED_VALUE"""),"Yuki Arase")</f>
        <v>Yuki Arase</v>
      </c>
      <c r="E1076" s="7" t="str">
        <f>IFERROR(__xludf.DUMMYFUNCTION("""COMPUTED_VALUE"""),"Yes")</f>
        <v>Yes</v>
      </c>
      <c r="F1076" s="7" t="str">
        <f>IFERROR(__xludf.DUMMYFUNCTION("""COMPUTED_VALUE"""),"IP-Poster")</f>
        <v>IP-Poster</v>
      </c>
      <c r="G1076" s="7" t="str">
        <f>IFERROR(__xludf.DUMMYFUNCTION("""COMPUTED_VALUE"""),"In-Person")</f>
        <v>In-Person</v>
      </c>
      <c r="H1076" s="7" t="str">
        <f>IFERROR(__xludf.DUMMYFUNCTION("""COMPUTED_VALUE"""),"Hall 4/5")</f>
        <v>Hall 4/5</v>
      </c>
      <c r="I1076" s="7" t="str">
        <f>IFERROR(__xludf.DUMMYFUNCTION("""COMPUTED_VALUE"""),"Session 10: IP-Posters")</f>
        <v>Session 10: IP-Posters</v>
      </c>
      <c r="J1076" s="7" t="str">
        <f>IFERROR(__xludf.DUMMYFUNCTION("""COMPUTED_VALUE"""),"Findings Posters - In-Person 3")</f>
        <v>Findings Posters - In-Person 3</v>
      </c>
      <c r="K1076" s="7"/>
      <c r="L1076" s="8">
        <f>IFERROR(__xludf.DUMMYFUNCTION("""COMPUTED_VALUE"""),45867.0)</f>
        <v>45867</v>
      </c>
      <c r="M1076" s="7" t="str">
        <f>IFERROR(__xludf.DUMMYFUNCTION("""COMPUTED_VALUE"""),"16:00-17:30")</f>
        <v>16:00-17:30</v>
      </c>
      <c r="N1076" s="7"/>
    </row>
    <row r="1077">
      <c r="A1077" s="7" t="str">
        <f>IFERROR(__xludf.DUMMYFUNCTION("""COMPUTED_VALUE"""),"3794-FIND")</f>
        <v>3794-FIND</v>
      </c>
      <c r="B1077" s="7" t="str">
        <f>IFERROR(__xludf.DUMMYFUNCTION("""COMPUTED_VALUE"""),"LongAttn: Selecting Long-context Training Data via Token-level Attention")</f>
        <v>LongAttn: Selecting Long-context Training Data via Token-level Attention</v>
      </c>
      <c r="C1077" s="7" t="str">
        <f>IFERROR(__xludf.DUMMYFUNCTION("""COMPUTED_VALUE"""),"With the development of large language models (LLMs), there has been an increasing need for significant advancements in handling long contexts. To enhance long-context capabilities, constructing high-quality training data with **long-range dependencies** "&amp;"is crucial. Existing methods to select long-context data often rely on sentence-level analysis,which can be greatly optimized in both performance and efficiency. In this paper, we propose a novel token-level framework, ​**LongAttn**​, which leverages the "&amp;"self-attention mechanism of LLMs to measure the **long-range dependencies** for the data. By calculating token-level dependency strength and distribution uniformity of token scores, LongAttn effectively quantifies ​**long-range dependencies**​, enabling m"&amp;"ore accurate and efficient data selection. We filter **LongABC-32K** from open-source long-context datasets (ArXiv, Book, and Code). Through our comprehensive experiments, LongAttn has demonstrated its excellent ​**effectiveness**​, ​**scalability**​, and"&amp;" ​**efficiency**​. We will release our code and the high-quality long-context dataset **LongABC-32K** in the future.")</f>
        <v>With the development of large language models (LLMs), there has been an increasing need for significant advancements in handling long contexts. To enhance long-context capabilities, constructing high-quality training data with **long-range dependencies** is crucial. Existing methods to select long-context data often rely on sentence-level analysis,which can be greatly optimized in both performance and efficiency. In this paper, we propose a novel token-level framework, ​**LongAttn**​, which leverages the self-attention mechanism of LLMs to measure the **long-range dependencies** for the data. By calculating token-level dependency strength and distribution uniformity of token scores, LongAttn effectively quantifies ​**long-range dependencies**​, enabling more accurate and efficient data selection. We filter **LongABC-32K** from open-source long-context datasets (ArXiv, Book, and Code). Through our comprehensive experiments, LongAttn has demonstrated its excellent ​**effectiveness**​, ​**scalability**​, and ​**efficiency**​. We will release our code and the high-quality long-context dataset **LongABC-32K** in the future.</v>
      </c>
      <c r="D1077" s="7" t="str">
        <f>IFERROR(__xludf.DUMMYFUNCTION("""COMPUTED_VALUE"""),"Longyun Wu")</f>
        <v>Longyun Wu</v>
      </c>
      <c r="E1077" s="7" t="str">
        <f>IFERROR(__xludf.DUMMYFUNCTION("""COMPUTED_VALUE"""),"#N/A")</f>
        <v>#N/A</v>
      </c>
      <c r="F1077" s="7" t="str">
        <f>IFERROR(__xludf.DUMMYFUNCTION("""COMPUTED_VALUE"""),"Not Pres. ")</f>
        <v>Not Pres. </v>
      </c>
      <c r="G1077" s="7" t="str">
        <f>IFERROR(__xludf.DUMMYFUNCTION("""COMPUTED_VALUE"""),"NP Findings Not Presenting ")</f>
        <v>NP Findings Not Presenting </v>
      </c>
      <c r="H1077" s="7"/>
      <c r="I1077" s="7" t="str">
        <f>IFERROR(__xludf.DUMMYFUNCTION("""COMPUTED_VALUE"""),"NP-Find")</f>
        <v>NP-Find</v>
      </c>
      <c r="J1077" s="7"/>
      <c r="K1077" s="7"/>
      <c r="L1077" s="8"/>
      <c r="M1077" s="7"/>
      <c r="N1077" s="7"/>
    </row>
    <row r="1078">
      <c r="A1078" s="7" t="str">
        <f>IFERROR(__xludf.DUMMYFUNCTION("""COMPUTED_VALUE"""),"3796-FIND")</f>
        <v>3796-FIND</v>
      </c>
      <c r="B1078" s="7" t="str">
        <f>IFERROR(__xludf.DUMMYFUNCTION("""COMPUTED_VALUE"""),"CoRE: Condition-based Reasoning for Identifying Outcome Variance in Complex Events")</f>
        <v>CoRE: Condition-based Reasoning for Identifying Outcome Variance in Complex Events</v>
      </c>
      <c r="C1078" s="7" t="str">
        <f>IFERROR(__xludf.DUMMYFUNCTION("""COMPUTED_VALUE"""),"Knowing which latent conditions lead to a particular outcome is useful for critically examining claims made about complex event outcomes. Identifying implied conditions and examining their influence on an outcome is challenging. We handle this by combinin"&amp;"g and augmenting annotations from two existing datasets consisting of goals and states, and explore the influence of conditions through our research questions and Condition-based Reasoning tasks. We examine open and closed LLMs of varying sizes and intent"&amp;"-alignment on our reasoning tasks and find that conditions are useful when not all context is available. Models differ widely in their ability to generate and identify outcome-variant conditions, which affects their performance on outcome validation, when"&amp;" conditions are used to replace missing context. Larger models like GPT-4o, are more cautious in such less constrained situations.")</f>
        <v>Knowing which latent conditions lead to a particular outcome is useful for critically examining claims made about complex event outcomes. Identifying implied conditions and examining their influence on an outcome is challenging. We handle this by combining and augmenting annotations from two existing datasets consisting of goals and states, and explore the influence of conditions through our research questions and Condition-based Reasoning tasks. We examine open and closed LLMs of varying sizes and intent-alignment on our reasoning tasks and find that conditions are useful when not all context is available. Models differ widely in their ability to generate and identify outcome-variant conditions, which affects their performance on outcome validation, when conditions are used to replace missing context. Larger models like GPT-4o, are more cautious in such less constrained situations.</v>
      </c>
      <c r="D1078" s="7" t="str">
        <f>IFERROR(__xludf.DUMMYFUNCTION("""COMPUTED_VALUE"""),"Sai Vallurupalli")</f>
        <v>Sai Vallurupalli</v>
      </c>
      <c r="E1078" s="7" t="str">
        <f>IFERROR(__xludf.DUMMYFUNCTION("""COMPUTED_VALUE"""),"Yes")</f>
        <v>Yes</v>
      </c>
      <c r="F1078" s="7" t="str">
        <f>IFERROR(__xludf.DUMMYFUNCTION("""COMPUTED_VALUE"""),"IP-Poster")</f>
        <v>IP-Poster</v>
      </c>
      <c r="G1078" s="7" t="str">
        <f>IFERROR(__xludf.DUMMYFUNCTION("""COMPUTED_VALUE"""),"In-Person")</f>
        <v>In-Person</v>
      </c>
      <c r="H1078" s="7" t="str">
        <f>IFERROR(__xludf.DUMMYFUNCTION("""COMPUTED_VALUE"""),"Hall 4/5")</f>
        <v>Hall 4/5</v>
      </c>
      <c r="I1078" s="7" t="str">
        <f>IFERROR(__xludf.DUMMYFUNCTION("""COMPUTED_VALUE"""),"Session 5 :IP-Posters Find ")</f>
        <v>Session 5 :IP-Posters Find </v>
      </c>
      <c r="J1078" s="7" t="str">
        <f>IFERROR(__xludf.DUMMYFUNCTION("""COMPUTED_VALUE"""),"Findings Posters - In-Person 1")</f>
        <v>Findings Posters - In-Person 1</v>
      </c>
      <c r="K1078" s="7"/>
      <c r="L1078" s="8">
        <f>IFERROR(__xludf.DUMMYFUNCTION("""COMPUTED_VALUE"""),45866.0)</f>
        <v>45866</v>
      </c>
      <c r="M1078" s="7" t="str">
        <f>IFERROR(__xludf.DUMMYFUNCTION("""COMPUTED_VALUE"""),"18:00-19:30")</f>
        <v>18:00-19:30</v>
      </c>
      <c r="N1078" s="7"/>
    </row>
    <row r="1079">
      <c r="A1079" s="7" t="str">
        <f>IFERROR(__xludf.DUMMYFUNCTION("""COMPUTED_VALUE"""),"3798-FIND")</f>
        <v>3798-FIND</v>
      </c>
      <c r="B1079" s="7" t="str">
        <f>IFERROR(__xludf.DUMMYFUNCTION("""COMPUTED_VALUE"""),"FaVe: Factored and Verified Search Rationale for Long-form Answer")</f>
        <v>FaVe: Factored and Verified Search Rationale for Long-form Answer</v>
      </c>
      <c r="C1079" s="7" t="str">
        <f>IFERROR(__xludf.DUMMYFUNCTION("""COMPUTED_VALUE"""),"Targeting long-form question-answering, chain-of-query (CoQ) has been studied, integrating chain-of-thought (CoT) with retrieval-augmented generation. CoQ answers the complex question step-by-step, through simpler subquestions (SQs) from which relevant kn"&amp;"owledge is retrieved. By doing so, CoQ aims to improve the answer comprehensiveness and verifiability, at the expense of latency. Our first contribution is showing that the chaining often incurs harmful effects on both objectives, and SQs left unverified "&amp;"often fail to answer the given question. Second, we propose a better alternative to CoQ, union-of-query which adopts a factored approach to break the harmful chain. Finally, we propose to verify SQs before answers, by fine-tuning the SQ generator using ve"&amp;"rified SQs and introducing a selector verifying SQs in test time. Employing vicuna-13b, our approach, denoted by FaVe (short for Factored and Verified search), even outperforms ChatGPT baselines while maintaining efficiency.")</f>
        <v>Targeting long-form question-answering, chain-of-query (CoQ) has been studied, integrating chain-of-thought (CoT) with retrieval-augmented generation. CoQ answers the complex question step-by-step, through simpler subquestions (SQs) from which relevant knowledge is retrieved. By doing so, CoQ aims to improve the answer comprehensiveness and verifiability, at the expense of latency. Our first contribution is showing that the chaining often incurs harmful effects on both objectives, and SQs left unverified often fail to answer the given question. Second, we propose a better alternative to CoQ, union-of-query which adopts a factored approach to break the harmful chain. Finally, we propose to verify SQs before answers, by fine-tuning the SQ generator using verified SQs and introducing a selector verifying SQs in test time. Employing vicuna-13b, our approach, denoted by FaVe (short for Factored and Verified search), even outperforms ChatGPT baselines while maintaining efficiency.</v>
      </c>
      <c r="D1079" s="7" t="str">
        <f>IFERROR(__xludf.DUMMYFUNCTION("""COMPUTED_VALUE"""),"Jihyuk Kim")</f>
        <v>Jihyuk Kim</v>
      </c>
      <c r="E1079" s="7" t="str">
        <f>IFERROR(__xludf.DUMMYFUNCTION("""COMPUTED_VALUE"""),"#N/A")</f>
        <v>#N/A</v>
      </c>
      <c r="F1079" s="7" t="str">
        <f>IFERROR(__xludf.DUMMYFUNCTION("""COMPUTED_VALUE"""),"Not Pres. ")</f>
        <v>Not Pres. </v>
      </c>
      <c r="G1079" s="7" t="str">
        <f>IFERROR(__xludf.DUMMYFUNCTION("""COMPUTED_VALUE"""),"NP Findings Not Presenting ")</f>
        <v>NP Findings Not Presenting </v>
      </c>
      <c r="H1079" s="7"/>
      <c r="I1079" s="7" t="str">
        <f>IFERROR(__xludf.DUMMYFUNCTION("""COMPUTED_VALUE"""),"NP-Find")</f>
        <v>NP-Find</v>
      </c>
      <c r="J1079" s="7"/>
      <c r="K1079" s="7"/>
      <c r="L1079" s="8"/>
      <c r="M1079" s="7"/>
      <c r="N1079" s="7"/>
    </row>
    <row r="1080">
      <c r="A1080" s="7" t="str">
        <f>IFERROR(__xludf.DUMMYFUNCTION("""COMPUTED_VALUE"""),"3801-FIND")</f>
        <v>3801-FIND</v>
      </c>
      <c r="B1080" s="7" t="str">
        <f>IFERROR(__xludf.DUMMYFUNCTION("""COMPUTED_VALUE"""),"UnrealLLM: Towards Highly Controllable and Interactable 3D Scene Generation by LLM-powered Procedural Content Generation")</f>
        <v>UnrealLLM: Towards Highly Controllable and Interactable 3D Scene Generation by LLM-powered Procedural Content Generation</v>
      </c>
      <c r="C1080" s="7" t="str">
        <f>IFERROR(__xludf.DUMMYFUNCTION("""COMPUTED_VALUE"""),"The creation of high-quality 3D scenes is essential for applications like video games and simulations, yet automating this process while retaining the benefits of Procedural Content Generation (PCG) remains challenging. In this paper, we introduce UnrealL"&amp;"LM, a novel multi-agent framework that connects natural language descriptions with the professional PCG system (Unreal Engine 5) to automate scene generation. UnrealLLM constructs a comprehensive knowledge base to translate text into executable PCG bluepr"&amp;"ints and a diverse asset library that guarantees high-quality scene generation. Additionally, it also introduces a text-based blueprint system with a spline-based control mechanism for geometric arrangement, enabling natural language interaction and enhan"&amp;"cing interactivity in 3D environments using UE5's advanced capabilities. Through extensive experiments, we show that UnrealLLM achieves competitive performance in technical metrics and aesthetic quality, offering unique advantages in generation scale and "&amp;"interactivity. This work represents a significant advancement in automated 3D content creation, benefiting both novice users and professional designers.")</f>
        <v>The creation of high-quality 3D scenes is essential for applications like video games and simulations, yet automating this process while retaining the benefits of Procedural Content Generation (PCG) remains challenging. In this paper, we introduce UnrealLLM, a novel multi-agent framework that connects natural language descriptions with the professional PCG system (Unreal Engine 5) to automate scene generation. UnrealLLM constructs a comprehensive knowledge base to translate text into executable PCG blueprints and a diverse asset library that guarantees high-quality scene generation. Additionally, it also introduces a text-based blueprint system with a spline-based control mechanism for geometric arrangement, enabling natural language interaction and enhancing interactivity in 3D environments using UE5's advanced capabilities. Through extensive experiments, we show that UnrealLLM achieves competitive performance in technical metrics and aesthetic quality, offering unique advantages in generation scale and interactivity. This work represents a significant advancement in automated 3D content creation, benefiting both novice users and professional designers.</v>
      </c>
      <c r="D1080" s="7" t="str">
        <f>IFERROR(__xludf.DUMMYFUNCTION("""COMPUTED_VALUE"""),"Song Tang")</f>
        <v>Song Tang</v>
      </c>
      <c r="E1080" s="7" t="str">
        <f>IFERROR(__xludf.DUMMYFUNCTION("""COMPUTED_VALUE"""),"#N/A")</f>
        <v>#N/A</v>
      </c>
      <c r="F1080" s="7" t="str">
        <f>IFERROR(__xludf.DUMMYFUNCTION("""COMPUTED_VALUE"""),"Not Pres. ")</f>
        <v>Not Pres. </v>
      </c>
      <c r="G1080" s="7" t="str">
        <f>IFERROR(__xludf.DUMMYFUNCTION("""COMPUTED_VALUE"""),"NP Findings Not Presenting ")</f>
        <v>NP Findings Not Presenting </v>
      </c>
      <c r="H1080" s="7"/>
      <c r="I1080" s="7" t="str">
        <f>IFERROR(__xludf.DUMMYFUNCTION("""COMPUTED_VALUE"""),"NP-Find")</f>
        <v>NP-Find</v>
      </c>
      <c r="J1080" s="7"/>
      <c r="K1080" s="7"/>
      <c r="L1080" s="8"/>
      <c r="M1080" s="7"/>
      <c r="N1080" s="7"/>
    </row>
    <row r="1081">
      <c r="A1081" s="7" t="str">
        <f>IFERROR(__xludf.DUMMYFUNCTION("""COMPUTED_VALUE"""),"3804-FIND")</f>
        <v>3804-FIND</v>
      </c>
      <c r="B1081" s="7" t="str">
        <f>IFERROR(__xludf.DUMMYFUNCTION("""COMPUTED_VALUE"""),"Tree-of-Prompts: Abstracting Control-Flow for Prompt Optimization")</f>
        <v>Tree-of-Prompts: Abstracting Control-Flow for Prompt Optimization</v>
      </c>
      <c r="C1081" s="7" t="str">
        <f>IFERROR(__xludf.DUMMYFUNCTION("""COMPUTED_VALUE"""),"Prompt optimization (PO) generates prompts to guide Large Language Models (LLMs) in performing tasks. Existing methods, such as PromptAgent, rely on a single static prompt, which struggles with disjoint cases in complex tasks. Although MoP uses multiple p"&amp;"rompts, it fails to account for variations in task complexity. Inspired by programmatic control flow, we introduce a nested if-else structure to address both varying similarities and complexities across diverse cases. We propose Tree-of-Prompts (ToP), whi"&amp;"ch implements this structure by recursively expanding child prompts from a parent prompt. Sibling prompts tackle disjoint cases while inheriting shared similarities from their parent, and handle cases more complex than the parent. Evaluated on Gorilla (un"&amp;"derstanding), MATH (reasoning), and a subset of BBH benchmarks, ToP outperforms PromptAgent and MoP, with improvements of 1.4% and 4.6% over PromptAgent and 3.2% and 4.5% over MoP, when tested with GPT-4o-mini and Llama 3.2-3B, respectively.")</f>
        <v>Prompt optimization (PO) generates prompts to guide Large Language Models (LLMs) in performing tasks. Existing methods, such as PromptAgent, rely on a single static prompt, which struggles with disjoint cases in complex tasks. Although MoP uses multiple prompts, it fails to account for variations in task complexity. Inspired by programmatic control flow, we introduce a nested if-else structure to address both varying similarities and complexities across diverse cases. We propose Tree-of-Prompts (ToP), which implements this structure by recursively expanding child prompts from a parent prompt. Sibling prompts tackle disjoint cases while inheriting shared similarities from their parent, and handle cases more complex than the parent. Evaluated on Gorilla (understanding), MATH (reasoning), and a subset of BBH benchmarks, ToP outperforms PromptAgent and MoP, with improvements of 1.4% and 4.6% over PromptAgent and 3.2% and 4.5% over MoP, when tested with GPT-4o-mini and Llama 3.2-3B, respectively.</v>
      </c>
      <c r="D1081" s="7" t="str">
        <f>IFERROR(__xludf.DUMMYFUNCTION("""COMPUTED_VALUE"""),"Jihyuk Kim")</f>
        <v>Jihyuk Kim</v>
      </c>
      <c r="E1081" s="7" t="str">
        <f>IFERROR(__xludf.DUMMYFUNCTION("""COMPUTED_VALUE"""),"Yes")</f>
        <v>Yes</v>
      </c>
      <c r="F1081" s="7" t="str">
        <f>IFERROR(__xludf.DUMMYFUNCTION("""COMPUTED_VALUE"""),"Not Pres. ")</f>
        <v>Not Pres. </v>
      </c>
      <c r="G1081" s="7" t="str">
        <f>IFERROR(__xludf.DUMMYFUNCTION("""COMPUTED_VALUE"""),"NP Findings Not Presenting ")</f>
        <v>NP Findings Not Presenting </v>
      </c>
      <c r="H1081" s="7"/>
      <c r="I1081" s="7"/>
      <c r="J1081" s="7"/>
      <c r="K1081" s="7"/>
      <c r="L1081" s="8"/>
      <c r="M1081" s="7"/>
      <c r="N1081" s="7"/>
    </row>
    <row r="1082">
      <c r="A1082" s="7" t="str">
        <f>IFERROR(__xludf.DUMMYFUNCTION("""COMPUTED_VALUE"""),"3807-FIND")</f>
        <v>3807-FIND</v>
      </c>
      <c r="B1082" s="7" t="str">
        <f>IFERROR(__xludf.DUMMYFUNCTION("""COMPUTED_VALUE"""),"Outlier-weighed Layerwise Sampling for LLM Fine-tuning")</f>
        <v>Outlier-weighed Layerwise Sampling for LLM Fine-tuning</v>
      </c>
      <c r="C1082" s="7" t="str">
        <f>IFERROR(__xludf.DUMMYFUNCTION("""COMPUTED_VALUE"""),"The rapid advancements in Large Language Models (LLMs) have revolutionized various natural language processing tasks. However, the substantial size of LLMs presents significant challenges in training or fine-tuning. While parameter-efficient approaches su"&amp;"ch as low-rank adaptation (LoRA) have gained popularity, they often compromise performance compared to full-rank fine-tuning. In this paper, we propose Outlier-weighed Layerwise Sampling (OWS), a new memory-efficient fine-tuning approach, inspired by the "&amp;"layerwise outlier distribution of LLMs. Unlike LoRA, which adds extra adapters to all layers, OWS strategically assigns higher sampling probabilities to layers with more outliers, selectively sampling only a few layers and fine-tuning their pre-trained we"&amp;"ights. To further increase the number of fine-tuned layers without a proportional rise in memory costs, we incorporate gradient low-rank projection, further boosting the approach’s performance. Our extensive experiments across various architectures, inclu"&amp;"ding LLaMa2 and Mistral, demonstrate that OWS consistently outperforms baseline approaches, including full fine-tuning. Specifically, it achieves up to a 1.1% average accuracy gain on the Commonsense Reasoning benchmark, a 3.0% improvement on MMLU, and a "&amp;"notable 10% boost on MT-Bench, while being more memory efficient. OWS allows us to fine-tune 7B LLMs with only 21GB of memory. Our code is submitted.")</f>
        <v>The rapid advancements in Large Language Models (LLMs) have revolutionized various natural language processing tasks. However, the substantial size of LLMs presents significant challenges in training or fine-tuning. While parameter-efficient approaches such as low-rank adaptation (LoRA) have gained popularity, they often compromise performance compared to full-rank fine-tuning. In this paper, we propose Outlier-weighed Layerwise Sampling (OWS), a new memory-efficient fine-tuning approach, inspired by the layerwise outlier distribution of LLMs. Unlike LoRA, which adds extra adapters to all layers, OWS strategically assigns higher sampling probabilities to layers with more outliers, selectively sampling only a few layers and fine-tuning their pre-trained weights. To further increase the number of fine-tuned layers without a proportional rise in memory costs, we incorporate gradient low-rank projection, further boosting the approach’s performance. Our extensive experiments across various architectures, including LLaMa2 and Mistral, demonstrate that OWS consistently outperforms baseline approaches, including full fine-tuning. Specifically, it achieves up to a 1.1% average accuracy gain on the Commonsense Reasoning benchmark, a 3.0% improvement on MMLU, and a notable 10% boost on MT-Bench, while being more memory efficient. OWS allows us to fine-tune 7B LLMs with only 21GB of memory. Our code is submitted.</v>
      </c>
      <c r="D1082" s="7" t="str">
        <f>IFERROR(__xludf.DUMMYFUNCTION("""COMPUTED_VALUE"""),"Shiwei Liu")</f>
        <v>Shiwei Liu</v>
      </c>
      <c r="E1082" s="7" t="str">
        <f>IFERROR(__xludf.DUMMYFUNCTION("""COMPUTED_VALUE"""),"Yes")</f>
        <v>Yes</v>
      </c>
      <c r="F1082" s="7" t="str">
        <f>IFERROR(__xludf.DUMMYFUNCTION("""COMPUTED_VALUE"""),"V-Presentation")</f>
        <v>V-Presentation</v>
      </c>
      <c r="G1082" s="7" t="str">
        <f>IFERROR(__xludf.DUMMYFUNCTION("""COMPUTED_VALUE"""),"Virtual/Gather")</f>
        <v>Virtual/Gather</v>
      </c>
      <c r="H1082" s="7" t="str">
        <f>IFERROR(__xludf.DUMMYFUNCTION("""COMPUTED_VALUE"""),"Gather")</f>
        <v>Gather</v>
      </c>
      <c r="I1082" s="7" t="str">
        <f>IFERROR(__xludf.DUMMYFUNCTION("""COMPUTED_VALUE"""),"Session5: V-Gather Find")</f>
        <v>Session5: V-Gather Find</v>
      </c>
      <c r="J1082" s="7" t="str">
        <f>IFERROR(__xludf.DUMMYFUNCTION("""COMPUTED_VALUE"""),"Findings Posters - Virtual")</f>
        <v>Findings Posters - Virtual</v>
      </c>
      <c r="K1082" s="7"/>
      <c r="L1082" s="8">
        <f>IFERROR(__xludf.DUMMYFUNCTION("""COMPUTED_VALUE"""),45866.0)</f>
        <v>45866</v>
      </c>
      <c r="M1082" s="7" t="str">
        <f>IFERROR(__xludf.DUMMYFUNCTION("""COMPUTED_VALUE"""),"18:00-19:30")</f>
        <v>18:00-19:30</v>
      </c>
      <c r="N1082" s="7"/>
    </row>
    <row r="1083">
      <c r="A1083" s="7" t="str">
        <f>IFERROR(__xludf.DUMMYFUNCTION("""COMPUTED_VALUE"""),"3817-FIND")</f>
        <v>3817-FIND</v>
      </c>
      <c r="B1083" s="7" t="str">
        <f>IFERROR(__xludf.DUMMYFUNCTION("""COMPUTED_VALUE"""),"KVPR: Efficient LLM Inference with I/O-Aware KV Cache Partial Recomputation")</f>
        <v>KVPR: Efficient LLM Inference with I/O-Aware KV Cache Partial Recomputation</v>
      </c>
      <c r="C1083" s="7" t="str">
        <f>IFERROR(__xludf.DUMMYFUNCTION("""COMPUTED_VALUE"""),"Inference for Large Language Models (LLMs) is computationally demanding. To reduce the cost of auto-regressive decoding, Key-Value (KV) cache is used to store intermediate activations, which significantly lowers the computational overhead for token genera"&amp;"tion. However, the memory required for KV cache grows rapidly, often exceeding the capacity of GPU memory. A cost-effective alternative is to offload KV cache to CPU memory, which alleviates GPU memory pressure but shifts the bottleneck to the limited ban"&amp;"dwidth of the PCIe connection between the CPU and GPU. Existing methods attempt to address these issues by overlapping GPU computation with I/O or employing CPU-GPU heterogeneous execution, but they are hindered by excessive data movement and dependence o"&amp;"n CPU capabilities. Fully overlapping PCIe communication latency gets challenging as the size of KV cache grows and/or the GPU compute capabilities increase. In this paper, we introduce KVPR, an efficient I/O-aware LLM inference method where the CPU first"&amp;" transfers a partial set of activations from which the GPU can start recomputing the KV cache values. While the GPU recomputes the partial KV cache the remaining portion of the KV cache is concurrently transferred from the CPU. This approach overlaps GPU "&amp;"recomputation with KV cache transfer to minimize idle GPU time and maximize inference performance. KVPR is fully automated by integrating a profiler module that utilizes input characteristics and system hardware information, a scheduler module to optimize"&amp;" the distribution of computation and communication workloads, and a runtime module to efficiently execute the derived execution plan. Experimental results show that KVPR achieves up to 35.8% lower latency and 46.2% higher throughput during decoding compar"&amp;"ed to state-of-the-art approaches. The code is available at https://anonymous.4open.science/r/KVPR-C176/.")</f>
        <v>Inference for Large Language Models (LLMs) is computationally demanding. To reduce the cost of auto-regressive decoding, Key-Value (KV) cache is used to store intermediate activations, which significantly lowers the computational overhead for token generation. However, the memory required for KV cache grows rapidly, often exceeding the capacity of GPU memory. A cost-effective alternative is to offload KV cache to CPU memory, which alleviates GPU memory pressure but shifts the bottleneck to the limited bandwidth of the PCIe connection between the CPU and GPU. Existing methods attempt to address these issues by overlapping GPU computation with I/O or employing CPU-GPU heterogeneous execution, but they are hindered by excessive data movement and dependence on CPU capabilities. Fully overlapping PCIe communication latency gets challenging as the size of KV cache grows and/or the GPU compute capabilities increase. In this paper, we introduce KVPR, an efficient I/O-aware LLM inference method where the CPU first transfers a partial set of activations from which the GPU can start recomputing the KV cache values. While the GPU recomputes the partial KV cache the remaining portion of the KV cache is concurrently transferred from the CPU. This approach overlaps GPU recomputation with KV cache transfer to minimize idle GPU time and maximize inference performance. KVPR is fully automated by integrating a profiler module that utilizes input characteristics and system hardware information, a scheduler module to optimize the distribution of computation and communication workloads, and a runtime module to efficiently execute the derived execution plan. Experimental results show that KVPR achieves up to 35.8% lower latency and 46.2% higher throughput during decoding compared to state-of-the-art approaches. The code is available at https://anonymous.4open.science/r/KVPR-C176/.</v>
      </c>
      <c r="D1083" s="7" t="str">
        <f>IFERROR(__xludf.DUMMYFUNCTION("""COMPUTED_VALUE"""),"N/A")</f>
        <v>N/A</v>
      </c>
      <c r="E1083" s="7" t="str">
        <f>IFERROR(__xludf.DUMMYFUNCTION("""COMPUTED_VALUE"""),"#N/A")</f>
        <v>#N/A</v>
      </c>
      <c r="F1083" s="7" t="str">
        <f>IFERROR(__xludf.DUMMYFUNCTION("""COMPUTED_VALUE"""),"Not Pres. ")</f>
        <v>Not Pres. </v>
      </c>
      <c r="G1083" s="7" t="str">
        <f>IFERROR(__xludf.DUMMYFUNCTION("""COMPUTED_VALUE"""),"NP Findings Not Presenting ")</f>
        <v>NP Findings Not Presenting </v>
      </c>
      <c r="H1083" s="7"/>
      <c r="I1083" s="7" t="str">
        <f>IFERROR(__xludf.DUMMYFUNCTION("""COMPUTED_VALUE"""),"NP-Find")</f>
        <v>NP-Find</v>
      </c>
      <c r="J1083" s="7"/>
      <c r="K1083" s="7"/>
      <c r="L1083" s="8"/>
      <c r="M1083" s="7"/>
      <c r="N1083" s="7"/>
    </row>
    <row r="1084">
      <c r="A1084" s="7" t="str">
        <f>IFERROR(__xludf.DUMMYFUNCTION("""COMPUTED_VALUE"""),"3821-FIND")</f>
        <v>3821-FIND</v>
      </c>
      <c r="B1084" s="7" t="str">
        <f>IFERROR(__xludf.DUMMYFUNCTION("""COMPUTED_VALUE"""),"Direct Behavior Optimization: Unlocking the Potential of Lightweight LLMs")</f>
        <v>Direct Behavior Optimization: Unlocking the Potential of Lightweight LLMs</v>
      </c>
      <c r="C1084" s="7" t="str">
        <f>IFERROR(__xludf.DUMMYFUNCTION("""COMPUTED_VALUE"""),"Lightweight Large Language Models (LwLLMs) are reduced-parameter, optimized models designed to run efficiently on consumer-grade hardware, offering significant advantages in resource efficiency, cost-effectiveness, and data privacy. However, these models "&amp;"often struggle with limited inference and reasoning capabilities, which restrict their performance on complex tasks and limit their practical applicability. Moreover, existing prompt optimization methods typically rely on extensive manual effort or the me"&amp;"ta-cognitive abilities of state-of-the-art LLMs, making them less effective for LwLLMs.
To address these challenges, we introduce DeBoP, a new Direct Behavior Optimization Paradigm, original from the Chain-of-Thought (CoT) prompting technique. Unlike CoT"&amp;" Prompting, DeBoP is an automatic optimization method, which focuses on the optimization directly on the behavior of LwLLMs. In particular, DeBoP transforms the optimization of complex prompts into the optimization of discrete, quantifiable execution sequ"&amp;"ences using a gradient-free Monte Carlo Tree Search. We evaluate DeBoP on seven challenging tasks where state-of-the-art LLMs excel but LwLLMs generally underperform. Experimental results demonstrate that DeBoP significantly outperforms recent prompt opti"&amp;"mization methods on most tasks. In particular, DeBoP-optimized LwLLMs surpass GPT-3.5 on most tasks while reducing computational time by approximately 60% compared to other automatic prompt optimization methods.")</f>
        <v>Lightweight Large Language Models (LwLLMs) are reduced-parameter, optimized models designed to run efficiently on consumer-grade hardware, offering significant advantages in resource efficiency, cost-effectiveness, and data privacy. However, these models often struggle with limited inference and reasoning capabilities, which restrict their performance on complex tasks and limit their practical applicability. Moreover, existing prompt optimization methods typically rely on extensive manual effort or the meta-cognitive abilities of state-of-the-art LLMs, making them less effective for LwLLMs.
To address these challenges, we introduce DeBoP, a new Direct Behavior Optimization Paradigm, original from the Chain-of-Thought (CoT) prompting technique. Unlike CoT Prompting, DeBoP is an automatic optimization method, which focuses on the optimization directly on the behavior of LwLLMs. In particular, DeBoP transforms the optimization of complex prompts into the optimization of discrete, quantifiable execution sequences using a gradient-free Monte Carlo Tree Search. We evaluate DeBoP on seven challenging tasks where state-of-the-art LLMs excel but LwLLMs generally underperform. Experimental results demonstrate that DeBoP significantly outperforms recent prompt optimization methods on most tasks. In particular, DeBoP-optimized LwLLMs surpass GPT-3.5 on most tasks while reducing computational time by approximately 60% compared to other automatic prompt optimization methods.</v>
      </c>
      <c r="D1084" s="7" t="str">
        <f>IFERROR(__xludf.DUMMYFUNCTION("""COMPUTED_VALUE"""),"Hongming Yang")</f>
        <v>Hongming Yang</v>
      </c>
      <c r="E1084" s="7" t="str">
        <f>IFERROR(__xludf.DUMMYFUNCTION("""COMPUTED_VALUE"""),"Yes")</f>
        <v>Yes</v>
      </c>
      <c r="F1084" s="7" t="str">
        <f>IFERROR(__xludf.DUMMYFUNCTION("""COMPUTED_VALUE"""),"IP-Poster")</f>
        <v>IP-Poster</v>
      </c>
      <c r="G1084" s="7" t="str">
        <f>IFERROR(__xludf.DUMMYFUNCTION("""COMPUTED_VALUE"""),"In-Person")</f>
        <v>In-Person</v>
      </c>
      <c r="H1084" s="7" t="str">
        <f>IFERROR(__xludf.DUMMYFUNCTION("""COMPUTED_VALUE"""),"Hall 4/5")</f>
        <v>Hall 4/5</v>
      </c>
      <c r="I1084" s="7" t="str">
        <f>IFERROR(__xludf.DUMMYFUNCTION("""COMPUTED_VALUE"""),"Session 5 :IP-Posters Find ")</f>
        <v>Session 5 :IP-Posters Find </v>
      </c>
      <c r="J1084" s="7" t="str">
        <f>IFERROR(__xludf.DUMMYFUNCTION("""COMPUTED_VALUE"""),"Findings Posters - In-Person 1")</f>
        <v>Findings Posters - In-Person 1</v>
      </c>
      <c r="K1084" s="7"/>
      <c r="L1084" s="8">
        <f>IFERROR(__xludf.DUMMYFUNCTION("""COMPUTED_VALUE"""),45866.0)</f>
        <v>45866</v>
      </c>
      <c r="M1084" s="7" t="str">
        <f>IFERROR(__xludf.DUMMYFUNCTION("""COMPUTED_VALUE"""),"18:00-19:30")</f>
        <v>18:00-19:30</v>
      </c>
      <c r="N1084" s="7"/>
    </row>
    <row r="1085">
      <c r="A1085" s="7" t="str">
        <f>IFERROR(__xludf.DUMMYFUNCTION("""COMPUTED_VALUE"""),"3822-FIND")</f>
        <v>3822-FIND</v>
      </c>
      <c r="B1085" s="7" t="str">
        <f>IFERROR(__xludf.DUMMYFUNCTION("""COMPUTED_VALUE"""),"Whether LLMs Know If They Know: Identifying Knowledge Boundaries via Debiased Historical In-Context Learning")</f>
        <v>Whether LLMs Know If They Know: Identifying Knowledge Boundaries via Debiased Historical In-Context Learning</v>
      </c>
      <c r="C1085" s="7" t="str">
        <f>IFERROR(__xludf.DUMMYFUNCTION("""COMPUTED_VALUE"""),"In active retrieval (AR), large language models (LLMs) need first assess whether they possess knowledge to answer a given query, to decide whether to invoke a retrieval module. Existing methods primarily rely on training classification models or using the"&amp;" confidence of the model's answer to determine knowledge boundaries. However, training-based methods have limited generalization, and our analysis reveals that LLMs struggle to reliably assess whether they possess the required information based on their a"&amp;"nswers, often biased by prior cognitive tendencies (e.g., tokens' semantic preferences). To address this, we propose Debiased Historical In-Context Learning (DH-ICL) to identify knowledge boundaries in AR. DH-ICL aims to reframe this self-awareness metaco"&amp;"gnitive task as a structured pattern-learning problem by retrieving similar historical queries as high-confidence in-context examples to guide LLMs to identify knowledge boundaries. Furthermore, we introduce a historical bias calibration strategy that lev"&amp;"erages deviations in the model’s past response logits to mitigate cognitive biases in its current knowledge boundary assessment. Experiments on four QA benchmarks show that DH-ICL achieves performance comparable to full retrieval on LLaMA with only half t"&amp;"he number of retrievals, without any additional training.")</f>
        <v>In active retrieval (AR), large language models (LLMs) need first assess whether they possess knowledge to answer a given query, to decide whether to invoke a retrieval module. Existing methods primarily rely on training classification models or using the confidence of the model's answer to determine knowledge boundaries. However, training-based methods have limited generalization, and our analysis reveals that LLMs struggle to reliably assess whether they possess the required information based on their answers, often biased by prior cognitive tendencies (e.g., tokens' semantic preferences). To address this, we propose Debiased Historical In-Context Learning (DH-ICL) to identify knowledge boundaries in AR. DH-ICL aims to reframe this self-awareness metacognitive task as a structured pattern-learning problem by retrieving similar historical queries as high-confidence in-context examples to guide LLMs to identify knowledge boundaries. Furthermore, we introduce a historical bias calibration strategy that leverages deviations in the model’s past response logits to mitigate cognitive biases in its current knowledge boundary assessment. Experiments on four QA benchmarks show that DH-ICL achieves performance comparable to full retrieval on LLaMA with only half the number of retrievals, without any additional training.</v>
      </c>
      <c r="D1085" s="7" t="str">
        <f>IFERROR(__xludf.DUMMYFUNCTION("""COMPUTED_VALUE"""),"n/a")</f>
        <v>n/a</v>
      </c>
      <c r="E1085" s="7" t="str">
        <f>IFERROR(__xludf.DUMMYFUNCTION("""COMPUTED_VALUE"""),"#N/A")</f>
        <v>#N/A</v>
      </c>
      <c r="F1085" s="7" t="str">
        <f>IFERROR(__xludf.DUMMYFUNCTION("""COMPUTED_VALUE"""),"Not Pres. ")</f>
        <v>Not Pres. </v>
      </c>
      <c r="G1085" s="7" t="str">
        <f>IFERROR(__xludf.DUMMYFUNCTION("""COMPUTED_VALUE"""),"NP Findings Not Presenting ")</f>
        <v>NP Findings Not Presenting </v>
      </c>
      <c r="H1085" s="7"/>
      <c r="I1085" s="7" t="str">
        <f>IFERROR(__xludf.DUMMYFUNCTION("""COMPUTED_VALUE"""),"NP-Find")</f>
        <v>NP-Find</v>
      </c>
      <c r="J1085" s="7"/>
      <c r="K1085" s="7"/>
      <c r="L1085" s="8"/>
      <c r="M1085" s="7"/>
      <c r="N1085" s="7"/>
    </row>
    <row r="1086">
      <c r="A1086" s="7" t="str">
        <f>IFERROR(__xludf.DUMMYFUNCTION("""COMPUTED_VALUE"""),"3828-FIND")</f>
        <v>3828-FIND</v>
      </c>
      <c r="B1086" s="7" t="str">
        <f>IFERROR(__xludf.DUMMYFUNCTION("""COMPUTED_VALUE"""),"How do LLMs’ Preferences Affect Event Argument Extraction? CAT: Addressing Preference Traps in Unsupervised EAE")</f>
        <v>How do LLMs’ Preferences Affect Event Argument Extraction? CAT: Addressing Preference Traps in Unsupervised EAE</v>
      </c>
      <c r="C1086" s="7" t="str">
        <f>IFERROR(__xludf.DUMMYFUNCTION("""COMPUTED_VALUE"""),"Large Language Models (LLMs) have significantly improved the performance of unsupervised Event Argument Extraction (EAE) tasks. However, LLMs' inherent preferences severely hinder their effectiveness in EAE, leading to what we term preference traps, namel"&amp;"y, the Prior Knowledge Trap, the Sycophancy Hallucination Trap, and the Output Contradiction Trap. Existing approaches often fall into these traps due to misalignments between their prior knowledge, instructions, or output constraints and LLMs' preference"&amp;"s, which significantly limits further performance gains. To address this issue, we propose Choose-After-Think (CAT), an unsupervised EAE framework designed to handle these preference traps through targeted measures. CAT innovatively divides the EAE task i"&amp;"nto two phases: identification of event information (argument roles) (Think Phase) and selection of the final answers from a candidate set (Choose Phase). This two-phase approach reduces the impact of individual token probability anomalies and ensures the"&amp;" integrity of EAE results. Experimental results demonstrate that CAT (based on the local 7B model, zero-shot setting) matches the performance of the best DeepSeek-R1 API model, with a significantly lower time cost.")</f>
        <v>Large Language Models (LLMs) have significantly improved the performance of unsupervised Event Argument Extraction (EAE) tasks. However, LLMs' inherent preferences severely hinder their effectiveness in EAE, leading to what we term preference traps, namely, the Prior Knowledge Trap, the Sycophancy Hallucination Trap, and the Output Contradiction Trap. Existing approaches often fall into these traps due to misalignments between their prior knowledge, instructions, or output constraints and LLMs' preferences, which significantly limits further performance gains. To address this issue, we propose Choose-After-Think (CAT), an unsupervised EAE framework designed to handle these preference traps through targeted measures. CAT innovatively divides the EAE task into two phases: identification of event information (argument roles) (Think Phase) and selection of the final answers from a candidate set (Choose Phase). This two-phase approach reduces the impact of individual token probability anomalies and ensures the integrity of EAE results. Experimental results demonstrate that CAT (based on the local 7B model, zero-shot setting) matches the performance of the best DeepSeek-R1 API model, with a significantly lower time cost.</v>
      </c>
      <c r="D1086" s="7" t="str">
        <f>IFERROR(__xludf.DUMMYFUNCTION("""COMPUTED_VALUE"""),"Yunhao Wei")</f>
        <v>Yunhao Wei</v>
      </c>
      <c r="E1086" s="7" t="str">
        <f>IFERROR(__xludf.DUMMYFUNCTION("""COMPUTED_VALUE"""),"#N/A")</f>
        <v>#N/A</v>
      </c>
      <c r="F1086" s="7" t="str">
        <f>IFERROR(__xludf.DUMMYFUNCTION("""COMPUTED_VALUE"""),"Not Pres. ")</f>
        <v>Not Pres. </v>
      </c>
      <c r="G1086" s="7" t="str">
        <f>IFERROR(__xludf.DUMMYFUNCTION("""COMPUTED_VALUE"""),"NP Findings Not Presenting ")</f>
        <v>NP Findings Not Presenting </v>
      </c>
      <c r="H1086" s="7"/>
      <c r="I1086" s="7" t="str">
        <f>IFERROR(__xludf.DUMMYFUNCTION("""COMPUTED_VALUE"""),"NP-Find")</f>
        <v>NP-Find</v>
      </c>
      <c r="J1086" s="7"/>
      <c r="K1086" s="7"/>
      <c r="L1086" s="8"/>
      <c r="M1086" s="7"/>
      <c r="N1086" s="7"/>
    </row>
    <row r="1087">
      <c r="A1087" s="7" t="str">
        <f>IFERROR(__xludf.DUMMYFUNCTION("""COMPUTED_VALUE"""),"3830-FIND")</f>
        <v>3830-FIND</v>
      </c>
      <c r="B1087" s="7" t="str">
        <f>IFERROR(__xludf.DUMMYFUNCTION("""COMPUTED_VALUE"""),"Out-of-Distribution Detection via LLM-Guided Outlier Generation for Text-attributed Graph")</f>
        <v>Out-of-Distribution Detection via LLM-Guided Outlier Generation for Text-attributed Graph</v>
      </c>
      <c r="C1087" s="7" t="str">
        <f>IFERROR(__xludf.DUMMYFUNCTION("""COMPUTED_VALUE"""),"Text-Attributed Graphs (TAGs), which are characterized with text attributes, are widely used in the real world. When evaluating fully trained models designed for TAG predictions, they may perform significantly unsatisfactory on samples outside the In-Dist"&amp;"ribution (ID) data, which may raise serious security issues. To tackle it, Out-Of-Distribution (OOD) detection is introduced to the TAGs field, which aims to utilize a detector to classify OOD and ID samples. Recent studies attempt to introduce extra OOD "&amp;"datasets to regularize the detection model. However, due to the vastness of the OOD data space, high-quality OOD samples for training the detector are scarce and difficult to obtain in the real world. Thus, we utilize Large Language Models (LLMs) to gener"&amp;"ate the OOD training samples with high quality. There are two issues in this process: (1) LLMs tend to generate OOD-node samples significantly different from ID ones, with a limited learning value for OOD and ID relations. (2) Due to the inherent structur"&amp;"e of TAGs, obtained OOD nodes need to be integrated with existing nodes by generating edges using LLMs. However, the large number of nodes makes reasoning over each node pair computationally unbearable. Toward these issues, we introduce LLMGuard with chal"&amp;"lenging OOD-node generation and lightweight edge predictors. Extensive experiments prove the effectiveness of LLMGuard. The source code is available.")</f>
        <v>Text-Attributed Graphs (TAGs), which are characterized with text attributes, are widely used in the real world. When evaluating fully trained models designed for TAG predictions, they may perform significantly unsatisfactory on samples outside the In-Distribution (ID) data, which may raise serious security issues. To tackle it, Out-Of-Distribution (OOD) detection is introduced to the TAGs field, which aims to utilize a detector to classify OOD and ID samples. Recent studies attempt to introduce extra OOD datasets to regularize the detection model. However, due to the vastness of the OOD data space, high-quality OOD samples for training the detector are scarce and difficult to obtain in the real world. Thus, we utilize Large Language Models (LLMs) to generate the OOD training samples with high quality. There are two issues in this process: (1) LLMs tend to generate OOD-node samples significantly different from ID ones, with a limited learning value for OOD and ID relations. (2) Due to the inherent structure of TAGs, obtained OOD nodes need to be integrated with existing nodes by generating edges using LLMs. However, the large number of nodes makes reasoning over each node pair computationally unbearable. Toward these issues, we introduce LLMGuard with challenging OOD-node generation and lightweight edge predictors. Extensive experiments prove the effectiveness of LLMGuard. The source code is available.</v>
      </c>
      <c r="D1087" s="7"/>
      <c r="E1087" s="7" t="str">
        <f>IFERROR(__xludf.DUMMYFUNCTION("""COMPUTED_VALUE"""),"#N/A")</f>
        <v>#N/A</v>
      </c>
      <c r="F1087" s="7" t="str">
        <f>IFERROR(__xludf.DUMMYFUNCTION("""COMPUTED_VALUE"""),"Not Pres. ")</f>
        <v>Not Pres. </v>
      </c>
      <c r="G1087" s="7" t="str">
        <f>IFERROR(__xludf.DUMMYFUNCTION("""COMPUTED_VALUE"""),"NP Findings Not Presenting ")</f>
        <v>NP Findings Not Presenting </v>
      </c>
      <c r="H1087" s="7"/>
      <c r="I1087" s="7" t="str">
        <f>IFERROR(__xludf.DUMMYFUNCTION("""COMPUTED_VALUE"""),"NP-Find")</f>
        <v>NP-Find</v>
      </c>
      <c r="J1087" s="7"/>
      <c r="K1087" s="7"/>
      <c r="L1087" s="8"/>
      <c r="M1087" s="7"/>
      <c r="N1087" s="7"/>
    </row>
    <row r="1088">
      <c r="A1088" s="7" t="str">
        <f>IFERROR(__xludf.DUMMYFUNCTION("""COMPUTED_VALUE"""),"3831-FIND")</f>
        <v>3831-FIND</v>
      </c>
      <c r="B1088" s="7" t="str">
        <f>IFERROR(__xludf.DUMMYFUNCTION("""COMPUTED_VALUE"""),"Document-Level Relation Extraction with Global Relations and Entity Pair Reasoning")</f>
        <v>Document-Level Relation Extraction with Global Relations and Entity Pair Reasoning</v>
      </c>
      <c r="C1088" s="7" t="str">
        <f>IFERROR(__xludf.DUMMYFUNCTION("""COMPUTED_VALUE"""),"Document-level relation extraction (DocRE) aims to extract structured relational triples from unstructured text based on given entities. Existing methods are mainly categorized into transformer-based models and graph-based models. While transformer-based "&amp;"models capture global contextual information, they typically focus on individual entity pairs, making it challenging to capture complex interactions between multiple entity pairs. Graph-based models build document graphs using entities or sentences as nod"&amp;"es for reasoning but often lack explicit mechanisms to model fine-grained interactions between entity pairs, limiting their ability to handle complex relational reasoning tasks. Additionally, previous research has not considered predicting all possible re"&amp;"lations in advance to assist with DocRE tasks. To address these issues, we propose a new framework namely **GREP** (**g**lobal **r**elations and **e**ntity **p**air reasoning) for DocRE tasks. GREP leverages the global interdependencies between entity pai"&amp;"rs to capture fine-grained interactions and perform multi reasoning at the entity pair level. In addtion, GREP for the first time proposes an auxiliary task that predicts all possible relations in advance that exist in a document, which enables the model "&amp;"to filter out the most unlikely relations. Experimental results on widely-used datasets demonstrate that our model achieves state-of-the-art performance. Code is available at https://github.com/yanyi74/GREP.")</f>
        <v>Document-level relation extraction (DocRE) aims to extract structured relational triples from unstructured text based on given entities. Existing methods are mainly categorized into transformer-based models and graph-based models. While transformer-based models capture global contextual information, they typically focus on individual entity pairs, making it challenging to capture complex interactions between multiple entity pairs. Graph-based models build document graphs using entities or sentences as nodes for reasoning but often lack explicit mechanisms to model fine-grained interactions between entity pairs, limiting their ability to handle complex relational reasoning tasks. Additionally, previous research has not considered predicting all possible relations in advance to assist with DocRE tasks. To address these issues, we propose a new framework namely **GREP** (**g**lobal **r**elations and **e**ntity **p**air reasoning) for DocRE tasks. GREP leverages the global interdependencies between entity pairs to capture fine-grained interactions and perform multi reasoning at the entity pair level. In addtion, GREP for the first time proposes an auxiliary task that predicts all possible relations in advance that exist in a document, which enables the model to filter out the most unlikely relations. Experimental results on widely-used datasets demonstrate that our model achieves state-of-the-art performance. Code is available at https://github.com/yanyi74/GREP.</v>
      </c>
      <c r="D1088" s="7" t="str">
        <f>IFERROR(__xludf.DUMMYFUNCTION("""COMPUTED_VALUE"""),"N/A")</f>
        <v>N/A</v>
      </c>
      <c r="E1088" s="7" t="str">
        <f>IFERROR(__xludf.DUMMYFUNCTION("""COMPUTED_VALUE"""),"#N/A")</f>
        <v>#N/A</v>
      </c>
      <c r="F1088" s="7" t="str">
        <f>IFERROR(__xludf.DUMMYFUNCTION("""COMPUTED_VALUE"""),"Not Pres. ")</f>
        <v>Not Pres. </v>
      </c>
      <c r="G1088" s="7" t="str">
        <f>IFERROR(__xludf.DUMMYFUNCTION("""COMPUTED_VALUE"""),"NP Findings Not Presenting ")</f>
        <v>NP Findings Not Presenting </v>
      </c>
      <c r="H1088" s="7"/>
      <c r="I1088" s="7" t="str">
        <f>IFERROR(__xludf.DUMMYFUNCTION("""COMPUTED_VALUE"""),"NP-Find")</f>
        <v>NP-Find</v>
      </c>
      <c r="J1088" s="7"/>
      <c r="K1088" s="7"/>
      <c r="L1088" s="8"/>
      <c r="M1088" s="7"/>
      <c r="N1088" s="7"/>
    </row>
    <row r="1089">
      <c r="A1089" s="7" t="str">
        <f>IFERROR(__xludf.DUMMYFUNCTION("""COMPUTED_VALUE"""),"3846-FIND")</f>
        <v>3846-FIND</v>
      </c>
      <c r="B1089" s="7" t="str">
        <f>IFERROR(__xludf.DUMMYFUNCTION("""COMPUTED_VALUE"""),"Towards Storage-Efficient Visual Document Retrieval: An Empirical Study on Reducing Patch-Level Embeddings")</f>
        <v>Towards Storage-Efficient Visual Document Retrieval: An Empirical Study on Reducing Patch-Level Embeddings</v>
      </c>
      <c r="C1089" s="7" t="str">
        <f>IFERROR(__xludf.DUMMYFUNCTION("""COMPUTED_VALUE"""),"Despite the strong performance of ColPali/ColQwen2 in Visualized Document Retrieval (VDR), its patch-level embedding approach leads to excessive memory usage. This empirical study investigates methods to reduce patch embeddings per page while minimizing p"&amp;"erformance degradation. We evaluate two token-reduction strategies: token pruning and token merging. Regarding token pruning, we surprisingly observe that a simple random strategy outperforms other sophisticated pruning methods, though still far from sati"&amp;"sfactory. Further analysis reveals that pruning is inherently unsuitable for VDR as it requires removing certain page embeddings without query-specific information. Turning to token merging (more suitable for VDR), we search for the optimal combinations o"&amp;"f merging strategy across three dimensions and develops Light-ColPali/ColQwen2. It maintains 98.2% of retrieval performance with only 11.8% of original memory usage, and preserves 94.6% effectiveness at 2% memory footprint. We expect our empirical finding"&amp;"s and resulting Light-ColPali/ColQwen2 offer valuable insights and establish a competitive baseline for future efficient-VDR research.")</f>
        <v>Despite the strong performance of ColPali/ColQwen2 in Visualized Document Retrieval (VDR), its patch-level embedding approach leads to excessive memory usage. This empirical study investigates methods to reduce patch embeddings per page while minimizing performance degradation. We evaluate two token-reduction strategies: token pruning and token merging. Regarding token pruning, we surprisingly observe that a simple random strategy outperforms other sophisticated pruning methods, though still far from satisfactory. Further analysis reveals that pruning is inherently unsuitable for VDR as it requires removing certain page embeddings without query-specific information. Turning to token merging (more suitable for VDR), we search for the optimal combinations of merging strategy across three dimensions and develops Light-ColPali/ColQwen2. It maintains 98.2% of retrieval performance with only 11.8% of original memory usage, and preserves 94.6% effectiveness at 2% memory footprint. We expect our empirical findings and resulting Light-ColPali/ColQwen2 offer valuable insights and establish a competitive baseline for future efficient-VDR research.</v>
      </c>
      <c r="D1089" s="7" t="str">
        <f>IFERROR(__xludf.DUMMYFUNCTION("""COMPUTED_VALUE"""),"N.A.")</f>
        <v>N.A.</v>
      </c>
      <c r="E1089" s="7" t="str">
        <f>IFERROR(__xludf.DUMMYFUNCTION("""COMPUTED_VALUE"""),"Yes")</f>
        <v>Yes</v>
      </c>
      <c r="F1089" s="7" t="str">
        <f>IFERROR(__xludf.DUMMYFUNCTION("""COMPUTED_VALUE"""),"Not Pres. ")</f>
        <v>Not Pres. </v>
      </c>
      <c r="G1089" s="7" t="str">
        <f>IFERROR(__xludf.DUMMYFUNCTION("""COMPUTED_VALUE"""),"NP Findings Not Presenting ")</f>
        <v>NP Findings Not Presenting </v>
      </c>
      <c r="H1089" s="7"/>
      <c r="I1089" s="7"/>
      <c r="J1089" s="7"/>
      <c r="K1089" s="7"/>
      <c r="L1089" s="8"/>
      <c r="M1089" s="7"/>
      <c r="N1089" s="7"/>
    </row>
    <row r="1090">
      <c r="A1090" s="7" t="str">
        <f>IFERROR(__xludf.DUMMYFUNCTION("""COMPUTED_VALUE"""),"3847-FIND")</f>
        <v>3847-FIND</v>
      </c>
      <c r="B1090" s="7" t="str">
        <f>IFERROR(__xludf.DUMMYFUNCTION("""COMPUTED_VALUE"""),"Step-by-Step Mastery: Enhancing Soft Constraint Following Ability of Large Language Models")</f>
        <v>Step-by-Step Mastery: Enhancing Soft Constraint Following Ability of Large Language Models</v>
      </c>
      <c r="C1090" s="7" t="str">
        <f>IFERROR(__xludf.DUMMYFUNCTION("""COMPUTED_VALUE"""),"It is crucial for large language models (LLMs) to  follow  instructions that involve multiple constraints. In real-world scenarios, user instructions often contain soft constraints, which are semantically related and cannot be rule-based verified, posing "&amp;"challenges for LLMs. To  enhance the soft constraint following ability of LLMs, we initially design a pipeline to construct datasets with high-quality outputs for instructions containing soft constraints automatically. Additionally, to fully utilize the p"&amp;"ositive and negative samples generated during the data construction process, we choose Direct Preference Optimization (DPO) as the training method. Furthermore, taking into account the difficulty of soft constraints indicated by the number of constraints,"&amp;" we design a curriculum learning training paradigm based on the constraint quantity. We experimentally evaluate the effectiveness of our methods in improving LLMs'  soft constraint following ability and analyze the factors driving the improvements.")</f>
        <v>It is crucial for large language models (LLMs) to  follow  instructions that involve multiple constraints. In real-world scenarios, user instructions often contain soft constraints, which are semantically related and cannot be rule-based verified, posing challenges for LLMs. To  enhance the soft constraint following ability of LLMs, we initially design a pipeline to construct datasets with high-quality outputs for instructions containing soft constraints automatically. Additionally, to fully utilize the positive and negative samples generated during the data construction process, we choose Direct Preference Optimization (DPO) as the training method. Furthermore, taking into account the difficulty of soft constraints indicated by the number of constraints, we design a curriculum learning training paradigm based on the constraint quantity. We experimentally evaluate the effectiveness of our methods in improving LLMs'  soft constraint following ability and analyze the factors driving the improvements.</v>
      </c>
      <c r="D1090" s="7" t="str">
        <f>IFERROR(__xludf.DUMMYFUNCTION("""COMPUTED_VALUE"""),"Qingyu Ren")</f>
        <v>Qingyu Ren</v>
      </c>
      <c r="E1090" s="7" t="str">
        <f>IFERROR(__xludf.DUMMYFUNCTION("""COMPUTED_VALUE"""),"Yes")</f>
        <v>Yes</v>
      </c>
      <c r="F1090" s="7" t="str">
        <f>IFERROR(__xludf.DUMMYFUNCTION("""COMPUTED_VALUE"""),"IP-Poster")</f>
        <v>IP-Poster</v>
      </c>
      <c r="G1090" s="7" t="str">
        <f>IFERROR(__xludf.DUMMYFUNCTION("""COMPUTED_VALUE"""),"In-Person")</f>
        <v>In-Person</v>
      </c>
      <c r="H1090" s="7" t="str">
        <f>IFERROR(__xludf.DUMMYFUNCTION("""COMPUTED_VALUE"""),"Hall 4/5")</f>
        <v>Hall 4/5</v>
      </c>
      <c r="I1090" s="7" t="str">
        <f>IFERROR(__xludf.DUMMYFUNCTION("""COMPUTED_VALUE"""),"Session 5 :IP-Posters Find ")</f>
        <v>Session 5 :IP-Posters Find </v>
      </c>
      <c r="J1090" s="7" t="str">
        <f>IFERROR(__xludf.DUMMYFUNCTION("""COMPUTED_VALUE"""),"Findings Posters - In-Person 1")</f>
        <v>Findings Posters - In-Person 1</v>
      </c>
      <c r="K1090" s="7"/>
      <c r="L1090" s="8">
        <f>IFERROR(__xludf.DUMMYFUNCTION("""COMPUTED_VALUE"""),45866.0)</f>
        <v>45866</v>
      </c>
      <c r="M1090" s="7" t="str">
        <f>IFERROR(__xludf.DUMMYFUNCTION("""COMPUTED_VALUE"""),"18:00-19:30")</f>
        <v>18:00-19:30</v>
      </c>
      <c r="N1090" s="7"/>
    </row>
    <row r="1091">
      <c r="A1091" s="7" t="str">
        <f>IFERROR(__xludf.DUMMYFUNCTION("""COMPUTED_VALUE"""),"3849-FIND")</f>
        <v>3849-FIND</v>
      </c>
      <c r="B1091" s="7" t="str">
        <f>IFERROR(__xludf.DUMMYFUNCTION("""COMPUTED_VALUE"""),"ZeroDL: Zero-shot Distribution Learning for Text Clustering via Large Language Models")</f>
        <v>ZeroDL: Zero-shot Distribution Learning for Text Clustering via Large Language Models</v>
      </c>
      <c r="C1091" s="7" t="str">
        <f>IFERROR(__xludf.DUMMYFUNCTION("""COMPUTED_VALUE"""),"The advancements in large language models (LLMs) have brought significant progress in NLP tasks. However, if a task cannot be fully described in prompts, the models could fail to carry out the task. In this paper, we propose a simple yet effective method "&amp;"to contextualize a task toward a LLM. The method utilizes (1) open-ended zero-shot inference from the entire dataset, (2) aggregating the inference results, and (3) finally incorporate the aggregated meta-information for the actual task. We show the effec"&amp;"tiveness in text clustering tasks, empowering LLMs to perform text-to-text-based clustering and leading to improvements on several datasets. Lastly, we explore the generated class labels for clustering, showing how the LLM understands the task through dat"&amp;"a.")</f>
        <v>The advancements in large language models (LLMs) have brought significant progress in NLP tasks. However, if a task cannot be fully described in prompts, the models could fail to carry out the task. In this paper, we propose a simple yet effective method to contextualize a task toward a LLM. The method utilizes (1) open-ended zero-shot inference from the entire dataset, (2) aggregating the inference results, and (3) finally incorporate the aggregated meta-information for the actual task. We show the effectiveness in text clustering tasks, empowering LLMs to perform text-to-text-based clustering and leading to improvements on several datasets. Lastly, we explore the generated class labels for clustering, showing how the LLM understands the task through data.</v>
      </c>
      <c r="D1091" s="7" t="str">
        <f>IFERROR(__xludf.DUMMYFUNCTION("""COMPUTED_VALUE"""),"Hwiyeol Jo")</f>
        <v>Hwiyeol Jo</v>
      </c>
      <c r="E1091" s="7" t="str">
        <f>IFERROR(__xludf.DUMMYFUNCTION("""COMPUTED_VALUE"""),"Yes")</f>
        <v>Yes</v>
      </c>
      <c r="F1091" s="7" t="str">
        <f>IFERROR(__xludf.DUMMYFUNCTION("""COMPUTED_VALUE"""),"IP-Poster")</f>
        <v>IP-Poster</v>
      </c>
      <c r="G1091" s="7" t="str">
        <f>IFERROR(__xludf.DUMMYFUNCTION("""COMPUTED_VALUE"""),"In-Person")</f>
        <v>In-Person</v>
      </c>
      <c r="H1091" s="7" t="str">
        <f>IFERROR(__xludf.DUMMYFUNCTION("""COMPUTED_VALUE"""),"Hall 4/5")</f>
        <v>Hall 4/5</v>
      </c>
      <c r="I1091" s="7" t="str">
        <f>IFERROR(__xludf.DUMMYFUNCTION("""COMPUTED_VALUE"""),"Session 10: IP-Posters")</f>
        <v>Session 10: IP-Posters</v>
      </c>
      <c r="J1091" s="7" t="str">
        <f>IFERROR(__xludf.DUMMYFUNCTION("""COMPUTED_VALUE"""),"Findings Posters - In-Person 3")</f>
        <v>Findings Posters - In-Person 3</v>
      </c>
      <c r="K1091" s="7"/>
      <c r="L1091" s="8">
        <f>IFERROR(__xludf.DUMMYFUNCTION("""COMPUTED_VALUE"""),45867.0)</f>
        <v>45867</v>
      </c>
      <c r="M1091" s="7" t="str">
        <f>IFERROR(__xludf.DUMMYFUNCTION("""COMPUTED_VALUE"""),"16:00-17:30")</f>
        <v>16:00-17:30</v>
      </c>
      <c r="N1091" s="7"/>
    </row>
    <row r="1092">
      <c r="A1092" s="7" t="str">
        <f>IFERROR(__xludf.DUMMYFUNCTION("""COMPUTED_VALUE"""),"3854-FIND")</f>
        <v>3854-FIND</v>
      </c>
      <c r="B1092" s="7" t="str">
        <f>IFERROR(__xludf.DUMMYFUNCTION("""COMPUTED_VALUE"""),"Patterns Over Principles: The Fragility of Inductive Reasoning in LLMs under Noisy Observations")</f>
        <v>Patterns Over Principles: The Fragility of Inductive Reasoning in LLMs under Noisy Observations</v>
      </c>
      <c r="C1092" s="7" t="str">
        <f>IFERROR(__xludf.DUMMYFUNCTION("""COMPUTED_VALUE"""),"Inductive reasoning, a cornerstone of human cognition, enables generalization from limited data but hasn't yet been fully achieved by large language models (LLMs). While modern LLMs excel at reasoning tasks, their ability to maintain stable and consistent"&amp;" rule abstraction under imperfect observations remains underexplored. To fill this gap, in this work, we introduce Robust Rule Induction, a task that evaluates LLMs' capability in inferring rules from data that are fused with noisy examples. To address th"&amp;"is task,  we further propose Sample-steered Rule Refinement (SRR), a method enhancing reasoning stability via observation diversification and execution-guided feedback. Experiments across arithmetic, cryptography, and list functions reveal: (1) SRR outper"&amp;"forms other methods with minimal performance degradation under noise; (2) Despite slight accuracy variation, LLMs exhibit instability under noise (e.g., 0% accuracy change with only 70% consistent score); (3) Counterfactual task gaps highlight LLMs' relia"&amp;"nce on memorized patterns over genuine abstraction. Our findings challenge LLMs' reasoning robustness, revealing susceptibility to hypothesis drift and pattern overfitting, while providing empirical evidence critical for developing human-like inductive sy"&amp;"stems. Code and data are available at https://github.com/HKUST-KnowComp/Robust-Rule-Induction.")</f>
        <v>Inductive reasoning, a cornerstone of human cognition, enables generalization from limited data but hasn't yet been fully achieved by large language models (LLMs). While modern LLMs excel at reasoning tasks, their ability to maintain stable and consistent rule abstraction under imperfect observations remains underexplored. To fill this gap, in this work, we introduce Robust Rule Induction, a task that evaluates LLMs' capability in inferring rules from data that are fused with noisy examples. To address this task,  we further propose Sample-steered Rule Refinement (SRR), a method enhancing reasoning stability via observation diversification and execution-guided feedback. Experiments across arithmetic, cryptography, and list functions reveal: (1) SRR outperforms other methods with minimal performance degradation under noise; (2) Despite slight accuracy variation, LLMs exhibit instability under noise (e.g., 0% accuracy change with only 70% consistent score); (3) Counterfactual task gaps highlight LLMs' reliance on memorized patterns over genuine abstraction. Our findings challenge LLMs' reasoning robustness, revealing susceptibility to hypothesis drift and pattern overfitting, while providing empirical evidence critical for developing human-like inductive systems. Code and data are available at https://github.com/HKUST-KnowComp/Robust-Rule-Induction.</v>
      </c>
      <c r="D1092" s="7" t="str">
        <f>IFERROR(__xludf.DUMMYFUNCTION("""COMPUTED_VALUE"""),"Chunyang Li")</f>
        <v>Chunyang Li</v>
      </c>
      <c r="E1092" s="7" t="str">
        <f>IFERROR(__xludf.DUMMYFUNCTION("""COMPUTED_VALUE"""),"Yes")</f>
        <v>Yes</v>
      </c>
      <c r="F1092" s="7" t="str">
        <f>IFERROR(__xludf.DUMMYFUNCTION("""COMPUTED_VALUE"""),"IP-Poster")</f>
        <v>IP-Poster</v>
      </c>
      <c r="G1092" s="7" t="str">
        <f>IFERROR(__xludf.DUMMYFUNCTION("""COMPUTED_VALUE"""),"In-Person")</f>
        <v>In-Person</v>
      </c>
      <c r="H1092" s="7" t="str">
        <f>IFERROR(__xludf.DUMMYFUNCTION("""COMPUTED_VALUE"""),"Hall 4/5")</f>
        <v>Hall 4/5</v>
      </c>
      <c r="I1092" s="7" t="str">
        <f>IFERROR(__xludf.DUMMYFUNCTION("""COMPUTED_VALUE"""),"Session 12: IP-Posters")</f>
        <v>Session 12: IP-Posters</v>
      </c>
      <c r="J1092" s="7" t="str">
        <f>IFERROR(__xludf.DUMMYFUNCTION("""COMPUTED_VALUE"""),"Findings Posters - In-Person 4")</f>
        <v>Findings Posters - In-Person 4</v>
      </c>
      <c r="K1092" s="7"/>
      <c r="L1092" s="8">
        <f>IFERROR(__xludf.DUMMYFUNCTION("""COMPUTED_VALUE"""),45868.0)</f>
        <v>45868</v>
      </c>
      <c r="M1092" s="7" t="str">
        <f>IFERROR(__xludf.DUMMYFUNCTION("""COMPUTED_VALUE"""),"11:00-12:30")</f>
        <v>11:00-12:30</v>
      </c>
      <c r="N1092" s="7"/>
    </row>
    <row r="1093">
      <c r="A1093" s="7" t="str">
        <f>IFERROR(__xludf.DUMMYFUNCTION("""COMPUTED_VALUE"""),"3861-FIND")</f>
        <v>3861-FIND</v>
      </c>
      <c r="B1093" s="7" t="str">
        <f>IFERROR(__xludf.DUMMYFUNCTION("""COMPUTED_VALUE"""),"LLMTaxo: Leveraging Large Language Models for Constructing Taxonomy of Factual Claims from Social Media")</f>
        <v>LLMTaxo: Leveraging Large Language Models for Constructing Taxonomy of Factual Claims from Social Media</v>
      </c>
      <c r="C1093" s="7" t="str">
        <f>IFERROR(__xludf.DUMMYFUNCTION("""COMPUTED_VALUE"""),"With the vast expansion of content on social media platforms, analyzing and comprehending online discourse has become increasingly complex. This paper introduces LLMTaxo, a novel framework leveraging large language models for the automated construction of"&amp;" taxonomy of factual claims from social media by generating topics from multi-level granularities. This approach aids stakeholders in more effectively navigating the social media landscapes. We implement this framework with different models across three d"&amp;"istinct datasets and introduce specially designed taxonomy evaluation metrics for a comprehensive assessment. With the evaluations from both human evaluators and GPT-4, the results indicate that LLMTaxo effectively categorizes factual claims from social m"&amp;"edia, and reveals that certain models perform better on specific datasets.")</f>
        <v>With the vast expansion of content on social media platforms, analyzing and comprehending online discourse has become increasingly complex. This paper introduces LLMTaxo, a novel framework leveraging large language models for the automated construction of taxonomy of factual claims from social media by generating topics from multi-level granularities. This approach aids stakeholders in more effectively navigating the social media landscapes. We implement this framework with different models across three distinct datasets and introduce specially designed taxonomy evaluation metrics for a comprehensive assessment. With the evaluations from both human evaluators and GPT-4, the results indicate that LLMTaxo effectively categorizes factual claims from social media, and reveals that certain models perform better on specific datasets.</v>
      </c>
      <c r="D1093" s="7" t="str">
        <f>IFERROR(__xludf.DUMMYFUNCTION("""COMPUTED_VALUE"""),"Jacob Devasier")</f>
        <v>Jacob Devasier</v>
      </c>
      <c r="E1093" s="7" t="str">
        <f>IFERROR(__xludf.DUMMYFUNCTION("""COMPUTED_VALUE"""),"Yes")</f>
        <v>Yes</v>
      </c>
      <c r="F1093" s="7" t="str">
        <f>IFERROR(__xludf.DUMMYFUNCTION("""COMPUTED_VALUE"""),"IP-Poster")</f>
        <v>IP-Poster</v>
      </c>
      <c r="G1093" s="7" t="str">
        <f>IFERROR(__xludf.DUMMYFUNCTION("""COMPUTED_VALUE"""),"In-Person")</f>
        <v>In-Person</v>
      </c>
      <c r="H1093" s="7" t="str">
        <f>IFERROR(__xludf.DUMMYFUNCTION("""COMPUTED_VALUE"""),"Hall 4/5")</f>
        <v>Hall 4/5</v>
      </c>
      <c r="I1093" s="7" t="str">
        <f>IFERROR(__xludf.DUMMYFUNCTION("""COMPUTED_VALUE"""),"Session 12: IP-Posters")</f>
        <v>Session 12: IP-Posters</v>
      </c>
      <c r="J1093" s="7" t="str">
        <f>IFERROR(__xludf.DUMMYFUNCTION("""COMPUTED_VALUE"""),"Findings Posters - In-Person 4")</f>
        <v>Findings Posters - In-Person 4</v>
      </c>
      <c r="K1093" s="7"/>
      <c r="L1093" s="8">
        <f>IFERROR(__xludf.DUMMYFUNCTION("""COMPUTED_VALUE"""),45868.0)</f>
        <v>45868</v>
      </c>
      <c r="M1093" s="7" t="str">
        <f>IFERROR(__xludf.DUMMYFUNCTION("""COMPUTED_VALUE"""),"11:00-12:30")</f>
        <v>11:00-12:30</v>
      </c>
      <c r="N1093" s="7"/>
    </row>
    <row r="1094">
      <c r="A1094" s="7" t="str">
        <f>IFERROR(__xludf.DUMMYFUNCTION("""COMPUTED_VALUE"""),"3864-FIND")</f>
        <v>3864-FIND</v>
      </c>
      <c r="B1094" s="7" t="str">
        <f>IFERROR(__xludf.DUMMYFUNCTION("""COMPUTED_VALUE"""),"AnCast++: Document-Level Evaluation of Graph-based Meaning Representations")</f>
        <v>AnCast++: Document-Level Evaluation of Graph-based Meaning Representations</v>
      </c>
      <c r="C1094" s="7" t="str">
        <f>IFERROR(__xludf.DUMMYFUNCTION("""COMPUTED_VALUE"""),"Uniform Meaning Representation (UMR) is a cross-lingual document-level graph-based representation that is based on Abstract Meaning Representation (AMR) but extends it to include document-level semantic annotations such as coreference, modal and temporal "&amp;"dependencies.With recent advancements in UMR annotation efforts, a reliable evaluation metric is essential for assessing annotation consistency and tracking progress in automatic parsing. In this paper, we present AnCast++, an aggregated metric that unifi"&amp;"es the evaluation of four distinct sub-structures of UMR: (1) sentence-level graphs that represent word senses, named entities, semantic relations between events and their participants, aspectual attributes of events as well as person and number attribute"&amp;"s of entities, (2) modal dependencies that represent the level of certainty that a source holds with respect to an event, (3) temporal dependencies between events and their reference times, and (4) coreference relations between entities and between events"&amp;". In particular, we describe a unified method TC2 for evaluating temporal and coreference relations that captures their shared transitive properties, and present experimental results on English and Chinese UMR parsing based on UMR v1.0 corpus to demonstra"&amp;"te the reliability of our metric. The tool will be made publicly available on Github.")</f>
        <v>Uniform Meaning Representation (UMR) is a cross-lingual document-level graph-based representation that is based on Abstract Meaning Representation (AMR) but extends it to include document-level semantic annotations such as coreference, modal and temporal dependencies.With recent advancements in UMR annotation efforts, a reliable evaluation metric is essential for assessing annotation consistency and tracking progress in automatic parsing. In this paper, we present AnCast++, an aggregated metric that unifies the evaluation of four distinct sub-structures of UMR: (1) sentence-level graphs that represent word senses, named entities, semantic relations between events and their participants, aspectual attributes of events as well as person and number attributes of entities, (2) modal dependencies that represent the level of certainty that a source holds with respect to an event, (3) temporal dependencies between events and their reference times, and (4) coreference relations between entities and between events. In particular, we describe a unified method TC2 for evaluating temporal and coreference relations that captures their shared transitive properties, and present experimental results on English and Chinese UMR parsing based on UMR v1.0 corpus to demonstrate the reliability of our metric. The tool will be made publicly available on Github.</v>
      </c>
      <c r="D1094" s="7" t="str">
        <f>IFERROR(__xludf.DUMMYFUNCTION("""COMPUTED_VALUE"""),"N/A")</f>
        <v>N/A</v>
      </c>
      <c r="E1094" s="7" t="str">
        <f>IFERROR(__xludf.DUMMYFUNCTION("""COMPUTED_VALUE"""),"#N/A")</f>
        <v>#N/A</v>
      </c>
      <c r="F1094" s="7" t="str">
        <f>IFERROR(__xludf.DUMMYFUNCTION("""COMPUTED_VALUE"""),"Not Pres. ")</f>
        <v>Not Pres. </v>
      </c>
      <c r="G1094" s="7" t="str">
        <f>IFERROR(__xludf.DUMMYFUNCTION("""COMPUTED_VALUE"""),"NP Findings Not Presenting ")</f>
        <v>NP Findings Not Presenting </v>
      </c>
      <c r="H1094" s="7"/>
      <c r="I1094" s="7" t="str">
        <f>IFERROR(__xludf.DUMMYFUNCTION("""COMPUTED_VALUE"""),"NP-Find")</f>
        <v>NP-Find</v>
      </c>
      <c r="J1094" s="7"/>
      <c r="K1094" s="7"/>
      <c r="L1094" s="8"/>
      <c r="M1094" s="7"/>
      <c r="N1094" s="7"/>
    </row>
    <row r="1095">
      <c r="A1095" s="7" t="str">
        <f>IFERROR(__xludf.DUMMYFUNCTION("""COMPUTED_VALUE"""),"3866-FIND")</f>
        <v>3866-FIND</v>
      </c>
      <c r="B1095" s="7" t="str">
        <f>IFERROR(__xludf.DUMMYFUNCTION("""COMPUTED_VALUE"""),"MMEvol: Empowering Multimodal Large Language Models with Evol-Instruct")</f>
        <v>MMEvol: Empowering Multimodal Large Language Models with Evol-Instruct</v>
      </c>
      <c r="C1095" s="7" t="str">
        <f>IFERROR(__xludf.DUMMYFUNCTION("""COMPUTED_VALUE"""),"The development of Multimodal Large Language Models (MLLMs) has seen significant progress, driven by increasing demands across various fields (e.g., multimodal agents, embodied intelligence). While model-driven approaches aim to enhance MLLM capabilities "&amp;"through diverse architectures, their performance gains have become increasingly marginal. In contrast, data-driven methods, which scale up image-text instruction datasets, have proven more effective but face challenges related to limited data diversity an"&amp;"d complexity. The absence of high-quality instruction data remains a major bottleneck in MLLM development. To address this issue, we propose \ours, a novel multimodal instruction data evolution framework. This framework iteratively enhances data quality t"&amp;"hrough a refined combination of fine-grained perception, cognitive reasoning, and interaction evolution, generating a more complex and diverse image-text instruction dataset that significantly improves MLLM capabilities. Starting with an initial dataset, "&amp;"SEED-163K, we employ \ours to systematically expand instruction diversity, extend visual reasoning steps to improve cognitive abilities, and extract fine-grained visual details to enhance understanding and robustness. To rigorously evaluate our approach, "&amp;"we conduct extensive qualitative analysis and quantitative experiments across 13 vision-language tasks. Compared to baseline models trained on the original seed dataset, our method achieves an average accuracy improvement of 3.1 percentage points. Moreove"&amp;"r, our approach attains state-of-the-art (SOTA) performance in nine tasks while using significantly less data than existing state-of-the-art models.")</f>
        <v>The development of Multimodal Large Language Models (MLLMs) has seen significant progress, driven by increasing demands across various fields (e.g., multimodal agents, embodied intelligence). While model-driven approaches aim to enhance MLLM capabilities through diverse architectures, their performance gains have become increasingly marginal. In contrast, data-driven methods, which scale up image-text instruction datasets, have proven more effective but face challenges related to limited data diversity and complexity. The absence of high-quality instruction data remains a major bottleneck in MLLM development. To address this issue, we propose \ours, a novel multimodal instruction data evolution framework. This framework iteratively enhances data quality through a refined combination of fine-grained perception, cognitive reasoning, and interaction evolution, generating a more complex and diverse image-text instruction dataset that significantly improves MLLM capabilities. Starting with an initial dataset, SEED-163K, we employ \ours to systematically expand instruction diversity, extend visual reasoning steps to improve cognitive abilities, and extract fine-grained visual details to enhance understanding and robustness. To rigorously evaluate our approach, we conduct extensive qualitative analysis and quantitative experiments across 13 vision-language tasks. Compared to baseline models trained on the original seed dataset, our method achieves an average accuracy improvement of 3.1 percentage points. Moreover, our approach attains state-of-the-art (SOTA) performance in nine tasks while using significantly less data than existing state-of-the-art models.</v>
      </c>
      <c r="D1095" s="7" t="str">
        <f>IFERROR(__xludf.DUMMYFUNCTION("""COMPUTED_VALUE"""),"Run Luo")</f>
        <v>Run Luo</v>
      </c>
      <c r="E1095" s="7" t="str">
        <f>IFERROR(__xludf.DUMMYFUNCTION("""COMPUTED_VALUE"""),"#N/A")</f>
        <v>#N/A</v>
      </c>
      <c r="F1095" s="7" t="str">
        <f>IFERROR(__xludf.DUMMYFUNCTION("""COMPUTED_VALUE"""),"Not Pres. ")</f>
        <v>Not Pres. </v>
      </c>
      <c r="G1095" s="7" t="str">
        <f>IFERROR(__xludf.DUMMYFUNCTION("""COMPUTED_VALUE"""),"NP Findings Not Presenting ")</f>
        <v>NP Findings Not Presenting </v>
      </c>
      <c r="H1095" s="7"/>
      <c r="I1095" s="7" t="str">
        <f>IFERROR(__xludf.DUMMYFUNCTION("""COMPUTED_VALUE"""),"NP-Find")</f>
        <v>NP-Find</v>
      </c>
      <c r="J1095" s="7"/>
      <c r="K1095" s="7"/>
      <c r="L1095" s="8"/>
      <c r="M1095" s="7"/>
      <c r="N1095" s="7"/>
    </row>
    <row r="1096">
      <c r="A1096" s="7" t="str">
        <f>IFERROR(__xludf.DUMMYFUNCTION("""COMPUTED_VALUE"""),"3867-FIND")</f>
        <v>3867-FIND</v>
      </c>
      <c r="B1096" s="7" t="str">
        <f>IFERROR(__xludf.DUMMYFUNCTION("""COMPUTED_VALUE"""),"SciVerse: Unveiling the Knowledge Comprehension and Visual Reasoning of LMMs on Multi-modal Scientific Problems")</f>
        <v>SciVerse: Unveiling the Knowledge Comprehension and Visual Reasoning of LMMs on Multi-modal Scientific Problems</v>
      </c>
      <c r="C1096" s="7" t="str">
        <f>IFERROR(__xludf.DUMMYFUNCTION("""COMPUTED_VALUE"""),"The rapid advancement of Large Multi-modal Models (LMMs) has enabled their application in scientific problem-solving, yet their fine-grained capabilities remain under-explored. In this paper, we introduce SciVerse, a multi-modal scientific evaluation benc"&amp;"hmark to thoroughly assess LMMs across 5,735 test instances in five distinct versions. We aim to investigate three key dimensions of LMMs: scientific knowledge comprehension, multi-modal content interpretation, and Chain-of-Thought (CoT) reasoning. To unv"&amp;"eil whether LMMs possess sufficient scientific expertise, we first transform each problem into three versions containing different levels of knowledge required for solving, i.e., Knowledge-free, -lite, and -rich. Then, to explore how LMMs interpret multi-"&amp;"modal scientific content, we annotate another two versions, i.e., Vision-rich and -only, marking more question information from texts to diagrams. Comparing the results of different versions, SciVerse systematically examines the professional knowledge sto"&amp;"ck and visual perception skills of LMMs in scientific domains. In addition, to rigorously assess CoT reasoning, we propose a new scientific CoT evaluation strategy, conducting a step-wise assessment on knowledge and logical errors in model outputs. Our ex"&amp;"tensive evaluation of different LMMs on SciVerse reveals critical limitations in their scientific proficiency and provides new insights into future developments.")</f>
        <v>The rapid advancement of Large Multi-modal Models (LMMs) has enabled their application in scientific problem-solving, yet their fine-grained capabilities remain under-explored. In this paper, we introduce SciVerse, a multi-modal scientific evaluation benchmark to thoroughly assess LMMs across 5,735 test instances in five distinct versions. We aim to investigate three key dimensions of LMMs: scientific knowledge comprehension, multi-modal content interpretation, and Chain-of-Thought (CoT) reasoning. To unveil whether LMMs possess sufficient scientific expertise, we first transform each problem into three versions containing different levels of knowledge required for solving, i.e., Knowledge-free, -lite, and -rich. Then, to explore how LMMs interpret multi-modal scientific content, we annotate another two versions, i.e., Vision-rich and -only, marking more question information from texts to diagrams. Comparing the results of different versions, SciVerse systematically examines the professional knowledge stock and visual perception skills of LMMs in scientific domains. In addition, to rigorously assess CoT reasoning, we propose a new scientific CoT evaluation strategy, conducting a step-wise assessment on knowledge and logical errors in model outputs. Our extensive evaluation of different LMMs on SciVerse reveals critical limitations in their scientific proficiency and provides new insights into future developments.</v>
      </c>
      <c r="D1096" s="7" t="str">
        <f>IFERROR(__xludf.DUMMYFUNCTION("""COMPUTED_VALUE"""),"I do not plan to present")</f>
        <v>I do not plan to present</v>
      </c>
      <c r="E1096" s="7" t="str">
        <f>IFERROR(__xludf.DUMMYFUNCTION("""COMPUTED_VALUE"""),"#N/A")</f>
        <v>#N/A</v>
      </c>
      <c r="F1096" s="7" t="str">
        <f>IFERROR(__xludf.DUMMYFUNCTION("""COMPUTED_VALUE"""),"Not Pres. ")</f>
        <v>Not Pres. </v>
      </c>
      <c r="G1096" s="7" t="str">
        <f>IFERROR(__xludf.DUMMYFUNCTION("""COMPUTED_VALUE"""),"NP Findings Not Presenting ")</f>
        <v>NP Findings Not Presenting </v>
      </c>
      <c r="H1096" s="7"/>
      <c r="I1096" s="7" t="str">
        <f>IFERROR(__xludf.DUMMYFUNCTION("""COMPUTED_VALUE"""),"NP-Find")</f>
        <v>NP-Find</v>
      </c>
      <c r="J1096" s="7"/>
      <c r="K1096" s="7"/>
      <c r="L1096" s="8"/>
      <c r="M1096" s="7"/>
      <c r="N1096" s="7"/>
    </row>
    <row r="1097">
      <c r="A1097" s="7" t="str">
        <f>IFERROR(__xludf.DUMMYFUNCTION("""COMPUTED_VALUE"""),"3870-FIND")</f>
        <v>3870-FIND</v>
      </c>
      <c r="B1097" s="7" t="str">
        <f>IFERROR(__xludf.DUMMYFUNCTION("""COMPUTED_VALUE"""),"Exploring Layer-wise Representations of English and Chinese Homonymy in Pre-trained Language Models")</f>
        <v>Exploring Layer-wise Representations of English and Chinese Homonymy in Pre-trained Language Models</v>
      </c>
      <c r="C1097" s="7" t="str">
        <f>IFERROR(__xludf.DUMMYFUNCTION("""COMPUTED_VALUE"""),"Homonymy can easily raise lexical ambiguity due to the misunderstanding of its multiple senses. Correct recognition of homonym sense greatly relies on its surrounding context. This ambiguous nature makes homonyms an appropriate testbed for examining the c"&amp;"ontextualization capability of pre-trained (PLM) and large language models (LLMs). Considering the impact of part-of-speech (POS) on homonym disambiguation and the dominance of English in word embedding research, this study provides a comprehensive layer-"&amp;"wise analysis of homonym representations in both English and Chinese, spanning same and different POS categories, across four families of PLMs/LLMs (BERT, GPT-2, Llama 3, Qwen 2.5). Through the creation of a synthetic dataset and computation of disambigua"&amp;"tion score (D-Score), we found that: (1) no universal layer depth was found which excels in differentiating homonym representations; (2) bidirectional models produce better contextualized homonym representations compared to much larger autoregressive mode"&amp;"ls; (3) most importantly, POS affects homonym representations in models in ways that slightly differ from human research findings. The individual differences between LLMs uncovered in our study challenge the simplistic understanding of their inner working"&amp;"s. This reveals a compelling research frontier: conducting controlled experiments with purposefully manipulated inputs to enhance the interpretability of LLMs. We have made our dataset and codes available publicly at https://anonymous.4open.science/r/ehri"&amp;"l/.")</f>
        <v>Homonymy can easily raise lexical ambiguity due to the misunderstanding of its multiple senses. Correct recognition of homonym sense greatly relies on its surrounding context. This ambiguous nature makes homonyms an appropriate testbed for examining the contextualization capability of pre-trained (PLM) and large language models (LLMs). Considering the impact of part-of-speech (POS) on homonym disambiguation and the dominance of English in word embedding research, this study provides a comprehensive layer-wise analysis of homonym representations in both English and Chinese, spanning same and different POS categories, across four families of PLMs/LLMs (BERT, GPT-2, Llama 3, Qwen 2.5). Through the creation of a synthetic dataset and computation of disambiguation score (D-Score), we found that: (1) no universal layer depth was found which excels in differentiating homonym representations; (2) bidirectional models produce better contextualized homonym representations compared to much larger autoregressive models; (3) most importantly, POS affects homonym representations in models in ways that slightly differ from human research findings. The individual differences between LLMs uncovered in our study challenge the simplistic understanding of their inner workings. This reveals a compelling research frontier: conducting controlled experiments with purposefully manipulated inputs to enhance the interpretability of LLMs. We have made our dataset and codes available publicly at https://anonymous.4open.science/r/ehril/.</v>
      </c>
      <c r="D1097" s="7" t="str">
        <f>IFERROR(__xludf.DUMMYFUNCTION("""COMPUTED_VALUE"""),"Matthew King-Hang Ma, Wenbo Wang")</f>
        <v>Matthew King-Hang Ma, Wenbo Wang</v>
      </c>
      <c r="E1097" s="7" t="str">
        <f>IFERROR(__xludf.DUMMYFUNCTION("""COMPUTED_VALUE"""),"Yes")</f>
        <v>Yes</v>
      </c>
      <c r="F1097" s="7" t="str">
        <f>IFERROR(__xludf.DUMMYFUNCTION("""COMPUTED_VALUE"""),"IP-Poster")</f>
        <v>IP-Poster</v>
      </c>
      <c r="G1097" s="7" t="str">
        <f>IFERROR(__xludf.DUMMYFUNCTION("""COMPUTED_VALUE"""),"In-Person")</f>
        <v>In-Person</v>
      </c>
      <c r="H1097" s="7" t="str">
        <f>IFERROR(__xludf.DUMMYFUNCTION("""COMPUTED_VALUE"""),"Hall 4/5")</f>
        <v>Hall 4/5</v>
      </c>
      <c r="I1097" s="7" t="str">
        <f>IFERROR(__xludf.DUMMYFUNCTION("""COMPUTED_VALUE"""),"Session 5 :IP-Posters Find ")</f>
        <v>Session 5 :IP-Posters Find </v>
      </c>
      <c r="J1097" s="7" t="str">
        <f>IFERROR(__xludf.DUMMYFUNCTION("""COMPUTED_VALUE"""),"Findings Posters - In-Person 1")</f>
        <v>Findings Posters - In-Person 1</v>
      </c>
      <c r="K1097" s="7"/>
      <c r="L1097" s="8">
        <f>IFERROR(__xludf.DUMMYFUNCTION("""COMPUTED_VALUE"""),45866.0)</f>
        <v>45866</v>
      </c>
      <c r="M1097" s="7" t="str">
        <f>IFERROR(__xludf.DUMMYFUNCTION("""COMPUTED_VALUE"""),"18:00-19:30")</f>
        <v>18:00-19:30</v>
      </c>
      <c r="N1097" s="7"/>
    </row>
    <row r="1098">
      <c r="A1098" s="7" t="str">
        <f>IFERROR(__xludf.DUMMYFUNCTION("""COMPUTED_VALUE"""),"3872-FIND")</f>
        <v>3872-FIND</v>
      </c>
      <c r="B1098" s="7" t="str">
        <f>IFERROR(__xludf.DUMMYFUNCTION("""COMPUTED_VALUE"""),"DocMEdit: Towards Document-Level Model Editing")</f>
        <v>DocMEdit: Towards Document-Level Model Editing</v>
      </c>
      <c r="C1098" s="7" t="str">
        <f>IFERROR(__xludf.DUMMYFUNCTION("""COMPUTED_VALUE"""),"Model editing aims to correct errors and outdated knowledge in the Large language models (LLMs) with minimal cost. Prior research has proposed a variety of datasets to assess the effectiveness of these model editing methods. However, most existing dataset"&amp;"s only require models to output short phrases or sentences, which overlooks the widespread existence of document level tasks in the real world, raising doubts about their practical usability. Aimed at addressing this limitation and promoting the applicati"&amp;"on of model editing in real-world scenarios, we propose the task of document-level model editing. To tackle such challenges and enhance model capabilities in practical settings, we introduce DocMEdit, a dataset focused on document-level model editing, cha"&amp;"racterized by document-level inputs and outputs, extrapolative, and multiple facts within a single edit. We propose a series of evaluation metrics and experiments. The results show that the difficulties in document-level model editing pose challenges for "&amp;"existing model editing methods.")</f>
        <v>Model editing aims to correct errors and outdated knowledge in the Large language models (LLMs) with minimal cost. Prior research has proposed a variety of datasets to assess the effectiveness of these model editing methods. However, most existing datasets only require models to output short phrases or sentences, which overlooks the widespread existence of document level tasks in the real world, raising doubts about their practical usability. Aimed at addressing this limitation and promoting the application of model editing in real-world scenarios, we propose the task of document-level model editing. To tackle such challenges and enhance model capabilities in practical settings, we introduce DocMEdit, a dataset focused on document-level model editing, characterized by document-level inputs and outputs, extrapolative, and multiple facts within a single edit. We propose a series of evaluation metrics and experiments. The results show that the difficulties in document-level model editing pose challenges for existing model editing methods.</v>
      </c>
      <c r="D1098" s="7" t="str">
        <f>IFERROR(__xludf.DUMMYFUNCTION("""COMPUTED_VALUE"""),"Li Zeng")</f>
        <v>Li Zeng</v>
      </c>
      <c r="E1098" s="7" t="str">
        <f>IFERROR(__xludf.DUMMYFUNCTION("""COMPUTED_VALUE"""),"Yes")</f>
        <v>Yes</v>
      </c>
      <c r="F1098" s="7" t="str">
        <f>IFERROR(__xludf.DUMMYFUNCTION("""COMPUTED_VALUE"""),"IP-Poster")</f>
        <v>IP-Poster</v>
      </c>
      <c r="G1098" s="7" t="str">
        <f>IFERROR(__xludf.DUMMYFUNCTION("""COMPUTED_VALUE"""),"In-Person")</f>
        <v>In-Person</v>
      </c>
      <c r="H1098" s="7" t="str">
        <f>IFERROR(__xludf.DUMMYFUNCTION("""COMPUTED_VALUE"""),"Hall 4/5")</f>
        <v>Hall 4/5</v>
      </c>
      <c r="I1098" s="7" t="str">
        <f>IFERROR(__xludf.DUMMYFUNCTION("""COMPUTED_VALUE"""),"Session 12: IP-Posters")</f>
        <v>Session 12: IP-Posters</v>
      </c>
      <c r="J1098" s="7" t="str">
        <f>IFERROR(__xludf.DUMMYFUNCTION("""COMPUTED_VALUE"""),"Findings Posters - In-Person 4")</f>
        <v>Findings Posters - In-Person 4</v>
      </c>
      <c r="K1098" s="7"/>
      <c r="L1098" s="8">
        <f>IFERROR(__xludf.DUMMYFUNCTION("""COMPUTED_VALUE"""),45868.0)</f>
        <v>45868</v>
      </c>
      <c r="M1098" s="7" t="str">
        <f>IFERROR(__xludf.DUMMYFUNCTION("""COMPUTED_VALUE"""),"11:00-12:30")</f>
        <v>11:00-12:30</v>
      </c>
      <c r="N1098" s="7"/>
    </row>
    <row r="1099">
      <c r="A1099" s="7" t="str">
        <f>IFERROR(__xludf.DUMMYFUNCTION("""COMPUTED_VALUE"""),"3873-FIND")</f>
        <v>3873-FIND</v>
      </c>
      <c r="B1099" s="7" t="str">
        <f>IFERROR(__xludf.DUMMYFUNCTION("""COMPUTED_VALUE"""),"Adaptive Detoxification: Safeguarding General Capabilities of LLMs through Toxicity-Aware Knowledge Editing")</f>
        <v>Adaptive Detoxification: Safeguarding General Capabilities of LLMs through Toxicity-Aware Knowledge Editing</v>
      </c>
      <c r="C1099" s="7" t="str">
        <f>IFERROR(__xludf.DUMMYFUNCTION("""COMPUTED_VALUE"""),"Large language models (LLMs) exhibit impressive language capabilities but remain vulnerable to malicious prompts and jailbreaking attacks. Existing knowledge editing methods for LLM detoxification face two major challenges. First, they often rely on entit"&amp;"y-specific localization, making them ineffective against adversarial inputs without explicit entities. Second, these methods suffer from over-editing, where detoxified models reject legitimate queries, compromising overall performance. In this paper, we p"&amp;"ropose ToxEdit, a toxicity-aware knowledge editing approach that dynamically detects toxic activation patterns during forward propagation. It then routes computations through adaptive inter-layer pathways to mitigate toxicity effectively. This design ensu"&amp;"res precise toxicity mitigation while preserving LLMs' general capabilities. To more accurately assess over-editing, we also enhance the SafeEdit benchmark by incorporating instruction-following evaluation tasks. Experimental results on multiple LLMs demo"&amp;"nstrate that our ToxEdit outperforms previous state-of-the-art methods in both detoxification performance and safeguarding general capabilities of LLMs.")</f>
        <v>Large language models (LLMs) exhibit impressive language capabilities but remain vulnerable to malicious prompts and jailbreaking attacks. Existing knowledge editing methods for LLM detoxification face two major challenges. First, they often rely on entity-specific localization, making them ineffective against adversarial inputs without explicit entities. Second, these methods suffer from over-editing, where detoxified models reject legitimate queries, compromising overall performance. In this paper, we propose ToxEdit, a toxicity-aware knowledge editing approach that dynamically detects toxic activation patterns during forward propagation. It then routes computations through adaptive inter-layer pathways to mitigate toxicity effectively. This design ensures precise toxicity mitigation while preserving LLMs' general capabilities. To more accurately assess over-editing, we also enhance the SafeEdit benchmark by incorporating instruction-following evaluation tasks. Experimental results on multiple LLMs demonstrate that our ToxEdit outperforms previous state-of-the-art methods in both detoxification performance and safeguarding general capabilities of LLMs.</v>
      </c>
      <c r="D1099" s="7" t="str">
        <f>IFERROR(__xludf.DUMMYFUNCTION("""COMPUTED_VALUE"""),"I do not plan to present.")</f>
        <v>I do not plan to present.</v>
      </c>
      <c r="E1099" s="7" t="str">
        <f>IFERROR(__xludf.DUMMYFUNCTION("""COMPUTED_VALUE"""),"#N/A")</f>
        <v>#N/A</v>
      </c>
      <c r="F1099" s="7" t="str">
        <f>IFERROR(__xludf.DUMMYFUNCTION("""COMPUTED_VALUE"""),"Not Pres. ")</f>
        <v>Not Pres. </v>
      </c>
      <c r="G1099" s="7" t="str">
        <f>IFERROR(__xludf.DUMMYFUNCTION("""COMPUTED_VALUE"""),"NP Findings Not Presenting ")</f>
        <v>NP Findings Not Presenting </v>
      </c>
      <c r="H1099" s="7"/>
      <c r="I1099" s="7" t="str">
        <f>IFERROR(__xludf.DUMMYFUNCTION("""COMPUTED_VALUE"""),"NP-Find")</f>
        <v>NP-Find</v>
      </c>
      <c r="J1099" s="7"/>
      <c r="K1099" s="7"/>
      <c r="L1099" s="8"/>
      <c r="M1099" s="7"/>
      <c r="N1099" s="7"/>
    </row>
    <row r="1100">
      <c r="A1100" s="7" t="str">
        <f>IFERROR(__xludf.DUMMYFUNCTION("""COMPUTED_VALUE"""),"3877-FIND")</f>
        <v>3877-FIND</v>
      </c>
      <c r="B1100" s="7" t="str">
        <f>IFERROR(__xludf.DUMMYFUNCTION("""COMPUTED_VALUE"""),"Evaluating the Long-Term Memory of Large Language Models")</f>
        <v>Evaluating the Long-Term Memory of Large Language Models</v>
      </c>
      <c r="C1100" s="7" t="str">
        <f>IFERROR(__xludf.DUMMYFUNCTION("""COMPUTED_VALUE"""),"In applications such as dialogue systems, personalized recommendations, and personal assistants, large language models (LLMs) need to retain and utilize historical information over the long term to provide more accurate and consistent responses. Although "&amp;"long-term memory capability is crucial, recent studies have not thoroughly investigated the memory performance of large language models in long-term tasks. To address this gap, we introduce the Long-term Chronological Conversations (LOCCO) dataset and con"&amp;"duct a quantitative evaluation of the long-term memory capabilities of large language models. Experimental results demonstrate that large language models can retain past interaction information to a certain extent, but their memory decays over time. While"&amp;" rehearsal strategies can enhance memory persistence, excessive rehearsal is not an effective memory strategy for large models, unlike in smaller models. Additionally, the models exhibit memory preferences across different categories of information. Our s"&amp;"tudy not only provides a new framework and dataset for evaluating the long-term memory capabilities of large language models but also offers important references for future enhancements of their memory persistence.")</f>
        <v>In applications such as dialogue systems, personalized recommendations, and personal assistants, large language models (LLMs) need to retain and utilize historical information over the long term to provide more accurate and consistent responses. Although long-term memory capability is crucial, recent studies have not thoroughly investigated the memory performance of large language models in long-term tasks. To address this gap, we introduce the Long-term Chronological Conversations (LOCCO) dataset and conduct a quantitative evaluation of the long-term memory capabilities of large language models. Experimental results demonstrate that large language models can retain past interaction information to a certain extent, but their memory decays over time. While rehearsal strategies can enhance memory persistence, excessive rehearsal is not an effective memory strategy for large models, unlike in smaller models. Additionally, the models exhibit memory preferences across different categories of information. Our study not only provides a new framework and dataset for evaluating the long-term memory capabilities of large language models but also offers important references for future enhancements of their memory persistence.</v>
      </c>
      <c r="D1100" s="7" t="str">
        <f>IFERROR(__xludf.DUMMYFUNCTION("""COMPUTED_VALUE"""),"Zixi Jia")</f>
        <v>Zixi Jia</v>
      </c>
      <c r="E1100" s="7" t="str">
        <f>IFERROR(__xludf.DUMMYFUNCTION("""COMPUTED_VALUE"""),"#N/A")</f>
        <v>#N/A</v>
      </c>
      <c r="F1100" s="7" t="str">
        <f>IFERROR(__xludf.DUMMYFUNCTION("""COMPUTED_VALUE"""),"Not Pres. ")</f>
        <v>Not Pres. </v>
      </c>
      <c r="G1100" s="7" t="str">
        <f>IFERROR(__xludf.DUMMYFUNCTION("""COMPUTED_VALUE"""),"NP Findings Not Presenting ")</f>
        <v>NP Findings Not Presenting </v>
      </c>
      <c r="H1100" s="7"/>
      <c r="I1100" s="7" t="str">
        <f>IFERROR(__xludf.DUMMYFUNCTION("""COMPUTED_VALUE"""),"NP-Find")</f>
        <v>NP-Find</v>
      </c>
      <c r="J1100" s="7"/>
      <c r="K1100" s="7"/>
      <c r="L1100" s="8"/>
      <c r="M1100" s="7"/>
      <c r="N1100" s="7"/>
    </row>
    <row r="1101">
      <c r="A1101" s="7" t="str">
        <f>IFERROR(__xludf.DUMMYFUNCTION("""COMPUTED_VALUE"""),"3884-FIND")</f>
        <v>3884-FIND</v>
      </c>
      <c r="B1101" s="7" t="str">
        <f>IFERROR(__xludf.DUMMYFUNCTION("""COMPUTED_VALUE"""),"Explain-then-Process: Using Grammar Prompting to Enhance Grammatical Acceptability Judgments")</f>
        <v>Explain-then-Process: Using Grammar Prompting to Enhance Grammatical Acceptability Judgments</v>
      </c>
      <c r="C1101" s="7" t="str">
        <f>IFERROR(__xludf.DUMMYFUNCTION("""COMPUTED_VALUE"""),"Large language models can explain grammatical rules, yet they often fail to apply those rules when judging sentence acceptability. We present grammar prompting, an explain‑then‑process paradigm: the model first produces a concise explanation of the releva"&amp;"nt syntactic phenomenon, then receives that explanation back as context before deciding which sentence of a minimal pair is grammatical. On the English BLiMP, Chinese SLING, and Russian RuBLiMP benchmarks, this simple prompt design yields substantial impr"&amp;"ovements over strong baselines across a wide range of syntactic phenomena. By feeding the model its own metalinguistic explanations, grammar prompting narrows the gap between knowing a rule and using it, offering a lightweight, language‑agnostic tool for "&amp;"better syntactic reasoning in multilingual settings.")</f>
        <v>Large language models can explain grammatical rules, yet they often fail to apply those rules when judging sentence acceptability. We present grammar prompting, an explain‑then‑process paradigm: the model first produces a concise explanation of the relevant syntactic phenomenon, then receives that explanation back as context before deciding which sentence of a minimal pair is grammatical. On the English BLiMP, Chinese SLING, and Russian RuBLiMP benchmarks, this simple prompt design yields substantial improvements over strong baselines across a wide range of syntactic phenomena. By feeding the model its own metalinguistic explanations, grammar prompting narrows the gap between knowing a rule and using it, offering a lightweight, language‑agnostic tool for better syntactic reasoning in multilingual settings.</v>
      </c>
      <c r="D1101" s="7" t="str">
        <f>IFERROR(__xludf.DUMMYFUNCTION("""COMPUTED_VALUE"""),"Russell Scheinberg")</f>
        <v>Russell Scheinberg</v>
      </c>
      <c r="E1101" s="7" t="str">
        <f>IFERROR(__xludf.DUMMYFUNCTION("""COMPUTED_VALUE"""),"Yes")</f>
        <v>Yes</v>
      </c>
      <c r="F1101" s="7" t="str">
        <f>IFERROR(__xludf.DUMMYFUNCTION("""COMPUTED_VALUE"""),"IP-Poster")</f>
        <v>IP-Poster</v>
      </c>
      <c r="G1101" s="7" t="str">
        <f>IFERROR(__xludf.DUMMYFUNCTION("""COMPUTED_VALUE"""),"In-Person")</f>
        <v>In-Person</v>
      </c>
      <c r="H1101" s="7" t="str">
        <f>IFERROR(__xludf.DUMMYFUNCTION("""COMPUTED_VALUE"""),"Hall 4/5")</f>
        <v>Hall 4/5</v>
      </c>
      <c r="I1101" s="7" t="str">
        <f>IFERROR(__xludf.DUMMYFUNCTION("""COMPUTED_VALUE"""),"Session 5 :IP-Posters Find ")</f>
        <v>Session 5 :IP-Posters Find </v>
      </c>
      <c r="J1101" s="7" t="str">
        <f>IFERROR(__xludf.DUMMYFUNCTION("""COMPUTED_VALUE"""),"Findings Posters - In-Person 1")</f>
        <v>Findings Posters - In-Person 1</v>
      </c>
      <c r="K1101" s="7"/>
      <c r="L1101" s="8">
        <f>IFERROR(__xludf.DUMMYFUNCTION("""COMPUTED_VALUE"""),45866.0)</f>
        <v>45866</v>
      </c>
      <c r="M1101" s="7" t="str">
        <f>IFERROR(__xludf.DUMMYFUNCTION("""COMPUTED_VALUE"""),"18:00-19:30")</f>
        <v>18:00-19:30</v>
      </c>
      <c r="N1101" s="7"/>
    </row>
    <row r="1102">
      <c r="A1102" s="7" t="str">
        <f>IFERROR(__xludf.DUMMYFUNCTION("""COMPUTED_VALUE"""),"3887-FIND")</f>
        <v>3887-FIND</v>
      </c>
      <c r="B1102" s="7" t="str">
        <f>IFERROR(__xludf.DUMMYFUNCTION("""COMPUTED_VALUE"""),"Data Interpreter: An LLM Agent for Data Science")</f>
        <v>Data Interpreter: An LLM Agent for Data Science</v>
      </c>
      <c r="C1102" s="7" t="str">
        <f>IFERROR(__xludf.DUMMYFUNCTION("""COMPUTED_VALUE"""),"Large Language Model (LLM)-based agents have excelled in various domains but face significant challenges when applied to data science workflows due to their complex, multi-stage nature. Current LLM-based agents struggle with non-linear relationships, recu"&amp;"rsive dependencies, implicit data- and logic-dependent reasoning, and managing extensive context. In this paper, we introduce Data Interpreter, an LLM-based agent that addresses these challenges through hierarchical graph-based modeling to represent the c"&amp;"omplexity and a progressive strategy for step-by-step verification, refinement, and consistent context management. Extensive experiments confirm the effectiveness of Data Interpreter. On InfiAgent-DABench, it boosts performance by 25% (from 75.9% to 94.9%"&amp;"), and on machine learning and open-ended tasks, it lifts accuracy from 88% to 95% and from 60% to 97%, respectively. Moreover, our method surpasses state-of-the-art baselines by 26% on the MATH dataset. We will release the code upon publication.")</f>
        <v>Large Language Model (LLM)-based agents have excelled in various domains but face significant challenges when applied to data science workflows due to their complex, multi-stage nature. Current LLM-based agents struggle with non-linear relationships, recursive dependencies, implicit data- and logic-dependent reasoning, and managing extensive context. In this paper, we introduce Data Interpreter, an LLM-based agent that addresses these challenges through hierarchical graph-based modeling to represent the complexity and a progressive strategy for step-by-step verification, refinement, and consistent context management. Extensive experiments confirm the effectiveness of Data Interpreter. On InfiAgent-DABench, it boosts performance by 25% (from 75.9% to 94.9%), and on machine learning and open-ended tasks, it lifts accuracy from 88% to 95% and from 60% to 97%, respectively. Moreover, our method surpasses state-of-the-art baselines by 26% on the MATH dataset. We will release the code upon publication.</v>
      </c>
      <c r="D1102" s="7" t="str">
        <f>IFERROR(__xludf.DUMMYFUNCTION("""COMPUTED_VALUE"""),"Sirui Hong")</f>
        <v>Sirui Hong</v>
      </c>
      <c r="E1102" s="7" t="str">
        <f>IFERROR(__xludf.DUMMYFUNCTION("""COMPUTED_VALUE"""),"#N/A")</f>
        <v>#N/A</v>
      </c>
      <c r="F1102" s="7" t="str">
        <f>IFERROR(__xludf.DUMMYFUNCTION("""COMPUTED_VALUE"""),"Not Pres. ")</f>
        <v>Not Pres. </v>
      </c>
      <c r="G1102" s="7" t="str">
        <f>IFERROR(__xludf.DUMMYFUNCTION("""COMPUTED_VALUE"""),"NP Findings Not Presenting ")</f>
        <v>NP Findings Not Presenting </v>
      </c>
      <c r="H1102" s="7"/>
      <c r="I1102" s="7" t="str">
        <f>IFERROR(__xludf.DUMMYFUNCTION("""COMPUTED_VALUE"""),"NP-Find")</f>
        <v>NP-Find</v>
      </c>
      <c r="J1102" s="7"/>
      <c r="K1102" s="7"/>
      <c r="L1102" s="8"/>
      <c r="M1102" s="7"/>
      <c r="N1102" s="7"/>
    </row>
    <row r="1103">
      <c r="A1103" s="7" t="str">
        <f>IFERROR(__xludf.DUMMYFUNCTION("""COMPUTED_VALUE"""),"3893-FIND")</f>
        <v>3893-FIND</v>
      </c>
      <c r="B1103" s="7" t="str">
        <f>IFERROR(__xludf.DUMMYFUNCTION("""COMPUTED_VALUE"""),"DReSD: Dense Retrieval for Speculative Decoding")</f>
        <v>DReSD: Dense Retrieval for Speculative Decoding</v>
      </c>
      <c r="C1103" s="7" t="str">
        <f>IFERROR(__xludf.DUMMYFUNCTION("""COMPUTED_VALUE"""),"Speculative decoding (SD) accelerates Large Language Model (LLM) generation by using an efficient draft model to propose the next few tokens, which are verified by the LLM in a single forward call, reducing latency while preserving its outputs. We focus o"&amp;"n retrieval-based SD where the draft model retrieves the next tokens from a non-parametric datastore. Sparse retrieval \cite[REST], which operates on the surface form of strings, is currently the dominant paradigm due to its simplicity and scalability. Ho"&amp;"wever, its effectiveness is limited due to the usage of short contexts and exact string matching. Instead, we introduce Dense Retrieval for Speculative Decoding (DReSD), a novel framework that uses approximate nearest neighbour search with contextualised "&amp;"token embeddings to retrieve the most semantically relevant token sequences for SD. Extensive experiments show that DReSD achieves (on average) 87% higher acceptance rates, 65% longer accepted tokens and 19% faster generation speeds compared to sparse ret"&amp;"rieval (REST).")</f>
        <v>Speculative decoding (SD) accelerates Large Language Model (LLM) generation by using an efficient draft model to propose the next few tokens, which are verified by the LLM in a single forward call, reducing latency while preserving its outputs. We focus on retrieval-based SD where the draft model retrieves the next tokens from a non-parametric datastore. Sparse retrieval \cite[REST], which operates on the surface form of strings, is currently the dominant paradigm due to its simplicity and scalability. However, its effectiveness is limited due to the usage of short contexts and exact string matching. Instead, we introduce Dense Retrieval for Speculative Decoding (DReSD), a novel framework that uses approximate nearest neighbour search with contextualised token embeddings to retrieve the most semantically relevant token sequences for SD. Extensive experiments show that DReSD achieves (on average) 87% higher acceptance rates, 65% longer accepted tokens and 19% faster generation speeds compared to sparse retrieval (REST).</v>
      </c>
      <c r="D1103" s="7" t="str">
        <f>IFERROR(__xludf.DUMMYFUNCTION("""COMPUTED_VALUE"""),"Gerasimos Lampouras")</f>
        <v>Gerasimos Lampouras</v>
      </c>
      <c r="E1103" s="7" t="str">
        <f>IFERROR(__xludf.DUMMYFUNCTION("""COMPUTED_VALUE"""),"Yes")</f>
        <v>Yes</v>
      </c>
      <c r="F1103" s="7" t="str">
        <f>IFERROR(__xludf.DUMMYFUNCTION("""COMPUTED_VALUE"""),"IP-Poster")</f>
        <v>IP-Poster</v>
      </c>
      <c r="G1103" s="7" t="str">
        <f>IFERROR(__xludf.DUMMYFUNCTION("""COMPUTED_VALUE"""),"In-Person")</f>
        <v>In-Person</v>
      </c>
      <c r="H1103" s="7" t="str">
        <f>IFERROR(__xludf.DUMMYFUNCTION("""COMPUTED_VALUE"""),"Hall 4/5")</f>
        <v>Hall 4/5</v>
      </c>
      <c r="I1103" s="7" t="str">
        <f>IFERROR(__xludf.DUMMYFUNCTION("""COMPUTED_VALUE"""),"Session 10: IP-Posters")</f>
        <v>Session 10: IP-Posters</v>
      </c>
      <c r="J1103" s="7" t="str">
        <f>IFERROR(__xludf.DUMMYFUNCTION("""COMPUTED_VALUE"""),"Findings Posters - In-Person 3")</f>
        <v>Findings Posters - In-Person 3</v>
      </c>
      <c r="K1103" s="7"/>
      <c r="L1103" s="8">
        <f>IFERROR(__xludf.DUMMYFUNCTION("""COMPUTED_VALUE"""),45867.0)</f>
        <v>45867</v>
      </c>
      <c r="M1103" s="7" t="str">
        <f>IFERROR(__xludf.DUMMYFUNCTION("""COMPUTED_VALUE"""),"16:00-17:30")</f>
        <v>16:00-17:30</v>
      </c>
      <c r="N1103" s="7"/>
    </row>
    <row r="1104">
      <c r="A1104" s="7" t="str">
        <f>IFERROR(__xludf.DUMMYFUNCTION("""COMPUTED_VALUE"""),"3895-FIND")</f>
        <v>3895-FIND</v>
      </c>
      <c r="B1104" s="7" t="str">
        <f>IFERROR(__xludf.DUMMYFUNCTION("""COMPUTED_VALUE"""),"Core: Robust Factual Precision with Informative Sub-Claim Identification")</f>
        <v>Core: Robust Factual Precision with Informative Sub-Claim Identification</v>
      </c>
      <c r="C1104" s="7" t="str">
        <f>IFERROR(__xludf.DUMMYFUNCTION("""COMPUTED_VALUE"""),"Hallucinations pose a challenge to the application of large language models (LLMs) thereby motivating the development of metrics to evaluate factual precision. We observe that popular metrics using the Decompose-Then-Verify framework, such as FActScore, c"&amp;"an be manipulated by adding obvious or repetitive subclaims to artificially inflate scores. This observation motivates our new customizable plug-and-play subclaim selection component called Core, which filters down individual subclaims according to their "&amp;"uniqueness and informativeness. We show that many popular factual precision metrics augmented by Core are substantially more robust on a wide range of knowledge domains. We release an evaluation framework supporting easy and modular use of Core and variou"&amp;"s decomposition strategies, which we recommend adoption by the community. We also release an expansion of the FActScore biography dataset to facilitate further studies of decomposition-based factual precision evaluation.")</f>
        <v>Hallucinations pose a challenge to the application of large language models (LLMs) thereby motivating the development of metrics to evaluate factual precision. We observe that popular metrics using the Decompose-Then-Verify framework, such as FActScore, can be manipulated by adding obvious or repetitive subclaims to artificially inflate scores. This observation motivates our new customizable plug-and-play subclaim selection component called Core, which filters down individual subclaims according to their uniqueness and informativeness. We show that many popular factual precision metrics augmented by Core are substantially more robust on a wide range of knowledge domains. We release an evaluation framework supporting easy and modular use of Core and various decomposition strategies, which we recommend adoption by the community. We also release an expansion of the FActScore biography dataset to facilitate further studies of decomposition-based factual precision evaluation.</v>
      </c>
      <c r="D1104" s="7" t="str">
        <f>IFERROR(__xludf.DUMMYFUNCTION("""COMPUTED_VALUE"""),"Zhengping Jiang")</f>
        <v>Zhengping Jiang</v>
      </c>
      <c r="E1104" s="7" t="str">
        <f>IFERROR(__xludf.DUMMYFUNCTION("""COMPUTED_VALUE"""),"N/A")</f>
        <v>N/A</v>
      </c>
      <c r="F1104" s="7" t="str">
        <f>IFERROR(__xludf.DUMMYFUNCTION("""COMPUTED_VALUE"""),"Not Pres. ")</f>
        <v>Not Pres. </v>
      </c>
      <c r="G1104" s="7" t="str">
        <f>IFERROR(__xludf.DUMMYFUNCTION("""COMPUTED_VALUE"""),"NP Findings Not Presenting ")</f>
        <v>NP Findings Not Presenting </v>
      </c>
      <c r="H1104" s="7"/>
      <c r="I1104" s="7"/>
      <c r="J1104" s="7"/>
      <c r="K1104" s="7"/>
      <c r="L1104" s="8"/>
      <c r="M1104" s="7"/>
      <c r="N1104" s="7"/>
    </row>
    <row r="1105">
      <c r="A1105" s="7" t="str">
        <f>IFERROR(__xludf.DUMMYFUNCTION("""COMPUTED_VALUE"""),"3897-FIND")</f>
        <v>3897-FIND</v>
      </c>
      <c r="B1105" s="7" t="str">
        <f>IFERROR(__xludf.DUMMYFUNCTION("""COMPUTED_VALUE"""),"Rethinking Diverse Human Preference Learning through Principal Component Analysis")</f>
        <v>Rethinking Diverse Human Preference Learning through Principal Component Analysis</v>
      </c>
      <c r="C1105" s="7" t="str">
        <f>IFERROR(__xludf.DUMMYFUNCTION("""COMPUTED_VALUE"""),"Understanding human preferences is crucial for improving foundation models and building personalized AI systems. However, preferences are inherently diverse and complex, making it difficult for traditional reward models to capture their full range. While "&amp;"fine-grained preference data can help, collecting it is expensive and hard to scale. In this paper, we introduce Decomposed Reward Models (DRMs), a novel approach that extracts diverse human preferences from binary comparisons without requiring fine-grain"&amp;"ed annotations. Our key insight is to represent human preferences as vectors and analyze them using Principal Component Analysis (PCA). By constructing a dataset of embedding differences between preferred and rejected responses, DRMs identify orthogonal b"&amp;"asis vectors that capture distinct aspects of preference. These decomposed rewards can be flexibly combined to align with different user needs, offering an interpretable and scalable alternative to traditional reward models. We demonstrate that DRMs effec"&amp;"tively extract meaningful preference dimensions (e.g., helpfulness, safety, humor) and adapt to new users without additional training. Our results highlight DRMs as a powerful framework for personalized and interpretable LLM alignment.")</f>
        <v>Understanding human preferences is crucial for improving foundation models and building personalized AI systems. However, preferences are inherently diverse and complex, making it difficult for traditional reward models to capture their full range. While fine-grained preference data can help, collecting it is expensive and hard to scale. In this paper, we introduce Decomposed Reward Models (DRMs), a novel approach that extracts diverse human preferences from binary comparisons without requiring fine-grained annotations. Our key insight is to represent human preferences as vectors and analyze them using Principal Component Analysis (PCA). By constructing a dataset of embedding differences between preferred and rejected responses, DRMs identify orthogonal basis vectors that capture distinct aspects of preference. These decomposed rewards can be flexibly combined to align with different user needs, offering an interpretable and scalable alternative to traditional reward models. We demonstrate that DRMs effectively extract meaningful preference dimensions (e.g., helpfulness, safety, humor) and adapt to new users without additional training. Our results highlight DRMs as a powerful framework for personalized and interpretable LLM alignment.</v>
      </c>
      <c r="D1105" s="7" t="str">
        <f>IFERROR(__xludf.DUMMYFUNCTION("""COMPUTED_VALUE"""),"Hao Sun")</f>
        <v>Hao Sun</v>
      </c>
      <c r="E1105" s="7" t="str">
        <f>IFERROR(__xludf.DUMMYFUNCTION("""COMPUTED_VALUE"""),"Yes")</f>
        <v>Yes</v>
      </c>
      <c r="F1105" s="7" t="str">
        <f>IFERROR(__xludf.DUMMYFUNCTION("""COMPUTED_VALUE"""),"IP-Poster")</f>
        <v>IP-Poster</v>
      </c>
      <c r="G1105" s="7" t="str">
        <f>IFERROR(__xludf.DUMMYFUNCTION("""COMPUTED_VALUE"""),"In-Person")</f>
        <v>In-Person</v>
      </c>
      <c r="H1105" s="7" t="str">
        <f>IFERROR(__xludf.DUMMYFUNCTION("""COMPUTED_VALUE"""),"Hall 4/5")</f>
        <v>Hall 4/5</v>
      </c>
      <c r="I1105" s="7" t="str">
        <f>IFERROR(__xludf.DUMMYFUNCTION("""COMPUTED_VALUE"""),"Session 10: IP-Posters")</f>
        <v>Session 10: IP-Posters</v>
      </c>
      <c r="J1105" s="7" t="str">
        <f>IFERROR(__xludf.DUMMYFUNCTION("""COMPUTED_VALUE"""),"Findings Posters - In-Person 3")</f>
        <v>Findings Posters - In-Person 3</v>
      </c>
      <c r="K1105" s="7"/>
      <c r="L1105" s="8">
        <f>IFERROR(__xludf.DUMMYFUNCTION("""COMPUTED_VALUE"""),45867.0)</f>
        <v>45867</v>
      </c>
      <c r="M1105" s="7" t="str">
        <f>IFERROR(__xludf.DUMMYFUNCTION("""COMPUTED_VALUE"""),"16:00-17:30")</f>
        <v>16:00-17:30</v>
      </c>
      <c r="N1105" s="7"/>
    </row>
    <row r="1106">
      <c r="A1106" s="7" t="str">
        <f>IFERROR(__xludf.DUMMYFUNCTION("""COMPUTED_VALUE"""),"3899-FIND")</f>
        <v>3899-FIND</v>
      </c>
      <c r="B1106" s="7" t="str">
        <f>IFERROR(__xludf.DUMMYFUNCTION("""COMPUTED_VALUE"""),"Improving Word Alignment Using Semi-Supervised Learning")</f>
        <v>Improving Word Alignment Using Semi-Supervised Learning</v>
      </c>
      <c r="C1106" s="7" t="str">
        <f>IFERROR(__xludf.DUMMYFUNCTION("""COMPUTED_VALUE"""),"Word alignment has many practical applications in natural language processing, such as serving as cross-lingual signals for multilingual sentence embedding and reducing issues of hallucination and omission in machine translation. Current state-of-the-art "&amp;"approaches usually rely on: (1) supervised data and large-scale weakly supervised data constructed from Wikipedia and (2) multilingual Transformer encoder models. However, we find that the current existing state-of-the-art encoder-based method BinaryAlign"&amp;" can be further improved with self-training with a small amount of parallel data. Meanwhile, considering the impressive performance of multilingual large language models on many natural language processing tasks, in this paper, we also explore the possibi"&amp;"lity of using these decoder-based large language models as word aligners. We find that the performance of fine-tuning large language models with only labeled data is not bad but can be further enhanced by pseudo-labeled data. Based on the findings, we pro"&amp;"pose a semi-supervised framework to improve the large language model-based word aligners. Experimental results demonstrate that the proposed method with a small amount of parallel data outperforms the current state-of-the-art method on four word alignment"&amp;" datasets.")</f>
        <v>Word alignment has many practical applications in natural language processing, such as serving as cross-lingual signals for multilingual sentence embedding and reducing issues of hallucination and omission in machine translation. Current state-of-the-art approaches usually rely on: (1) supervised data and large-scale weakly supervised data constructed from Wikipedia and (2) multilingual Transformer encoder models. However, we find that the current existing state-of-the-art encoder-based method BinaryAlign can be further improved with self-training with a small amount of parallel data. Meanwhile, considering the impressive performance of multilingual large language models on many natural language processing tasks, in this paper, we also explore the possibility of using these decoder-based large language models as word aligners. We find that the performance of fine-tuning large language models with only labeled data is not bad but can be further enhanced by pseudo-labeled data. Based on the findings, we propose a semi-supervised framework to improve the large language model-based word aligners. Experimental results demonstrate that the proposed method with a small amount of parallel data outperforms the current state-of-the-art method on four word alignment datasets.</v>
      </c>
      <c r="D1106" s="7" t="str">
        <f>IFERROR(__xludf.DUMMYFUNCTION("""COMPUTED_VALUE"""),"Zhongtao Miao, Masaaki Nagata")</f>
        <v>Zhongtao Miao, Masaaki Nagata</v>
      </c>
      <c r="E1106" s="7" t="str">
        <f>IFERROR(__xludf.DUMMYFUNCTION("""COMPUTED_VALUE"""),"Yes")</f>
        <v>Yes</v>
      </c>
      <c r="F1106" s="7" t="str">
        <f>IFERROR(__xludf.DUMMYFUNCTION("""COMPUTED_VALUE"""),"IP-Poster")</f>
        <v>IP-Poster</v>
      </c>
      <c r="G1106" s="7" t="str">
        <f>IFERROR(__xludf.DUMMYFUNCTION("""COMPUTED_VALUE"""),"In-Person")</f>
        <v>In-Person</v>
      </c>
      <c r="H1106" s="7" t="str">
        <f>IFERROR(__xludf.DUMMYFUNCTION("""COMPUTED_VALUE"""),"Hall 4/5")</f>
        <v>Hall 4/5</v>
      </c>
      <c r="I1106" s="7" t="str">
        <f>IFERROR(__xludf.DUMMYFUNCTION("""COMPUTED_VALUE"""),"Session 5 :IP-Posters Find ")</f>
        <v>Session 5 :IP-Posters Find </v>
      </c>
      <c r="J1106" s="7" t="str">
        <f>IFERROR(__xludf.DUMMYFUNCTION("""COMPUTED_VALUE"""),"Findings Posters - In-Person 1")</f>
        <v>Findings Posters - In-Person 1</v>
      </c>
      <c r="K1106" s="7"/>
      <c r="L1106" s="8">
        <f>IFERROR(__xludf.DUMMYFUNCTION("""COMPUTED_VALUE"""),45866.0)</f>
        <v>45866</v>
      </c>
      <c r="M1106" s="7" t="str">
        <f>IFERROR(__xludf.DUMMYFUNCTION("""COMPUTED_VALUE"""),"18:00-19:30")</f>
        <v>18:00-19:30</v>
      </c>
      <c r="N1106" s="7"/>
    </row>
    <row r="1107">
      <c r="A1107" s="7" t="str">
        <f>IFERROR(__xludf.DUMMYFUNCTION("""COMPUTED_VALUE"""),"3901-FIND")</f>
        <v>3901-FIND</v>
      </c>
      <c r="B1107" s="7" t="str">
        <f>IFERROR(__xludf.DUMMYFUNCTION("""COMPUTED_VALUE"""),"How Do LLMs Acquire New Knowledge? A Knowledge Circuits Perspective on Continual Pre-Training")</f>
        <v>How Do LLMs Acquire New Knowledge? A Knowledge Circuits Perspective on Continual Pre-Training</v>
      </c>
      <c r="C1107" s="7" t="str">
        <f>IFERROR(__xludf.DUMMYFUNCTION("""COMPUTED_VALUE"""),"Despite exceptional capabilities in knowledge-intensive tasks, Large Language Models (LLMs) face a critical gap in understanding how they internalize new knowledge, particularly how acquired knowledge becomes structurally embedded in their neural computat"&amp;"ions. We address this issue through the lens of knowledge circuit evolution, identifying computational subgraphs that facilitate knowledge storage and processing. Our systematic analysis of circuit evolution throughout continual pre-training reveals sever"&amp;"al key findings: (1) the acquisition of new knowledge is influenced by its relevance to pre-existing knowledge; (2) the evolution of knowledge circuits exhibits a distinct phase shift from formation to optimization; (3) the evolution of knowledge circuits"&amp;" follows a deep-to-shallow pattern. These insights not only advance our theoretical understanding of the mechanisms of new knowledge acquisition in LLMs, but also provide potential implications for improving continual pre-training strategies to enhance mo"&amp;"del performance.")</f>
        <v>Despite exceptional capabilities in knowledge-intensive tasks, Large Language Models (LLMs) face a critical gap in understanding how they internalize new knowledge, particularly how acquired knowledge becomes structurally embedded in their neural computations. We address this issue through the lens of knowledge circuit evolution, identifying computational subgraphs that facilitate knowledge storage and processing. Our systematic analysis of circuit evolution throughout continual pre-training reveals several key findings: (1) the acquisition of new knowledge is influenced by its relevance to pre-existing knowledge; (2) the evolution of knowledge circuits exhibits a distinct phase shift from formation to optimization; (3) the evolution of knowledge circuits follows a deep-to-shallow pattern. These insights not only advance our theoretical understanding of the mechanisms of new knowledge acquisition in LLMs, but also provide potential implications for improving continual pre-training strategies to enhance model performance.</v>
      </c>
      <c r="D1107" s="7" t="str">
        <f>IFERROR(__xludf.DUMMYFUNCTION("""COMPUTED_VALUE"""),"Ningyu Zhang")</f>
        <v>Ningyu Zhang</v>
      </c>
      <c r="E1107" s="7" t="str">
        <f>IFERROR(__xludf.DUMMYFUNCTION("""COMPUTED_VALUE"""),"Yes")</f>
        <v>Yes</v>
      </c>
      <c r="F1107" s="7" t="str">
        <f>IFERROR(__xludf.DUMMYFUNCTION("""COMPUTED_VALUE"""),"IP-Poster")</f>
        <v>IP-Poster</v>
      </c>
      <c r="G1107" s="7" t="str">
        <f>IFERROR(__xludf.DUMMYFUNCTION("""COMPUTED_VALUE"""),"In-Person")</f>
        <v>In-Person</v>
      </c>
      <c r="H1107" s="7" t="str">
        <f>IFERROR(__xludf.DUMMYFUNCTION("""COMPUTED_VALUE"""),"Hall 4/5")</f>
        <v>Hall 4/5</v>
      </c>
      <c r="I1107" s="7" t="str">
        <f>IFERROR(__xludf.DUMMYFUNCTION("""COMPUTED_VALUE"""),"Session 7: IP-Posters")</f>
        <v>Session 7: IP-Posters</v>
      </c>
      <c r="J1107" s="7" t="str">
        <f>IFERROR(__xludf.DUMMYFUNCTION("""COMPUTED_VALUE"""),"Findings Posters - In-Person 2")</f>
        <v>Findings Posters - In-Person 2</v>
      </c>
      <c r="K1107" s="7"/>
      <c r="L1107" s="8">
        <f>IFERROR(__xludf.DUMMYFUNCTION("""COMPUTED_VALUE"""),45867.0)</f>
        <v>45867</v>
      </c>
      <c r="M1107" s="7" t="str">
        <f>IFERROR(__xludf.DUMMYFUNCTION("""COMPUTED_VALUE"""),"10:30-12:00")</f>
        <v>10:30-12:00</v>
      </c>
      <c r="N1107" s="7"/>
    </row>
    <row r="1108">
      <c r="A1108" s="7" t="str">
        <f>IFERROR(__xludf.DUMMYFUNCTION("""COMPUTED_VALUE"""),"3902-FIND")</f>
        <v>3902-FIND</v>
      </c>
      <c r="B1108" s="7" t="str">
        <f>IFERROR(__xludf.DUMMYFUNCTION("""COMPUTED_VALUE"""),"LLM-Symbolic Integration for Robust Temporal Tabular Reasoning")</f>
        <v>LLM-Symbolic Integration for Robust Temporal Tabular Reasoning</v>
      </c>
      <c r="C1108" s="7" t="str">
        <f>IFERROR(__xludf.DUMMYFUNCTION("""COMPUTED_VALUE"""),"Temporal tabular question answering presents a significant challenge for Large Language Models (LLMs), requiring robust reasoning over structured data—a task where traditional prompting methods often fall short. These methods face challenges such as memor"&amp;"ization, sensitivity to table size, and reduced performance on complex queries. To overcome these limitations, we introduce TEMPTABQA-C, a synthetic dataset designed for systematic and controlled evaluations, alongside a symbolic intermediate representati"&amp;"on that transforms tables into database schemas. This structured approach allows LLMs to generate and execute SQL queries, enhancing generalization and mitigating biases. By incorporating adaptive fewshot prompting with contextually tailored examples, our"&amp;" method achieves superior robustness, scalability, and performance. Experimental results consistently highlight improvements across key challenges, setting a new benchmark for robust temporal reasoning with LLMs.")</f>
        <v>Temporal tabular question answering presents a significant challenge for Large Language Models (LLMs), requiring robust reasoning over structured data—a task where traditional prompting methods often fall short. These methods face challenges such as memorization, sensitivity to table size, and reduced performance on complex queries. To overcome these limitations, we introduce TEMPTABQA-C, a synthetic dataset designed for systematic and controlled evaluations, alongside a symbolic intermediate representation that transforms tables into database schemas. This structured approach allows LLMs to generate and execute SQL queries, enhancing generalization and mitigating biases. By incorporating adaptive fewshot prompting with contextually tailored examples, our method achieves superior robustness, scalability, and performance. Experimental results consistently highlight improvements across key challenges, setting a new benchmark for robust temporal reasoning with LLMs.</v>
      </c>
      <c r="D1108" s="7" t="str">
        <f>IFERROR(__xludf.DUMMYFUNCTION("""COMPUTED_VALUE"""),"Atharv Kulkarni")</f>
        <v>Atharv Kulkarni</v>
      </c>
      <c r="E1108" s="7" t="str">
        <f>IFERROR(__xludf.DUMMYFUNCTION("""COMPUTED_VALUE"""),"Yes")</f>
        <v>Yes</v>
      </c>
      <c r="F1108" s="7" t="str">
        <f>IFERROR(__xludf.DUMMYFUNCTION("""COMPUTED_VALUE"""),"IP-Poster")</f>
        <v>IP-Poster</v>
      </c>
      <c r="G1108" s="7" t="str">
        <f>IFERROR(__xludf.DUMMYFUNCTION("""COMPUTED_VALUE"""),"In-Person")</f>
        <v>In-Person</v>
      </c>
      <c r="H1108" s="7" t="str">
        <f>IFERROR(__xludf.DUMMYFUNCTION("""COMPUTED_VALUE"""),"Hall 4/5")</f>
        <v>Hall 4/5</v>
      </c>
      <c r="I1108" s="7" t="str">
        <f>IFERROR(__xludf.DUMMYFUNCTION("""COMPUTED_VALUE"""),"Session 7: IP-Posters")</f>
        <v>Session 7: IP-Posters</v>
      </c>
      <c r="J1108" s="7" t="str">
        <f>IFERROR(__xludf.DUMMYFUNCTION("""COMPUTED_VALUE"""),"Findings Posters - In-Person 2")</f>
        <v>Findings Posters - In-Person 2</v>
      </c>
      <c r="K1108" s="7"/>
      <c r="L1108" s="8">
        <f>IFERROR(__xludf.DUMMYFUNCTION("""COMPUTED_VALUE"""),45867.0)</f>
        <v>45867</v>
      </c>
      <c r="M1108" s="7" t="str">
        <f>IFERROR(__xludf.DUMMYFUNCTION("""COMPUTED_VALUE"""),"10:30-12:00")</f>
        <v>10:30-12:00</v>
      </c>
      <c r="N1108" s="7"/>
    </row>
    <row r="1109">
      <c r="A1109" s="7" t="str">
        <f>IFERROR(__xludf.DUMMYFUNCTION("""COMPUTED_VALUE"""),"3903-FIND")</f>
        <v>3903-FIND</v>
      </c>
      <c r="B1109" s="7" t="str">
        <f>IFERROR(__xludf.DUMMYFUNCTION("""COMPUTED_VALUE"""),"Multimodal Large Language Models for Text-rich Image Understanding: A Comprehensive Review")</f>
        <v>Multimodal Large Language Models for Text-rich Image Understanding: A Comprehensive Review</v>
      </c>
      <c r="C1109" s="7" t="str">
        <f>IFERROR(__xludf.DUMMYFUNCTION("""COMPUTED_VALUE"""),"The recent emergence of Multi-modal Large Language Models (MLLMs) has introduced a new dimension to the Text-rich Image Understanding (TIU) field, with models demonstrating impressive and inspiring performance. However, their rapid evolution and widesprea"&amp;"d adoption have made it increasingly challenging to keep up with the latest advancements. To address this, we present a systematic and comprehensive survey to facilitate further research on TIU MLLMs. Initially, we outline the timeline, architecture, and "&amp;"pipeline of nearly all TIU MLLMs. Then, we review the performance of selected models on mainstream benchmarks. Finally, we explore promising directions, challenges, and limitations within the field.")</f>
        <v>The recent emergence of Multi-modal Large Language Models (MLLMs) has introduced a new dimension to the Text-rich Image Understanding (TIU) field, with models demonstrating impressive and inspiring performance. However, their rapid evolution and widespread adoption have made it increasingly challenging to keep up with the latest advancements. To address this, we present a systematic and comprehensive survey to facilitate further research on TIU MLLMs. Initially, we outline the timeline, architecture, and pipeline of nearly all TIU MLLMs. Then, we review the performance of selected models on mainstream benchmarks. Finally, we explore promising directions, challenges, and limitations within the field.</v>
      </c>
      <c r="D1109" s="7" t="str">
        <f>IFERROR(__xludf.DUMMYFUNCTION("""COMPUTED_VALUE"""),"Pei Fu")</f>
        <v>Pei Fu</v>
      </c>
      <c r="E1109" s="7" t="str">
        <f>IFERROR(__xludf.DUMMYFUNCTION("""COMPUTED_VALUE"""),"#N/A")</f>
        <v>#N/A</v>
      </c>
      <c r="F1109" s="7" t="str">
        <f>IFERROR(__xludf.DUMMYFUNCTION("""COMPUTED_VALUE"""),"Not Pres. ")</f>
        <v>Not Pres. </v>
      </c>
      <c r="G1109" s="7" t="str">
        <f>IFERROR(__xludf.DUMMYFUNCTION("""COMPUTED_VALUE"""),"NP Findings Not Presenting ")</f>
        <v>NP Findings Not Presenting </v>
      </c>
      <c r="H1109" s="7"/>
      <c r="I1109" s="7" t="str">
        <f>IFERROR(__xludf.DUMMYFUNCTION("""COMPUTED_VALUE"""),"NP-Find")</f>
        <v>NP-Find</v>
      </c>
      <c r="J1109" s="7"/>
      <c r="K1109" s="7"/>
      <c r="L1109" s="8"/>
      <c r="M1109" s="7"/>
      <c r="N1109" s="7"/>
    </row>
    <row r="1110">
      <c r="A1110" s="7" t="str">
        <f>IFERROR(__xludf.DUMMYFUNCTION("""COMPUTED_VALUE"""),"3911-FIND")</f>
        <v>3911-FIND</v>
      </c>
      <c r="B1110" s="7" t="str">
        <f>IFERROR(__xludf.DUMMYFUNCTION("""COMPUTED_VALUE"""),"PruneVid: Visual Token Pruning for Efficient Video Large Language Models")</f>
        <v>PruneVid: Visual Token Pruning for Efficient Video Large Language Models</v>
      </c>
      <c r="C1110" s="7" t="str">
        <f>IFERROR(__xludf.DUMMYFUNCTION("""COMPUTED_VALUE"""),"We introduce PruneVid, a training-free visual token pruning method designed to enhance the efficiency of multimodal video understanding. While Large Language Models (LLMs) have shown promising performance on video tasks due to their advanced visual compre"&amp;"hension capabilities, the substantial redundancy inherent in video data poses significant computational challenges. To address this issue, PruneVid (1) reduces intrinsic video redundancy by merging temporally static and spatially similar tokens, and (2) l"&amp;"everages LLMs' inherent ability to selectively prune visual tokens irrelevant to specific queries, thereby improving model efficiency. We validate our method across multiple video benchmarks, demonstrating that PruneVid can prune over 80% of tokens while "&amp;"maintaining competitive performance when combined with different video LLMs. Our results highlight PruneVid's superior effectiveness and efficiency compared to existing pruning methods.")</f>
        <v>We introduce PruneVid, a training-free visual token pruning method designed to enhance the efficiency of multimodal video understanding. While Large Language Models (LLMs) have shown promising performance on video tasks due to their advanced visual comprehension capabilities, the substantial redundancy inherent in video data poses significant computational challenges. To address this issue, PruneVid (1) reduces intrinsic video redundancy by merging temporally static and spatially similar tokens, and (2) leverages LLMs' inherent ability to selectively prune visual tokens irrelevant to specific queries, thereby improving model efficiency. We validate our method across multiple video benchmarks, demonstrating that PruneVid can prune over 80% of tokens while maintaining competitive performance when combined with different video LLMs. Our results highlight PruneVid's superior effectiveness and efficiency compared to existing pruning methods.</v>
      </c>
      <c r="D1110" s="7" t="str">
        <f>IFERROR(__xludf.DUMMYFUNCTION("""COMPUTED_VALUE"""),"N/A")</f>
        <v>N/A</v>
      </c>
      <c r="E1110" s="7" t="str">
        <f>IFERROR(__xludf.DUMMYFUNCTION("""COMPUTED_VALUE"""),"#N/A")</f>
        <v>#N/A</v>
      </c>
      <c r="F1110" s="7" t="str">
        <f>IFERROR(__xludf.DUMMYFUNCTION("""COMPUTED_VALUE"""),"Not Pres. ")</f>
        <v>Not Pres. </v>
      </c>
      <c r="G1110" s="7" t="str">
        <f>IFERROR(__xludf.DUMMYFUNCTION("""COMPUTED_VALUE"""),"NP Findings Not Presenting ")</f>
        <v>NP Findings Not Presenting </v>
      </c>
      <c r="H1110" s="7"/>
      <c r="I1110" s="7" t="str">
        <f>IFERROR(__xludf.DUMMYFUNCTION("""COMPUTED_VALUE"""),"NP-Find")</f>
        <v>NP-Find</v>
      </c>
      <c r="J1110" s="7"/>
      <c r="K1110" s="7"/>
      <c r="L1110" s="8"/>
      <c r="M1110" s="7"/>
      <c r="N1110" s="7"/>
    </row>
    <row r="1111">
      <c r="A1111" s="7" t="str">
        <f>IFERROR(__xludf.DUMMYFUNCTION("""COMPUTED_VALUE"""),"3913-FIND")</f>
        <v>3913-FIND</v>
      </c>
      <c r="B1111" s="7" t="str">
        <f>IFERROR(__xludf.DUMMYFUNCTION("""COMPUTED_VALUE"""),"PromptWizard: Optimizing Prompts via Task-Aware, Feedback-Driven Self-Evolution")</f>
        <v>PromptWizard: Optimizing Prompts via Task-Aware, Feedback-Driven Self-Evolution</v>
      </c>
      <c r="C1111" s="7" t="str">
        <f>IFERROR(__xludf.DUMMYFUNCTION("""COMPUTED_VALUE"""),"Large language models (LLMs) have transformed AI across diverse domains, with prompting being central to their success in guiding model outputs. However, manual prompt engineering is both labor-intensive and domain-specific, necessitating the need for aut"&amp;"omated solutions. We introduce PromptWizard, a novel, fully automated framework for discrete prompt optimization, utilizing a self-evolving, self-adapting mechanism. Through a feedback-driven critique and synthesis process, PromptWizard achieves an effect"&amp;"ive balance between exploration and exploitation, iteratively refining both prompt instructions and in-context examples to generate human-readable, task-specific prompts. This guided approach systematically improves prompt quality, resulting in superior p"&amp;"erformance across 45 tasks. PromptWizard excels even with limited training data, smaller LLMs, and various LLM architectures. Additionally, our cost analysis reveals a substantial reduction in API calls, token usage, and overall cost, demonstrating Prompt"&amp;"Wizard's efficiency, scalability, and advantages over existing prompt optimization strategies.")</f>
        <v>Large language models (LLMs) have transformed AI across diverse domains, with prompting being central to their success in guiding model outputs. However, manual prompt engineering is both labor-intensive and domain-specific, necessitating the need for automated solutions. We introduce PromptWizard, a novel, fully automated framework for discrete prompt optimization, utilizing a self-evolving, self-adapting mechanism. Through a feedback-driven critique and synthesis process, PromptWizard achieves an effective balance between exploration and exploitation, iteratively refining both prompt instructions and in-context examples to generate human-readable, task-specific prompts. This guided approach systematically improves prompt quality, resulting in superior performance across 45 tasks. PromptWizard excels even with limited training data, smaller LLMs, and various LLM architectures. Additionally, our cost analysis reveals a substantial reduction in API calls, token usage, and overall cost, demonstrating PromptWizard's efficiency, scalability, and advantages over existing prompt optimization strategies.</v>
      </c>
      <c r="D1111" s="7" t="str">
        <f>IFERROR(__xludf.DUMMYFUNCTION("""COMPUTED_VALUE"""),"Raghav Magazine, Akshay Nambi")</f>
        <v>Raghav Magazine, Akshay Nambi</v>
      </c>
      <c r="E1111" s="7" t="str">
        <f>IFERROR(__xludf.DUMMYFUNCTION("""COMPUTED_VALUE"""),"Yes")</f>
        <v>Yes</v>
      </c>
      <c r="F1111" s="7" t="str">
        <f>IFERROR(__xludf.DUMMYFUNCTION("""COMPUTED_VALUE"""),"IP-Poster")</f>
        <v>IP-Poster</v>
      </c>
      <c r="G1111" s="7" t="str">
        <f>IFERROR(__xludf.DUMMYFUNCTION("""COMPUTED_VALUE"""),"In-Person")</f>
        <v>In-Person</v>
      </c>
      <c r="H1111" s="7" t="str">
        <f>IFERROR(__xludf.DUMMYFUNCTION("""COMPUTED_VALUE"""),"Hall 4/5")</f>
        <v>Hall 4/5</v>
      </c>
      <c r="I1111" s="7" t="str">
        <f>IFERROR(__xludf.DUMMYFUNCTION("""COMPUTED_VALUE"""),"Session 7: IP-Posters")</f>
        <v>Session 7: IP-Posters</v>
      </c>
      <c r="J1111" s="7" t="str">
        <f>IFERROR(__xludf.DUMMYFUNCTION("""COMPUTED_VALUE"""),"Findings Posters - In-Person 2")</f>
        <v>Findings Posters - In-Person 2</v>
      </c>
      <c r="K1111" s="7"/>
      <c r="L1111" s="8">
        <f>IFERROR(__xludf.DUMMYFUNCTION("""COMPUTED_VALUE"""),45867.0)</f>
        <v>45867</v>
      </c>
      <c r="M1111" s="7" t="str">
        <f>IFERROR(__xludf.DUMMYFUNCTION("""COMPUTED_VALUE"""),"10:30-12:00")</f>
        <v>10:30-12:00</v>
      </c>
      <c r="N1111" s="7"/>
    </row>
    <row r="1112">
      <c r="A1112" s="7" t="str">
        <f>IFERROR(__xludf.DUMMYFUNCTION("""COMPUTED_VALUE"""),"3915-FIND")</f>
        <v>3915-FIND</v>
      </c>
      <c r="B1112" s="7" t="str">
        <f>IFERROR(__xludf.DUMMYFUNCTION("""COMPUTED_VALUE"""),"Exposing Numeracy Gaps: A Benchmark to Evaluate Fundamental Numerical Abilities in Large Language Models")</f>
        <v>Exposing Numeracy Gaps: A Benchmark to Evaluate Fundamental Numerical Abilities in Large Language Models</v>
      </c>
      <c r="C1112" s="7" t="str">
        <f>IFERROR(__xludf.DUMMYFUNCTION("""COMPUTED_VALUE"""),"Large Language Models (LLMs) have demonstrated impressive capabilities in natural language processing tasks, such as text generation and semantic understanding. However, their performance on numerical reasoning tasks, such as basic arithmetic, numerical r"&amp;"etrieval, and magnitude comparison, remains surprisingly poor. This gap arises from their reliance on surface-level statistical patterns rather than understanding numbers as continuous magnitudes. Existing benchmarks primarily focus on either linguistic c"&amp;"ompetence or structured mathematical problem-solving, neglecting fundamental numerical reasoning required in real-world scenarios. To bridge this gap, we propose NumericBench, a comprehensive benchmark to evaluate six fundamental numerical capabilities: n"&amp;"umber recognition, arithmetic operations, contextual retrieval, comparison, summary, and multi-step reasoning. NumericBench includes datasets ranging from synthetic number lists to crawled real-world data, addressing challenges like long contexts, noise, "&amp;"and multi-step reasoning. Extensive experiments on state-of-the-art LLMs, including GPT-4 and DeepSeek, reveal persistent weaknesses in numerical reasoning, highlighting the urgent need to improve numerically-aware language modeling. The benchmark is rele"&amp;"ased in the anonymous hyperlink.")</f>
        <v>Large Language Models (LLMs) have demonstrated impressive capabilities in natural language processing tasks, such as text generation and semantic understanding. However, their performance on numerical reasoning tasks, such as basic arithmetic, numerical retrieval, and magnitude comparison, remains surprisingly poor. This gap arises from their reliance on surface-level statistical patterns rather than understanding numbers as continuous magnitudes. Existing benchmarks primarily focus on either linguistic competence or structured mathematical problem-solving, neglecting fundamental numerical reasoning required in real-world scenarios. To bridge this gap, we propose NumericBench, a comprehensive benchmark to evaluate six fundamental numerical capabilities: number recognition, arithmetic operations, contextual retrieval, comparison, summary, and multi-step reasoning. NumericBench includes datasets ranging from synthetic number lists to crawled real-world data, addressing challenges like long contexts, noise, and multi-step reasoning. Extensive experiments on state-of-the-art LLMs, including GPT-4 and DeepSeek, reveal persistent weaknesses in numerical reasoning, highlighting the urgent need to improve numerically-aware language modeling. The benchmark is released in the anonymous hyperlink.</v>
      </c>
      <c r="D1112" s="7" t="str">
        <f>IFERROR(__xludf.DUMMYFUNCTION("""COMPUTED_VALUE"""),"NA")</f>
        <v>NA</v>
      </c>
      <c r="E1112" s="7" t="str">
        <f>IFERROR(__xludf.DUMMYFUNCTION("""COMPUTED_VALUE"""),"#N/A")</f>
        <v>#N/A</v>
      </c>
      <c r="F1112" s="7" t="str">
        <f>IFERROR(__xludf.DUMMYFUNCTION("""COMPUTED_VALUE"""),"Not Pres. ")</f>
        <v>Not Pres. </v>
      </c>
      <c r="G1112" s="7" t="str">
        <f>IFERROR(__xludf.DUMMYFUNCTION("""COMPUTED_VALUE"""),"NP Findings Not Presenting ")</f>
        <v>NP Findings Not Presenting </v>
      </c>
      <c r="H1112" s="7"/>
      <c r="I1112" s="7" t="str">
        <f>IFERROR(__xludf.DUMMYFUNCTION("""COMPUTED_VALUE"""),"NP-Find")</f>
        <v>NP-Find</v>
      </c>
      <c r="J1112" s="7"/>
      <c r="K1112" s="7"/>
      <c r="L1112" s="8"/>
      <c r="M1112" s="7"/>
      <c r="N1112" s="7"/>
    </row>
    <row r="1113">
      <c r="A1113" s="7" t="str">
        <f>IFERROR(__xludf.DUMMYFUNCTION("""COMPUTED_VALUE"""),"3916-FIND")</f>
        <v>3916-FIND</v>
      </c>
      <c r="B1113" s="7" t="str">
        <f>IFERROR(__xludf.DUMMYFUNCTION("""COMPUTED_VALUE"""),"TABGEN-ICL: Residual-Aware In-Context Example Selection for Tabular Data Generation")</f>
        <v>TABGEN-ICL: Residual-Aware In-Context Example Selection for Tabular Data Generation</v>
      </c>
      <c r="C1113" s="7" t="str">
        <f>IFERROR(__xludf.DUMMYFUNCTION("""COMPUTED_VALUE"""),"Large Language models (LLMs) have achieved encouraging results in tabular data generation. However, existing approaches require fine-tuning, which is computationally expensive. This paper explores an alternative: prompting a fixed LLM with in-context exam"&amp;"ples. We observe that using randomly selected in-context examples hampers the LLM’s performance, resulting in sub-optimal generation quality. To address this, we propose a novel in-context learning framework: TabGen-ICL, to enhance the in-context learning"&amp;" ability of LLMs for tabular data generation. TabGen-ICL operates iteratively, retrieving a subset of real samples that represent the residual between currently generated samples and true data distributions. This approach serves two purposes: locally, it "&amp;"provides more effective in-context learning examples for the LLM in each iteration; globally, it progressively narrows the gap between generated and real data. Extensive experiments on five real-world tabular datasets demonstrate that TabGen-ICL significa"&amp;"ntly outperforms the random selection strategy. Specifically, it reduces the error rate by a margin of up to 42.2% on the fidelity metric. We demonstrate for the first time that prompting a fixed LLM can yield high-quality synthetic tabular data.")</f>
        <v>Large Language models (LLMs) have achieved encouraging results in tabular data generation. However, existing approaches require fine-tuning, which is computationally expensive. This paper explores an alternative: prompting a fixed LLM with in-context examples. We observe that using randomly selected in-context examples hampers the LLM’s performance, resulting in sub-optimal generation quality. To address this, we propose a novel in-context learning framework: TabGen-ICL, to enhance the in-context learning ability of LLMs for tabular data generation. TabGen-ICL operates iteratively, retrieving a subset of real samples that represent the residual between currently generated samples and true data distributions. This approach serves two purposes: locally, it provides more effective in-context learning examples for the LLM in each iteration; globally, it progressively narrows the gap between generated and real data. Extensive experiments on five real-world tabular datasets demonstrate that TabGen-ICL significantly outperforms the random selection strategy. Specifically, it reduces the error rate by a margin of up to 42.2% on the fidelity metric. We demonstrate for the first time that prompting a fixed LLM can yield high-quality synthetic tabular data.</v>
      </c>
      <c r="D1113" s="7" t="str">
        <f>IFERROR(__xludf.DUMMYFUNCTION("""COMPUTED_VALUE"""),"N/A")</f>
        <v>N/A</v>
      </c>
      <c r="E1113" s="7" t="str">
        <f>IFERROR(__xludf.DUMMYFUNCTION("""COMPUTED_VALUE"""),"#N/A")</f>
        <v>#N/A</v>
      </c>
      <c r="F1113" s="7" t="str">
        <f>IFERROR(__xludf.DUMMYFUNCTION("""COMPUTED_VALUE"""),"Not Pres. ")</f>
        <v>Not Pres. </v>
      </c>
      <c r="G1113" s="7" t="str">
        <f>IFERROR(__xludf.DUMMYFUNCTION("""COMPUTED_VALUE"""),"NP Findings Not Presenting ")</f>
        <v>NP Findings Not Presenting </v>
      </c>
      <c r="H1113" s="7"/>
      <c r="I1113" s="7" t="str">
        <f>IFERROR(__xludf.DUMMYFUNCTION("""COMPUTED_VALUE"""),"NP-Find")</f>
        <v>NP-Find</v>
      </c>
      <c r="J1113" s="7"/>
      <c r="K1113" s="7"/>
      <c r="L1113" s="8"/>
      <c r="M1113" s="7"/>
      <c r="N1113" s="7"/>
    </row>
    <row r="1114">
      <c r="A1114" s="7" t="str">
        <f>IFERROR(__xludf.DUMMYFUNCTION("""COMPUTED_VALUE"""),"3921-FIND")</f>
        <v>3921-FIND</v>
      </c>
      <c r="B1114" s="7" t="str">
        <f>IFERROR(__xludf.DUMMYFUNCTION("""COMPUTED_VALUE"""),"Benchmarking Multi-National Value Alignment for Large Language Models")</f>
        <v>Benchmarking Multi-National Value Alignment for Large Language Models</v>
      </c>
      <c r="C1114" s="7" t="str">
        <f>IFERROR(__xludf.DUMMYFUNCTION("""COMPUTED_VALUE"""),"Do Large Language Models (LLMs) hold positions that conflict with your country's values? In this paper, we introduce NaVAB, a comprehensive benchmark designed to evaluate the alignment of LLMs with the values of five major nations: China, the United State"&amp;"s, the United Kingdom, France, and Germany. Existing benchmarks, which rely on spectrum tests conducted through questionnaires, often fail to capture the dynamic nature of values across countries and lack in suffcient evaluation data. To address these lim"&amp;"itations, NaVAB implements a value data extraction pipeline to efficiently construct value assessment datasets. This process includes a Conflict Reduction mechanism to filter non-conflicting values for a high-quality benchmark. Through extensive experimen"&amp;"ts on various LLMs (spanning Base vs. Instruct models, non-MoE vs. MoE architectures and Open vs. Closed source), we demonstrate that LLMs can be effectively aligned with the multi-national values by NaVAB.")</f>
        <v>Do Large Language Models (LLMs) hold positions that conflict with your country's values? In this paper, we introduce NaVAB, a comprehensive benchmark designed to evaluate the alignment of LLMs with the values of five major nations: China, the United States, the United Kingdom, France, and Germany. Existing benchmarks, which rely on spectrum tests conducted through questionnaires, often fail to capture the dynamic nature of values across countries and lack in suffcient evaluation data. To address these limitations, NaVAB implements a value data extraction pipeline to efficiently construct value assessment datasets. This process includes a Conflict Reduction mechanism to filter non-conflicting values for a high-quality benchmark. Through extensive experiments on various LLMs (spanning Base vs. Instruct models, non-MoE vs. MoE architectures and Open vs. Closed source), we demonstrate that LLMs can be effectively aligned with the multi-national values by NaVAB.</v>
      </c>
      <c r="D1114" s="7" t="str">
        <f>IFERROR(__xludf.DUMMYFUNCTION("""COMPUTED_VALUE"""),"Chengyi Ju")</f>
        <v>Chengyi Ju</v>
      </c>
      <c r="E1114" s="7" t="str">
        <f>IFERROR(__xludf.DUMMYFUNCTION("""COMPUTED_VALUE"""),"#N/A")</f>
        <v>#N/A</v>
      </c>
      <c r="F1114" s="7" t="str">
        <f>IFERROR(__xludf.DUMMYFUNCTION("""COMPUTED_VALUE"""),"Not Pres. ")</f>
        <v>Not Pres. </v>
      </c>
      <c r="G1114" s="7" t="str">
        <f>IFERROR(__xludf.DUMMYFUNCTION("""COMPUTED_VALUE"""),"NP Findings Not Presenting ")</f>
        <v>NP Findings Not Presenting </v>
      </c>
      <c r="H1114" s="7"/>
      <c r="I1114" s="7" t="str">
        <f>IFERROR(__xludf.DUMMYFUNCTION("""COMPUTED_VALUE"""),"NP-Find")</f>
        <v>NP-Find</v>
      </c>
      <c r="J1114" s="7"/>
      <c r="K1114" s="7"/>
      <c r="L1114" s="8"/>
      <c r="M1114" s="7"/>
      <c r="N1114" s="7"/>
    </row>
    <row r="1115">
      <c r="A1115" s="7" t="str">
        <f>IFERROR(__xludf.DUMMYFUNCTION("""COMPUTED_VALUE"""),"3929-FIND")</f>
        <v>3929-FIND</v>
      </c>
      <c r="B1115" s="7" t="str">
        <f>IFERROR(__xludf.DUMMYFUNCTION("""COMPUTED_VALUE"""),"MotiveBench: How Far Are We From Human-Like Motivational Reasoning in Large Language Models?")</f>
        <v>MotiveBench: How Far Are We From Human-Like Motivational Reasoning in Large Language Models?</v>
      </c>
      <c r="C1115" s="7" t="str">
        <f>IFERROR(__xludf.DUMMYFUNCTION("""COMPUTED_VALUE"""),"Large language models (LLMs) have been widely adopted as the core of agent frameworks in various scenarios, such as social simulations and AI companions. However, the extent to which they can replicate human-like motivations remains an underexplored quest"&amp;"ion. Existing benchmarks are constrained by simplistic scenarios and the absence of character identities, resulting in an information asymmetry with real-world situations. To address this gap, we propose MotiveBench, which consists of 200 rich contextual "&amp;"scenarios and 600 reasoning tasks covering multiple levels of motivation. Using MotiveBench, we conduct extensive experiments on seven popular model families, comparing different scales and versions within each family. The results show that even the most "&amp;"advanced LLMs still fall short in achieving human-like motivational reasoning. Our analysis reveals key findings, including the difficulty LLMs face in reasoning about ""love &amp; belonging"" motivations and their tendency toward excessive rationality and id"&amp;"ealism. These insights highlight a promising direction for future research on the humanization of LLMs.")</f>
        <v>Large language models (LLMs) have been widely adopted as the core of agent frameworks in various scenarios, such as social simulations and AI companions. However, the extent to which they can replicate human-like motivations remains an underexplored question. Existing benchmarks are constrained by simplistic scenarios and the absence of character identities, resulting in an information asymmetry with real-world situations. To address this gap, we propose MotiveBench, which consists of 200 rich contextual scenarios and 600 reasoning tasks covering multiple levels of motivation. Using MotiveBench, we conduct extensive experiments on seven popular model families, comparing different scales and versions within each family. The results show that even the most advanced LLMs still fall short in achieving human-like motivational reasoning. Our analysis reveals key findings, including the difficulty LLMs face in reasoning about "love &amp; belonging" motivations and their tendency toward excessive rationality and idealism. These insights highlight a promising direction for future research on the humanization of LLMs.</v>
      </c>
      <c r="D1115" s="7" t="str">
        <f>IFERROR(__xludf.DUMMYFUNCTION("""COMPUTED_VALUE"""),"N/A")</f>
        <v>N/A</v>
      </c>
      <c r="E1115" s="7" t="str">
        <f>IFERROR(__xludf.DUMMYFUNCTION("""COMPUTED_VALUE"""),"#N/A")</f>
        <v>#N/A</v>
      </c>
      <c r="F1115" s="7" t="str">
        <f>IFERROR(__xludf.DUMMYFUNCTION("""COMPUTED_VALUE"""),"Not Pres. ")</f>
        <v>Not Pres. </v>
      </c>
      <c r="G1115" s="7" t="str">
        <f>IFERROR(__xludf.DUMMYFUNCTION("""COMPUTED_VALUE"""),"NP Findings Not Presenting ")</f>
        <v>NP Findings Not Presenting </v>
      </c>
      <c r="H1115" s="7"/>
      <c r="I1115" s="7" t="str">
        <f>IFERROR(__xludf.DUMMYFUNCTION("""COMPUTED_VALUE"""),"NP-Find")</f>
        <v>NP-Find</v>
      </c>
      <c r="J1115" s="7"/>
      <c r="K1115" s="7"/>
      <c r="L1115" s="8"/>
      <c r="M1115" s="7"/>
      <c r="N1115" s="7"/>
    </row>
    <row r="1116">
      <c r="A1116" s="7" t="str">
        <f>IFERROR(__xludf.DUMMYFUNCTION("""COMPUTED_VALUE"""),"3936-FIND")</f>
        <v>3936-FIND</v>
      </c>
      <c r="B1116" s="7" t="str">
        <f>IFERROR(__xludf.DUMMYFUNCTION("""COMPUTED_VALUE"""),"Confidence Improves Self-Consistency in LLMs")</f>
        <v>Confidence Improves Self-Consistency in LLMs</v>
      </c>
      <c r="C1116" s="7" t="str">
        <f>IFERROR(__xludf.DUMMYFUNCTION("""COMPUTED_VALUE"""),"Self-consistency decoding enhances LLMs' performance on reasoning tasks by sampling diverse reasoning paths and selecting the most frequent answer. However, it is computationally expensive, as sampling many of these (lengthy) paths is required to increase"&amp;" the chances that the correct answer emerges as the most frequent one. To address this, we introduce Confidence-Informed Self-Consistency (CISC). CISC performs a weighted majority vote based on confidence scores obtained directly from the model. By priori"&amp;"tizing high-confidence paths, it can identify the correct answer with a significantly smaller sample size. When tested on nine models and four datasets, CISC outperforms self-consistency in nearly all configurations, reducing the required number of reason"&amp;"ing paths by over 40% on average. In addition, we introduce the notion of within-question confidence evaluation, after showing that standard evaluation methods are poor predictors of success in distinguishing correct and incorrect answers to the same ques"&amp;"tion. In fact, the most calibrated confidence method proved to be the least effective for CISC. Lastly, beyond these practical implications, our results and analyses show that LLMs can effectively judge the correctness of their own outputs, contributing t"&amp;"o the ongoing debate on this topic.")</f>
        <v>Self-consistency decoding enhances LLMs' performance on reasoning tasks by sampling diverse reasoning paths and selecting the most frequent answer. However, it is computationally expensive, as sampling many of these (lengthy) paths is required to increase the chances that the correct answer emerges as the most frequent one. To address this, we introduce Confidence-Informed Self-Consistency (CISC). CISC performs a weighted majority vote based on confidence scores obtained directly from the model. By prioritizing high-confidence paths, it can identify the correct answer with a significantly smaller sample size. When tested on nine models and four datasets, CISC outperforms self-consistency in nearly all configurations, reducing the required number of reasoning paths by over 40% on average. In addition, we introduce the notion of within-question confidence evaluation, after showing that standard evaluation methods are poor predictors of success in distinguishing correct and incorrect answers to the same question. In fact, the most calibrated confidence method proved to be the least effective for CISC. Lastly, beyond these practical implications, our results and analyses show that LLMs can effectively judge the correctness of their own outputs, contributing to the ongoing debate on this topic.</v>
      </c>
      <c r="D1116" s="7" t="str">
        <f>IFERROR(__xludf.DUMMYFUNCTION("""COMPUTED_VALUE"""),"Tom Sheffer")</f>
        <v>Tom Sheffer</v>
      </c>
      <c r="E1116" s="7" t="str">
        <f>IFERROR(__xludf.DUMMYFUNCTION("""COMPUTED_VALUE"""),"Yes")</f>
        <v>Yes</v>
      </c>
      <c r="F1116" s="7" t="str">
        <f>IFERROR(__xludf.DUMMYFUNCTION("""COMPUTED_VALUE"""),"IP-Poster")</f>
        <v>IP-Poster</v>
      </c>
      <c r="G1116" s="7" t="str">
        <f>IFERROR(__xludf.DUMMYFUNCTION("""COMPUTED_VALUE"""),"In-Person")</f>
        <v>In-Person</v>
      </c>
      <c r="H1116" s="7" t="str">
        <f>IFERROR(__xludf.DUMMYFUNCTION("""COMPUTED_VALUE"""),"Hall 4/5")</f>
        <v>Hall 4/5</v>
      </c>
      <c r="I1116" s="7" t="str">
        <f>IFERROR(__xludf.DUMMYFUNCTION("""COMPUTED_VALUE"""),"Session 10: IP-Posters")</f>
        <v>Session 10: IP-Posters</v>
      </c>
      <c r="J1116" s="7" t="str">
        <f>IFERROR(__xludf.DUMMYFUNCTION("""COMPUTED_VALUE"""),"Findings Posters - In-Person 3")</f>
        <v>Findings Posters - In-Person 3</v>
      </c>
      <c r="K1116" s="7"/>
      <c r="L1116" s="8">
        <f>IFERROR(__xludf.DUMMYFUNCTION("""COMPUTED_VALUE"""),45867.0)</f>
        <v>45867</v>
      </c>
      <c r="M1116" s="7" t="str">
        <f>IFERROR(__xludf.DUMMYFUNCTION("""COMPUTED_VALUE"""),"16:00-17:30")</f>
        <v>16:00-17:30</v>
      </c>
      <c r="N1116" s="7"/>
    </row>
    <row r="1117">
      <c r="A1117" s="7" t="str">
        <f>IFERROR(__xludf.DUMMYFUNCTION("""COMPUTED_VALUE"""),"3940-FIND")</f>
        <v>3940-FIND</v>
      </c>
      <c r="B1117" s="7" t="str">
        <f>IFERROR(__xludf.DUMMYFUNCTION("""COMPUTED_VALUE"""),"None of the Above, Less of the Right Parallel Patterns in Human and LLM Performance on Multi-Choice Questions Answering")</f>
        <v>None of the Above, Less of the Right Parallel Patterns in Human and LLM Performance on Multi-Choice Questions Answering</v>
      </c>
      <c r="C1117" s="7" t="str">
        <f>IFERROR(__xludf.DUMMYFUNCTION("""COMPUTED_VALUE"""),"Multiple-choice exam questions with ""None of the above"" (NA) options have been extensively studied in educational testing, in which existing research suggests that they better assess true knowledge. However, their impact on Large Language Models (LLMs) "&amp;"evaluation remains underexplored. Through systematic experiments with 28 LLMs on the MMLU benchmark, we examine how NA options affect model performance and confidence calibration. Our analysis reveals that NA options, when used as the correct answer, lead"&amp;" to a consistent 30-50% performance drop across models regardless of scale--suggesting that LLMs lack the meta-cognitive ability to systematically evaluate and reject all given options when none are correct. This degradation shows strong domain dependence"&amp;", with minimal impact on mathematical reasoning (14.6% drop) but severe effects on tasks requiring uncertainty handling like business ethics (48.1% drop). Our results highlight important implications for benchmark design and raise questions about LLMs' ab"&amp;"ility to handle uncertainty in real-world applications.")</f>
        <v>Multiple-choice exam questions with "None of the above" (NA) options have been extensively studied in educational testing, in which existing research suggests that they better assess true knowledge. However, their impact on Large Language Models (LLMs) evaluation remains underexplored. Through systematic experiments with 28 LLMs on the MMLU benchmark, we examine how NA options affect model performance and confidence calibration. Our analysis reveals that NA options, when used as the correct answer, lead to a consistent 30-50% performance drop across models regardless of scale--suggesting that LLMs lack the meta-cognitive ability to systematically evaluate and reject all given options when none are correct. This degradation shows strong domain dependence, with minimal impact on mathematical reasoning (14.6% drop) but severe effects on tasks requiring uncertainty handling like business ethics (48.1% drop). Our results highlight important implications for benchmark design and raise questions about LLMs' ability to handle uncertainty in real-world applications.</v>
      </c>
      <c r="D1117" s="7" t="str">
        <f>IFERROR(__xludf.DUMMYFUNCTION("""COMPUTED_VALUE"""),"Zhi Rui Tam")</f>
        <v>Zhi Rui Tam</v>
      </c>
      <c r="E1117" s="7" t="str">
        <f>IFERROR(__xludf.DUMMYFUNCTION("""COMPUTED_VALUE"""),"Yes")</f>
        <v>Yes</v>
      </c>
      <c r="F1117" s="7" t="str">
        <f>IFERROR(__xludf.DUMMYFUNCTION("""COMPUTED_VALUE"""),"IP-Poster")</f>
        <v>IP-Poster</v>
      </c>
      <c r="G1117" s="7" t="str">
        <f>IFERROR(__xludf.DUMMYFUNCTION("""COMPUTED_VALUE"""),"In-Person")</f>
        <v>In-Person</v>
      </c>
      <c r="H1117" s="7" t="str">
        <f>IFERROR(__xludf.DUMMYFUNCTION("""COMPUTED_VALUE"""),"Hall 4/5")</f>
        <v>Hall 4/5</v>
      </c>
      <c r="I1117" s="7" t="str">
        <f>IFERROR(__xludf.DUMMYFUNCTION("""COMPUTED_VALUE"""),"Session 7: IP-Posters")</f>
        <v>Session 7: IP-Posters</v>
      </c>
      <c r="J1117" s="7" t="str">
        <f>IFERROR(__xludf.DUMMYFUNCTION("""COMPUTED_VALUE"""),"Findings Posters - In-Person 2")</f>
        <v>Findings Posters - In-Person 2</v>
      </c>
      <c r="K1117" s="7"/>
      <c r="L1117" s="8">
        <f>IFERROR(__xludf.DUMMYFUNCTION("""COMPUTED_VALUE"""),45867.0)</f>
        <v>45867</v>
      </c>
      <c r="M1117" s="7" t="str">
        <f>IFERROR(__xludf.DUMMYFUNCTION("""COMPUTED_VALUE"""),"10:30-12:00")</f>
        <v>10:30-12:00</v>
      </c>
      <c r="N1117" s="7"/>
    </row>
    <row r="1118">
      <c r="A1118" s="7" t="str">
        <f>IFERROR(__xludf.DUMMYFUNCTION("""COMPUTED_VALUE"""),"3944-FIND")</f>
        <v>3944-FIND</v>
      </c>
      <c r="B1118" s="7" t="str">
        <f>IFERROR(__xludf.DUMMYFUNCTION("""COMPUTED_VALUE"""),"In Search of the Lost Arch in Dialogue: A Dependency Dialogue Acts Corpus for Multi-Party Dialogues")</f>
        <v>In Search of the Lost Arch in Dialogue: A Dependency Dialogue Acts Corpus for Multi-Party Dialogues</v>
      </c>
      <c r="C1118" s="7" t="str">
        <f>IFERROR(__xludf.DUMMYFUNCTION("""COMPUTED_VALUE"""),"Understanding the structure of multi-party conversation and the intentions and dialogue acts of each speaker remains a significant challenge in NLP. While a number of corpora annotated using theoretical frameworks of dialogue have been proposed, these typ"&amp;"ically focus on either utterance-level labeling of speaker intent, missing wider context, or the rhetorical structure of a dialogue, losing fine-grained intents captured in dialogue acts. Recently, the Dependency Dialogue Acts (DDA) framework has been pro"&amp;"posed to for modeling both the fine-grained intents of each speaker and the structure of multi-party dialogues. However, there is not yet a corpus annotated with this framework available for the community to study. To address this gap, we introduce a new "&amp;"corpus of 33 dialogues and over 9,000 utterance units, densely annotated using the Dependency Dialogue Acts (DDA) framework.Our dataset spans four genres of multi-party conversations from different modalities: (1) physics classroom discussions, (2) engine"&amp;"ering classroom discussions, (3) board game interactions, and (4) written online game chat logs. Each session is doubly annotated and adjudicated to ensure high-quality labeling. We present a description of the dataset and annotation process, an analysis "&amp;"of speaker dynamics enabled by our annotation, and a baseline evaluation of LLMs as DDA parsers. We discuss the implications of this dataset understanding dynamics between speakers and for developing more controllable dialogue agents.")</f>
        <v>Understanding the structure of multi-party conversation and the intentions and dialogue acts of each speaker remains a significant challenge in NLP. While a number of corpora annotated using theoretical frameworks of dialogue have been proposed, these typically focus on either utterance-level labeling of speaker intent, missing wider context, or the rhetorical structure of a dialogue, losing fine-grained intents captured in dialogue acts. Recently, the Dependency Dialogue Acts (DDA) framework has been proposed to for modeling both the fine-grained intents of each speaker and the structure of multi-party dialogues. However, there is not yet a corpus annotated with this framework available for the community to study. To address this gap, we introduce a new corpus of 33 dialogues and over 9,000 utterance units, densely annotated using the Dependency Dialogue Acts (DDA) framework.Our dataset spans four genres of multi-party conversations from different modalities: (1) physics classroom discussions, (2) engineering classroom discussions, (3) board game interactions, and (4) written online game chat logs. Each session is doubly annotated and adjudicated to ensure high-quality labeling. We present a description of the dataset and annotation process, an analysis of speaker dynamics enabled by our annotation, and a baseline evaluation of LLMs as DDA parsers. We discuss the implications of this dataset understanding dynamics between speakers and for developing more controllable dialogue agents.</v>
      </c>
      <c r="D1118" s="7" t="str">
        <f>IFERROR(__xludf.DUMMYFUNCTION("""COMPUTED_VALUE"""),"Jon Z. Cai and Brendan King")</f>
        <v>Jon Z. Cai and Brendan King</v>
      </c>
      <c r="E1118" s="7" t="str">
        <f>IFERROR(__xludf.DUMMYFUNCTION("""COMPUTED_VALUE"""),"Yes")</f>
        <v>Yes</v>
      </c>
      <c r="F1118" s="7" t="str">
        <f>IFERROR(__xludf.DUMMYFUNCTION("""COMPUTED_VALUE"""),"IP-Poster")</f>
        <v>IP-Poster</v>
      </c>
      <c r="G1118" s="7" t="str">
        <f>IFERROR(__xludf.DUMMYFUNCTION("""COMPUTED_VALUE"""),"In-Person")</f>
        <v>In-Person</v>
      </c>
      <c r="H1118" s="7" t="str">
        <f>IFERROR(__xludf.DUMMYFUNCTION("""COMPUTED_VALUE"""),"Hall 4/5")</f>
        <v>Hall 4/5</v>
      </c>
      <c r="I1118" s="7" t="str">
        <f>IFERROR(__xludf.DUMMYFUNCTION("""COMPUTED_VALUE"""),"Session 5 :IP-Posters Find ")</f>
        <v>Session 5 :IP-Posters Find </v>
      </c>
      <c r="J1118" s="7" t="str">
        <f>IFERROR(__xludf.DUMMYFUNCTION("""COMPUTED_VALUE"""),"Findings Posters - In-Person 1")</f>
        <v>Findings Posters - In-Person 1</v>
      </c>
      <c r="K1118" s="7"/>
      <c r="L1118" s="8">
        <f>IFERROR(__xludf.DUMMYFUNCTION("""COMPUTED_VALUE"""),45866.0)</f>
        <v>45866</v>
      </c>
      <c r="M1118" s="7" t="str">
        <f>IFERROR(__xludf.DUMMYFUNCTION("""COMPUTED_VALUE"""),"18:00-19:30")</f>
        <v>18:00-19:30</v>
      </c>
      <c r="N1118" s="7"/>
    </row>
    <row r="1119">
      <c r="A1119" s="7" t="str">
        <f>IFERROR(__xludf.DUMMYFUNCTION("""COMPUTED_VALUE"""),"3969-FIND")</f>
        <v>3969-FIND</v>
      </c>
      <c r="B1119" s="7" t="str">
        <f>IFERROR(__xludf.DUMMYFUNCTION("""COMPUTED_VALUE"""),"ProMind-LLM: Proactive Mental Health Care via Causal Reasoning with Sensor Data")</f>
        <v>ProMind-LLM: Proactive Mental Health Care via Causal Reasoning with Sensor Data</v>
      </c>
      <c r="C1119" s="7" t="str">
        <f>IFERROR(__xludf.DUMMYFUNCTION("""COMPUTED_VALUE"""),"Mental health risk is a critical global public health challenge, necessitating innovative and reliable assessment methods. With the development of large language models (LLMs), they stand out to be a promising tool for explainable mental health care appli"&amp;"cations. Nevertheless, existing approaches predominantly rely on subjective textual mental records, which can be distorted by inherent mental uncertainties, leading to inconsistent and unreliable predictions. To address these limitations, this paper intro"&amp;"duces ProMind-LLM. We investigate an innovative approach integrating objective behavior data as complementary information alongside subjective mental records for robust mental health risk assessment. Specifically, ProMind-LLM incorporates a comprehensive "&amp;"pipeline that includes domain-specific pretraining to tailor the LLM for mental health contexts, a self-refine mechanism to optimize the processing of numerical behavioral data, and causal chain-of-thought reasoning to enhance the reliability and interpre"&amp;"tability of its predictions. Evaluations of two real-world datasets, PMData and Globem, demonstrate the effectiveness of our proposed methods, achieving substantial improvements over general LLMs. We anticipate that ProMind-LLM will pave the way for more "&amp;"dependable, interpretable, and scalable mental health case solutions.")</f>
        <v>Mental health risk is a critical global public health challenge, necessitating innovative and reliable assessment methods. With the development of large language models (LLMs), they stand out to be a promising tool for explainable mental health care applications. Nevertheless, existing approaches predominantly rely on subjective textual mental records, which can be distorted by inherent mental uncertainties, leading to inconsistent and unreliable predictions. To address these limitations, this paper introduces ProMind-LLM. We investigate an innovative approach integrating objective behavior data as complementary information alongside subjective mental records for robust mental health risk assessment. Specifically, ProMind-LLM incorporates a comprehensive pipeline that includes domain-specific pretraining to tailor the LLM for mental health contexts, a self-refine mechanism to optimize the processing of numerical behavioral data, and causal chain-of-thought reasoning to enhance the reliability and interpretability of its predictions. Evaluations of two real-world datasets, PMData and Globem, demonstrate the effectiveness of our proposed methods, achieving substantial improvements over general LLMs. We anticipate that ProMind-LLM will pave the way for more dependable, interpretable, and scalable mental health case solutions.</v>
      </c>
      <c r="D1119" s="7" t="str">
        <f>IFERROR(__xludf.DUMMYFUNCTION("""COMPUTED_VALUE"""),"NA")</f>
        <v>NA</v>
      </c>
      <c r="E1119" s="7" t="str">
        <f>IFERROR(__xludf.DUMMYFUNCTION("""COMPUTED_VALUE"""),"#N/A")</f>
        <v>#N/A</v>
      </c>
      <c r="F1119" s="7" t="str">
        <f>IFERROR(__xludf.DUMMYFUNCTION("""COMPUTED_VALUE"""),"Not Pres. ")</f>
        <v>Not Pres. </v>
      </c>
      <c r="G1119" s="7" t="str">
        <f>IFERROR(__xludf.DUMMYFUNCTION("""COMPUTED_VALUE"""),"NP Findings Not Presenting ")</f>
        <v>NP Findings Not Presenting </v>
      </c>
      <c r="H1119" s="7"/>
      <c r="I1119" s="7" t="str">
        <f>IFERROR(__xludf.DUMMYFUNCTION("""COMPUTED_VALUE"""),"NP-Find")</f>
        <v>NP-Find</v>
      </c>
      <c r="J1119" s="7"/>
      <c r="K1119" s="7"/>
      <c r="L1119" s="8"/>
      <c r="M1119" s="7"/>
      <c r="N1119" s="7"/>
    </row>
    <row r="1120">
      <c r="A1120" s="7" t="str">
        <f>IFERROR(__xludf.DUMMYFUNCTION("""COMPUTED_VALUE"""),"3974-FIND")</f>
        <v>3974-FIND</v>
      </c>
      <c r="B1120" s="7" t="str">
        <f>IFERROR(__xludf.DUMMYFUNCTION("""COMPUTED_VALUE"""),"Debiasing Online Preference Learning via Preference Feature Preservation")</f>
        <v>Debiasing Online Preference Learning via Preference Feature Preservation</v>
      </c>
      <c r="C1120" s="7" t="str">
        <f>IFERROR(__xludf.DUMMYFUNCTION("""COMPUTED_VALUE"""),"Recent preference learning frameworks for large language models (LLMs) simplify human preferences with binary pairwise comparisons and scalar rewards. This simplification could make LLMs' responses biased to mostly preferred features, and would be exacerb"&amp;"ated during the iterations of online preference learning steps. To address these challenges, we propose a novel framework coined PFP (Preference Feature Preservation). The key idea of PFP is maintaining the distribution of human preference features and ut"&amp;"ilizing such rich signals throughout the online preference learning process. Specifically, PFP first extract preference features from offline pairwise human preference data and trains a feature classifier. Then, using trained classifier and the distributi"&amp;"on preserving optimization, PFP maps appropriate preference features for a new input instruction during online learning. Lastly, PFP trains LLM using the existing preference learning method, by incorporating the preference feature into system prompts and "&amp;"enabling LLM to explicitly handle various human preferences. Our experiments demonstrate that PFP successfully mitigates the bias in preference features during online learning, and hence achieves superior performance compared to previous preference learni"&amp;"ng methods on standard benchmarks to evaluate LLM alignment.")</f>
        <v>Recent preference learning frameworks for large language models (LLMs) simplify human preferences with binary pairwise comparisons and scalar rewards. This simplification could make LLMs' responses biased to mostly preferred features, and would be exacerbated during the iterations of online preference learning steps. To address these challenges, we propose a novel framework coined PFP (Preference Feature Preservation). The key idea of PFP is maintaining the distribution of human preference features and utilizing such rich signals throughout the online preference learning process. Specifically, PFP first extract preference features from offline pairwise human preference data and trains a feature classifier. Then, using trained classifier and the distribution preserving optimization, PFP maps appropriate preference features for a new input instruction during online learning. Lastly, PFP trains LLM using the existing preference learning method, by incorporating the preference feature into system prompts and enabling LLM to explicitly handle various human preferences. Our experiments demonstrate that PFP successfully mitigates the bias in preference features during online learning, and hence achieves superior performance compared to previous preference learning methods on standard benchmarks to evaluate LLM alignment.</v>
      </c>
      <c r="D1120" s="7" t="str">
        <f>IFERROR(__xludf.DUMMYFUNCTION("""COMPUTED_VALUE"""),"Dongyoung Kim")</f>
        <v>Dongyoung Kim</v>
      </c>
      <c r="E1120" s="7" t="str">
        <f>IFERROR(__xludf.DUMMYFUNCTION("""COMPUTED_VALUE"""),"#N/A")</f>
        <v>#N/A</v>
      </c>
      <c r="F1120" s="7" t="str">
        <f>IFERROR(__xludf.DUMMYFUNCTION("""COMPUTED_VALUE"""),"Not Pres. ")</f>
        <v>Not Pres. </v>
      </c>
      <c r="G1120" s="7" t="str">
        <f>IFERROR(__xludf.DUMMYFUNCTION("""COMPUTED_VALUE"""),"NP Findings Not Presenting ")</f>
        <v>NP Findings Not Presenting </v>
      </c>
      <c r="H1120" s="7"/>
      <c r="I1120" s="7" t="str">
        <f>IFERROR(__xludf.DUMMYFUNCTION("""COMPUTED_VALUE"""),"NP-Find")</f>
        <v>NP-Find</v>
      </c>
      <c r="J1120" s="7"/>
      <c r="K1120" s="7"/>
      <c r="L1120" s="8"/>
      <c r="M1120" s="7"/>
      <c r="N1120" s="7"/>
    </row>
    <row r="1121">
      <c r="A1121" s="7" t="str">
        <f>IFERROR(__xludf.DUMMYFUNCTION("""COMPUTED_VALUE"""),"3978-FIND")</f>
        <v>3978-FIND</v>
      </c>
      <c r="B1121" s="7" t="str">
        <f>IFERROR(__xludf.DUMMYFUNCTION("""COMPUTED_VALUE"""),"ShortGPT: Layers in Large Language Models are More Redundant Than You Expect")</f>
        <v>ShortGPT: Layers in Large Language Models are More Redundant Than You Expect</v>
      </c>
      <c r="C1121" s="7" t="str">
        <f>IFERROR(__xludf.DUMMYFUNCTION("""COMPUTED_VALUE"""),"As Large Language Models (LLMs) continue to advance, their computational overhead has increased significantly. In this study, we identify notable redundancy across the layers of LLMs, where some layers contribute minimally to the overall network functiona"&amp;"lity. To quantify this, we introduce a metric called Block Influence (BI), which measures the importance of each layer based on the similarity between its input and output. Based on the observation of layer redundancy, we propose straightforward pruning m"&amp;"ethods for different tasks: ShortGPT for multiple-choice tasks and ShortGPT-gen for generative tasks. They prune redundant layers based on their BI scores. Our methods demonstrate superior performance over previous pruning methods. The ability to achieve "&amp;"better results through simple layer pruning, as opposed to more complex pruning techniques, suggests a high degree of redundancy across layers. We hope this work will contribute to future research for improving LLM efficiency.")</f>
        <v>As Large Language Models (LLMs) continue to advance, their computational overhead has increased significantly. In this study, we identify notable redundancy across the layers of LLMs, where some layers contribute minimally to the overall network functionality. To quantify this, we introduce a metric called Block Influence (BI), which measures the importance of each layer based on the similarity between its input and output. Based on the observation of layer redundancy, we propose straightforward pruning methods for different tasks: ShortGPT for multiple-choice tasks and ShortGPT-gen for generative tasks. They prune redundant layers based on their BI scores. Our methods demonstrate superior performance over previous pruning methods. The ability to achieve better results through simple layer pruning, as opposed to more complex pruning techniques, suggests a high degree of redundancy across layers. We hope this work will contribute to future research for improving LLM efficiency.</v>
      </c>
      <c r="D1121" s="7" t="str">
        <f>IFERROR(__xludf.DUMMYFUNCTION("""COMPUTED_VALUE"""),"N/A")</f>
        <v>N/A</v>
      </c>
      <c r="E1121" s="7" t="str">
        <f>IFERROR(__xludf.DUMMYFUNCTION("""COMPUTED_VALUE"""),"#N/A")</f>
        <v>#N/A</v>
      </c>
      <c r="F1121" s="7" t="str">
        <f>IFERROR(__xludf.DUMMYFUNCTION("""COMPUTED_VALUE"""),"Not Pres. ")</f>
        <v>Not Pres. </v>
      </c>
      <c r="G1121" s="7" t="str">
        <f>IFERROR(__xludf.DUMMYFUNCTION("""COMPUTED_VALUE"""),"NP Findings Not Presenting ")</f>
        <v>NP Findings Not Presenting </v>
      </c>
      <c r="H1121" s="7"/>
      <c r="I1121" s="7" t="str">
        <f>IFERROR(__xludf.DUMMYFUNCTION("""COMPUTED_VALUE"""),"NP-Find")</f>
        <v>NP-Find</v>
      </c>
      <c r="J1121" s="7"/>
      <c r="K1121" s="7"/>
      <c r="L1121" s="8"/>
      <c r="M1121" s="7"/>
      <c r="N1121" s="7"/>
    </row>
    <row r="1122">
      <c r="A1122" s="7" t="str">
        <f>IFERROR(__xludf.DUMMYFUNCTION("""COMPUTED_VALUE"""),"3979-FIND")</f>
        <v>3979-FIND</v>
      </c>
      <c r="B1122" s="7" t="str">
        <f>IFERROR(__xludf.DUMMYFUNCTION("""COMPUTED_VALUE"""),"ProjectEval: A Benchmark for Programming Agents Automated Evaluation on Project-Level Code Generation")</f>
        <v>ProjectEval: A Benchmark for Programming Agents Automated Evaluation on Project-Level Code Generation</v>
      </c>
      <c r="C1122" s="7" t="str">
        <f>IFERROR(__xludf.DUMMYFUNCTION("""COMPUTED_VALUE"""),"Recently, LLM agents have made rapid progress in improving their programming capabilities. However, existing benchmarks lack the ability to automatically evaluate from users' perspective, and also lack the explainability of the results of LLM agents' code"&amp;" generation capabilities. Thus, we introduce ProjectEval, a new benchmark for LLM agents project-level code generation's automated evaluation by simulating user interaction. ProjectEval is constructed by LLM with human reviewing. It has three different le"&amp;"vel inputs of natural languages or code skeletons. ProjectEval can evaluate the generated projects by user interaction simulation for execution, and by code similarity through existing objective indicators. Through ProjectEval, we find that systematic eng"&amp;"ineering project code, overall understanding of the project and comprehensive analysis capability are the keys for LLM agents to achieve practical projects. Our findings and benchmark provide valuable insights for developing more effective programming age"&amp;"nts that can be deployed in future real-world production.")</f>
        <v>Recently, LLM agents have made rapid progress in improving their programming capabilities. However, existing benchmarks lack the ability to automatically evaluate from users' perspective, and also lack the explainability of the results of LLM agents' code generation capabilities. Thus, we introduce ProjectEval, a new benchmark for LLM agents project-level code generation's automated evaluation by simulating user interaction. ProjectEval is constructed by LLM with human reviewing. It has three different level inputs of natural languages or code skeletons. ProjectEval can evaluate the generated projects by user interaction simulation for execution, and by code similarity through existing objective indicators. Through ProjectEval, we find that systematic engineering project code, overall understanding of the project and comprehensive analysis capability are the keys for LLM agents to achieve practical projects. Our findings and benchmark provide valuable insights for developing more effective programming agents that can be deployed in future real-world production.</v>
      </c>
      <c r="D1122" s="7" t="str">
        <f>IFERROR(__xludf.DUMMYFUNCTION("""COMPUTED_VALUE"""),"N/A")</f>
        <v>N/A</v>
      </c>
      <c r="E1122" s="7" t="str">
        <f>IFERROR(__xludf.DUMMYFUNCTION("""COMPUTED_VALUE"""),"#N/A")</f>
        <v>#N/A</v>
      </c>
      <c r="F1122" s="7" t="str">
        <f>IFERROR(__xludf.DUMMYFUNCTION("""COMPUTED_VALUE"""),"Not Pres. ")</f>
        <v>Not Pres. </v>
      </c>
      <c r="G1122" s="7" t="str">
        <f>IFERROR(__xludf.DUMMYFUNCTION("""COMPUTED_VALUE"""),"NP Findings Not Presenting ")</f>
        <v>NP Findings Not Presenting </v>
      </c>
      <c r="H1122" s="7"/>
      <c r="I1122" s="7" t="str">
        <f>IFERROR(__xludf.DUMMYFUNCTION("""COMPUTED_VALUE"""),"NP-Find")</f>
        <v>NP-Find</v>
      </c>
      <c r="J1122" s="7"/>
      <c r="K1122" s="7"/>
      <c r="L1122" s="8"/>
      <c r="M1122" s="7"/>
      <c r="N1122" s="7"/>
    </row>
    <row r="1123">
      <c r="A1123" s="7" t="str">
        <f>IFERROR(__xludf.DUMMYFUNCTION("""COMPUTED_VALUE"""),"3984-FIND")</f>
        <v>3984-FIND</v>
      </c>
      <c r="B1123" s="7" t="str">
        <f>IFERROR(__xludf.DUMMYFUNCTION("""COMPUTED_VALUE"""),"V²R-Bench: Holistically Evaluating LVLM Robustness to Fundamental Visual Variations")</f>
        <v>V²R-Bench: Holistically Evaluating LVLM Robustness to Fundamental Visual Variations</v>
      </c>
      <c r="C1123" s="7" t="str">
        <f>IFERROR(__xludf.DUMMYFUNCTION("""COMPUTED_VALUE"""),"Large Vision Language Models (LVLMs) have shown impressive performance on various vision-language tasks. However, while objects in natural scenes inevitably exhibit visual variations in position, scale, orientation, and context due to changes in viewpoint"&amp;" and environment, the robustness of LVLMs to these fundamental visual variations remains largely unexplored. To address this gap, we introduce V²R-Bench, a comprehensive benchmark framework for evaluating Visual Variation Robustness of LVLMs, which encomp"&amp;"asses automated evaluation dataset generation and principled metrics for thorough robustness assessment. Through extensive evaluation of 13 LVLMs, we reveal a surprising vulnerability to visual variations, affecting even advanced models that excel at comp"&amp;"lex vision-language tasks yet significantly underperform on simple tasks like object recognition. Interestingly, these models exhibit a distinct visual position bias that contradicts theories of effective receptive fields and demonstrate a human-like visu"&amp;"al acuity threshold. To identify the source of these vulnerabilities, we propose a systematic framework for component-level analysis, featuring a novel visualization approach for aligned visual features. Results show that these vulnerabilities stem from e"&amp;"rror accumulation in the pipeline architecture and inadequate multimodal alignment. Complementary experiments with synthetic data further demonstrate that these limitations are fundamentally architectural challenges, underscoring the need for architectura"&amp;"l innovations in future LVLM designs.")</f>
        <v>Large Vision Language Models (LVLMs) have shown impressive performance on various vision-language tasks. However, while objects in natural scenes inevitably exhibit visual variations in position, scale, orientation, and context due to changes in viewpoint and environment, the robustness of LVLMs to these fundamental visual variations remains largely unexplored. To address this gap, we introduce V²R-Bench, a comprehensive benchmark framework for evaluating Visual Variation Robustness of LVLMs, which encompasses automated evaluation dataset generation and principled metrics for thorough robustness assessment. Through extensive evaluation of 13 LVLMs, we reveal a surprising vulnerability to visual variations, affecting even advanced models that excel at complex vision-language tasks yet significantly underperform on simple tasks like object recognition. Interestingly, these models exhibit a distinct visual position bias that contradicts theories of effective receptive fields and demonstrate a human-like visual acuity threshold. To identify the source of these vulnerabilities, we propose a systematic framework for component-level analysis, featuring a novel visualization approach for aligned visual features. Results show that these vulnerabilities stem from error accumulation in the pipeline architecture and inadequate multimodal alignment. Complementary experiments with synthetic data further demonstrate that these limitations are fundamentally architectural challenges, underscoring the need for architectural innovations in future LVLM designs.</v>
      </c>
      <c r="D1123" s="7" t="str">
        <f>IFERROR(__xludf.DUMMYFUNCTION("""COMPUTED_VALUE"""),"Zhiyuan Fan")</f>
        <v>Zhiyuan Fan</v>
      </c>
      <c r="E1123" s="7" t="str">
        <f>IFERROR(__xludf.DUMMYFUNCTION("""COMPUTED_VALUE"""),"Yes")</f>
        <v>Yes</v>
      </c>
      <c r="F1123" s="7" t="str">
        <f>IFERROR(__xludf.DUMMYFUNCTION("""COMPUTED_VALUE"""),"IP-Poster")</f>
        <v>IP-Poster</v>
      </c>
      <c r="G1123" s="7" t="str">
        <f>IFERROR(__xludf.DUMMYFUNCTION("""COMPUTED_VALUE"""),"In-Person")</f>
        <v>In-Person</v>
      </c>
      <c r="H1123" s="7" t="str">
        <f>IFERROR(__xludf.DUMMYFUNCTION("""COMPUTED_VALUE"""),"Hall 4/5")</f>
        <v>Hall 4/5</v>
      </c>
      <c r="I1123" s="7" t="str">
        <f>IFERROR(__xludf.DUMMYFUNCTION("""COMPUTED_VALUE"""),"Session 12: IP-Posters")</f>
        <v>Session 12: IP-Posters</v>
      </c>
      <c r="J1123" s="7" t="str">
        <f>IFERROR(__xludf.DUMMYFUNCTION("""COMPUTED_VALUE"""),"Findings Posters - In-Person 4")</f>
        <v>Findings Posters - In-Person 4</v>
      </c>
      <c r="K1123" s="7"/>
      <c r="L1123" s="8">
        <f>IFERROR(__xludf.DUMMYFUNCTION("""COMPUTED_VALUE"""),45868.0)</f>
        <v>45868</v>
      </c>
      <c r="M1123" s="7" t="str">
        <f>IFERROR(__xludf.DUMMYFUNCTION("""COMPUTED_VALUE"""),"11:00-12:30")</f>
        <v>11:00-12:30</v>
      </c>
      <c r="N1123" s="7"/>
    </row>
    <row r="1124">
      <c r="A1124" s="7" t="str">
        <f>IFERROR(__xludf.DUMMYFUNCTION("""COMPUTED_VALUE"""),"3986-FIND")</f>
        <v>3986-FIND</v>
      </c>
      <c r="B1124" s="7" t="str">
        <f>IFERROR(__xludf.DUMMYFUNCTION("""COMPUTED_VALUE"""),"DYNTEXT: Semantic-Aware Dynamic Text Sanitization for Privacy-Preserving LLM Inference")</f>
        <v>DYNTEXT: Semantic-Aware Dynamic Text Sanitization for Privacy-Preserving LLM Inference</v>
      </c>
      <c r="C1124" s="7" t="str">
        <f>IFERROR(__xludf.DUMMYFUNCTION("""COMPUTED_VALUE"""),"LLMs face privacy risks when handling sensitive data. To ensure privacy, researchers use differential privacy (DP) to provide protection by adding noise during LLM training. However, users may be hesitant to share complete data with LLMs. Researchers foll"&amp;"ow local DP to sanitize the text on the user side and feed non-sensitive text to LLMs. The sanitization usually uses a fixed non-sensitive token list or a fixed noise distribution, which induces the risk of being attacked or semantic distortion. We argue "&amp;"that the token's protection level should be adaptively adjusted according to its semantic-based information to balance the privacy-utility trade-off. In this paper, we propose DYNTEXT, an LDP-based Dynamic Text sanitization for privacy-preserving LLM infe"&amp;"rence, which dynamically constructs semantic-aware adjacency lists of sensitive tokens to sample non-sensitive tokens for perturbation. Specifically, DYNTEXT first develops a semantic-based density modeling under DP to extract each token's density informa"&amp;"tion. We propose token-level smoothing sensitivity by combining the idea of global sensitivity (GS) and local sensitivity (LS), which dynamically adjusts the noise scale to avoid excessive noise in GS and privacy leakage in LS. Then, we dynamically constr"&amp;"uct an adjacency list for each sensitive token based on its semantic density information.  Finally, we apply the replacement mechanism to sample non-sensitive, semantically similar tokens from the adjacency list to replace sensitive tokens. Experiments sh"&amp;"ow that DYNTEXT excels strong baselines on three datasets.")</f>
        <v>LLMs face privacy risks when handling sensitive data. To ensure privacy, researchers use differential privacy (DP) to provide protection by adding noise during LLM training. However, users may be hesitant to share complete data with LLMs. Researchers follow local DP to sanitize the text on the user side and feed non-sensitive text to LLMs. The sanitization usually uses a fixed non-sensitive token list or a fixed noise distribution, which induces the risk of being attacked or semantic distortion. We argue that the token's protection level should be adaptively adjusted according to its semantic-based information to balance the privacy-utility trade-off. In this paper, we propose DYNTEXT, an LDP-based Dynamic Text sanitization for privacy-preserving LLM inference, which dynamically constructs semantic-aware adjacency lists of sensitive tokens to sample non-sensitive tokens for perturbation. Specifically, DYNTEXT first develops a semantic-based density modeling under DP to extract each token's density information. We propose token-level smoothing sensitivity by combining the idea of global sensitivity (GS) and local sensitivity (LS), which dynamically adjusts the noise scale to avoid excessive noise in GS and privacy leakage in LS. Then, we dynamically construct an adjacency list for each sensitive token based on its semantic density information.  Finally, we apply the replacement mechanism to sample non-sensitive, semantically similar tokens from the adjacency list to replace sensitive tokens. Experiments show that DYNTEXT excels strong baselines on three datasets.</v>
      </c>
      <c r="D1124" s="7" t="str">
        <f>IFERROR(__xludf.DUMMYFUNCTION("""COMPUTED_VALUE"""),"Juhua Zhang")</f>
        <v>Juhua Zhang</v>
      </c>
      <c r="E1124" s="7" t="str">
        <f>IFERROR(__xludf.DUMMYFUNCTION("""COMPUTED_VALUE"""),"N/A")</f>
        <v>N/A</v>
      </c>
      <c r="F1124" s="7" t="str">
        <f>IFERROR(__xludf.DUMMYFUNCTION("""COMPUTED_VALUE"""),"Not Pres. ")</f>
        <v>Not Pres. </v>
      </c>
      <c r="G1124" s="7" t="str">
        <f>IFERROR(__xludf.DUMMYFUNCTION("""COMPUTED_VALUE"""),"NP Findings Not Presenting ")</f>
        <v>NP Findings Not Presenting </v>
      </c>
      <c r="H1124" s="7"/>
      <c r="I1124" s="7"/>
      <c r="J1124" s="7"/>
      <c r="K1124" s="7"/>
      <c r="L1124" s="8"/>
      <c r="M1124" s="7"/>
      <c r="N1124" s="7"/>
    </row>
    <row r="1125">
      <c r="A1125" s="7" t="str">
        <f>IFERROR(__xludf.DUMMYFUNCTION("""COMPUTED_VALUE"""),"3991-FIND")</f>
        <v>3991-FIND</v>
      </c>
      <c r="B1125" s="7" t="str">
        <f>IFERROR(__xludf.DUMMYFUNCTION("""COMPUTED_VALUE"""),"InImageTrans: Multimodal LLM-based Text Image Machine Translation")</f>
        <v>InImageTrans: Multimodal LLM-based Text Image Machine Translation</v>
      </c>
      <c r="C1125" s="7" t="str">
        <f>IFERROR(__xludf.DUMMYFUNCTION("""COMPUTED_VALUE"""),"Multimodal large language models (MLLMs) have shown remarkable capabilities across various downstream tasks. However, when MLLMs are transferred to the text image machine translation (TiMT) task, preliminary experiments reveal that MLLMs suffer from serio"&amp;"us repetition and omission hallucinations. To alleviate these issues, this paper first designs an efficient MLLM named InImageTrans for TiMT and then proposes a simple and effective method named multi-conditional direct preference optimization (mcDPO) for"&amp;" advancing the TiMT. Particularly, the proposed mcDPO not only guides the MLLM in rejecting repetition output by creating text output preference pairs automatically, but also guides the MLLM in paying more attention to text information in images by creati"&amp;"ng image input preference pairs. Furthermore, we build a high-quality benchmark called MCiT for comprehensively evaluating the TiMT capabilities of InImageTrans. Experimental results show that the proposed method significantly outperforms existing open-so"&amp;"urce MLLMs on MCiT. All data and codes will be released once accepted.")</f>
        <v>Multimodal large language models (MLLMs) have shown remarkable capabilities across various downstream tasks. However, when MLLMs are transferred to the text image machine translation (TiMT) task, preliminary experiments reveal that MLLMs suffer from serious repetition and omission hallucinations. To alleviate these issues, this paper first designs an efficient MLLM named InImageTrans for TiMT and then proposes a simple and effective method named multi-conditional direct preference optimization (mcDPO) for advancing the TiMT. Particularly, the proposed mcDPO not only guides the MLLM in rejecting repetition output by creating text output preference pairs automatically, but also guides the MLLM in paying more attention to text information in images by creating image input preference pairs. Furthermore, we build a high-quality benchmark called MCiT for comprehensively evaluating the TiMT capabilities of InImageTrans. Experimental results show that the proposed method significantly outperforms existing open-source MLLMs on MCiT. All data and codes will be released once accepted.</v>
      </c>
      <c r="D1125" s="7" t="str">
        <f>IFERROR(__xludf.DUMMYFUNCTION("""COMPUTED_VALUE"""),"Fei Zuo")</f>
        <v>Fei Zuo</v>
      </c>
      <c r="E1125" s="7" t="str">
        <f>IFERROR(__xludf.DUMMYFUNCTION("""COMPUTED_VALUE"""),"Yes")</f>
        <v>Yes</v>
      </c>
      <c r="F1125" s="7" t="str">
        <f>IFERROR(__xludf.DUMMYFUNCTION("""COMPUTED_VALUE"""),"IP-Poster")</f>
        <v>IP-Poster</v>
      </c>
      <c r="G1125" s="7" t="str">
        <f>IFERROR(__xludf.DUMMYFUNCTION("""COMPUTED_VALUE"""),"In-Person")</f>
        <v>In-Person</v>
      </c>
      <c r="H1125" s="7" t="str">
        <f>IFERROR(__xludf.DUMMYFUNCTION("""COMPUTED_VALUE"""),"Hall 4/5")</f>
        <v>Hall 4/5</v>
      </c>
      <c r="I1125" s="7" t="str">
        <f>IFERROR(__xludf.DUMMYFUNCTION("""COMPUTED_VALUE"""),"Session 10: IP-Posters")</f>
        <v>Session 10: IP-Posters</v>
      </c>
      <c r="J1125" s="7" t="str">
        <f>IFERROR(__xludf.DUMMYFUNCTION("""COMPUTED_VALUE"""),"Findings Posters - In-Person 3")</f>
        <v>Findings Posters - In-Person 3</v>
      </c>
      <c r="K1125" s="7"/>
      <c r="L1125" s="8">
        <f>IFERROR(__xludf.DUMMYFUNCTION("""COMPUTED_VALUE"""),45867.0)</f>
        <v>45867</v>
      </c>
      <c r="M1125" s="7" t="str">
        <f>IFERROR(__xludf.DUMMYFUNCTION("""COMPUTED_VALUE"""),"16:00-17:30")</f>
        <v>16:00-17:30</v>
      </c>
      <c r="N1125" s="7"/>
    </row>
    <row r="1126">
      <c r="A1126" s="7" t="str">
        <f>IFERROR(__xludf.DUMMYFUNCTION("""COMPUTED_VALUE"""),"3992-FIND")</f>
        <v>3992-FIND</v>
      </c>
      <c r="B1126" s="7" t="str">
        <f>IFERROR(__xludf.DUMMYFUNCTION("""COMPUTED_VALUE"""),"FRAME: Boosting LLMs with A Four-Quadrant Multi-Stage Pretraining Strategy")</f>
        <v>FRAME: Boosting LLMs with A Four-Quadrant Multi-Stage Pretraining Strategy</v>
      </c>
      <c r="C1126" s="7" t="str">
        <f>IFERROR(__xludf.DUMMYFUNCTION("""COMPUTED_VALUE"""),"Large language models (LLMs) have significantly advanced human language understanding and generation, with pretraining data quality and organization being crucial to their performance. Multi-stage pretraining is a promising approach, but existing methods "&amp;"often lack quantitative criteria for data partitioning and instead rely on intuitive heuristics. In this paper, we propose the novel Four-quadRAnt Multi-stage prEtraining strategy (FRAME), guided by the established principle of organizing the pretraining "&amp;"process into four stages to achieve significant loss reductions four times. This principle is grounded in two key findings: first, training on high Perplexity (PPL) data followed by low PPL data, and second, training on low PPL difference (PD) data follow"&amp;"ed by high PD data, both causing the loss to drop significantly twice and performance enhancements. By partitioning data into four quadrants and strategically organizing them, FRAME achieves a remarkable 16.8% average improvement over random across MMLU a"&amp;"nd CMMLU for the 3B model, effectively boosting LLM performance.")</f>
        <v>Large language models (LLMs) have significantly advanced human language understanding and generation, with pretraining data quality and organization being crucial to their performance. Multi-stage pretraining is a promising approach, but existing methods often lack quantitative criteria for data partitioning and instead rely on intuitive heuristics. In this paper, we propose the novel Four-quadRAnt Multi-stage prEtraining strategy (FRAME), guided by the established principle of organizing the pretraining process into four stages to achieve significant loss reductions four times. This principle is grounded in two key findings: first, training on high Perplexity (PPL) data followed by low PPL data, and second, training on low PPL difference (PD) data followed by high PD data, both causing the loss to drop significantly twice and performance enhancements. By partitioning data into four quadrants and strategically organizing them, FRAME achieves a remarkable 16.8% average improvement over random across MMLU and CMMLU for the 3B model, effectively boosting LLM performance.</v>
      </c>
      <c r="D1126" s="7" t="str">
        <f>IFERROR(__xludf.DUMMYFUNCTION("""COMPUTED_VALUE"""),"Xuemiao Zhang")</f>
        <v>Xuemiao Zhang</v>
      </c>
      <c r="E1126" s="7" t="str">
        <f>IFERROR(__xludf.DUMMYFUNCTION("""COMPUTED_VALUE"""),"#N/A")</f>
        <v>#N/A</v>
      </c>
      <c r="F1126" s="7" t="str">
        <f>IFERROR(__xludf.DUMMYFUNCTION("""COMPUTED_VALUE"""),"Not Pres. ")</f>
        <v>Not Pres. </v>
      </c>
      <c r="G1126" s="7" t="str">
        <f>IFERROR(__xludf.DUMMYFUNCTION("""COMPUTED_VALUE"""),"NP Findings Not Presenting ")</f>
        <v>NP Findings Not Presenting </v>
      </c>
      <c r="H1126" s="7"/>
      <c r="I1126" s="7" t="str">
        <f>IFERROR(__xludf.DUMMYFUNCTION("""COMPUTED_VALUE"""),"NP-Find")</f>
        <v>NP-Find</v>
      </c>
      <c r="J1126" s="7"/>
      <c r="K1126" s="7"/>
      <c r="L1126" s="8"/>
      <c r="M1126" s="7"/>
      <c r="N1126" s="7"/>
    </row>
    <row r="1127">
      <c r="A1127" s="7" t="str">
        <f>IFERROR(__xludf.DUMMYFUNCTION("""COMPUTED_VALUE"""),"3995-FIND")</f>
        <v>3995-FIND</v>
      </c>
      <c r="B1127" s="7" t="str">
        <f>IFERROR(__xludf.DUMMYFUNCTION("""COMPUTED_VALUE"""),"When Large Language Models Meet Speech: A Survey on Integration Approaches")</f>
        <v>When Large Language Models Meet Speech: A Survey on Integration Approaches</v>
      </c>
      <c r="C1127" s="7" t="str">
        <f>IFERROR(__xludf.DUMMYFUNCTION("""COMPUTED_VALUE"""),"Recent advancements in large language models (LLMs) have spurred interest in expanding their application beyond text-based tasks. A large number of studies have explored integrating other modalities with LLMs, notably speech modality, which is naturally r"&amp;"elated to text. This paper surveys the integration of speech with LLMs, categorizing the methodologies into three primary approaches: text-based, latent-representation-based, and audio-token-based integration. We also demonstrate how these methods are app"&amp;"lied across various speech-related applications and highlight the challenges in this field to offer inspiration for future research.")</f>
        <v>Recent advancements in large language models (LLMs) have spurred interest in expanding their application beyond text-based tasks. A large number of studies have explored integrating other modalities with LLMs, notably speech modality, which is naturally related to text. This paper surveys the integration of speech with LLMs, categorizing the methodologies into three primary approaches: text-based, latent-representation-based, and audio-token-based integration. We also demonstrate how these methods are applied across various speech-related applications and highlight the challenges in this field to offer inspiration for future research.</v>
      </c>
      <c r="D1127" s="7" t="str">
        <f>IFERROR(__xludf.DUMMYFUNCTION("""COMPUTED_VALUE"""),"Zhengdong Yang")</f>
        <v>Zhengdong Yang</v>
      </c>
      <c r="E1127" s="7" t="str">
        <f>IFERROR(__xludf.DUMMYFUNCTION("""COMPUTED_VALUE"""),"Yes")</f>
        <v>Yes</v>
      </c>
      <c r="F1127" s="7" t="str">
        <f>IFERROR(__xludf.DUMMYFUNCTION("""COMPUTED_VALUE"""),"IP-Poster")</f>
        <v>IP-Poster</v>
      </c>
      <c r="G1127" s="7" t="str">
        <f>IFERROR(__xludf.DUMMYFUNCTION("""COMPUTED_VALUE"""),"In-Person")</f>
        <v>In-Person</v>
      </c>
      <c r="H1127" s="7" t="str">
        <f>IFERROR(__xludf.DUMMYFUNCTION("""COMPUTED_VALUE"""),"Hall 4/5")</f>
        <v>Hall 4/5</v>
      </c>
      <c r="I1127" s="7" t="str">
        <f>IFERROR(__xludf.DUMMYFUNCTION("""COMPUTED_VALUE"""),"Session 5 :IP-Posters Find ")</f>
        <v>Session 5 :IP-Posters Find </v>
      </c>
      <c r="J1127" s="7" t="str">
        <f>IFERROR(__xludf.DUMMYFUNCTION("""COMPUTED_VALUE"""),"Findings Posters - In-Person 1")</f>
        <v>Findings Posters - In-Person 1</v>
      </c>
      <c r="K1127" s="7"/>
      <c r="L1127" s="8">
        <f>IFERROR(__xludf.DUMMYFUNCTION("""COMPUTED_VALUE"""),45866.0)</f>
        <v>45866</v>
      </c>
      <c r="M1127" s="7" t="str">
        <f>IFERROR(__xludf.DUMMYFUNCTION("""COMPUTED_VALUE"""),"18:00-19:30")</f>
        <v>18:00-19:30</v>
      </c>
      <c r="N1127" s="7"/>
    </row>
    <row r="1128">
      <c r="A1128" s="7" t="str">
        <f>IFERROR(__xludf.DUMMYFUNCTION("""COMPUTED_VALUE"""),"3997-FIND")</f>
        <v>3997-FIND</v>
      </c>
      <c r="B1128" s="7" t="str">
        <f>IFERROR(__xludf.DUMMYFUNCTION("""COMPUTED_VALUE"""),"KE-MHISTO: Towards a Multilingual Historical Knowledge Extraction Benchmark for Addressing the Long-Tail Problem")</f>
        <v>KE-MHISTO: Towards a Multilingual Historical Knowledge Extraction Benchmark for Addressing the Long-Tail Problem</v>
      </c>
      <c r="C1128" s="7" t="str">
        <f>IFERROR(__xludf.DUMMYFUNCTION("""COMPUTED_VALUE"""),"Large Language Models (LLMs) face significant challenges when queried about long-tail knowledge, i.e., information that is rarely encountered during their training process. These difficulties arise due to the inherent sparsity of such data. Furthermore, L"&amp;"LMs often lack the ability to verify or ground their responses in authoritative sources, which can lead to plausible yet inaccurate outputs when addressing infrequent subject matter. Our work aims to investigate these phenomena by introducing KE-mHISTO, a"&amp;" multilingual benchmark for Entity Linking and Question Answering in the domain of historical music knowledge, available in both Italian and English. We demonstrate that KE-mHISTO provides significantly broader coverage of long-tail knowledge compared to "&amp;"existing alternatives. Moreover, it poses substantial challenges for state-of-the-art models. Our experiments reveal that smaller, multilingual models can achieve performance comparable to significantly larger counterparts, highlighting the potential of e"&amp;"fficient, language-aware approaches for long-tail knowledge extraction. KE-mHISTO is available at: https://anonymous.4open.science/r/KE-MHISTO-6108.")</f>
        <v>Large Language Models (LLMs) face significant challenges when queried about long-tail knowledge, i.e., information that is rarely encountered during their training process. These difficulties arise due to the inherent sparsity of such data. Furthermore, LLMs often lack the ability to verify or ground their responses in authoritative sources, which can lead to plausible yet inaccurate outputs when addressing infrequent subject matter. Our work aims to investigate these phenomena by introducing KE-mHISTO, a multilingual benchmark for Entity Linking and Question Answering in the domain of historical music knowledge, available in both Italian and English. We demonstrate that KE-mHISTO provides significantly broader coverage of long-tail knowledge compared to existing alternatives. Moreover, it poses substantial challenges for state-of-the-art models. Our experiments reveal that smaller, multilingual models can achieve performance comparable to significantly larger counterparts, highlighting the potential of efficient, language-aware approaches for long-tail knowledge extraction. KE-mHISTO is available at: https://anonymous.4open.science/r/KE-MHISTO-6108.</v>
      </c>
      <c r="D1128" s="7" t="str">
        <f>IFERROR(__xludf.DUMMYFUNCTION("""COMPUTED_VALUE"""),"Arianna Graciotti")</f>
        <v>Arianna Graciotti</v>
      </c>
      <c r="E1128" s="7" t="str">
        <f>IFERROR(__xludf.DUMMYFUNCTION("""COMPUTED_VALUE"""),"Yes")</f>
        <v>Yes</v>
      </c>
      <c r="F1128" s="7" t="str">
        <f>IFERROR(__xludf.DUMMYFUNCTION("""COMPUTED_VALUE"""),"IP-Poster")</f>
        <v>IP-Poster</v>
      </c>
      <c r="G1128" s="7" t="str">
        <f>IFERROR(__xludf.DUMMYFUNCTION("""COMPUTED_VALUE"""),"In-Person")</f>
        <v>In-Person</v>
      </c>
      <c r="H1128" s="7" t="str">
        <f>IFERROR(__xludf.DUMMYFUNCTION("""COMPUTED_VALUE"""),"Hall 4/5")</f>
        <v>Hall 4/5</v>
      </c>
      <c r="I1128" s="7" t="str">
        <f>IFERROR(__xludf.DUMMYFUNCTION("""COMPUTED_VALUE"""),"Session 12: IP-Posters")</f>
        <v>Session 12: IP-Posters</v>
      </c>
      <c r="J1128" s="7" t="str">
        <f>IFERROR(__xludf.DUMMYFUNCTION("""COMPUTED_VALUE"""),"Findings Posters - In-Person 4")</f>
        <v>Findings Posters - In-Person 4</v>
      </c>
      <c r="K1128" s="7"/>
      <c r="L1128" s="8">
        <f>IFERROR(__xludf.DUMMYFUNCTION("""COMPUTED_VALUE"""),45868.0)</f>
        <v>45868</v>
      </c>
      <c r="M1128" s="7" t="str">
        <f>IFERROR(__xludf.DUMMYFUNCTION("""COMPUTED_VALUE"""),"11:00-12:30")</f>
        <v>11:00-12:30</v>
      </c>
      <c r="N1128" s="7"/>
    </row>
    <row r="1129">
      <c r="A1129" s="7" t="str">
        <f>IFERROR(__xludf.DUMMYFUNCTION("""COMPUTED_VALUE"""),"3999-FIND")</f>
        <v>3999-FIND</v>
      </c>
      <c r="B1129" s="7" t="str">
        <f>IFERROR(__xludf.DUMMYFUNCTION("""COMPUTED_VALUE"""),"TailorKV: A Hybrid Framework for Long-Context Inference via Tailored KV Cache Optimization")</f>
        <v>TailorKV: A Hybrid Framework for Long-Context Inference via Tailored KV Cache Optimization</v>
      </c>
      <c r="C1129" s="7" t="str">
        <f>IFERROR(__xludf.DUMMYFUNCTION("""COMPUTED_VALUE"""),"The Key-Value (KV) cache in generative large language models (LLMs) introduces substantial memory overhead. Existing works mitigate this burden by offloading or compressing the KV cache. However, loading the entire cache incurs significant latency due to "&amp;"PCIe bandwidth bottlenecks in CPU-GPU communication, while aggressive compression causes notable performance degradation. We identify that certain layers in the LLM need to maintain global information and are unsuitable for selective loading. In contrast,"&amp;" other layers primarily focus on a few tokens with dominant activations that potentially incur substantial quantization error. This observation leads to a key insight that loading dominant tokens and quantizing all tokens can complement each other. Buildi"&amp;"ng on this insight, we propose a hybrid compression method, TailorKV, which seamlessly integrates quantization and offloading. TailorKV develops an inference framework along with a hardware-friendly implementation that leverages these complementary charac"&amp;"teristics. Extensive long-context evaluations exhibit that TailorKV achieves nearly lossless performance under aggressive compression settings, outperforming the state-of-the-art. Particularly, the Llama-3.1-8B with 128k context can be served within a sin"&amp;"gle RTX 3090 GPU, reaching 82 ms per token during decoding.")</f>
        <v>The Key-Value (KV) cache in generative large language models (LLMs) introduces substantial memory overhead. Existing works mitigate this burden by offloading or compressing the KV cache. However, loading the entire cache incurs significant latency due to PCIe bandwidth bottlenecks in CPU-GPU communication, while aggressive compression causes notable performance degradation. We identify that certain layers in the LLM need to maintain global information and are unsuitable for selective loading. In contrast, other layers primarily focus on a few tokens with dominant activations that potentially incur substantial quantization error. This observation leads to a key insight that loading dominant tokens and quantizing all tokens can complement each other. Building on this insight, we propose a hybrid compression method, TailorKV, which seamlessly integrates quantization and offloading. TailorKV develops an inference framework along with a hardware-friendly implementation that leverages these complementary characteristics. Extensive long-context evaluations exhibit that TailorKV achieves nearly lossless performance under aggressive compression settings, outperforming the state-of-the-art. Particularly, the Llama-3.1-8B with 128k context can be served within a single RTX 3090 GPU, reaching 82 ms per token during decoding.</v>
      </c>
      <c r="D1129" s="7" t="str">
        <f>IFERROR(__xludf.DUMMYFUNCTION("""COMPUTED_VALUE"""),"Sorry, I do not plan to present.")</f>
        <v>Sorry, I do not plan to present.</v>
      </c>
      <c r="E1129" s="7" t="str">
        <f>IFERROR(__xludf.DUMMYFUNCTION("""COMPUTED_VALUE"""),"#N/A")</f>
        <v>#N/A</v>
      </c>
      <c r="F1129" s="7" t="str">
        <f>IFERROR(__xludf.DUMMYFUNCTION("""COMPUTED_VALUE"""),"Not Pres. ")</f>
        <v>Not Pres. </v>
      </c>
      <c r="G1129" s="7" t="str">
        <f>IFERROR(__xludf.DUMMYFUNCTION("""COMPUTED_VALUE"""),"NP Findings Not Presenting ")</f>
        <v>NP Findings Not Presenting </v>
      </c>
      <c r="H1129" s="7"/>
      <c r="I1129" s="7" t="str">
        <f>IFERROR(__xludf.DUMMYFUNCTION("""COMPUTED_VALUE"""),"NP-Find")</f>
        <v>NP-Find</v>
      </c>
      <c r="J1129" s="7"/>
      <c r="K1129" s="7"/>
      <c r="L1129" s="8"/>
      <c r="M1129" s="7"/>
      <c r="N1129" s="7"/>
    </row>
    <row r="1130">
      <c r="A1130" s="7" t="str">
        <f>IFERROR(__xludf.DUMMYFUNCTION("""COMPUTED_VALUE"""),"4001-FIND")</f>
        <v>4001-FIND</v>
      </c>
      <c r="B1130" s="7" t="str">
        <f>IFERROR(__xludf.DUMMYFUNCTION("""COMPUTED_VALUE"""),"The Elephant in the Room: Exploring the Role of Neutral Words in Language Model Group-Agnostic Debiasing")</f>
        <v>The Elephant in the Room: Exploring the Role of Neutral Words in Language Model Group-Agnostic Debiasing</v>
      </c>
      <c r="C1130" s="7" t="str">
        <f>IFERROR(__xludf.DUMMYFUNCTION("""COMPUTED_VALUE"""),"Large Language Models (LLMs) are increasingly integrated into our daily lives, raising significant ethical concerns, especially about perpetuating stereotypes.While group-specific debiasing methods have made progress, they often fail to address multiple b"&amp;"iases simultaneously. In contrast, group-agnostic debiasing has the potential to mitigate a variety of biases at once, but remains underexplored.In this work, we investigate the role of neutral words—the group-agnostic component—in enhancing the group-agn"&amp;"ostic debiasing process. We first reveal that neutral words are essential for preserving semantic modeling, and we propose 𝜖-DPCE, a method that incorporates a neutral word semantics-based loss function to effectively alleviate the deterioration of the L"&amp;"anguage Modeling Score (LMS) during the debiasing process. Furthermore, by introducing the SCM-Projection method, we demonstrate that SCM-based debiasing eliminates stereotypes by indirectly disrupting the association between attribute and neutral words i"&amp;"n the Stereotype Content Model (SCM) space. Our experiments show that neutral words, which often embed multi-group stereotypical objects, play a key role in contributing to the group-agnostic nature of SCM-based debiasing.")</f>
        <v>Large Language Models (LLMs) are increasingly integrated into our daily lives, raising significant ethical concerns, especially about perpetuating stereotypes.While group-specific debiasing methods have made progress, they often fail to address multiple biases simultaneously. In contrast, group-agnostic debiasing has the potential to mitigate a variety of biases at once, but remains underexplored.In this work, we investigate the role of neutral words—the group-agnostic component—in enhancing the group-agnostic debiasing process. We first reveal that neutral words are essential for preserving semantic modeling, and we propose 𝜖-DPCE, a method that incorporates a neutral word semantics-based loss function to effectively alleviate the deterioration of the Language Modeling Score (LMS) during the debiasing process. Furthermore, by introducing the SCM-Projection method, we demonstrate that SCM-based debiasing eliminates stereotypes by indirectly disrupting the association between attribute and neutral words in the Stereotype Content Model (SCM) space. Our experiments show that neutral words, which often embed multi-group stereotypical objects, play a key role in contributing to the group-agnostic nature of SCM-based debiasing.</v>
      </c>
      <c r="D1130" s="7" t="str">
        <f>IFERROR(__xludf.DUMMYFUNCTION("""COMPUTED_VALUE"""),"I do not plan to present.")</f>
        <v>I do not plan to present.</v>
      </c>
      <c r="E1130" s="7" t="str">
        <f>IFERROR(__xludf.DUMMYFUNCTION("""COMPUTED_VALUE"""),"#N/A")</f>
        <v>#N/A</v>
      </c>
      <c r="F1130" s="7" t="str">
        <f>IFERROR(__xludf.DUMMYFUNCTION("""COMPUTED_VALUE"""),"Not Pres. ")</f>
        <v>Not Pres. </v>
      </c>
      <c r="G1130" s="7" t="str">
        <f>IFERROR(__xludf.DUMMYFUNCTION("""COMPUTED_VALUE"""),"NP Findings Not Presenting ")</f>
        <v>NP Findings Not Presenting </v>
      </c>
      <c r="H1130" s="7"/>
      <c r="I1130" s="7" t="str">
        <f>IFERROR(__xludf.DUMMYFUNCTION("""COMPUTED_VALUE"""),"NP-Find")</f>
        <v>NP-Find</v>
      </c>
      <c r="J1130" s="7"/>
      <c r="K1130" s="7"/>
      <c r="L1130" s="8"/>
      <c r="M1130" s="7"/>
      <c r="N1130" s="7"/>
    </row>
    <row r="1131">
      <c r="A1131" s="7" t="str">
        <f>IFERROR(__xludf.DUMMYFUNCTION("""COMPUTED_VALUE"""),"4012-FIND")</f>
        <v>4012-FIND</v>
      </c>
      <c r="B1131" s="7" t="str">
        <f>IFERROR(__xludf.DUMMYFUNCTION("""COMPUTED_VALUE"""),"LLMs Can Achieve High-quality Simultaneous Machine Translation as Efficiently as Offline")</f>
        <v>LLMs Can Achieve High-quality Simultaneous Machine Translation as Efficiently as Offline</v>
      </c>
      <c r="C1131" s="7" t="str">
        <f>IFERROR(__xludf.DUMMYFUNCTION("""COMPUTED_VALUE"""),"When the complete source sentence is provided, Large Language Models (LLMs) perform excellently in offline machine translation even with a simple prompt ""Translate the following sentence from [src lang] into [tgt lang]:"". However, in many real scenarios"&amp;", the source tokens arrive in a streaming manner and simultaneous machine translation (SiMT) is required, then the efficiency and performance of decoder-only LLMs are significantly limited by their auto-regressive nature. To enable LLMs to achieve high-qu"&amp;"ality SiMT as efficiently as offline translation, we propose a novel paradigm that includes constructing supervised fine-tuning (SFT) data for SiMT, along with new training and inference strategies. To replicate the token input/output stream in SiMT, the "&amp;"source and target tokens are rearranged into an interleaved sequence, separated by special tokens according to varying latency requirements. This enables powerful LLMs to learn read and write operations adaptively, based on varying latency prompts, while "&amp;"still maintaining efficient auto-regressive decoding. Experimental results show that, even with limited SFT data, our approach achieves state-of-the-art performance across various SiMT benchmarks and different evaluation metrics, and preserves the origina"&amp;"l capabilities of offline translation. Moreover, our approach generalizes well to document-level SiMT setting without requiring specific fine-tuning, even beyond the offline translation model.")</f>
        <v>When the complete source sentence is provided, Large Language Models (LLMs) perform excellently in offline machine translation even with a simple prompt "Translate the following sentence from [src lang] into [tgt lang]:". However, in many real scenarios, the source tokens arrive in a streaming manner and simultaneous machine translation (SiMT) is required, then the efficiency and performance of decoder-only LLMs are significantly limited by their auto-regressive nature. To enable LLMs to achieve high-quality SiMT as efficiently as offline translation, we propose a novel paradigm that includes constructing supervised fine-tuning (SFT) data for SiMT, along with new training and inference strategies. To replicate the token input/output stream in SiMT, the source and target tokens are rearranged into an interleaved sequence, separated by special tokens according to varying latency requirements. This enables powerful LLMs to learn read and write operations adaptively, based on varying latency prompts, while still maintaining efficient auto-regressive decoding. Experimental results show that, even with limited SFT data, our approach achieves state-of-the-art performance across various SiMT benchmarks and different evaluation metrics, and preserves the original capabilities of offline translation. Moreover, our approach generalizes well to document-level SiMT setting without requiring specific fine-tuning, even beyond the offline translation model.</v>
      </c>
      <c r="D1131" s="7" t="str">
        <f>IFERROR(__xludf.DUMMYFUNCTION("""COMPUTED_VALUE"""),"Minpeng Liao")</f>
        <v>Minpeng Liao</v>
      </c>
      <c r="E1131" s="7" t="str">
        <f>IFERROR(__xludf.DUMMYFUNCTION("""COMPUTED_VALUE"""),"Yes")</f>
        <v>Yes</v>
      </c>
      <c r="F1131" s="7" t="str">
        <f>IFERROR(__xludf.DUMMYFUNCTION("""COMPUTED_VALUE"""),"IP-Poster")</f>
        <v>IP-Poster</v>
      </c>
      <c r="G1131" s="7" t="str">
        <f>IFERROR(__xludf.DUMMYFUNCTION("""COMPUTED_VALUE"""),"In-Person")</f>
        <v>In-Person</v>
      </c>
      <c r="H1131" s="7" t="str">
        <f>IFERROR(__xludf.DUMMYFUNCTION("""COMPUTED_VALUE"""),"Hall 4/5")</f>
        <v>Hall 4/5</v>
      </c>
      <c r="I1131" s="7" t="str">
        <f>IFERROR(__xludf.DUMMYFUNCTION("""COMPUTED_VALUE"""),"Session 10: IP-Posters")</f>
        <v>Session 10: IP-Posters</v>
      </c>
      <c r="J1131" s="7" t="str">
        <f>IFERROR(__xludf.DUMMYFUNCTION("""COMPUTED_VALUE"""),"Findings Posters - In-Person 3")</f>
        <v>Findings Posters - In-Person 3</v>
      </c>
      <c r="K1131" s="7"/>
      <c r="L1131" s="8">
        <f>IFERROR(__xludf.DUMMYFUNCTION("""COMPUTED_VALUE"""),45867.0)</f>
        <v>45867</v>
      </c>
      <c r="M1131" s="7" t="str">
        <f>IFERROR(__xludf.DUMMYFUNCTION("""COMPUTED_VALUE"""),"16:00-17:30")</f>
        <v>16:00-17:30</v>
      </c>
      <c r="N1131" s="7"/>
    </row>
    <row r="1132">
      <c r="A1132" s="7" t="str">
        <f>IFERROR(__xludf.DUMMYFUNCTION("""COMPUTED_VALUE"""),"4024-FIND")</f>
        <v>4024-FIND</v>
      </c>
      <c r="B1132" s="7" t="str">
        <f>IFERROR(__xludf.DUMMYFUNCTION("""COMPUTED_VALUE"""),"Beyond Completion: A Foundation Model for General Knowledge Graph Reasoning")</f>
        <v>Beyond Completion: A Foundation Model for General Knowledge Graph Reasoning</v>
      </c>
      <c r="C1132" s="7" t="str">
        <f>IFERROR(__xludf.DUMMYFUNCTION("""COMPUTED_VALUE"""),"In natural language processing (NLP) and computer vision (CV), the successful application of foundation models across diverse tasks has demonstrated their remarkable potential. However, despite the rich structural and textual information embedded in knowl"&amp;"edge graphs (KGs), existing research of foundation model for KG has primarily focused on their structural aspects, with most efforts restricted to in-KG tasks (e.g., knowledge graph completion, KGC). This limitation has hindered progress in addressing mor"&amp;"e challenging out-of-KG tasks. In this paper, we introduce MERRY, a foundation model for general knowledge graph reasoning, and investigate its performance across two task categories: in-KG reasoning tasks (e.g., KGC) and out-of-KG tasks (e.g., KG questio"&amp;"n answering, KGQA). We not only utilize the structural information, but also the textual information in KGs. Specifically, we propose a multi-perspective Conditional Message Passing (CMP) encoding architecture to bridge the gap between textual and structu"&amp;"ral modalities, enabling their seamless integration. Additionally, we introduce a dynamic residual fusion module to selectively retain relevant textual information and a flexible edge scoring mechanism to adapt to diverse downstream tasks. Comprehensive e"&amp;"valuations on 28 datasets demonstrate that MERRY outperforms existing baselines in most scenarios, showcasing strong reasoning capabilities within KGs and excellent generalization to out-of-KG tasks such as KGQA.")</f>
        <v>In natural language processing (NLP) and computer vision (CV), the successful application of foundation models across diverse tasks has demonstrated their remarkable potential. However, despite the rich structural and textual information embedded in knowledge graphs (KGs), existing research of foundation model for KG has primarily focused on their structural aspects, with most efforts restricted to in-KG tasks (e.g., knowledge graph completion, KGC). This limitation has hindered progress in addressing more challenging out-of-KG tasks. In this paper, we introduce MERRY, a foundation model for general knowledge graph reasoning, and investigate its performance across two task categories: in-KG reasoning tasks (e.g., KGC) and out-of-KG tasks (e.g., KG question answering, KGQA). We not only utilize the structural information, but also the textual information in KGs. Specifically, we propose a multi-perspective Conditional Message Passing (CMP) encoding architecture to bridge the gap between textual and structural modalities, enabling their seamless integration. Additionally, we introduce a dynamic residual fusion module to selectively retain relevant textual information and a flexible edge scoring mechanism to adapt to diverse downstream tasks. Comprehensive evaluations on 28 datasets demonstrate that MERRY outperforms existing baselines in most scenarios, showcasing strong reasoning capabilities within KGs and excellent generalization to out-of-KG tasks such as KGQA.</v>
      </c>
      <c r="D1132" s="7" t="str">
        <f>IFERROR(__xludf.DUMMYFUNCTION("""COMPUTED_VALUE"""),"None")</f>
        <v>None</v>
      </c>
      <c r="E1132" s="7" t="str">
        <f>IFERROR(__xludf.DUMMYFUNCTION("""COMPUTED_VALUE"""),"Yes")</f>
        <v>Yes</v>
      </c>
      <c r="F1132" s="7" t="str">
        <f>IFERROR(__xludf.DUMMYFUNCTION("""COMPUTED_VALUE"""),"Not Pres. ")</f>
        <v>Not Pres. </v>
      </c>
      <c r="G1132" s="7" t="str">
        <f>IFERROR(__xludf.DUMMYFUNCTION("""COMPUTED_VALUE"""),"NP Findings Not Presenting ")</f>
        <v>NP Findings Not Presenting </v>
      </c>
      <c r="H1132" s="7"/>
      <c r="I1132" s="7"/>
      <c r="J1132" s="7"/>
      <c r="K1132" s="7"/>
      <c r="L1132" s="8"/>
      <c r="M1132" s="7"/>
      <c r="N1132" s="7"/>
    </row>
    <row r="1133">
      <c r="A1133" s="7" t="str">
        <f>IFERROR(__xludf.DUMMYFUNCTION("""COMPUTED_VALUE"""),"4033-FIND")</f>
        <v>4033-FIND</v>
      </c>
      <c r="B1133" s="7" t="str">
        <f>IFERROR(__xludf.DUMMYFUNCTION("""COMPUTED_VALUE"""),"Generative Error Correction for Emotion-aware Speech-to-text Translation")</f>
        <v>Generative Error Correction for Emotion-aware Speech-to-text Translation</v>
      </c>
      <c r="C1133" s="7" t="str">
        <f>IFERROR(__xludf.DUMMYFUNCTION("""COMPUTED_VALUE"""),"This paper explores emotion-aware speech-to-text translation (ST) using generative error correction (GER) by large language models (LLMs). Despite recent advancements in ST, the impact of the emotional content has been overlooked. First, we enhance the tr"&amp;"anslation of emotional speech by adopting the GER paradigm: Finetuned an LLM to generate the translation based on the decoded N-best hypotheses. Moreover, we combine the emotion and sentiment labels into the LLM finetuning process to enable the model to c"&amp;"onsider the emotion content. In addition, we project the ST model's latent representation into the LLM embedding space to further improve emotion recognition and translation. Experiments on an English-Chinese dataset show the effectiveness of the combinat"&amp;"ion of GER, emotion and sentiment labels, and the projector for emotion-aware ST. We will release our codes to the public.")</f>
        <v>This paper explores emotion-aware speech-to-text translation (ST) using generative error correction (GER) by large language models (LLMs). Despite recent advancements in ST, the impact of the emotional content has been overlooked. First, we enhance the translation of emotional speech by adopting the GER paradigm: Finetuned an LLM to generate the translation based on the decoded N-best hypotheses. Moreover, we combine the emotion and sentiment labels into the LLM finetuning process to enable the model to consider the emotion content. In addition, we project the ST model's latent representation into the LLM embedding space to further improve emotion recognition and translation. Experiments on an English-Chinese dataset show the effectiveness of the combination of GER, emotion and sentiment labels, and the projector for emotion-aware ST. We will release our codes to the public.</v>
      </c>
      <c r="D1133" s="7" t="str">
        <f>IFERROR(__xludf.DUMMYFUNCTION("""COMPUTED_VALUE"""),"Zhengdong Yang")</f>
        <v>Zhengdong Yang</v>
      </c>
      <c r="E1133" s="7" t="str">
        <f>IFERROR(__xludf.DUMMYFUNCTION("""COMPUTED_VALUE"""),"Yes")</f>
        <v>Yes</v>
      </c>
      <c r="F1133" s="7" t="str">
        <f>IFERROR(__xludf.DUMMYFUNCTION("""COMPUTED_VALUE"""),"IP-Poster")</f>
        <v>IP-Poster</v>
      </c>
      <c r="G1133" s="7" t="str">
        <f>IFERROR(__xludf.DUMMYFUNCTION("""COMPUTED_VALUE"""),"In-Person")</f>
        <v>In-Person</v>
      </c>
      <c r="H1133" s="7" t="str">
        <f>IFERROR(__xludf.DUMMYFUNCTION("""COMPUTED_VALUE"""),"Hall 4/5")</f>
        <v>Hall 4/5</v>
      </c>
      <c r="I1133" s="7" t="str">
        <f>IFERROR(__xludf.DUMMYFUNCTION("""COMPUTED_VALUE"""),"Session 5 :IP-Posters Find ")</f>
        <v>Session 5 :IP-Posters Find </v>
      </c>
      <c r="J1133" s="7" t="str">
        <f>IFERROR(__xludf.DUMMYFUNCTION("""COMPUTED_VALUE"""),"Findings Posters - In-Person 1")</f>
        <v>Findings Posters - In-Person 1</v>
      </c>
      <c r="K1133" s="7"/>
      <c r="L1133" s="8">
        <f>IFERROR(__xludf.DUMMYFUNCTION("""COMPUTED_VALUE"""),45866.0)</f>
        <v>45866</v>
      </c>
      <c r="M1133" s="7" t="str">
        <f>IFERROR(__xludf.DUMMYFUNCTION("""COMPUTED_VALUE"""),"18:00-19:30")</f>
        <v>18:00-19:30</v>
      </c>
      <c r="N1133" s="7"/>
    </row>
    <row r="1134">
      <c r="A1134" s="7" t="str">
        <f>IFERROR(__xludf.DUMMYFUNCTION("""COMPUTED_VALUE"""),"4034-FIND")</f>
        <v>4034-FIND</v>
      </c>
      <c r="B1134" s="7" t="str">
        <f>IFERROR(__xludf.DUMMYFUNCTION("""COMPUTED_VALUE"""),"SynapticRAG: Enhancing Temporal Memory Retrieval in Large Language Models through Synaptic Mechanisms")</f>
        <v>SynapticRAG: Enhancing Temporal Memory Retrieval in Large Language Models through Synaptic Mechanisms</v>
      </c>
      <c r="C1134" s="7" t="str">
        <f>IFERROR(__xludf.DUMMYFUNCTION("""COMPUTED_VALUE"""),"Existing retrieval methods in Large Language Models show degradation in accuracy when handling temporally distributed conversations, primarily due to their reliance on simple similarity-based retrieval. Unlike existing memory retrieval methods that rely s"&amp;"olely on semantic similarity, we propose SynapticRAG, which uniquely combines temporal association triggers with biologically-inspired synaptic propagation mechanisms. Our approach uses temporal association triggers and synaptic-like stimulus propagation "&amp;"to identify relevant dialogue histories. A dynamic leaky integrate-and-fire mechanism then selects the most contextually appropriate memories. Experiments on four datasets of English, Chinese and Japanese show that compared to state-of-the-art memory retr"&amp;"ieval methods, SynapticRAG achieves consistent improvements across multiple metrics up to 14.66% points. This work bridges the gap between cognitive science and language model development, providing a new framework for memory management in conversational "&amp;"systems.")</f>
        <v>Existing retrieval methods in Large Language Models show degradation in accuracy when handling temporally distributed conversations, primarily due to their reliance on simple similarity-based retrieval. Unlike existing memory retrieval methods that rely solely on semantic similarity, we propose SynapticRAG, which uniquely combines temporal association triggers with biologically-inspired synaptic propagation mechanisms. Our approach uses temporal association triggers and synaptic-like stimulus propagation to identify relevant dialogue histories. A dynamic leaky integrate-and-fire mechanism then selects the most contextually appropriate memories. Experiments on four datasets of English, Chinese and Japanese show that compared to state-of-the-art memory retrieval methods, SynapticRAG achieves consistent improvements across multiple metrics up to 14.66% points. This work bridges the gap between cognitive science and language model development, providing a new framework for memory management in conversational systems.</v>
      </c>
      <c r="D1134" s="7" t="str">
        <f>IFERROR(__xludf.DUMMYFUNCTION("""COMPUTED_VALUE"""),"Yuki Hou")</f>
        <v>Yuki Hou</v>
      </c>
      <c r="E1134" s="7" t="str">
        <f>IFERROR(__xludf.DUMMYFUNCTION("""COMPUTED_VALUE"""),"#N/A")</f>
        <v>#N/A</v>
      </c>
      <c r="F1134" s="7" t="str">
        <f>IFERROR(__xludf.DUMMYFUNCTION("""COMPUTED_VALUE"""),"Not Pres. ")</f>
        <v>Not Pres. </v>
      </c>
      <c r="G1134" s="7" t="str">
        <f>IFERROR(__xludf.DUMMYFUNCTION("""COMPUTED_VALUE"""),"NP Findings Not Presenting ")</f>
        <v>NP Findings Not Presenting </v>
      </c>
      <c r="H1134" s="7"/>
      <c r="I1134" s="7" t="str">
        <f>IFERROR(__xludf.DUMMYFUNCTION("""COMPUTED_VALUE"""),"NP-Find")</f>
        <v>NP-Find</v>
      </c>
      <c r="J1134" s="7"/>
      <c r="K1134" s="7"/>
      <c r="L1134" s="8"/>
      <c r="M1134" s="7"/>
      <c r="N1134" s="7"/>
    </row>
    <row r="1135">
      <c r="A1135" s="7" t="str">
        <f>IFERROR(__xludf.DUMMYFUNCTION("""COMPUTED_VALUE"""),"4037-FIND")</f>
        <v>4037-FIND</v>
      </c>
      <c r="B1135" s="7" t="str">
        <f>IFERROR(__xludf.DUMMYFUNCTION("""COMPUTED_VALUE"""),"Localizing and Mitigating Errors in Long-form Question Answering")</f>
        <v>Localizing and Mitigating Errors in Long-form Question Answering</v>
      </c>
      <c r="C1135" s="7" t="str">
        <f>IFERROR(__xludf.DUMMYFUNCTION("""COMPUTED_VALUE"""),"Long-form question answering (LFQA) aims to provide thorough and in-depth answers to complex questions, enhancing comprehension. However, such detailed responses are prone to hallucinations and factual inconsistencies, challenging their faithful evaluatio"&amp;"n. This work introduces HaluQuestQA, the first hallucination dataset with localized error annotations for human-written and model-generated LFQA answers. HaluQuestQA comprises 698 QA pairs with 1.8k span-level error annotations for five different error ty"&amp;"pes by expert annotators, along with preference judgments. Using our collected data, we thoroughly analyze the shortcomings of long-form answers and find that they lack comprehensiveness and provide unhelpful references. We train an automatic feedback mod"&amp;"el on this dataset that predicts error spans with incomplete information and provides associated explanations. Finally, we propose a prompt-based approach, Error-Informed Refinement, that uses signals from the learned feedback model to refine generated an"&amp;"swers, which we show reduces errors and improves the quality of the answers across multiple models. Furthermore, humans find the answers generated by our approach comprehensive and highly prefer them (84%) over the baseline answers.")</f>
        <v>Long-form question answering (LFQA) aims to provide thorough and in-depth answers to complex questions, enhancing comprehension. However, such detailed responses are prone to hallucinations and factual inconsistencies, challenging their faithful evaluation. This work introduces HaluQuestQA, the first hallucination dataset with localized error annotations for human-written and model-generated LFQA answers. HaluQuestQA comprises 698 QA pairs with 1.8k span-level error annotations for five different error types by expert annotators, along with preference judgments. Using our collected data, we thoroughly analyze the shortcomings of long-form answers and find that they lack comprehensiveness and provide unhelpful references. We train an automatic feedback model on this dataset that predicts error spans with incomplete information and provides associated explanations. Finally, we propose a prompt-based approach, Error-Informed Refinement, that uses signals from the learned feedback model to refine generated answers, which we show reduces errors and improves the quality of the answers across multiple models. Furthermore, humans find the answers generated by our approach comprehensive and highly prefer them (84%) over the baseline answers.</v>
      </c>
      <c r="D1135" s="7" t="str">
        <f>IFERROR(__xludf.DUMMYFUNCTION("""COMPUTED_VALUE"""),"Rachneet Sachdeva")</f>
        <v>Rachneet Sachdeva</v>
      </c>
      <c r="E1135" s="7" t="str">
        <f>IFERROR(__xludf.DUMMYFUNCTION("""COMPUTED_VALUE"""),"Yes")</f>
        <v>Yes</v>
      </c>
      <c r="F1135" s="7" t="str">
        <f>IFERROR(__xludf.DUMMYFUNCTION("""COMPUTED_VALUE"""),"V-Presentation")</f>
        <v>V-Presentation</v>
      </c>
      <c r="G1135" s="7" t="str">
        <f>IFERROR(__xludf.DUMMYFUNCTION("""COMPUTED_VALUE"""),"Virtual/Gather")</f>
        <v>Virtual/Gather</v>
      </c>
      <c r="H1135" s="7" t="str">
        <f>IFERROR(__xludf.DUMMYFUNCTION("""COMPUTED_VALUE"""),"Gather")</f>
        <v>Gather</v>
      </c>
      <c r="I1135" s="7" t="str">
        <f>IFERROR(__xludf.DUMMYFUNCTION("""COMPUTED_VALUE"""),"Session5: V-Gather Find")</f>
        <v>Session5: V-Gather Find</v>
      </c>
      <c r="J1135" s="7" t="str">
        <f>IFERROR(__xludf.DUMMYFUNCTION("""COMPUTED_VALUE"""),"Findings Posters - Virtual")</f>
        <v>Findings Posters - Virtual</v>
      </c>
      <c r="K1135" s="7"/>
      <c r="L1135" s="8">
        <f>IFERROR(__xludf.DUMMYFUNCTION("""COMPUTED_VALUE"""),45866.0)</f>
        <v>45866</v>
      </c>
      <c r="M1135" s="7" t="str">
        <f>IFERROR(__xludf.DUMMYFUNCTION("""COMPUTED_VALUE"""),"18:00-19:30")</f>
        <v>18:00-19:30</v>
      </c>
      <c r="N1135" s="7"/>
    </row>
    <row r="1136">
      <c r="A1136" s="7" t="str">
        <f>IFERROR(__xludf.DUMMYFUNCTION("""COMPUTED_VALUE"""),"4040-FIND")</f>
        <v>4040-FIND</v>
      </c>
      <c r="B1136" s="7" t="str">
        <f>IFERROR(__xludf.DUMMYFUNCTION("""COMPUTED_VALUE"""),"EMGLLM: Data-to-Text Alignment for Electromyogram Diagnosis Generation with Medical Numerical Data Encoding")</f>
        <v>EMGLLM: Data-to-Text Alignment for Electromyogram Diagnosis Generation with Medical Numerical Data Encoding</v>
      </c>
      <c r="C1136" s="7" t="str">
        <f>IFERROR(__xludf.DUMMYFUNCTION("""COMPUTED_VALUE"""),"Electromyography (EMG) tables are crucial for diagnosing muscle and nerve disorders, and advancing the automation of EMG diagnostics is significant for improving medical efficiency. EMG tables contain extensive continuous numerical data, which current Lar"&amp;"ge Language Models (LLMs) often struggle to interpret effectively. To address this issue, we propose EMGLLM, a data-to-text model specifically designed for medical examination tables. EMGLLM employs the EMG Alignment Encoder to simulate the process that d"&amp;"octors compare test values with reference values, aligning the data into word embeddings that reflect health degree. Additionally, we construct ETM, a dataset comprising 17,276 real cases and their corresponding diagnostic results, to support medical data"&amp;"-to-text tasks. Experimental results on ETM demonstrate that EMGLLM outperforms various baseline models in understanding EMG tables and generating high-quality diagnoses, which represents an effective paradigm for automatic diagnosis generation from medic"&amp;"al examination table.")</f>
        <v>Electromyography (EMG) tables are crucial for diagnosing muscle and nerve disorders, and advancing the automation of EMG diagnostics is significant for improving medical efficiency. EMG tables contain extensive continuous numerical data, which current Large Language Models (LLMs) often struggle to interpret effectively. To address this issue, we propose EMGLLM, a data-to-text model specifically designed for medical examination tables. EMGLLM employs the EMG Alignment Encoder to simulate the process that doctors compare test values with reference values, aligning the data into word embeddings that reflect health degree. Additionally, we construct ETM, a dataset comprising 17,276 real cases and their corresponding diagnostic results, to support medical data-to-text tasks. Experimental results on ETM demonstrate that EMGLLM outperforms various baseline models in understanding EMG tables and generating high-quality diagnoses, which represents an effective paradigm for automatic diagnosis generation from medical examination table.</v>
      </c>
      <c r="D1136" s="7" t="str">
        <f>IFERROR(__xludf.DUMMYFUNCTION("""COMPUTED_VALUE"""),"Zefei Long")</f>
        <v>Zefei Long</v>
      </c>
      <c r="E1136" s="7" t="str">
        <f>IFERROR(__xludf.DUMMYFUNCTION("""COMPUTED_VALUE"""),"Yes")</f>
        <v>Yes</v>
      </c>
      <c r="F1136" s="7" t="str">
        <f>IFERROR(__xludf.DUMMYFUNCTION("""COMPUTED_VALUE"""),"IP-Poster")</f>
        <v>IP-Poster</v>
      </c>
      <c r="G1136" s="7" t="str">
        <f>IFERROR(__xludf.DUMMYFUNCTION("""COMPUTED_VALUE"""),"In-Person")</f>
        <v>In-Person</v>
      </c>
      <c r="H1136" s="7" t="str">
        <f>IFERROR(__xludf.DUMMYFUNCTION("""COMPUTED_VALUE"""),"Hall 4/5")</f>
        <v>Hall 4/5</v>
      </c>
      <c r="I1136" s="7" t="str">
        <f>IFERROR(__xludf.DUMMYFUNCTION("""COMPUTED_VALUE"""),"Session 12: IP-Posters")</f>
        <v>Session 12: IP-Posters</v>
      </c>
      <c r="J1136" s="7" t="str">
        <f>IFERROR(__xludf.DUMMYFUNCTION("""COMPUTED_VALUE"""),"Findings Posters - In-Person 4")</f>
        <v>Findings Posters - In-Person 4</v>
      </c>
      <c r="K1136" s="7"/>
      <c r="L1136" s="8">
        <f>IFERROR(__xludf.DUMMYFUNCTION("""COMPUTED_VALUE"""),45868.0)</f>
        <v>45868</v>
      </c>
      <c r="M1136" s="7" t="str">
        <f>IFERROR(__xludf.DUMMYFUNCTION("""COMPUTED_VALUE"""),"11:00-12:30")</f>
        <v>11:00-12:30</v>
      </c>
      <c r="N1136" s="7"/>
    </row>
    <row r="1137">
      <c r="A1137" s="7" t="str">
        <f>IFERROR(__xludf.DUMMYFUNCTION("""COMPUTED_VALUE"""),"4041-FIND")</f>
        <v>4041-FIND</v>
      </c>
      <c r="B1137" s="7" t="str">
        <f>IFERROR(__xludf.DUMMYFUNCTION("""COMPUTED_VALUE"""),"LLMVoX: Autoregressive Streaming Text-to-Speech Model for Any LLM")</f>
        <v>LLMVoX: Autoregressive Streaming Text-to-Speech Model for Any LLM</v>
      </c>
      <c r="C1137" s="7" t="str">
        <f>IFERROR(__xludf.DUMMYFUNCTION("""COMPUTED_VALUE"""),"Recent advancements in speech-to-speech dialogue systems leverage LLMs for multimodal interactions, yet they remain hindered by fine-tuning requirements, high computational overhead, and text-speech misalignment. Existing speech-enabled LLMs often degrade"&amp;" conversational quality by modifying the LLM, thereby compromising its linguistic capabilities. In contrast, we propose LLMVoX, a lightweight 30M-parameter, LLM-agnostic, autoregressive streaming TTS system that generates high-quality speech with low late"&amp;"ncy, while fully preserving the capabilities of the base LLM. Our approach achieves a significantly lower Word Error Rate compared to speech-enabled LLMs, while operating at comparable latency. By decoupling speech synthesis from LLM processing via a mult"&amp;"i-queue token streaming system, LLMVoX enables seamless, infinite-length dialogues. Its plug-and-play design also facilitates extension to various tasks with different backbones. Furthermore, LLMVoX generalizes to new languages with minimal dataset adapta"&amp;"tion, attaining a low Character Error Rate on an Arabic speech task. Evaluations demonstrate that LLMVoX matches or surpasses existing speech-enabled LLMs in both speech quality and latency, while maintaining the original linguistic strengths of the LLM. "&amp;"Additionally, we have integrated LLMVoX with a Vision-Language Model to create an omni-model with speech, text, and vision capabilities, without requiring additional multimodal training.")</f>
        <v>Recent advancements in speech-to-speech dialogue systems leverage LLMs for multimodal interactions, yet they remain hindered by fine-tuning requirements, high computational overhead, and text-speech misalignment. Existing speech-enabled LLMs often degrade conversational quality by modifying the LLM, thereby compromising its linguistic capabilities. In contrast, we propose LLMVoX, a lightweight 30M-parameter, LLM-agnostic, autoregressive streaming TTS system that generates high-quality speech with low latency, while fully preserving the capabilities of the base LLM. Our approach achieves a significantly lower Word Error Rate compared to speech-enabled LLMs, while operating at comparable latency. By decoupling speech synthesis from LLM processing via a multi-queue token streaming system, LLMVoX enables seamless, infinite-length dialogues. Its plug-and-play design also facilitates extension to various tasks with different backbones. Furthermore, LLMVoX generalizes to new languages with minimal dataset adaptation, attaining a low Character Error Rate on an Arabic speech task. Evaluations demonstrate that LLMVoX matches or surpasses existing speech-enabled LLMs in both speech quality and latency, while maintaining the original linguistic strengths of the LLM. Additionally, we have integrated LLMVoX with a Vision-Language Model to create an omni-model with speech, text, and vision capabilities, without requiring additional multimodal training.</v>
      </c>
      <c r="D1137" s="7" t="str">
        <f>IFERROR(__xludf.DUMMYFUNCTION("""COMPUTED_VALUE"""),"Sambal Shikhar")</f>
        <v>Sambal Shikhar</v>
      </c>
      <c r="E1137" s="7" t="str">
        <f>IFERROR(__xludf.DUMMYFUNCTION("""COMPUTED_VALUE"""),"Yes")</f>
        <v>Yes</v>
      </c>
      <c r="F1137" s="7" t="str">
        <f>IFERROR(__xludf.DUMMYFUNCTION("""COMPUTED_VALUE"""),"IP-Poster")</f>
        <v>IP-Poster</v>
      </c>
      <c r="G1137" s="7" t="str">
        <f>IFERROR(__xludf.DUMMYFUNCTION("""COMPUTED_VALUE"""),"In-Person")</f>
        <v>In-Person</v>
      </c>
      <c r="H1137" s="7" t="str">
        <f>IFERROR(__xludf.DUMMYFUNCTION("""COMPUTED_VALUE"""),"Hall 4/5")</f>
        <v>Hall 4/5</v>
      </c>
      <c r="I1137" s="7" t="str">
        <f>IFERROR(__xludf.DUMMYFUNCTION("""COMPUTED_VALUE"""),"Session 5 :IP-Posters Find ")</f>
        <v>Session 5 :IP-Posters Find </v>
      </c>
      <c r="J1137" s="7" t="str">
        <f>IFERROR(__xludf.DUMMYFUNCTION("""COMPUTED_VALUE"""),"Findings Posters - In-Person 1")</f>
        <v>Findings Posters - In-Person 1</v>
      </c>
      <c r="K1137" s="7"/>
      <c r="L1137" s="8">
        <f>IFERROR(__xludf.DUMMYFUNCTION("""COMPUTED_VALUE"""),45866.0)</f>
        <v>45866</v>
      </c>
      <c r="M1137" s="7" t="str">
        <f>IFERROR(__xludf.DUMMYFUNCTION("""COMPUTED_VALUE"""),"18:00-19:30")</f>
        <v>18:00-19:30</v>
      </c>
      <c r="N1137" s="7"/>
    </row>
    <row r="1138">
      <c r="A1138" s="7" t="str">
        <f>IFERROR(__xludf.DUMMYFUNCTION("""COMPUTED_VALUE"""),"4043-FIND")</f>
        <v>4043-FIND</v>
      </c>
      <c r="B1138" s="7" t="str">
        <f>IFERROR(__xludf.DUMMYFUNCTION("""COMPUTED_VALUE"""),"Act2P: LLM-Driven Online Dialogue Act Classification for Power Analysis")</f>
        <v>Act2P: LLM-Driven Online Dialogue Act Classification for Power Analysis</v>
      </c>
      <c r="C1138" s="7" t="str">
        <f>IFERROR(__xludf.DUMMYFUNCTION("""COMPUTED_VALUE"""),"In team communication, dialogue acts play a crucial role in helping team members understand each other's intentions and revealing the roles and communication patterns within interactions. Although existing studies have focused on using Dialogue Act classi"&amp;"fication to capture the speaker's intentions, few have explored the underlying power dynamics reflected by these dialogue acts. To this end, we present an online Dialogue Act Classification and Dynamic Power Analysis framework—Act2P, which is based on lar"&amp;"ge language model. The framework combines the zero-shot learning capability of LLMs and introduces an online feedback classification method that allows for online classification with iterative feedback to previous stages, achieving efficient and accurate "&amp;"classification without the labeled data. Additionally, we also propose the PowerRank algorithm, which quantifies power dynamics through a graph-based structure. Through comparative experiments with existing methods, we demonstrate the significant superior"&amp;"ity of Act2P in online scenarios and successfully visualize dialogue power in online, clearly presenting the distribution and dynamic transfer of power. This framework provides new scientific insights and practical tools for optimizing team collaboration.")</f>
        <v>In team communication, dialogue acts play a crucial role in helping team members understand each other's intentions and revealing the roles and communication patterns within interactions. Although existing studies have focused on using Dialogue Act classification to capture the speaker's intentions, few have explored the underlying power dynamics reflected by these dialogue acts. To this end, we present an online Dialogue Act Classification and Dynamic Power Analysis framework—Act2P, which is based on large language model. The framework combines the zero-shot learning capability of LLMs and introduces an online feedback classification method that allows for online classification with iterative feedback to previous stages, achieving efficient and accurate classification without the labeled data. Additionally, we also propose the PowerRank algorithm, which quantifies power dynamics through a graph-based structure. Through comparative experiments with existing methods, we demonstrate the significant superiority of Act2P in online scenarios and successfully visualize dialogue power in online, clearly presenting the distribution and dynamic transfer of power. This framework provides new scientific insights and practical tools for optimizing team collaboration.</v>
      </c>
      <c r="D1138" s="7" t="str">
        <f>IFERROR(__xludf.DUMMYFUNCTION("""COMPUTED_VALUE"""),"Yuhan Wang")</f>
        <v>Yuhan Wang</v>
      </c>
      <c r="E1138" s="7" t="str">
        <f>IFERROR(__xludf.DUMMYFUNCTION("""COMPUTED_VALUE"""),"#N/A")</f>
        <v>#N/A</v>
      </c>
      <c r="F1138" s="7" t="str">
        <f>IFERROR(__xludf.DUMMYFUNCTION("""COMPUTED_VALUE"""),"Not Pres. ")</f>
        <v>Not Pres. </v>
      </c>
      <c r="G1138" s="7" t="str">
        <f>IFERROR(__xludf.DUMMYFUNCTION("""COMPUTED_VALUE"""),"NP Findings Not Presenting ")</f>
        <v>NP Findings Not Presenting </v>
      </c>
      <c r="H1138" s="7"/>
      <c r="I1138" s="7" t="str">
        <f>IFERROR(__xludf.DUMMYFUNCTION("""COMPUTED_VALUE"""),"NP-Find")</f>
        <v>NP-Find</v>
      </c>
      <c r="J1138" s="7"/>
      <c r="K1138" s="7"/>
      <c r="L1138" s="8"/>
      <c r="M1138" s="7"/>
      <c r="N1138" s="7"/>
    </row>
    <row r="1139">
      <c r="A1139" s="7" t="str">
        <f>IFERROR(__xludf.DUMMYFUNCTION("""COMPUTED_VALUE"""),"4044-FIND")</f>
        <v>4044-FIND</v>
      </c>
      <c r="B1139" s="7" t="str">
        <f>IFERROR(__xludf.DUMMYFUNCTION("""COMPUTED_VALUE"""),"MELABenchv1: Benchmarking Large Language Models against Smaller Fine-Tuned Models for Low-Resource Maltese NLP")</f>
        <v>MELABenchv1: Benchmarking Large Language Models against Smaller Fine-Tuned Models for Low-Resource Maltese NLP</v>
      </c>
      <c r="C1139" s="7" t="str">
        <f>IFERROR(__xludf.DUMMYFUNCTION("""COMPUTED_VALUE"""),"Large Language Models (LLMs) have demonstrated remarkable performance across various Natural Language Processing (NLP) tasks, largely due to their generalisability and ability to perform tasks without additional training. However, their effectiveness for "&amp;"low-resource languages remains limited. In this study, we evaluate the performance of 47 publicly available LLMs on Maltese, a low-resource language, using a newly introduced benchmark covering 11 discriminative and generative tasks. Our experiments highl"&amp;"ight that many models perform poorly, particularly on generative tasks, and that smaller fine-tuned models often perform better across all tasks. From our multidimensional analysis, we investigate various factors impacting performance. We conclude that pr"&amp;"ior exposure to Maltese during pre-training and instruction-tuning emerges as the most important factor. We also examine the trade-offs between fine-tuning and prompting, highlighting that while fine-tuning requires a higher initial cost, it yields better"&amp;" performance and lower inference costs. Through this work, we aim to highlight the need for more inclusive language technologies and recommend for researchers working with low-resource languages to consider more ""traditional"" language modelling approach"&amp;"es.")</f>
        <v>Large Language Models (LLMs) have demonstrated remarkable performance across various Natural Language Processing (NLP) tasks, largely due to their generalisability and ability to perform tasks without additional training. However, their effectiveness for low-resource languages remains limited. In this study, we evaluate the performance of 47 publicly available LLMs on Maltese, a low-resource language, using a newly introduced benchmark covering 11 discriminative and generative tasks. Our experiments highlight that many models perform poorly, particularly on generative tasks, and that smaller fine-tuned models often perform better across all tasks. From our multidimensional analysis, we investigate various factors impacting performance. We conclude that prior exposure to Maltese during pre-training and instruction-tuning emerges as the most important factor. We also examine the trade-offs between fine-tuning and prompting, highlighting that while fine-tuning requires a higher initial cost, it yields better performance and lower inference costs. Through this work, we aim to highlight the need for more inclusive language technologies and recommend for researchers working with low-resource languages to consider more "traditional" language modelling approaches.</v>
      </c>
      <c r="D1139" s="7" t="str">
        <f>IFERROR(__xludf.DUMMYFUNCTION("""COMPUTED_VALUE"""),"Kurt Micallef")</f>
        <v>Kurt Micallef</v>
      </c>
      <c r="E1139" s="7" t="str">
        <f>IFERROR(__xludf.DUMMYFUNCTION("""COMPUTED_VALUE"""),"Yes")</f>
        <v>Yes</v>
      </c>
      <c r="F1139" s="7" t="str">
        <f>IFERROR(__xludf.DUMMYFUNCTION("""COMPUTED_VALUE"""),"IP-Poster")</f>
        <v>IP-Poster</v>
      </c>
      <c r="G1139" s="7" t="str">
        <f>IFERROR(__xludf.DUMMYFUNCTION("""COMPUTED_VALUE"""),"In-Person")</f>
        <v>In-Person</v>
      </c>
      <c r="H1139" s="7" t="str">
        <f>IFERROR(__xludf.DUMMYFUNCTION("""COMPUTED_VALUE"""),"Hall 4/5")</f>
        <v>Hall 4/5</v>
      </c>
      <c r="I1139" s="7" t="str">
        <f>IFERROR(__xludf.DUMMYFUNCTION("""COMPUTED_VALUE"""),"Session 10: IP-Posters")</f>
        <v>Session 10: IP-Posters</v>
      </c>
      <c r="J1139" s="7" t="str">
        <f>IFERROR(__xludf.DUMMYFUNCTION("""COMPUTED_VALUE"""),"Findings Posters - In-Person 3")</f>
        <v>Findings Posters - In-Person 3</v>
      </c>
      <c r="K1139" s="7"/>
      <c r="L1139" s="8">
        <f>IFERROR(__xludf.DUMMYFUNCTION("""COMPUTED_VALUE"""),45867.0)</f>
        <v>45867</v>
      </c>
      <c r="M1139" s="7" t="str">
        <f>IFERROR(__xludf.DUMMYFUNCTION("""COMPUTED_VALUE"""),"16:00-17:30")</f>
        <v>16:00-17:30</v>
      </c>
      <c r="N1139" s="7"/>
    </row>
    <row r="1140">
      <c r="A1140" s="7" t="str">
        <f>IFERROR(__xludf.DUMMYFUNCTION("""COMPUTED_VALUE"""),"4046-FIND")</f>
        <v>4046-FIND</v>
      </c>
      <c r="B1140" s="7" t="str">
        <f>IFERROR(__xludf.DUMMYFUNCTION("""COMPUTED_VALUE"""),"TRATES: Trait-Specific Rubric-Assisted Cross-Prompt Essay Scoring")</f>
        <v>TRATES: Trait-Specific Rubric-Assisted Cross-Prompt Essay Scoring</v>
      </c>
      <c r="C1140" s="7" t="str">
        <f>IFERROR(__xludf.DUMMYFUNCTION("""COMPUTED_VALUE"""),"Research on holistic Automated Essay Scoring (AES) is long-dated; yet, there is a notable lack of attention for assessing essays according to individual traits. In this work, we propose TRATES, a novel trait-specific and rubric-based cross-prompt AES fram"&amp;"ework that is generic yet specific to the underlying trait. The framework leverages a Large Language Model (LLM) that utilizes the trait grading rubrics to generate trait-specific features (represented by assessment questions), then assesses those feature"&amp;"s given an essay. The trait-specific features are eventually combined with generic writing-quality and prompt-specific features to train a simple classical regression model that predicts trait scores of essays from an unseen prompt. Experiments show that "&amp;"TRATES achieves a new state-of-the-art performance across all traits on a widely-used dataset, with the generated LLM-based features being the most significant.")</f>
        <v>Research on holistic Automated Essay Scoring (AES) is long-dated; yet, there is a notable lack of attention for assessing essays according to individual traits. In this work, we propose TRATES, a novel trait-specific and rubric-based cross-prompt AES framework that is generic yet specific to the underlying trait. The framework leverages a Large Language Model (LLM) that utilizes the trait grading rubrics to generate trait-specific features (represented by assessment questions), then assesses those features given an essay. The trait-specific features are eventually combined with generic writing-quality and prompt-specific features to train a simple classical regression model that predicts trait scores of essays from an unseen prompt. Experiments show that TRATES achieves a new state-of-the-art performance across all traits on a widely-used dataset, with the generated LLM-based features being the most significant.</v>
      </c>
      <c r="D1140" s="7" t="str">
        <f>IFERROR(__xludf.DUMMYFUNCTION("""COMPUTED_VALUE"""),"Sohaila Eltanbouly")</f>
        <v>Sohaila Eltanbouly</v>
      </c>
      <c r="E1140" s="7" t="str">
        <f>IFERROR(__xludf.DUMMYFUNCTION("""COMPUTED_VALUE"""),"#N/A")</f>
        <v>#N/A</v>
      </c>
      <c r="F1140" s="7" t="str">
        <f>IFERROR(__xludf.DUMMYFUNCTION("""COMPUTED_VALUE"""),"Not Pres. ")</f>
        <v>Not Pres. </v>
      </c>
      <c r="G1140" s="7" t="str">
        <f>IFERROR(__xludf.DUMMYFUNCTION("""COMPUTED_VALUE"""),"NP Findings Not Presenting ")</f>
        <v>NP Findings Not Presenting </v>
      </c>
      <c r="H1140" s="7"/>
      <c r="I1140" s="7" t="str">
        <f>IFERROR(__xludf.DUMMYFUNCTION("""COMPUTED_VALUE"""),"NP-Find")</f>
        <v>NP-Find</v>
      </c>
      <c r="J1140" s="7"/>
      <c r="K1140" s="7"/>
      <c r="L1140" s="8"/>
      <c r="M1140" s="7"/>
      <c r="N1140" s="7"/>
    </row>
    <row r="1141">
      <c r="A1141" s="7" t="str">
        <f>IFERROR(__xludf.DUMMYFUNCTION("""COMPUTED_VALUE"""),"4047-FIND")</f>
        <v>4047-FIND</v>
      </c>
      <c r="B1141" s="7" t="str">
        <f>IFERROR(__xludf.DUMMYFUNCTION("""COMPUTED_VALUE"""),"DAST: Context-Aware Compression in LLMs via Dynamic Allocation of Soft Tokens")</f>
        <v>DAST: Context-Aware Compression in LLMs via Dynamic Allocation of Soft Tokens</v>
      </c>
      <c r="C1141" s="7" t="str">
        <f>IFERROR(__xludf.DUMMYFUNCTION("""COMPUTED_VALUE"""),"Large Language Models (LLMs) face computational inefficiencies and redundant processing when handling long context inputs, prompting a focus on compression techniques. While existing semantic vector-based compression methods achieve promising performance,"&amp;" these methods fail to account for the intrinsic information density variations between context chunks, instead allocating soft tokens uniformly across context chunks. This uniform distribution inevitably diminishes allocation to information-critical regi"&amp;"ons. To address this, we propose Dynamic Allocation of Soft Tokens (DAST), a simple yet effective method that leverages the LLM’s intrinsic understanding of contextual relevance to guide compression. DAST combines perplexity-based local information with a"&amp;"ttention-driven global information to dynamically allocate soft tokens to the informative-rich chunks, enabling effective, context-aware compression. Experimental results across multiple benchmarks demonstrate that DAST surpasses state-of-the-art methods.")</f>
        <v>Large Language Models (LLMs) face computational inefficiencies and redundant processing when handling long context inputs, prompting a focus on compression techniques. While existing semantic vector-based compression methods achieve promising performance, these methods fail to account for the intrinsic information density variations between context chunks, instead allocating soft tokens uniformly across context chunks. This uniform distribution inevitably diminishes allocation to information-critical regions. To address this, we propose Dynamic Allocation of Soft Tokens (DAST), a simple yet effective method that leverages the LLM’s intrinsic understanding of contextual relevance to guide compression. DAST combines perplexity-based local information with attention-driven global information to dynamically allocate soft tokens to the informative-rich chunks, enabling effective, context-aware compression. Experimental results across multiple benchmarks demonstrate that DAST surpasses state-of-the-art methods.</v>
      </c>
      <c r="D1141" s="7" t="str">
        <f>IFERROR(__xludf.DUMMYFUNCTION("""COMPUTED_VALUE"""),"Shaoshen Chen")</f>
        <v>Shaoshen Chen</v>
      </c>
      <c r="E1141" s="7" t="str">
        <f>IFERROR(__xludf.DUMMYFUNCTION("""COMPUTED_VALUE"""),"#N/A")</f>
        <v>#N/A</v>
      </c>
      <c r="F1141" s="7" t="str">
        <f>IFERROR(__xludf.DUMMYFUNCTION("""COMPUTED_VALUE"""),"Not Pres. ")</f>
        <v>Not Pres. </v>
      </c>
      <c r="G1141" s="7" t="str">
        <f>IFERROR(__xludf.DUMMYFUNCTION("""COMPUTED_VALUE"""),"NP Findings Not Presenting ")</f>
        <v>NP Findings Not Presenting </v>
      </c>
      <c r="H1141" s="7"/>
      <c r="I1141" s="7" t="str">
        <f>IFERROR(__xludf.DUMMYFUNCTION("""COMPUTED_VALUE"""),"NP-Find")</f>
        <v>NP-Find</v>
      </c>
      <c r="J1141" s="7"/>
      <c r="K1141" s="7"/>
      <c r="L1141" s="8"/>
      <c r="M1141" s="7"/>
      <c r="N1141" s="7"/>
    </row>
    <row r="1142">
      <c r="A1142" s="7" t="str">
        <f>IFERROR(__xludf.DUMMYFUNCTION("""COMPUTED_VALUE"""),"4048-FIND")</f>
        <v>4048-FIND</v>
      </c>
      <c r="B1142" s="7" t="str">
        <f>IFERROR(__xludf.DUMMYFUNCTION("""COMPUTED_VALUE"""),"A Multi-Expert Structural-Semantic Hybrid Framework for Unveiling Historical Patterns in Temporal Knowledge Graphs")</f>
        <v>A Multi-Expert Structural-Semantic Hybrid Framework for Unveiling Historical Patterns in Temporal Knowledge Graphs</v>
      </c>
      <c r="C1142" s="7" t="str">
        <f>IFERROR(__xludf.DUMMYFUNCTION("""COMPUTED_VALUE"""),"Temporal knowledge graph reasoning aims to predict future events with knowledge of existing facts and plays a key role in various downstream tasks. Previous methods focused on either graph structure learning or semantic reasoning, failing to integrate dua"&amp;"l reasoning perspectives to handle different prediction scenarios. Moreover, they lack the capability to capture the inherent differences between historical and non-historical events, which limits their generalization across different temporal contexts. T"&amp;"o this end, we propose a **M**ulti-**E**xpert **S**tructural-**S**emantic **H**ybrid (MESH) framework that employs three kinds of expert modules to integrate both structural and semantic information, guiding the reasoning process for different events. Ext"&amp;"ensive experiments on three datasets demonstrate the effectiveness of our approach. The code and dataset are available at https://anonymous.4open.science/r/TKGR-MESH.")</f>
        <v>Temporal knowledge graph reasoning aims to predict future events with knowledge of existing facts and plays a key role in various downstream tasks. Previous methods focused on either graph structure learning or semantic reasoning, failing to integrate dual reasoning perspectives to handle different prediction scenarios. Moreover, they lack the capability to capture the inherent differences between historical and non-historical events, which limits their generalization across different temporal contexts. To this end, we propose a **M**ulti-**E**xpert **S**tructural-**S**emantic **H**ybrid (MESH) framework that employs three kinds of expert modules to integrate both structural and semantic information, guiding the reasoning process for different events. Extensive experiments on three datasets demonstrate the effectiveness of our approach. The code and dataset are available at https://anonymous.4open.science/r/TKGR-MESH.</v>
      </c>
      <c r="D1142" s="7" t="str">
        <f>IFERROR(__xludf.DUMMYFUNCTION("""COMPUTED_VALUE"""),"Yimin Deng")</f>
        <v>Yimin Deng</v>
      </c>
      <c r="E1142" s="7" t="str">
        <f>IFERROR(__xludf.DUMMYFUNCTION("""COMPUTED_VALUE"""),"#N/A")</f>
        <v>#N/A</v>
      </c>
      <c r="F1142" s="7" t="str">
        <f>IFERROR(__xludf.DUMMYFUNCTION("""COMPUTED_VALUE"""),"Not Pres. ")</f>
        <v>Not Pres. </v>
      </c>
      <c r="G1142" s="7" t="str">
        <f>IFERROR(__xludf.DUMMYFUNCTION("""COMPUTED_VALUE"""),"NP Findings Not Presenting ")</f>
        <v>NP Findings Not Presenting </v>
      </c>
      <c r="H1142" s="7"/>
      <c r="I1142" s="7" t="str">
        <f>IFERROR(__xludf.DUMMYFUNCTION("""COMPUTED_VALUE"""),"NP-Find")</f>
        <v>NP-Find</v>
      </c>
      <c r="J1142" s="7"/>
      <c r="K1142" s="7"/>
      <c r="L1142" s="8"/>
      <c r="M1142" s="7"/>
      <c r="N1142" s="7"/>
    </row>
    <row r="1143">
      <c r="A1143" s="7" t="str">
        <f>IFERROR(__xludf.DUMMYFUNCTION("""COMPUTED_VALUE"""),"4050-FIND")</f>
        <v>4050-FIND</v>
      </c>
      <c r="B1143" s="7" t="str">
        <f>IFERROR(__xludf.DUMMYFUNCTION("""COMPUTED_VALUE"""),"MWPO: Enhancing LLMs Performance through Multi-Weight Preference Strength and Length Optimization")</f>
        <v>MWPO: Enhancing LLMs Performance through Multi-Weight Preference Strength and Length Optimization</v>
      </c>
      <c r="C1143" s="7" t="str">
        <f>IFERROR(__xludf.DUMMYFUNCTION("""COMPUTED_VALUE"""),"Direct Preference Optimization (DPO) have proposed offline alternatives to Reinforcement Learning from Human Feedback (RLHF). In DPO, each preference pair, which serves as the foundation for learning, is typically constructed by first generating multiple "&amp;"responses to the same instruction and then annotating them to indicate the preferred choice. However, when the responses are highly similar, the weak preference signal can introduce annotation noise, which may hinder model optimization. Additionally, DPO "&amp;"suffers from the drawback of over-optimizing for verbose generation. A potential reason is the presence of length bias in preference datasets, which can lead to length exploitation. To address these issues, we propose a DPO-based **m**ulti-**w**eight **p*"&amp;"*reference strength and length **o**ptimization (MWPO) method. Specifically, we propose to reweight preference pairs based on implicit reward margins and response length margins, unifying them through a geometric mixture to generate synthetic weights for "&amp;"optimization. This method allows preference pairs with stronger preference signals or more favorable length feature to have a more pronounced impact on model parameters. Moreover, our method does not require additional annotators. We validate our method o"&amp;"n models of four different scales across multiple benchmarks. Our method surpasses state-of-the-art (SOTA) baselines, outperforming DPO by up to 8.7% on AlpacaEval 2 while reducing generation length by 9.4% in the Mistral setting. Our code is available at"&amp;" https://github.com/AIR-hl/MWPO.")</f>
        <v>Direct Preference Optimization (DPO) have proposed offline alternatives to Reinforcement Learning from Human Feedback (RLHF). In DPO, each preference pair, which serves as the foundation for learning, is typically constructed by first generating multiple responses to the same instruction and then annotating them to indicate the preferred choice. However, when the responses are highly similar, the weak preference signal can introduce annotation noise, which may hinder model optimization. Additionally, DPO suffers from the drawback of over-optimizing for verbose generation. A potential reason is the presence of length bias in preference datasets, which can lead to length exploitation. To address these issues, we propose a DPO-based **m**ulti-**w**eight **p**reference strength and length **o**ptimization (MWPO) method. Specifically, we propose to reweight preference pairs based on implicit reward margins and response length margins, unifying them through a geometric mixture to generate synthetic weights for optimization. This method allows preference pairs with stronger preference signals or more favorable length feature to have a more pronounced impact on model parameters. Moreover, our method does not require additional annotators. We validate our method on models of four different scales across multiple benchmarks. Our method surpasses state-of-the-art (SOTA) baselines, outperforming DPO by up to 8.7% on AlpacaEval 2 while reducing generation length by 9.4% in the Mistral setting. Our code is available at https://github.com/AIR-hl/MWPO.</v>
      </c>
      <c r="D1143" s="7" t="str">
        <f>IFERROR(__xludf.DUMMYFUNCTION("""COMPUTED_VALUE"""),"N/A")</f>
        <v>N/A</v>
      </c>
      <c r="E1143" s="7" t="str">
        <f>IFERROR(__xludf.DUMMYFUNCTION("""COMPUTED_VALUE"""),"#N/A")</f>
        <v>#N/A</v>
      </c>
      <c r="F1143" s="7" t="str">
        <f>IFERROR(__xludf.DUMMYFUNCTION("""COMPUTED_VALUE"""),"Not Pres. ")</f>
        <v>Not Pres. </v>
      </c>
      <c r="G1143" s="7" t="str">
        <f>IFERROR(__xludf.DUMMYFUNCTION("""COMPUTED_VALUE"""),"NP Findings Not Presenting ")</f>
        <v>NP Findings Not Presenting </v>
      </c>
      <c r="H1143" s="7"/>
      <c r="I1143" s="7" t="str">
        <f>IFERROR(__xludf.DUMMYFUNCTION("""COMPUTED_VALUE"""),"NP-Find")</f>
        <v>NP-Find</v>
      </c>
      <c r="J1143" s="7"/>
      <c r="K1143" s="7"/>
      <c r="L1143" s="8"/>
      <c r="M1143" s="7"/>
      <c r="N1143" s="7"/>
    </row>
    <row r="1144">
      <c r="A1144" s="7" t="str">
        <f>IFERROR(__xludf.DUMMYFUNCTION("""COMPUTED_VALUE"""),"4054-FIND")</f>
        <v>4054-FIND</v>
      </c>
      <c r="B1144" s="7" t="str">
        <f>IFERROR(__xludf.DUMMYFUNCTION("""COMPUTED_VALUE"""),"CLEAR: Character Unlearning in Textual and Visual Modalities")</f>
        <v>CLEAR: Character Unlearning in Textual and Visual Modalities</v>
      </c>
      <c r="C1144" s="7" t="str">
        <f>IFERROR(__xludf.DUMMYFUNCTION("""COMPUTED_VALUE"""),"Machine Unlearning (MU) is critical for removing private or hazardous information from deep learning models. While MU has advanced significantly in unimodal (text or vision) settings, multimodal unlearning (MMU) remains underexplored due to the lack of op"&amp;"en benchmarks for evaluating cross-modal data removal. To address this gap, we introduce CLEAR, the first open-source benchmark designed specifically for MMU. CLEAR contains 200 fictitious individuals and 3,700 images linked with corresponding question-an"&amp;"swer pairs, enabling a thorough evaluation across modalities. We conduct a comprehensive analysis of 11 MU methods (e.g., SCRUB, gradient ascent, DPO) across four evaluation sets, demonstrating that jointly unlearning both modalities outperforms single-mo"&amp;"dality approaches.")</f>
        <v>Machine Unlearning (MU) is critical for removing private or hazardous information from deep learning models. While MU has advanced significantly in unimodal (text or vision) settings, multimodal unlearning (MMU) remains underexplored due to the lack of open benchmarks for evaluating cross-modal data removal. To address this gap, we introduce CLEAR, the first open-source benchmark designed specifically for MMU. CLEAR contains 200 fictitious individuals and 3,700 images linked with corresponding question-answer pairs, enabling a thorough evaluation across modalities. We conduct a comprehensive analysis of 11 MU methods (e.g., SCRUB, gradient ascent, DPO) across four evaluation sets, demonstrating that jointly unlearning both modalities outperforms single-modality approaches.</v>
      </c>
      <c r="D1144" s="7" t="str">
        <f>IFERROR(__xludf.DUMMYFUNCTION("""COMPUTED_VALUE"""),"Alexey Dontsov")</f>
        <v>Alexey Dontsov</v>
      </c>
      <c r="E1144" s="7" t="str">
        <f>IFERROR(__xludf.DUMMYFUNCTION("""COMPUTED_VALUE"""),"Yes")</f>
        <v>Yes</v>
      </c>
      <c r="F1144" s="7" t="str">
        <f>IFERROR(__xludf.DUMMYFUNCTION("""COMPUTED_VALUE"""),"IP-Poster")</f>
        <v>IP-Poster</v>
      </c>
      <c r="G1144" s="7" t="str">
        <f>IFERROR(__xludf.DUMMYFUNCTION("""COMPUTED_VALUE"""),"In-Person")</f>
        <v>In-Person</v>
      </c>
      <c r="H1144" s="7" t="str">
        <f>IFERROR(__xludf.DUMMYFUNCTION("""COMPUTED_VALUE"""),"Hall 4/5")</f>
        <v>Hall 4/5</v>
      </c>
      <c r="I1144" s="7" t="str">
        <f>IFERROR(__xludf.DUMMYFUNCTION("""COMPUTED_VALUE"""),"Session 12: IP-Posters")</f>
        <v>Session 12: IP-Posters</v>
      </c>
      <c r="J1144" s="7" t="str">
        <f>IFERROR(__xludf.DUMMYFUNCTION("""COMPUTED_VALUE"""),"Findings Posters - In-Person 4")</f>
        <v>Findings Posters - In-Person 4</v>
      </c>
      <c r="K1144" s="7"/>
      <c r="L1144" s="8">
        <f>IFERROR(__xludf.DUMMYFUNCTION("""COMPUTED_VALUE"""),45868.0)</f>
        <v>45868</v>
      </c>
      <c r="M1144" s="7" t="str">
        <f>IFERROR(__xludf.DUMMYFUNCTION("""COMPUTED_VALUE"""),"11:00-12:30")</f>
        <v>11:00-12:30</v>
      </c>
      <c r="N1144" s="7"/>
    </row>
    <row r="1145">
      <c r="A1145" s="7" t="str">
        <f>IFERROR(__xludf.DUMMYFUNCTION("""COMPUTED_VALUE"""),"4056-FIND")</f>
        <v>4056-FIND</v>
      </c>
      <c r="B1145" s="7" t="str">
        <f>IFERROR(__xludf.DUMMYFUNCTION("""COMPUTED_VALUE"""),"Assessing the Reasoning Capabilities of LLMs in the context of Evidence-based Claim Verification")</f>
        <v>Assessing the Reasoning Capabilities of LLMs in the context of Evidence-based Claim Verification</v>
      </c>
      <c r="C1145" s="7" t="str">
        <f>IFERROR(__xludf.DUMMYFUNCTION("""COMPUTED_VALUE"""),"Although LLMs have shown great performance on Mathematics and Coding related reasoning tasks, the reasoning capabilities of LLMs regarding other forms of reasoning are still an open problem. Here, we examine the issue of reasoning from the perspective of "&amp;"claim verification. We propose a framework designed to break down any claim paired with evidence into atomic reasoning types that are necessary for verification. We use this framework to create RECV, the first claim verification benchmark, incorporating r"&amp;"eal-world claims, to assess the deductive and abductive reasoning capabilities of LLMs. The benchmark comprises of three datasets, covering reasoning problems of in creasing complexity. We evaluate three state of-the-art proprietary LLMs under multiple pr"&amp;"ompt settings. Our results show that while LLMs can address deductive reasoning prob lems, they consistently fail in cases of abductive reasoning. Moreover, we observe that enhancing LLMs with rationale generation is not always beneficial. Nonetheless, we"&amp;" find that generated rationales are semantically similar to those provided by humans, especially in deduc tive reasoning cases.")</f>
        <v>Although LLMs have shown great performance on Mathematics and Coding related reasoning tasks, the reasoning capabilities of LLMs regarding other forms of reasoning are still an open problem. Here, we examine the issue of reasoning from the perspective of claim verification. We propose a framework designed to break down any claim paired with evidence into atomic reasoning types that are necessary for verification. We use this framework to create RECV, the first claim verification benchmark, incorporating real-world claims, to assess the deductive and abductive reasoning capabilities of LLMs. The benchmark comprises of three datasets, covering reasoning problems of in creasing complexity. We evaluate three state of-the-art proprietary LLMs under multiple prompt settings. Our results show that while LLMs can address deductive reasoning prob lems, they consistently fail in cases of abductive reasoning. Moreover, we observe that enhancing LLMs with rationale generation is not always beneficial. Nonetheless, we find that generated rationales are semantically similar to those provided by humans, especially in deduc tive reasoning cases.</v>
      </c>
      <c r="D1145" s="7" t="str">
        <f>IFERROR(__xludf.DUMMYFUNCTION("""COMPUTED_VALUE"""),"Mahmud Elai Akhter")</f>
        <v>Mahmud Elai Akhter</v>
      </c>
      <c r="E1145" s="7" t="str">
        <f>IFERROR(__xludf.DUMMYFUNCTION("""COMPUTED_VALUE"""),"Yes")</f>
        <v>Yes</v>
      </c>
      <c r="F1145" s="7" t="str">
        <f>IFERROR(__xludf.DUMMYFUNCTION("""COMPUTED_VALUE"""),"IP-Poster")</f>
        <v>IP-Poster</v>
      </c>
      <c r="G1145" s="7" t="str">
        <f>IFERROR(__xludf.DUMMYFUNCTION("""COMPUTED_VALUE"""),"In-Person")</f>
        <v>In-Person</v>
      </c>
      <c r="H1145" s="7" t="str">
        <f>IFERROR(__xludf.DUMMYFUNCTION("""COMPUTED_VALUE"""),"Hall 4/5")</f>
        <v>Hall 4/5</v>
      </c>
      <c r="I1145" s="7" t="str">
        <f>IFERROR(__xludf.DUMMYFUNCTION("""COMPUTED_VALUE"""),"Session 12: IP-Posters")</f>
        <v>Session 12: IP-Posters</v>
      </c>
      <c r="J1145" s="7" t="str">
        <f>IFERROR(__xludf.DUMMYFUNCTION("""COMPUTED_VALUE"""),"Findings Posters - In-Person 4")</f>
        <v>Findings Posters - In-Person 4</v>
      </c>
      <c r="K1145" s="7"/>
      <c r="L1145" s="8">
        <f>IFERROR(__xludf.DUMMYFUNCTION("""COMPUTED_VALUE"""),45868.0)</f>
        <v>45868</v>
      </c>
      <c r="M1145" s="7" t="str">
        <f>IFERROR(__xludf.DUMMYFUNCTION("""COMPUTED_VALUE"""),"11:00-12:30")</f>
        <v>11:00-12:30</v>
      </c>
      <c r="N1145" s="7"/>
    </row>
    <row r="1146">
      <c r="A1146" s="7" t="str">
        <f>IFERROR(__xludf.DUMMYFUNCTION("""COMPUTED_VALUE"""),"4057-FIND")</f>
        <v>4057-FIND</v>
      </c>
      <c r="B1146" s="7" t="str">
        <f>IFERROR(__xludf.DUMMYFUNCTION("""COMPUTED_VALUE"""),"Temporal Generalizability in the Realm of Event Detection: The Role of Multilingual Models and Stochasticity")</f>
        <v>Temporal Generalizability in the Realm of Event Detection: The Role of Multilingual Models and Stochasticity</v>
      </c>
      <c r="C1146" s="7" t="str">
        <f>IFERROR(__xludf.DUMMYFUNCTION("""COMPUTED_VALUE"""),"This paper presents elaborate results of experiments testing various encoder LLMs on their generalization capacities. We finetune 6 models with 5 seeds on 15 different datasplits, resulting in 450 finetuned models to compare on a challenging event detecti"&amp;"on task in Early Modern Dutch archival texts. Our experimental setup allows us to look at underresearched aspects of generalizability, namely i) shifts at multiple places in a modeling pipeline, ii) temporal and crosslingual shifts and iii) generalization"&amp;" over different initializations. We find that mBERT shows highest F1 performance, as well as stability over seeds and datasplits, contrary to XLM-R. We also find contemporary Dutch models do not generalize well to Early Modern Dutch as they underperform c"&amp;"ompared to crosslingual as well as historical models.")</f>
        <v>This paper presents elaborate results of experiments testing various encoder LLMs on their generalization capacities. We finetune 6 models with 5 seeds on 15 different datasplits, resulting in 450 finetuned models to compare on a challenging event detection task in Early Modern Dutch archival texts. Our experimental setup allows us to look at underresearched aspects of generalizability, namely i) shifts at multiple places in a modeling pipeline, ii) temporal and crosslingual shifts and iii) generalization over different initializations. We find that mBERT shows highest F1 performance, as well as stability over seeds and datasplits, contrary to XLM-R. We also find contemporary Dutch models do not generalize well to Early Modern Dutch as they underperform compared to crosslingual as well as historical models.</v>
      </c>
      <c r="D1146" s="7" t="str">
        <f>IFERROR(__xludf.DUMMYFUNCTION("""COMPUTED_VALUE"""),"Stella Verkijk")</f>
        <v>Stella Verkijk</v>
      </c>
      <c r="E1146" s="7" t="str">
        <f>IFERROR(__xludf.DUMMYFUNCTION("""COMPUTED_VALUE"""),"Yes")</f>
        <v>Yes</v>
      </c>
      <c r="F1146" s="7" t="str">
        <f>IFERROR(__xludf.DUMMYFUNCTION("""COMPUTED_VALUE"""),"IP-Poster")</f>
        <v>IP-Poster</v>
      </c>
      <c r="G1146" s="7" t="str">
        <f>IFERROR(__xludf.DUMMYFUNCTION("""COMPUTED_VALUE"""),"In-Person")</f>
        <v>In-Person</v>
      </c>
      <c r="H1146" s="7" t="str">
        <f>IFERROR(__xludf.DUMMYFUNCTION("""COMPUTED_VALUE"""),"Hall 4/5")</f>
        <v>Hall 4/5</v>
      </c>
      <c r="I1146" s="7" t="str">
        <f>IFERROR(__xludf.DUMMYFUNCTION("""COMPUTED_VALUE"""),"Session 5 :IP-Posters Find ")</f>
        <v>Session 5 :IP-Posters Find </v>
      </c>
      <c r="J1146" s="7" t="str">
        <f>IFERROR(__xludf.DUMMYFUNCTION("""COMPUTED_VALUE"""),"Findings Posters - In-Person 1")</f>
        <v>Findings Posters - In-Person 1</v>
      </c>
      <c r="K1146" s="7"/>
      <c r="L1146" s="8">
        <f>IFERROR(__xludf.DUMMYFUNCTION("""COMPUTED_VALUE"""),45866.0)</f>
        <v>45866</v>
      </c>
      <c r="M1146" s="7" t="str">
        <f>IFERROR(__xludf.DUMMYFUNCTION("""COMPUTED_VALUE"""),"18:00-19:30")</f>
        <v>18:00-19:30</v>
      </c>
      <c r="N1146" s="7"/>
    </row>
    <row r="1147">
      <c r="A1147" s="7" t="str">
        <f>IFERROR(__xludf.DUMMYFUNCTION("""COMPUTED_VALUE"""),"4058-FIND")</f>
        <v>4058-FIND</v>
      </c>
      <c r="B1147" s="7" t="str">
        <f>IFERROR(__xludf.DUMMYFUNCTION("""COMPUTED_VALUE"""),"DiffLM: Controllable Synthetic Data Generation via Diffusion Language Models")</f>
        <v>DiffLM: Controllable Synthetic Data Generation via Diffusion Language Models</v>
      </c>
      <c r="C1147" s="7" t="str">
        <f>IFERROR(__xludf.DUMMYFUNCTION("""COMPUTED_VALUE"""),"Recent advancements in large language models (LLMs) have significantly enhanced their knowledge and generative capabilities, leading to a surge of interest in leveraging LLMs for high-quality data synthesis. However, synthetic data generation via promptin"&amp;"g LLMs remains challenging due to LLMs' limited understanding of target data distributions and the complexity of prompt engineering, especially for structured formatted data. To address these issues, we introduce DiffLM, a controllable data synthesis fram"&amp;"ework based on variational autoencoder (VAE), which further (1) leverages diffusion models to reserve more information of original distribution and format structure in the learned latent distribution and (2) decouples the learning of target distribution k"&amp;"nowledge from the LLM's generative objectives via a plug-and-play latent feature injection module. As we observed significant discrepancies between the VAE's latent representations and the real data distribution, the latent diffusion module is introduced "&amp;"into our framework to learn a fully expressive latent distribution. Evaluations on seven real-world datasets with structured formatted data (i.e., Tabular, Code and Tool data) demonstrate that DiffLM generates high-quality data, with performance on downst"&amp;"ream tasks surpassing that of real data by 2%–7% in certain cases. Data and code will be released upon acceptance.")</f>
        <v>Recent advancements in large language models (LLMs) have significantly enhanced their knowledge and generative capabilities, leading to a surge of interest in leveraging LLMs for high-quality data synthesis. However, synthetic data generation via prompting LLMs remains challenging due to LLMs' limited understanding of target data distributions and the complexity of prompt engineering, especially for structured formatted data. To address these issues, we introduce DiffLM, a controllable data synthesis framework based on variational autoencoder (VAE), which further (1) leverages diffusion models to reserve more information of original distribution and format structure in the learned latent distribution and (2) decouples the learning of target distribution knowledge from the LLM's generative objectives via a plug-and-play latent feature injection module. As we observed significant discrepancies between the VAE's latent representations and the real data distribution, the latent diffusion module is introduced into our framework to learn a fully expressive latent distribution. Evaluations on seven real-world datasets with structured formatted data (i.e., Tabular, Code and Tool data) demonstrate that DiffLM generates high-quality data, with performance on downstream tasks surpassing that of real data by 2%–7% in certain cases. Data and code will be released upon acceptance.</v>
      </c>
      <c r="D1147" s="7" t="str">
        <f>IFERROR(__xludf.DUMMYFUNCTION("""COMPUTED_VALUE"""),"Ying Zhou")</f>
        <v>Ying Zhou</v>
      </c>
      <c r="E1147" s="7" t="str">
        <f>IFERROR(__xludf.DUMMYFUNCTION("""COMPUTED_VALUE"""),"N/A")</f>
        <v>N/A</v>
      </c>
      <c r="F1147" s="7" t="str">
        <f>IFERROR(__xludf.DUMMYFUNCTION("""COMPUTED_VALUE"""),"Not Pres. ")</f>
        <v>Not Pres. </v>
      </c>
      <c r="G1147" s="7" t="str">
        <f>IFERROR(__xludf.DUMMYFUNCTION("""COMPUTED_VALUE"""),"NP Findings Not Presenting ")</f>
        <v>NP Findings Not Presenting </v>
      </c>
      <c r="H1147" s="7"/>
      <c r="I1147" s="7"/>
      <c r="J1147" s="7"/>
      <c r="K1147" s="7"/>
      <c r="L1147" s="8"/>
      <c r="M1147" s="7"/>
      <c r="N1147" s="7"/>
    </row>
    <row r="1148">
      <c r="A1148" s="7" t="str">
        <f>IFERROR(__xludf.DUMMYFUNCTION("""COMPUTED_VALUE"""),"4062-FIND")</f>
        <v>4062-FIND</v>
      </c>
      <c r="B1148" s="7" t="str">
        <f>IFERROR(__xludf.DUMMYFUNCTION("""COMPUTED_VALUE"""),"Uncertainty Unveiled: Can Exposure to More In-context Examples Mitigate Uncertainty for Large Language Models?")</f>
        <v>Uncertainty Unveiled: Can Exposure to More In-context Examples Mitigate Uncertainty for Large Language Models?</v>
      </c>
      <c r="C1148" s="7" t="str">
        <f>IFERROR(__xludf.DUMMYFUNCTION("""COMPUTED_VALUE"""),"Recent advances in handling long sequences have unlocked new possibilities for long-context in-context learning (ICL). While existing research predominantly focuses on performance gains driven by additional in-context examples, the impact on the trustwort"&amp;"hiness of generated responses remains underexplored. This paper addresses this gap by investigating how increased examples influence predictive uncertainty—an essential aspect in trustworthiness. We begin by systematically quantifying uncertainty across d"&amp;"ifferent “shot” configurations in ICL, emphasizing the role of example quantity. Through uncertainty decomposition, we introduce a novel perspective on performance enhancement, focusing on epistemic uncertainty (EU). Our results reveal that additional exa"&amp;"mples reduce total uncertainty in both simple and complex tasks by injecting task-specific knowledge, thereby diminishing EU and enhancing performance. For complex tasks, these advantages emerge only after addressing the increased noise and uncertainty as"&amp;"sociated with longer inputs. Finally, we investigate the progression of internal confidence across layers, uncovering the underlying mechanisms that drive the reduction in uncertainty.")</f>
        <v>Recent advances in handling long sequences have unlocked new possibilities for long-context in-context learning (ICL). While existing research predominantly focuses on performance gains driven by additional in-context examples, the impact on the trustworthiness of generated responses remains underexplored. This paper addresses this gap by investigating how increased examples influence predictive uncertainty—an essential aspect in trustworthiness. We begin by systematically quantifying uncertainty across different “shot” configurations in ICL, emphasizing the role of example quantity. Through uncertainty decomposition, we introduce a novel perspective on performance enhancement, focusing on epistemic uncertainty (EU). Our results reveal that additional examples reduce total uncertainty in both simple and complex tasks by injecting task-specific knowledge, thereby diminishing EU and enhancing performance. For complex tasks, these advantages emerge only after addressing the increased noise and uncertainty associated with longer inputs. Finally, we investigate the progression of internal confidence across layers, uncovering the underlying mechanisms that drive the reduction in uncertainty.</v>
      </c>
      <c r="D1148" s="7" t="str">
        <f>IFERROR(__xludf.DUMMYFUNCTION("""COMPUTED_VALUE"""),"Yifei Wang")</f>
        <v>Yifei Wang</v>
      </c>
      <c r="E1148" s="7" t="str">
        <f>IFERROR(__xludf.DUMMYFUNCTION("""COMPUTED_VALUE"""),"Yes")</f>
        <v>Yes</v>
      </c>
      <c r="F1148" s="7" t="str">
        <f>IFERROR(__xludf.DUMMYFUNCTION("""COMPUTED_VALUE"""),"IP-Poster")</f>
        <v>IP-Poster</v>
      </c>
      <c r="G1148" s="7" t="str">
        <f>IFERROR(__xludf.DUMMYFUNCTION("""COMPUTED_VALUE"""),"In-Person")</f>
        <v>In-Person</v>
      </c>
      <c r="H1148" s="7" t="str">
        <f>IFERROR(__xludf.DUMMYFUNCTION("""COMPUTED_VALUE"""),"Hall 4/5")</f>
        <v>Hall 4/5</v>
      </c>
      <c r="I1148" s="7" t="str">
        <f>IFERROR(__xludf.DUMMYFUNCTION("""COMPUTED_VALUE"""),"Session 7: IP-Posters")</f>
        <v>Session 7: IP-Posters</v>
      </c>
      <c r="J1148" s="7" t="str">
        <f>IFERROR(__xludf.DUMMYFUNCTION("""COMPUTED_VALUE"""),"Findings Posters - In-Person 2")</f>
        <v>Findings Posters - In-Person 2</v>
      </c>
      <c r="K1148" s="7"/>
      <c r="L1148" s="8">
        <f>IFERROR(__xludf.DUMMYFUNCTION("""COMPUTED_VALUE"""),45867.0)</f>
        <v>45867</v>
      </c>
      <c r="M1148" s="7" t="str">
        <f>IFERROR(__xludf.DUMMYFUNCTION("""COMPUTED_VALUE"""),"10:30-12:00")</f>
        <v>10:30-12:00</v>
      </c>
      <c r="N1148" s="7"/>
    </row>
    <row r="1149">
      <c r="A1149" s="7" t="str">
        <f>IFERROR(__xludf.DUMMYFUNCTION("""COMPUTED_VALUE"""),"4065-FIND")</f>
        <v>4065-FIND</v>
      </c>
      <c r="B1149" s="7" t="str">
        <f>IFERROR(__xludf.DUMMYFUNCTION("""COMPUTED_VALUE"""),"ToolSpectrum: Towards Personalized Tool Utilization for Large Language Models")</f>
        <v>ToolSpectrum: Towards Personalized Tool Utilization for Large Language Models</v>
      </c>
      <c r="C1149" s="7" t="str">
        <f>IFERROR(__xludf.DUMMYFUNCTION("""COMPUTED_VALUE"""),"While integrating external tools into large language models (LLMs) enhances their ability to access real-time information and domain-specific services, existing approaches focus narrowly on functional tool selection following user instructions while overl"&amp;"ooking the critical role of context-aware personalization in tool selection. This oversight leads to suboptimal user satisfaction and inefficient tool utilization, particularly when overlapping toolsets require nuanced selection based on contextual factor"&amp;"s. To bridge this gap, we introduce ToolSpectrum, a benchmark designed to evaluate LLMs’ capabilities in personalized tool utilization. Specifically, we formalize two key dimensions of personalization, user profile and environmental factors, and analyze t"&amp;"heir individual and synergistic impacts on tool selection. Through extensive experiments on ToolSpectrum, we demonstrate that personalized tool selection significantly improves user experience across diverse scenarios. However, even state-of-the-art LLMs "&amp;"exhibit the limited ability to reason jointly about user profiles and environmental factors, often prioritizing one dimension at the expense of the other. Our findings underscore the necessity of context-aware personalization in tool-augmented LLMs and re"&amp;"veal critical limitations for current models. Our data and code will be released soon.")</f>
        <v>While integrating external tools into large language models (LLMs) enhances their ability to access real-time information and domain-specific services, existing approaches focus narrowly on functional tool selection following user instructions while overlooking the critical role of context-aware personalization in tool selection. This oversight leads to suboptimal user satisfaction and inefficient tool utilization, particularly when overlapping toolsets require nuanced selection based on contextual factors. To bridge this gap, we introduce ToolSpectrum, a benchmark designed to evaluate LLMs’ capabilities in personalized tool utilization. Specifically, we formalize two key dimensions of personalization, user profile and environmental factors, and analyze their individual and synergistic impacts on tool selection. Through extensive experiments on ToolSpectrum, we demonstrate that personalized tool selection significantly improves user experience across diverse scenarios. However, even state-of-the-art LLMs exhibit the limited ability to reason jointly about user profiles and environmental factors, often prioritizing one dimension at the expense of the other. Our findings underscore the necessity of context-aware personalization in tool-augmented LLMs and reveal critical limitations for current models. Our data and code will be released soon.</v>
      </c>
      <c r="D1149" s="7" t="str">
        <f>IFERROR(__xludf.DUMMYFUNCTION("""COMPUTED_VALUE"""),"I do not plan to present.")</f>
        <v>I do not plan to present.</v>
      </c>
      <c r="E1149" s="7" t="str">
        <f>IFERROR(__xludf.DUMMYFUNCTION("""COMPUTED_VALUE"""),"#N/A")</f>
        <v>#N/A</v>
      </c>
      <c r="F1149" s="7" t="str">
        <f>IFERROR(__xludf.DUMMYFUNCTION("""COMPUTED_VALUE"""),"Not Pres. ")</f>
        <v>Not Pres. </v>
      </c>
      <c r="G1149" s="7" t="str">
        <f>IFERROR(__xludf.DUMMYFUNCTION("""COMPUTED_VALUE"""),"NP Findings Not Presenting ")</f>
        <v>NP Findings Not Presenting </v>
      </c>
      <c r="H1149" s="7"/>
      <c r="I1149" s="7" t="str">
        <f>IFERROR(__xludf.DUMMYFUNCTION("""COMPUTED_VALUE"""),"NP-Find")</f>
        <v>NP-Find</v>
      </c>
      <c r="J1149" s="7"/>
      <c r="K1149" s="7"/>
      <c r="L1149" s="8"/>
      <c r="M1149" s="7"/>
      <c r="N1149" s="7"/>
    </row>
    <row r="1150">
      <c r="A1150" s="7" t="str">
        <f>IFERROR(__xludf.DUMMYFUNCTION("""COMPUTED_VALUE"""),"4066-FIND")</f>
        <v>4066-FIND</v>
      </c>
      <c r="B1150" s="7" t="str">
        <f>IFERROR(__xludf.DUMMYFUNCTION("""COMPUTED_VALUE"""),"Reverse Preference Optimization for Complex Instruction Following")</f>
        <v>Reverse Preference Optimization for Complex Instruction Following</v>
      </c>
      <c r="C1150" s="7" t="str">
        <f>IFERROR(__xludf.DUMMYFUNCTION("""COMPUTED_VALUE"""),"Instruction following (IF) is a critical capability for large language models (LLMs). However, handling complex instructions with multiple constraints remains challenging. Previous methods typically select preference pairs based on the number of constrain"&amp;"ts they satisfy, introducing noise where chosen examples may fail to follow some constraints and rejected examples may excel in certain respects over the chosen ones. To address the challenge of aligning with multiple preferences, we propose a simple yet "&amp;"effective method called Reverse Preference Optimization (RPO). It mitigates noise in preference pairs by dynamically reversing the constraints within the instruction to ensure the chosen response is perfect, alleviating the burden of extensive sampling an"&amp;"d filtering to collect perfect responses. Besides, reversal also enlarges the gap between chosen and rejected responses, thereby clarifying the optimization direction and making it more robust to noise. We evaluate RPO on two multi-turn IF benchmarks, Sys"&amp;"bench and Multi-IF, demonstrating average improvements over the DPO baseline of 4.6 and 2.5 points~(on Llama-3.1 8B), respectively. Moreover, RPO scales effectively across model sizes (8B to 70B parameters), with the 70B RPO model surpassing GPT-4o.")</f>
        <v>Instruction following (IF) is a critical capability for large language models (LLMs). However, handling complex instructions with multiple constraints remains challenging. Previous methods typically select preference pairs based on the number of constraints they satisfy, introducing noise where chosen examples may fail to follow some constraints and rejected examples may excel in certain respects over the chosen ones. To address the challenge of aligning with multiple preferences, we propose a simple yet effective method called Reverse Preference Optimization (RPO). It mitigates noise in preference pairs by dynamically reversing the constraints within the instruction to ensure the chosen response is perfect, alleviating the burden of extensive sampling and filtering to collect perfect responses. Besides, reversal also enlarges the gap between chosen and rejected responses, thereby clarifying the optimization direction and making it more robust to noise. We evaluate RPO on two multi-turn IF benchmarks, Sysbench and Multi-IF, demonstrating average improvements over the DPO baseline of 4.6 and 2.5 points~(on Llama-3.1 8B), respectively. Moreover, RPO scales effectively across model sizes (8B to 70B parameters), with the 70B RPO model surpassing GPT-4o.</v>
      </c>
      <c r="D1150" s="7" t="str">
        <f>IFERROR(__xludf.DUMMYFUNCTION("""COMPUTED_VALUE"""),"Xiang Huang")</f>
        <v>Xiang Huang</v>
      </c>
      <c r="E1150" s="7" t="str">
        <f>IFERROR(__xludf.DUMMYFUNCTION("""COMPUTED_VALUE"""),"Yes")</f>
        <v>Yes</v>
      </c>
      <c r="F1150" s="7" t="str">
        <f>IFERROR(__xludf.DUMMYFUNCTION("""COMPUTED_VALUE"""),"IP-Poster")</f>
        <v>IP-Poster</v>
      </c>
      <c r="G1150" s="7" t="str">
        <f>IFERROR(__xludf.DUMMYFUNCTION("""COMPUTED_VALUE"""),"In-Person")</f>
        <v>In-Person</v>
      </c>
      <c r="H1150" s="7" t="str">
        <f>IFERROR(__xludf.DUMMYFUNCTION("""COMPUTED_VALUE"""),"Hall 4/5")</f>
        <v>Hall 4/5</v>
      </c>
      <c r="I1150" s="7" t="str">
        <f>IFERROR(__xludf.DUMMYFUNCTION("""COMPUTED_VALUE"""),"Session 12: IP-Posters")</f>
        <v>Session 12: IP-Posters</v>
      </c>
      <c r="J1150" s="7" t="str">
        <f>IFERROR(__xludf.DUMMYFUNCTION("""COMPUTED_VALUE"""),"Findings Posters - In-Person 4")</f>
        <v>Findings Posters - In-Person 4</v>
      </c>
      <c r="K1150" s="7"/>
      <c r="L1150" s="8">
        <f>IFERROR(__xludf.DUMMYFUNCTION("""COMPUTED_VALUE"""),45868.0)</f>
        <v>45868</v>
      </c>
      <c r="M1150" s="7" t="str">
        <f>IFERROR(__xludf.DUMMYFUNCTION("""COMPUTED_VALUE"""),"11:00-12:30")</f>
        <v>11:00-12:30</v>
      </c>
      <c r="N1150" s="7"/>
    </row>
    <row r="1151">
      <c r="A1151" s="7" t="str">
        <f>IFERROR(__xludf.DUMMYFUNCTION("""COMPUTED_VALUE"""),"4071-FIND")</f>
        <v>4071-FIND</v>
      </c>
      <c r="B1151" s="7" t="str">
        <f>IFERROR(__xludf.DUMMYFUNCTION("""COMPUTED_VALUE"""),"MMS-LLaMA: Efficient LLM-based Audio-Visual Speech Recognition with Minimal Multimodal Speech Tokens")</f>
        <v>MMS-LLaMA: Efficient LLM-based Audio-Visual Speech Recognition with Minimal Multimodal Speech Tokens</v>
      </c>
      <c r="C1151" s="7" t="str">
        <f>IFERROR(__xludf.DUMMYFUNCTION("""COMPUTED_VALUE"""),"Audio-Visual Speech Recognition (AVSR) achieves robust speech recognition in noisy environments by combining auditory and visual information. However, recent Large Language Model (LLM) based AVSR systems incur high computational costs due to the high temp"&amp;"oral resolution of audio-visual speech processed by LLMs. In this work, we introduce an efficient multimodal speech LLM framework that minimizes token length while preserving essential linguistic content. Our approach employs an early av-fusion module for"&amp;" streamlined feature integration, an audio-visual speech Q-Former that dynamically allocates tokens based on input duration, and a refined query allocation strategy with a speech rate predictor to adjust token allocation according to speaking speed of eac"&amp;"h audio sample. Extensive experiments on the LRS3 dataset show that our method achieves state-of-the-art performance with a WER of 0.74% while using only 2.8 tokens per second. Moreover, our approach not only reduces token usage by 88.8% compared to the p"&amp;"revious multimodal speech LLM framework, but also improves computational efficiency by reducing FLOPs by 36%.")</f>
        <v>Audio-Visual Speech Recognition (AVSR) achieves robust speech recognition in noisy environments by combining auditory and visual information. However, recent Large Language Model (LLM) based AVSR systems incur high computational costs due to the high temporal resolution of audio-visual speech processed by LLMs. In this work, we introduce an efficient multimodal speech LLM framework that minimizes token length while preserving essential linguistic content. Our approach employs an early av-fusion module for streamlined feature integration, an audio-visual speech Q-Former that dynamically allocates tokens based on input duration, and a refined query allocation strategy with a speech rate predictor to adjust token allocation according to speaking speed of each audio sample. Extensive experiments on the LRS3 dataset show that our method achieves state-of-the-art performance with a WER of 0.74% while using only 2.8 tokens per second. Moreover, our approach not only reduces token usage by 88.8% compared to the previous multimodal speech LLM framework, but also improves computational efficiency by reducing FLOPs by 36%.</v>
      </c>
      <c r="D1151" s="7" t="str">
        <f>IFERROR(__xludf.DUMMYFUNCTION("""COMPUTED_VALUE"""),"Hyeongseop Rha")</f>
        <v>Hyeongseop Rha</v>
      </c>
      <c r="E1151" s="7" t="str">
        <f>IFERROR(__xludf.DUMMYFUNCTION("""COMPUTED_VALUE"""),"Yes")</f>
        <v>Yes</v>
      </c>
      <c r="F1151" s="7" t="str">
        <f>IFERROR(__xludf.DUMMYFUNCTION("""COMPUTED_VALUE"""),"IP-Poster")</f>
        <v>IP-Poster</v>
      </c>
      <c r="G1151" s="7" t="str">
        <f>IFERROR(__xludf.DUMMYFUNCTION("""COMPUTED_VALUE"""),"In-Person")</f>
        <v>In-Person</v>
      </c>
      <c r="H1151" s="7" t="str">
        <f>IFERROR(__xludf.DUMMYFUNCTION("""COMPUTED_VALUE"""),"Hall 4/5")</f>
        <v>Hall 4/5</v>
      </c>
      <c r="I1151" s="7" t="str">
        <f>IFERROR(__xludf.DUMMYFUNCTION("""COMPUTED_VALUE"""),"Session 7: IP-Posters")</f>
        <v>Session 7: IP-Posters</v>
      </c>
      <c r="J1151" s="7" t="str">
        <f>IFERROR(__xludf.DUMMYFUNCTION("""COMPUTED_VALUE"""),"Findings Posters - In-Person 2")</f>
        <v>Findings Posters - In-Person 2</v>
      </c>
      <c r="K1151" s="7"/>
      <c r="L1151" s="8">
        <f>IFERROR(__xludf.DUMMYFUNCTION("""COMPUTED_VALUE"""),45867.0)</f>
        <v>45867</v>
      </c>
      <c r="M1151" s="7" t="str">
        <f>IFERROR(__xludf.DUMMYFUNCTION("""COMPUTED_VALUE"""),"10:30-12:00")</f>
        <v>10:30-12:00</v>
      </c>
      <c r="N1151" s="7"/>
    </row>
    <row r="1152">
      <c r="A1152" s="7" t="str">
        <f>IFERROR(__xludf.DUMMYFUNCTION("""COMPUTED_VALUE"""),"4072-FIND")</f>
        <v>4072-FIND</v>
      </c>
      <c r="B1152" s="7" t="str">
        <f>IFERROR(__xludf.DUMMYFUNCTION("""COMPUTED_VALUE"""),"Def-DTS: Deductive Reasoning for Open-domain Dialogue Topic Segmentation")</f>
        <v>Def-DTS: Deductive Reasoning for Open-domain Dialogue Topic Segmentation</v>
      </c>
      <c r="C1152" s="7" t="str">
        <f>IFERROR(__xludf.DUMMYFUNCTION("""COMPUTED_VALUE"""),"Dialogue Topic Segmentation (DTS) aims to divide dialogues into coherent segments. DTS plays a crucial role in various NLP downstream tasks, but suffers from chronic problems: data shortage, labeling ambiguity, and incremental complexity of recently propo"&amp;"sed solutions. On the other hand, Despite advances in Large Language Models (LLMs) and reasoning strategies, these have rarely been applied to DTS. This paper introduces Def-DTS: Deductive Reasoning for Open-domain Dialogue Topic Segmentation, which utili"&amp;"zes LLM-based multi-step deductive reasoning to enhance DTS performance and enable case study using intermediate result. Our method employs a structured prompting approach for bidirectional context summarization, utterance intent classification, and deduc"&amp;"tive topic shift detection. In the intent classification process, we propose the generalizable intent list for domain-agnostic dialogue intent classification. Experiments in various dialogue settings demonstrate that Def-DTS consistently outperforms tradi"&amp;"tional and state-of-the-art approaches, with each subtask contributing to improved performance, particularly in reducing type 2 error. We also explore the potential for autolabeling, emphasizing the importance of LLM reasoning techniques in DTS.")</f>
        <v>Dialogue Topic Segmentation (DTS) aims to divide dialogues into coherent segments. DTS plays a crucial role in various NLP downstream tasks, but suffers from chronic problems: data shortage, labeling ambiguity, and incremental complexity of recently proposed solutions. On the other hand, Despite advances in Large Language Models (LLMs) and reasoning strategies, these have rarely been applied to DTS. This paper introduces Def-DTS: Deductive Reasoning for Open-domain Dialogue Topic Segmentation, which utilizes LLM-based multi-step deductive reasoning to enhance DTS performance and enable case study using intermediate result. Our method employs a structured prompting approach for bidirectional context summarization, utterance intent classification, and deductive topic shift detection. In the intent classification process, we propose the generalizable intent list for domain-agnostic dialogue intent classification. Experiments in various dialogue settings demonstrate that Def-DTS consistently outperforms traditional and state-of-the-art approaches, with each subtask contributing to improved performance, particularly in reducing type 2 error. We also explore the potential for autolabeling, emphasizing the importance of LLM reasoning techniques in DTS.</v>
      </c>
      <c r="D1152" s="7" t="str">
        <f>IFERROR(__xludf.DUMMYFUNCTION("""COMPUTED_VALUE"""),"Seungmin Lee")</f>
        <v>Seungmin Lee</v>
      </c>
      <c r="E1152" s="7" t="str">
        <f>IFERROR(__xludf.DUMMYFUNCTION("""COMPUTED_VALUE"""),"Yes")</f>
        <v>Yes</v>
      </c>
      <c r="F1152" s="7" t="str">
        <f>IFERROR(__xludf.DUMMYFUNCTION("""COMPUTED_VALUE"""),"IP-Poster")</f>
        <v>IP-Poster</v>
      </c>
      <c r="G1152" s="7" t="str">
        <f>IFERROR(__xludf.DUMMYFUNCTION("""COMPUTED_VALUE"""),"In-Person")</f>
        <v>In-Person</v>
      </c>
      <c r="H1152" s="7" t="str">
        <f>IFERROR(__xludf.DUMMYFUNCTION("""COMPUTED_VALUE"""),"Hall 4/5")</f>
        <v>Hall 4/5</v>
      </c>
      <c r="I1152" s="7" t="str">
        <f>IFERROR(__xludf.DUMMYFUNCTION("""COMPUTED_VALUE"""),"Session 5 :IP-Posters Find ")</f>
        <v>Session 5 :IP-Posters Find </v>
      </c>
      <c r="J1152" s="7" t="str">
        <f>IFERROR(__xludf.DUMMYFUNCTION("""COMPUTED_VALUE"""),"Findings Posters - In-Person 1")</f>
        <v>Findings Posters - In-Person 1</v>
      </c>
      <c r="K1152" s="7"/>
      <c r="L1152" s="8">
        <f>IFERROR(__xludf.DUMMYFUNCTION("""COMPUTED_VALUE"""),45866.0)</f>
        <v>45866</v>
      </c>
      <c r="M1152" s="7" t="str">
        <f>IFERROR(__xludf.DUMMYFUNCTION("""COMPUTED_VALUE"""),"18:00-19:30")</f>
        <v>18:00-19:30</v>
      </c>
      <c r="N1152" s="7"/>
    </row>
    <row r="1153">
      <c r="A1153" s="7" t="str">
        <f>IFERROR(__xludf.DUMMYFUNCTION("""COMPUTED_VALUE"""),"4079-FIND")</f>
        <v>4079-FIND</v>
      </c>
      <c r="B1153" s="7" t="str">
        <f>IFERROR(__xludf.DUMMYFUNCTION("""COMPUTED_VALUE"""),"Exploring Jailbreak Attacks on LLMs through Intent Concealment and Diversion")</f>
        <v>Exploring Jailbreak Attacks on LLMs through Intent Concealment and Diversion</v>
      </c>
      <c r="C1153" s="7" t="str">
        <f>IFERROR(__xludf.DUMMYFUNCTION("""COMPUTED_VALUE"""),"Although large language models (LLMs) have achieved remarkable advancements, their security remains a pressing concern. One major threat is jailbreak attacks, where adversarial prompts bypass model safeguards to generate harmful or objectionable content. "&amp;"Researchers study jailbreak attacks to understand security and robustness of LLMs. However, existing jailbreak attack methods face two main challenges: (1) an excessive number of iterative queries, and (2) poor generalization across models. In addition, r"&amp;"ecent jailbreak evaluation datasets focus primarily on question-answering scenarios, lacking attention to text generation tasks that require accurate regeneration of toxic content.
To tackle these challenges, we propose two contributions:
(1) **ICE**, a n"&amp;"ovel black-box jailbreak method that employs **I**ntent **C**oncealment and div**E**rsion to effectively circumvent security constraints. **ICE** achieves high attack success rates (ASR) with a single query, significantly improving efficiency and transfer"&amp;"ability across different models.
(2) **BiSceneEval**, a comprehensive dataset designed for assessing LLM robustness in question-answering and text-generation tasks. Experimental results demonstrate that **ICE** outperforms existing jailbreak techniques, r"&amp;"evealing critical vulnerabilities in current defense mechanisms. Our findings underscore the necessity of a hybrid security strategy that integrates predefined security mechanisms with real-time semantic decomposition to enhance the security of LLMs.")</f>
        <v>Although large language models (LLMs) have achieved remarkable advancements, their security remains a pressing concern. One major threat is jailbreak attacks, where adversarial prompts bypass model safeguards to generate harmful or objectionable content. Researchers study jailbreak attacks to understand security and robustness of LLMs. However, existing jailbreak attack methods face two main challenges: (1) an excessive number of iterative queries, and (2) poor generalization across models. In addition, recent jailbreak evaluation datasets focus primarily on question-answering scenarios, lacking attention to text generation tasks that require accurate regeneration of toxic content.
To tackle these challenges, we propose two contributions:
(1) **ICE**, a novel black-box jailbreak method that employs **I**ntent **C**oncealment and div**E**rsion to effectively circumvent security constraints. **ICE** achieves high attack success rates (ASR) with a single query, significantly improving efficiency and transferability across different models.
(2) **BiSceneEval**, a comprehensive dataset designed for assessing LLM robustness in question-answering and text-generation tasks. Experimental results demonstrate that **ICE** outperforms existing jailbreak techniques, revealing critical vulnerabilities in current defense mechanisms. Our findings underscore the necessity of a hybrid security strategy that integrates predefined security mechanisms with real-time semantic decomposition to enhance the security of LLMs.</v>
      </c>
      <c r="D1153" s="7" t="str">
        <f>IFERROR(__xludf.DUMMYFUNCTION("""COMPUTED_VALUE"""),"Tiehan Cui")</f>
        <v>Tiehan Cui</v>
      </c>
      <c r="E1153" s="7" t="str">
        <f>IFERROR(__xludf.DUMMYFUNCTION("""COMPUTED_VALUE"""),"N/A")</f>
        <v>N/A</v>
      </c>
      <c r="F1153" s="7" t="str">
        <f>IFERROR(__xludf.DUMMYFUNCTION("""COMPUTED_VALUE"""),"Not Pres. ")</f>
        <v>Not Pres. </v>
      </c>
      <c r="G1153" s="7" t="str">
        <f>IFERROR(__xludf.DUMMYFUNCTION("""COMPUTED_VALUE"""),"NP Findings Not Presenting ")</f>
        <v>NP Findings Not Presenting </v>
      </c>
      <c r="H1153" s="7"/>
      <c r="I1153" s="7"/>
      <c r="J1153" s="7"/>
      <c r="K1153" s="7"/>
      <c r="L1153" s="8"/>
      <c r="M1153" s="7"/>
      <c r="N1153" s="7"/>
    </row>
    <row r="1154">
      <c r="A1154" s="7" t="str">
        <f>IFERROR(__xludf.DUMMYFUNCTION("""COMPUTED_VALUE"""),"4080-FIND")</f>
        <v>4080-FIND</v>
      </c>
      <c r="B1154" s="7" t="str">
        <f>IFERROR(__xludf.DUMMYFUNCTION("""COMPUTED_VALUE"""),"Verbosity-Aware Rationale Reduction: Sentence-Level Rationale Reduction for Efficient and Effective Reasoning")</f>
        <v>Verbosity-Aware Rationale Reduction: Sentence-Level Rationale Reduction for Efficient and Effective Reasoning</v>
      </c>
      <c r="C1154" s="7" t="str">
        <f>IFERROR(__xludf.DUMMYFUNCTION("""COMPUTED_VALUE"""),"Large Language Models (LLMs) rely on generating extensive intermediate reasoning units (e.g., tokens, sentences) to enhance final answer quality across a wide range of complex tasks. While this approach has proven effective, it inevitably increases substa"&amp;"ntial inference costs. Previous methods adopting token-level reduction without clear criteria result in poor performance compared to models trained with complete rationale. To address this challenge, we propose a novel sentence-level rationale reduction f"&amp;"ramework leveraging likelihood-based criteria, *verbosity*, to identify and remove redundant reasoning sentences. Unlike previous approaches, our method leverages *verbosity* to selectively remove redundant reasoning sentences while preserving reasoning c"&amp;"apabilities. Our experimental results across various reasoning tasks demonstrate that our method improves performance by an average of 7.71% while reducing token generation by 19.87% compared to model trained with complete reasoning paths.")</f>
        <v>Large Language Models (LLMs) rely on generating extensive intermediate reasoning units (e.g., tokens, sentences) to enhance final answer quality across a wide range of complex tasks. While this approach has proven effective, it inevitably increases substantial inference costs. Previous methods adopting token-level reduction without clear criteria result in poor performance compared to models trained with complete rationale. To address this challenge, we propose a novel sentence-level rationale reduction framework leveraging likelihood-based criteria, *verbosity*, to identify and remove redundant reasoning sentences. Unlike previous approaches, our method leverages *verbosity* to selectively remove redundant reasoning sentences while preserving reasoning capabilities. Our experimental results across various reasoning tasks demonstrate that our method improves performance by an average of 7.71% while reducing token generation by 19.87% compared to model trained with complete reasoning paths.</v>
      </c>
      <c r="D1154" s="7" t="str">
        <f>IFERROR(__xludf.DUMMYFUNCTION("""COMPUTED_VALUE"""),"Joonwon Jang")</f>
        <v>Joonwon Jang</v>
      </c>
      <c r="E1154" s="7" t="str">
        <f>IFERROR(__xludf.DUMMYFUNCTION("""COMPUTED_VALUE"""),"Yes")</f>
        <v>Yes</v>
      </c>
      <c r="F1154" s="7" t="str">
        <f>IFERROR(__xludf.DUMMYFUNCTION("""COMPUTED_VALUE"""),"IP-Poster")</f>
        <v>IP-Poster</v>
      </c>
      <c r="G1154" s="7" t="str">
        <f>IFERROR(__xludf.DUMMYFUNCTION("""COMPUTED_VALUE"""),"In-Person")</f>
        <v>In-Person</v>
      </c>
      <c r="H1154" s="7" t="str">
        <f>IFERROR(__xludf.DUMMYFUNCTION("""COMPUTED_VALUE"""),"Hall 4/5")</f>
        <v>Hall 4/5</v>
      </c>
      <c r="I1154" s="7" t="str">
        <f>IFERROR(__xludf.DUMMYFUNCTION("""COMPUTED_VALUE"""),"Session 7: IP-Posters")</f>
        <v>Session 7: IP-Posters</v>
      </c>
      <c r="J1154" s="7" t="str">
        <f>IFERROR(__xludf.DUMMYFUNCTION("""COMPUTED_VALUE"""),"Findings Posters - In-Person 2")</f>
        <v>Findings Posters - In-Person 2</v>
      </c>
      <c r="K1154" s="7"/>
      <c r="L1154" s="8">
        <f>IFERROR(__xludf.DUMMYFUNCTION("""COMPUTED_VALUE"""),45867.0)</f>
        <v>45867</v>
      </c>
      <c r="M1154" s="7" t="str">
        <f>IFERROR(__xludf.DUMMYFUNCTION("""COMPUTED_VALUE"""),"10:30-12:00")</f>
        <v>10:30-12:00</v>
      </c>
      <c r="N1154" s="7"/>
    </row>
    <row r="1155">
      <c r="A1155" s="7" t="str">
        <f>IFERROR(__xludf.DUMMYFUNCTION("""COMPUTED_VALUE"""),"4081-FIND")</f>
        <v>4081-FIND</v>
      </c>
      <c r="B1155" s="7" t="str">
        <f>IFERROR(__xludf.DUMMYFUNCTION("""COMPUTED_VALUE"""),"Exploring the Role of Mental Health Conversational Agents in Training Medical Students and Professionals: A Systematic Literature Review")</f>
        <v>Exploring the Role of Mental Health Conversational Agents in Training Medical Students and Professionals: A Systematic Literature Review</v>
      </c>
      <c r="C1155" s="7" t="str">
        <f>IFERROR(__xludf.DUMMYFUNCTION("""COMPUTED_VALUE"""),"The integration of Artificial Intelligence (AI) into mental health education and training (MHET) has become a promising solution to meet the increasing demand for skilled mental health professionals. This systematic review analyses 37 studies on AI-powere"&amp;"d conversational agents (CAs) in MHET, selected from a total of 1002 studies published between 2019 and 2024. Following the PRISMA protocol, we reviewed papers from computer science, medicine, and interdisciplinary databases, assessing key aspects such as"&amp;" technological approaches, data characteristics, application areas, and evaluation methodologies. Our findings reveal that AI-based approaches, including Large Language Models (LLMs), dominate the field, with training as the application area being the mos"&amp;"t prevalent. These technologies show promise in simulating therapeutic interactions but face challenges such as limited public datasets, lack of standardised evaluation frameworks, and difficulty in ensuring authentic emotional responses, along with gaps "&amp;"in ethical considerations and clinical efficacy. This review presents a comprehensive framework for understanding the role of CAs in MHET while providing valuable insights to guide future research.")</f>
        <v>The integration of Artificial Intelligence (AI) into mental health education and training (MHET) has become a promising solution to meet the increasing demand for skilled mental health professionals. This systematic review analyses 37 studies on AI-powered conversational agents (CAs) in MHET, selected from a total of 1002 studies published between 2019 and 2024. Following the PRISMA protocol, we reviewed papers from computer science, medicine, and interdisciplinary databases, assessing key aspects such as technological approaches, data characteristics, application areas, and evaluation methodologies. Our findings reveal that AI-based approaches, including Large Language Models (LLMs), dominate the field, with training as the application area being the most prevalent. These technologies show promise in simulating therapeutic interactions but face challenges such as limited public datasets, lack of standardised evaluation frameworks, and difficulty in ensuring authentic emotional responses, along with gaps in ethical considerations and clinical efficacy. This review presents a comprehensive framework for understanding the role of CAs in MHET while providing valuable insights to guide future research.</v>
      </c>
      <c r="D1155" s="7" t="str">
        <f>IFERROR(__xludf.DUMMYFUNCTION("""COMPUTED_VALUE"""),"Not planning to present")</f>
        <v>Not planning to present</v>
      </c>
      <c r="E1155" s="7" t="str">
        <f>IFERROR(__xludf.DUMMYFUNCTION("""COMPUTED_VALUE"""),"#N/A")</f>
        <v>#N/A</v>
      </c>
      <c r="F1155" s="7" t="str">
        <f>IFERROR(__xludf.DUMMYFUNCTION("""COMPUTED_VALUE"""),"Not Pres. ")</f>
        <v>Not Pres. </v>
      </c>
      <c r="G1155" s="7" t="str">
        <f>IFERROR(__xludf.DUMMYFUNCTION("""COMPUTED_VALUE"""),"NP Findings Not Presenting ")</f>
        <v>NP Findings Not Presenting </v>
      </c>
      <c r="H1155" s="7"/>
      <c r="I1155" s="7" t="str">
        <f>IFERROR(__xludf.DUMMYFUNCTION("""COMPUTED_VALUE"""),"NP-Find")</f>
        <v>NP-Find</v>
      </c>
      <c r="J1155" s="7"/>
      <c r="K1155" s="7"/>
      <c r="L1155" s="8"/>
      <c r="M1155" s="7"/>
      <c r="N1155" s="7"/>
    </row>
    <row r="1156">
      <c r="A1156" s="7" t="str">
        <f>IFERROR(__xludf.DUMMYFUNCTION("""COMPUTED_VALUE"""),"4088-FIND")</f>
        <v>4088-FIND</v>
      </c>
      <c r="B1156" s="7" t="str">
        <f>IFERROR(__xludf.DUMMYFUNCTION("""COMPUTED_VALUE"""),"Bandit-Based Prompt Design Strategy Selection Improves Prompt Optimizers")</f>
        <v>Bandit-Based Prompt Design Strategy Selection Improves Prompt Optimizers</v>
      </c>
      <c r="C1156" s="7" t="str">
        <f>IFERROR(__xludf.DUMMYFUNCTION("""COMPUTED_VALUE"""),"Prompt optimization aims to search for effective prompts that enhance the performance of large language models (LLMs). Although existing prompt optimization methods have discovered effective prompts, they often differ from sophisticated prompts carefully "&amp;"designed by human experts. Prompt design strategies, representing best practices for improving prompt performance, can be key to improving prompt optimization. Recently, a method termed the Autonomous Prompt Engineering Toolbox (APET) has incorporated var"&amp;"ious prompt design strategies into the prompt optimization process. In APET, the LLM is needed to implicitly select and apply the appropriate strategies because prompt design strategies can have negative effects. This implicit selection may be suboptimal "&amp;"due to the limited optimization capabilities of LLMs. This paper introduces Optimizing Prompts with sTrategy Selection (OPTS), which implements explicit selection mechanisms for prompt design. We propose three mechanisms, including a Thompson sampling-bas"&amp;"ed approach, and integrate them into EvoPrompt, a well-known prompt optimizer. Experiments optimizing prompts for two LLMs, Llama-3-8B-Instruct and GPT-4o mini, were conducted using BIG-Bench Hard. Our results show that the selection of prompt design stra"&amp;"tegies improves the performance of EvoPrompt, and the Thompson sampling-based mechanism achieves the best overall results.")</f>
        <v>Prompt optimization aims to search for effective prompts that enhance the performance of large language models (LLMs). Although existing prompt optimization methods have discovered effective prompts, they often differ from sophisticated prompts carefully designed by human experts. Prompt design strategies, representing best practices for improving prompt performance, can be key to improving prompt optimization. Recently, a method termed the Autonomous Prompt Engineering Toolbox (APET) has incorporated various prompt design strategies into the prompt optimization process. In APET, the LLM is needed to implicitly select and apply the appropriate strategies because prompt design strategies can have negative effects. This implicit selection may be suboptimal due to the limited optimization capabilities of LLMs. This paper introduces Optimizing Prompts with sTrategy Selection (OPTS), which implements explicit selection mechanisms for prompt design. We propose three mechanisms, including a Thompson sampling-based approach, and integrate them into EvoPrompt, a well-known prompt optimizer. Experiments optimizing prompts for two LLMs, Llama-3-8B-Instruct and GPT-4o mini, were conducted using BIG-Bench Hard. Our results show that the selection of prompt design strategies improves the performance of EvoPrompt, and the Thompson sampling-based mechanism achieves the best overall results.</v>
      </c>
      <c r="D1156" s="7" t="str">
        <f>IFERROR(__xludf.DUMMYFUNCTION("""COMPUTED_VALUE"""),"Rin Ashizawa")</f>
        <v>Rin Ashizawa</v>
      </c>
      <c r="E1156" s="7" t="str">
        <f>IFERROR(__xludf.DUMMYFUNCTION("""COMPUTED_VALUE"""),"Yes")</f>
        <v>Yes</v>
      </c>
      <c r="F1156" s="7" t="str">
        <f>IFERROR(__xludf.DUMMYFUNCTION("""COMPUTED_VALUE"""),"V-Presentation")</f>
        <v>V-Presentation</v>
      </c>
      <c r="G1156" s="7" t="str">
        <f>IFERROR(__xludf.DUMMYFUNCTION("""COMPUTED_VALUE"""),"Virtual/Gather")</f>
        <v>Virtual/Gather</v>
      </c>
      <c r="H1156" s="7" t="str">
        <f>IFERROR(__xludf.DUMMYFUNCTION("""COMPUTED_VALUE"""),"Gather")</f>
        <v>Gather</v>
      </c>
      <c r="I1156" s="7" t="str">
        <f>IFERROR(__xludf.DUMMYFUNCTION("""COMPUTED_VALUE"""),"Session5: V-Gather Find")</f>
        <v>Session5: V-Gather Find</v>
      </c>
      <c r="J1156" s="7" t="str">
        <f>IFERROR(__xludf.DUMMYFUNCTION("""COMPUTED_VALUE"""),"Findings Posters - Virtual")</f>
        <v>Findings Posters - Virtual</v>
      </c>
      <c r="K1156" s="7"/>
      <c r="L1156" s="8">
        <f>IFERROR(__xludf.DUMMYFUNCTION("""COMPUTED_VALUE"""),45866.0)</f>
        <v>45866</v>
      </c>
      <c r="M1156" s="7" t="str">
        <f>IFERROR(__xludf.DUMMYFUNCTION("""COMPUTED_VALUE"""),"18:00-19:30")</f>
        <v>18:00-19:30</v>
      </c>
      <c r="N1156" s="7"/>
    </row>
    <row r="1157">
      <c r="A1157" s="7" t="str">
        <f>IFERROR(__xludf.DUMMYFUNCTION("""COMPUTED_VALUE"""),"4092-FIND")</f>
        <v>4092-FIND</v>
      </c>
      <c r="B1157" s="7" t="str">
        <f>IFERROR(__xludf.DUMMYFUNCTION("""COMPUTED_VALUE"""),"STORYTELLER: An Enhanced Plot-Planning Framework for Coherent and Cohesive Story Generation")</f>
        <v>STORYTELLER: An Enhanced Plot-Planning Framework for Coherent and Cohesive Story Generation</v>
      </c>
      <c r="C1157" s="7" t="str">
        <f>IFERROR(__xludf.DUMMYFUNCTION("""COMPUTED_VALUE"""),"Stories are central to human culture, serving to share ideas, preserve traditions, and foster connections. Automatic story generation, a key advancement in artificial intelligence (AI), offers new possibilities for creating personalized content, exploring"&amp;" creative ideas, and enhancing interactive experiences. However, existing methods struggle to maintain narrative coherence and logical consistency. This disconnect compromises the overall storytelling experience, underscoring the need for substantial impr"&amp;"ovements. Inspired by human cognitive processes, we introduce STORYTELLER, a novel approach that systemically improves the coherence and consistency of automatically generated stories. STORYTELLER introduces a plot node structure based on linguistically g"&amp;"rounded subject-verb-object (SVO) triplets, which capture essential story events and ensure a consistent logical flow. Unlike previous methods, STORYTELLER integrates two dynamic modules—the STORYLINE and narrative entity knowledge graph (NEKG)—that conti"&amp;"nuously interact with the story generation process. This integration produces structurally sound, cohesive and immersive narratives. Extensive experiments demonstrate that STORYTELLER significantly outperforms existing approaches, achieving an 84.33% aver"&amp;"age win rate through human preference evaluation. At the same time, it is also far ahead in other aspects including creativity, coherence, engagement, and relevance. Our code and data will be made publicly available upon publication.")</f>
        <v>Stories are central to human culture, serving to share ideas, preserve traditions, and foster connections. Automatic story generation, a key advancement in artificial intelligence (AI), offers new possibilities for creating personalized content, exploring creative ideas, and enhancing interactive experiences. However, existing methods struggle to maintain narrative coherence and logical consistency. This disconnect compromises the overall storytelling experience, underscoring the need for substantial improvements. Inspired by human cognitive processes, we introduce STORYTELLER, a novel approach that systemically improves the coherence and consistency of automatically generated stories. STORYTELLER introduces a plot node structure based on linguistically grounded subject-verb-object (SVO) triplets, which capture essential story events and ensure a consistent logical flow. Unlike previous methods, STORYTELLER integrates two dynamic modules—the STORYLINE and narrative entity knowledge graph (NEKG)—that continuously interact with the story generation process. This integration produces structurally sound, cohesive and immersive narratives. Extensive experiments demonstrate that STORYTELLER significantly outperforms existing approaches, achieving an 84.33% average win rate through human preference evaluation. At the same time, it is also far ahead in other aspects including creativity, coherence, engagement, and relevance. Our code and data will be made publicly available upon publication.</v>
      </c>
      <c r="D1157" s="7" t="str">
        <f>IFERROR(__xludf.DUMMYFUNCTION("""COMPUTED_VALUE"""),"No presenter.")</f>
        <v>No presenter.</v>
      </c>
      <c r="E1157" s="7" t="str">
        <f>IFERROR(__xludf.DUMMYFUNCTION("""COMPUTED_VALUE"""),"#N/A")</f>
        <v>#N/A</v>
      </c>
      <c r="F1157" s="7" t="str">
        <f>IFERROR(__xludf.DUMMYFUNCTION("""COMPUTED_VALUE"""),"Not Pres. ")</f>
        <v>Not Pres. </v>
      </c>
      <c r="G1157" s="7" t="str">
        <f>IFERROR(__xludf.DUMMYFUNCTION("""COMPUTED_VALUE"""),"NP Findings Not Presenting ")</f>
        <v>NP Findings Not Presenting </v>
      </c>
      <c r="H1157" s="7"/>
      <c r="I1157" s="7" t="str">
        <f>IFERROR(__xludf.DUMMYFUNCTION("""COMPUTED_VALUE"""),"NP-Find")</f>
        <v>NP-Find</v>
      </c>
      <c r="J1157" s="7"/>
      <c r="K1157" s="7"/>
      <c r="L1157" s="8"/>
      <c r="M1157" s="7"/>
      <c r="N1157" s="7"/>
    </row>
    <row r="1158">
      <c r="A1158" s="7" t="str">
        <f>IFERROR(__xludf.DUMMYFUNCTION("""COMPUTED_VALUE"""),"4103-FIND")</f>
        <v>4103-FIND</v>
      </c>
      <c r="B1158" s="7" t="str">
        <f>IFERROR(__xludf.DUMMYFUNCTION("""COMPUTED_VALUE"""),"SelectLLM: Query-Aware Efficient Selection Algorithm for Large Language Models")</f>
        <v>SelectLLM: Query-Aware Efficient Selection Algorithm for Large Language Models</v>
      </c>
      <c r="C1158" s="7" t="str">
        <f>IFERROR(__xludf.DUMMYFUNCTION("""COMPUTED_VALUE"""),"Large language models (LLMs) have been widely adopted due to their remarkable performance across various applications, driving the accelerated development of a large number of diverse models. However, these individual LLMs show limitations in generalizati"&amp;"on and performance on complex tasks due to inherent training biases, model size constraints, and the quality or diversity of pre-training datasets. A promising direction is to efficiently harness the diverse capabilities of LLMs to overcome these individu"&amp;"al limitations. To address these limitations, we introduce a novel LLM selection algorithm called SelectLLM, which efficiently directs input queries to the most suitable subset of LLMs from a large pool, ensuring that the selected models collectively prov"&amp;"ide accurate responses. SelectLLM employs a multi-label classifier and policy based on the classifier's predictions and confidence scores in selecting an optimal, query-aware, and lightweight subset of LLMs. Our findings indicate that the proposed model o"&amp;"utperforms existing ensemble-based baselines and achieves competitive performance with similarly sized top-performing LLMs while maintaining efficiency. Specifically, it achieves a huge reduction in inference latency on two challenging reasoning benchmark"&amp;"s: 13% on GSM8K and 70% on MMLU, compared to the top-performing baseline. Also, we establish a theoretical upper bound by an Oracle with LLMs and perform an in-depth linguistic analysis to understand the performance gap between the Oracle and SelectLLM.")</f>
        <v>Large language models (LLMs) have been widely adopted due to their remarkable performance across various applications, driving the accelerated development of a large number of diverse models. However, these individual LLMs show limitations in generalization and performance on complex tasks due to inherent training biases, model size constraints, and the quality or diversity of pre-training datasets. A promising direction is to efficiently harness the diverse capabilities of LLMs to overcome these individual limitations. To address these limitations, we introduce a novel LLM selection algorithm called SelectLLM, which efficiently directs input queries to the most suitable subset of LLMs from a large pool, ensuring that the selected models collectively provide accurate responses. SelectLLM employs a multi-label classifier and policy based on the classifier's predictions and confidence scores in selecting an optimal, query-aware, and lightweight subset of LLMs. Our findings indicate that the proposed model outperforms existing ensemble-based baselines and achieves competitive performance with similarly sized top-performing LLMs while maintaining efficiency. Specifically, it achieves a huge reduction in inference latency on two challenging reasoning benchmarks: 13% on GSM8K and 70% on MMLU, compared to the top-performing baseline. Also, we establish a theoretical upper bound by an Oracle with LLMs and perform an in-depth linguistic analysis to understand the performance gap between the Oracle and SelectLLM.</v>
      </c>
      <c r="D1158" s="7" t="str">
        <f>IFERROR(__xludf.DUMMYFUNCTION("""COMPUTED_VALUE"""),"Kaushal Kumar Maurya")</f>
        <v>Kaushal Kumar Maurya</v>
      </c>
      <c r="E1158" s="7" t="str">
        <f>IFERROR(__xludf.DUMMYFUNCTION("""COMPUTED_VALUE"""),"Yes")</f>
        <v>Yes</v>
      </c>
      <c r="F1158" s="7" t="str">
        <f>IFERROR(__xludf.DUMMYFUNCTION("""COMPUTED_VALUE"""),"IP-Poster")</f>
        <v>IP-Poster</v>
      </c>
      <c r="G1158" s="7" t="str">
        <f>IFERROR(__xludf.DUMMYFUNCTION("""COMPUTED_VALUE"""),"In-Person")</f>
        <v>In-Person</v>
      </c>
      <c r="H1158" s="7" t="str">
        <f>IFERROR(__xludf.DUMMYFUNCTION("""COMPUTED_VALUE"""),"Hall 4/5")</f>
        <v>Hall 4/5</v>
      </c>
      <c r="I1158" s="7" t="str">
        <f>IFERROR(__xludf.DUMMYFUNCTION("""COMPUTED_VALUE"""),"Session 12: IP-Posters")</f>
        <v>Session 12: IP-Posters</v>
      </c>
      <c r="J1158" s="7" t="str">
        <f>IFERROR(__xludf.DUMMYFUNCTION("""COMPUTED_VALUE"""),"Findings Posters - In-Person 4")</f>
        <v>Findings Posters - In-Person 4</v>
      </c>
      <c r="K1158" s="7"/>
      <c r="L1158" s="8">
        <f>IFERROR(__xludf.DUMMYFUNCTION("""COMPUTED_VALUE"""),45868.0)</f>
        <v>45868</v>
      </c>
      <c r="M1158" s="7" t="str">
        <f>IFERROR(__xludf.DUMMYFUNCTION("""COMPUTED_VALUE"""),"11:00-12:30")</f>
        <v>11:00-12:30</v>
      </c>
      <c r="N1158" s="7"/>
    </row>
    <row r="1159">
      <c r="A1159" s="7" t="str">
        <f>IFERROR(__xludf.DUMMYFUNCTION("""COMPUTED_VALUE"""),"4107-FIND")</f>
        <v>4107-FIND</v>
      </c>
      <c r="B1159" s="7" t="str">
        <f>IFERROR(__xludf.DUMMYFUNCTION("""COMPUTED_VALUE"""),"SkyLLM: Cross-LLM-APIs Federation for Cost-effective Query Processing")</f>
        <v>SkyLLM: Cross-LLM-APIs Federation for Cost-effective Query Processing</v>
      </c>
      <c r="C1159" s="7" t="str">
        <f>IFERROR(__xludf.DUMMYFUNCTION("""COMPUTED_VALUE"""),"Large language models (LLMs) have demonstrated exceptional capabilities across a wide range of tasks, from text generation to complex problem-solving. LLM APIs provide easy access to these models by streamlining deployment and usage. Combining LLMs with c"&amp;"omplementary strengths has been shown to yield substantial performance gains over a monolithic LLM. However, invoking a fixed set of LLM APIs for each query incurs higher API costs and increased inference latency. To address these limitations, we propose "&amp;"SkyLLM, a system composed of a set of estimators and an API selector, which federates multiple LLM APIs and dynamically assigns a non-empty subset of these APIs to each query prior to inference under cost and latency budgets. The selected subset consists "&amp;"of either a single LLM or multiple LLMs. A single LLM efficiently handles simple queries at low cost, whereas multiple LLMs are employed for more complex queries to overcome performance limitations. We evaluate SkyLLM against individual LLMs and represent"&amp;"ative ensemble LLM methods from the literature. SkyLLM achieves the highest accuracy under a high budget. It can also be cost-effective, matching the most accurate individual LLM while cutting costs by 67.8\%.")</f>
        <v>Large language models (LLMs) have demonstrated exceptional capabilities across a wide range of tasks, from text generation to complex problem-solving. LLM APIs provide easy access to these models by streamlining deployment and usage. Combining LLMs with complementary strengths has been shown to yield substantial performance gains over a monolithic LLM. However, invoking a fixed set of LLM APIs for each query incurs higher API costs and increased inference latency. To address these limitations, we propose SkyLLM, a system composed of a set of estimators and an API selector, which federates multiple LLM APIs and dynamically assigns a non-empty subset of these APIs to each query prior to inference under cost and latency budgets. The selected subset consists of either a single LLM or multiple LLMs. A single LLM efficiently handles simple queries at low cost, whereas multiple LLMs are employed for more complex queries to overcome performance limitations. We evaluate SkyLLM against individual LLMs and representative ensemble LLM methods from the literature. SkyLLM achieves the highest accuracy under a high budget. It can also be cost-effective, matching the most accurate individual LLM while cutting costs by 67.8\%.</v>
      </c>
      <c r="D1159" s="7" t="str">
        <f>IFERROR(__xludf.DUMMYFUNCTION("""COMPUTED_VALUE"""),"I do not plan to present")</f>
        <v>I do not plan to present</v>
      </c>
      <c r="E1159" s="7" t="str">
        <f>IFERROR(__xludf.DUMMYFUNCTION("""COMPUTED_VALUE"""),"#N/A")</f>
        <v>#N/A</v>
      </c>
      <c r="F1159" s="7" t="str">
        <f>IFERROR(__xludf.DUMMYFUNCTION("""COMPUTED_VALUE"""),"Not Pres. ")</f>
        <v>Not Pres. </v>
      </c>
      <c r="G1159" s="7" t="str">
        <f>IFERROR(__xludf.DUMMYFUNCTION("""COMPUTED_VALUE"""),"NP Findings Not Presenting ")</f>
        <v>NP Findings Not Presenting </v>
      </c>
      <c r="H1159" s="7"/>
      <c r="I1159" s="7" t="str">
        <f>IFERROR(__xludf.DUMMYFUNCTION("""COMPUTED_VALUE"""),"NP-Find")</f>
        <v>NP-Find</v>
      </c>
      <c r="J1159" s="7"/>
      <c r="K1159" s="7"/>
      <c r="L1159" s="8"/>
      <c r="M1159" s="7"/>
      <c r="N1159" s="7"/>
    </row>
    <row r="1160">
      <c r="A1160" s="7" t="str">
        <f>IFERROR(__xludf.DUMMYFUNCTION("""COMPUTED_VALUE"""),"4119-FIND")</f>
        <v>4119-FIND</v>
      </c>
      <c r="B1160" s="7" t="str">
        <f>IFERROR(__xludf.DUMMYFUNCTION("""COMPUTED_VALUE"""),"Matina: A Culturally-Aligned Persian Language Model Using Multiple LoRA Experts")</f>
        <v>Matina: A Culturally-Aligned Persian Language Model Using Multiple LoRA Experts</v>
      </c>
      <c r="C1160" s="7" t="str">
        <f>IFERROR(__xludf.DUMMYFUNCTION("""COMPUTED_VALUE"""),"Large language models (LLMs) are powerful tools for a variety of applications, but to interact effectively with users, they must align with the cultural values and linguistic nuances of their audience. However, existing LLMs often fall short in adequately"&amp;" modeling underrepresented languages and cultures, such as Persian, limiting their applicability and acceptance. To address this, we construct diverse, high-quality datasets specifically tailored to Persian linguistic and cultural contexts, ensuring a mor"&amp;"e authentic and context-aware training process. Using these datasets, we develop Matina, a Persian-focused multi-expert model designed to embody Iranian cultural values and linguistic structures. Matina is trained by fine-tuning LLaMA3.1 8B-Instruct model"&amp;"s across five domains: culinary, tourism, socio-culture, translation, and summarization. These experts are combined using a classifier to create a unified multi-expert system. By leveraging culturally aligned datasets, Matina outperforms baseline models i"&amp;"n both task performance and user satisfaction, demonstrating the importance of data-driven cultural adaptation in LLM development.")</f>
        <v>Large language models (LLMs) are powerful tools for a variety of applications, but to interact effectively with users, they must align with the cultural values and linguistic nuances of their audience. However, existing LLMs often fall short in adequately modeling underrepresented languages and cultures, such as Persian, limiting their applicability and acceptance. To address this, we construct diverse, high-quality datasets specifically tailored to Persian linguistic and cultural contexts, ensuring a more authentic and context-aware training process. Using these datasets, we develop Matina, a Persian-focused multi-expert model designed to embody Iranian cultural values and linguistic structures. Matina is trained by fine-tuning LLaMA3.1 8B-Instruct models across five domains: culinary, tourism, socio-culture, translation, and summarization. These experts are combined using a classifier to create a unified multi-expert system. By leveraging culturally aligned datasets, Matina outperforms baseline models in both task performance and user satisfaction, demonstrating the importance of data-driven cultural adaptation in LLM development.</v>
      </c>
      <c r="D1160" s="7" t="str">
        <f>IFERROR(__xludf.DUMMYFUNCTION("""COMPUTED_VALUE"""),"We don't plan to present")</f>
        <v>We don't plan to present</v>
      </c>
      <c r="E1160" s="7" t="str">
        <f>IFERROR(__xludf.DUMMYFUNCTION("""COMPUTED_VALUE"""),"#N/A")</f>
        <v>#N/A</v>
      </c>
      <c r="F1160" s="7" t="str">
        <f>IFERROR(__xludf.DUMMYFUNCTION("""COMPUTED_VALUE"""),"Not Pres. ")</f>
        <v>Not Pres. </v>
      </c>
      <c r="G1160" s="7" t="str">
        <f>IFERROR(__xludf.DUMMYFUNCTION("""COMPUTED_VALUE"""),"NP Findings Not Presenting ")</f>
        <v>NP Findings Not Presenting </v>
      </c>
      <c r="H1160" s="7"/>
      <c r="I1160" s="7" t="str">
        <f>IFERROR(__xludf.DUMMYFUNCTION("""COMPUTED_VALUE"""),"NP-Find")</f>
        <v>NP-Find</v>
      </c>
      <c r="J1160" s="7"/>
      <c r="K1160" s="7"/>
      <c r="L1160" s="8"/>
      <c r="M1160" s="7"/>
      <c r="N1160" s="7"/>
    </row>
    <row r="1161">
      <c r="A1161" s="7" t="str">
        <f>IFERROR(__xludf.DUMMYFUNCTION("""COMPUTED_VALUE"""),"4133-FIND")</f>
        <v>4133-FIND</v>
      </c>
      <c r="B1161" s="7" t="str">
        <f>IFERROR(__xludf.DUMMYFUNCTION("""COMPUTED_VALUE"""),"PM3-KIE: A Probabilistic Multi-Task Meta-Model for Document Key Information Extraction")</f>
        <v>PM3-KIE: A Probabilistic Multi-Task Meta-Model for Document Key Information Extraction</v>
      </c>
      <c r="C1161" s="7" t="str">
        <f>IFERROR(__xludf.DUMMYFUNCTION("""COMPUTED_VALUE"""),"Key Information Extraction (KIE) from visually rich documents is commonly approached as either fine-grained token classification or coarse-grained entity extraction. While token-level models capture spatial and visual cues, entity-level models better repr"&amp;"esent logical dependencies and align with real-world use cases.
We introduce PM3-KIE, a probabilistic multi-task meta-model that incorporates both fine-grained and coarse-grained models. It serves as a lightweight reasoning layer that jointly predicts ent"&amp;"ities and all appearances in a document. PM3-KIE incorporates domain-specific schema constraints to enforce logical consistency and integrates large language models for semantic validation, thereby reducing extraction errors.
Experiments on two public dat"&amp;"asets, DeepForm and FARA, show that PM3-KIE outperforms three state-of-the-art models and a stacked ensemble, achieving a statistically significant 2% improvement in F1 score.")</f>
        <v>Key Information Extraction (KIE) from visually rich documents is commonly approached as either fine-grained token classification or coarse-grained entity extraction. While token-level models capture spatial and visual cues, entity-level models better represent logical dependencies and align with real-world use cases.
We introduce PM3-KIE, a probabilistic multi-task meta-model that incorporates both fine-grained and coarse-grained models. It serves as a lightweight reasoning layer that jointly predicts entities and all appearances in a document. PM3-KIE incorporates domain-specific schema constraints to enforce logical consistency and integrates large language models for semantic validation, thereby reducing extraction errors.
Experiments on two public datasets, DeepForm and FARA, show that PM3-KIE outperforms three state-of-the-art models and a stacked ensemble, achieving a statistically significant 2% improvement in F1 score.</v>
      </c>
      <c r="D1161" s="7" t="str">
        <f>IFERROR(__xludf.DUMMYFUNCTION("""COMPUTED_VALUE"""),"Birgit Kirsch")</f>
        <v>Birgit Kirsch</v>
      </c>
      <c r="E1161" s="7" t="str">
        <f>IFERROR(__xludf.DUMMYFUNCTION("""COMPUTED_VALUE"""),"Yes")</f>
        <v>Yes</v>
      </c>
      <c r="F1161" s="7" t="str">
        <f>IFERROR(__xludf.DUMMYFUNCTION("""COMPUTED_VALUE"""),"IP-Poster")</f>
        <v>IP-Poster</v>
      </c>
      <c r="G1161" s="7" t="str">
        <f>IFERROR(__xludf.DUMMYFUNCTION("""COMPUTED_VALUE"""),"In-Person")</f>
        <v>In-Person</v>
      </c>
      <c r="H1161" s="7" t="str">
        <f>IFERROR(__xludf.DUMMYFUNCTION("""COMPUTED_VALUE"""),"Hall 4/5")</f>
        <v>Hall 4/5</v>
      </c>
      <c r="I1161" s="7" t="str">
        <f>IFERROR(__xludf.DUMMYFUNCTION("""COMPUTED_VALUE"""),"Session 5 :IP-Posters Find ")</f>
        <v>Session 5 :IP-Posters Find </v>
      </c>
      <c r="J1161" s="7" t="str">
        <f>IFERROR(__xludf.DUMMYFUNCTION("""COMPUTED_VALUE"""),"Findings Posters - In-Person 1")</f>
        <v>Findings Posters - In-Person 1</v>
      </c>
      <c r="K1161" s="7"/>
      <c r="L1161" s="8">
        <f>IFERROR(__xludf.DUMMYFUNCTION("""COMPUTED_VALUE"""),45866.0)</f>
        <v>45866</v>
      </c>
      <c r="M1161" s="7" t="str">
        <f>IFERROR(__xludf.DUMMYFUNCTION("""COMPUTED_VALUE"""),"18:00-19:30")</f>
        <v>18:00-19:30</v>
      </c>
      <c r="N1161" s="7"/>
    </row>
    <row r="1162">
      <c r="A1162" s="7" t="str">
        <f>IFERROR(__xludf.DUMMYFUNCTION("""COMPUTED_VALUE"""),"4134-FIND")</f>
        <v>4134-FIND</v>
      </c>
      <c r="B1162" s="7" t="str">
        <f>IFERROR(__xludf.DUMMYFUNCTION("""COMPUTED_VALUE"""),"TechniqueRAG: Retrieval Augmented Generation for Adversarial Technique Annotation in Cyber Threat Intelligence Text")</f>
        <v>TechniqueRAG: Retrieval Augmented Generation for Adversarial Technique Annotation in Cyber Threat Intelligence Text</v>
      </c>
      <c r="C1162" s="7" t="str">
        <f>IFERROR(__xludf.DUMMYFUNCTION("""COMPUTED_VALUE"""),"Accurately identifying adversarial techniques in security texts is critical for effective cyber defense. However, existing methods face a fundamental trade-off: they either rely on generic models with limited domain precision or require resource-intensive"&amp;" pipelines that depend on large labeled datasets and task-specific optimizations—such as custom hard-negative mining and denoising—resources rarely available in specialized domains.
We propose TechniqueRAG, a domain-specific retrieval-augmented generatio"&amp;"n (RAG) framework that bridges this gap by integrating off-the-shelf retrievers, instruction-tuned LLMs, and minimal text–technique pairs. Our approach addresses data scarcity by fine-tuning only the generation component on limited in-domain examples, cir"&amp;"cumventing the need for resource-intensive retrieval training. While conventional RAG mitigates hallucination by coupling retrieval and generation, its reliance on generic retrievers often introduces noisy candidates, limiting domain-specific precision. T"&amp;"o address this, we enhance retrieval quality and domain specificity through zero-shot LLM re-ranking, which explicitly aligns retrieved candidates with adversarial techniques.
Experiments on multiple security benchmarks demonstrate that TechniqueRAG achi"&amp;"eves state-of-the-art performance without extensive task-specific optimizations or labeled data, while comprehensive analysis provides further insights.")</f>
        <v>Accurately identifying adversarial techniques in security texts is critical for effective cyber defense. However, existing methods face a fundamental trade-off: they either rely on generic models with limited domain precision or require resource-intensive pipelines that depend on large labeled datasets and task-specific optimizations—such as custom hard-negative mining and denoising—resources rarely available in specialized domains.
We propose TechniqueRAG, a domain-specific retrieval-augmented generation (RAG) framework that bridges this gap by integrating off-the-shelf retrievers, instruction-tuned LLMs, and minimal text–technique pairs. Our approach addresses data scarcity by fine-tuning only the generation component on limited in-domain examples, circumventing the need for resource-intensive retrieval training. While conventional RAG mitigates hallucination by coupling retrieval and generation, its reliance on generic retrievers often introduces noisy candidates, limiting domain-specific precision. To address this, we enhance retrieval quality and domain specificity through zero-shot LLM re-ranking, which explicitly aligns retrieved candidates with adversarial techniques.
Experiments on multiple security benchmarks demonstrate that TechniqueRAG achieves state-of-the-art performance without extensive task-specific optimizations or labeled data, while comprehensive analysis provides further insights.</v>
      </c>
      <c r="D1162" s="7" t="str">
        <f>IFERROR(__xludf.DUMMYFUNCTION("""COMPUTED_VALUE"""),"Husrev Taha Sencar")</f>
        <v>Husrev Taha Sencar</v>
      </c>
      <c r="E1162" s="7" t="str">
        <f>IFERROR(__xludf.DUMMYFUNCTION("""COMPUTED_VALUE"""),"Yes")</f>
        <v>Yes</v>
      </c>
      <c r="F1162" s="7" t="str">
        <f>IFERROR(__xludf.DUMMYFUNCTION("""COMPUTED_VALUE"""),"IP-Poster")</f>
        <v>IP-Poster</v>
      </c>
      <c r="G1162" s="7" t="str">
        <f>IFERROR(__xludf.DUMMYFUNCTION("""COMPUTED_VALUE"""),"In-Person")</f>
        <v>In-Person</v>
      </c>
      <c r="H1162" s="7" t="str">
        <f>IFERROR(__xludf.DUMMYFUNCTION("""COMPUTED_VALUE"""),"Hall 4/5")</f>
        <v>Hall 4/5</v>
      </c>
      <c r="I1162" s="7" t="str">
        <f>IFERROR(__xludf.DUMMYFUNCTION("""COMPUTED_VALUE"""),"Session 12: IP-Posters")</f>
        <v>Session 12: IP-Posters</v>
      </c>
      <c r="J1162" s="7" t="str">
        <f>IFERROR(__xludf.DUMMYFUNCTION("""COMPUTED_VALUE"""),"Findings Posters - In-Person 4")</f>
        <v>Findings Posters - In-Person 4</v>
      </c>
      <c r="K1162" s="7"/>
      <c r="L1162" s="8">
        <f>IFERROR(__xludf.DUMMYFUNCTION("""COMPUTED_VALUE"""),45868.0)</f>
        <v>45868</v>
      </c>
      <c r="M1162" s="7" t="str">
        <f>IFERROR(__xludf.DUMMYFUNCTION("""COMPUTED_VALUE"""),"11:00-12:30")</f>
        <v>11:00-12:30</v>
      </c>
      <c r="N1162" s="7"/>
    </row>
    <row r="1163">
      <c r="A1163" s="7" t="str">
        <f>IFERROR(__xludf.DUMMYFUNCTION("""COMPUTED_VALUE"""),"4138-FIND")</f>
        <v>4138-FIND</v>
      </c>
      <c r="B1163" s="7" t="str">
        <f>IFERROR(__xludf.DUMMYFUNCTION("""COMPUTED_VALUE"""),"G2S: A General-to-Specific Learning Framework for Temporal Knowledge Graph Forecasting with Large Language Models")</f>
        <v>G2S: A General-to-Specific Learning Framework for Temporal Knowledge Graph Forecasting with Large Language Models</v>
      </c>
      <c r="C1163" s="7" t="str">
        <f>IFERROR(__xludf.DUMMYFUNCTION("""COMPUTED_VALUE"""),"Forecasting over Temporal Knowledge Graphs (TKGs) which predicts future facts based on historical ones has received much attention. Recent studies have introduced Large Language Models (LLMs) for this task to enhance the models' generalization abilities. "&amp;"However, these models perform forecasting via simultaneously learning two kinds of entangled knowledge in the TKG: (1) general patterns, i.e., invariant temporal structures shared across different scenarios; and (2) scenario information, i.e., factual kno"&amp;"wledge engaged in specific scenario, such as entities and relations. As a result, the learning processes of these two kinds of knowledge may interfere with each other, which potentially impact the generalization abilities of the models. To enhance the gen"&amp;"eralization ability of LLMs on this task, in this paper, we propose a General-to-Specific learning framework (G2S) that disentangles the learning processes of the above two kinds of knowledge. In the general learning stage, we mask the scenario informatio"&amp;"n in different TKGs and convert it into anonymous temporal structures. After training on these structures, the model is able to capture the general patterns across different TKGs. In the specific learning stage, we inject the scenario information into the"&amp;" structures via either in-context learning or fine-tuning modes. Experimental results show that G2S effectively improves the generalization abilities of LLMs.")</f>
        <v>Forecasting over Temporal Knowledge Graphs (TKGs) which predicts future facts based on historical ones has received much attention. Recent studies have introduced Large Language Models (LLMs) for this task to enhance the models' generalization abilities. However, these models perform forecasting via simultaneously learning two kinds of entangled knowledge in the TKG: (1) general patterns, i.e., invariant temporal structures shared across different scenarios; and (2) scenario information, i.e., factual knowledge engaged in specific scenario, such as entities and relations. As a result, the learning processes of these two kinds of knowledge may interfere with each other, which potentially impact the generalization abilities of the models. To enhance the generalization ability of LLMs on this task, in this paper, we propose a General-to-Specific learning framework (G2S) that disentangles the learning processes of the above two kinds of knowledge. In the general learning stage, we mask the scenario information in different TKGs and convert it into anonymous temporal structures. After training on these structures, the model is able to capture the general patterns across different TKGs. In the specific learning stage, we inject the scenario information into the structures via either in-context learning or fine-tuning modes. Experimental results show that G2S effectively improves the generalization abilities of LLMs.</v>
      </c>
      <c r="D1163" s="7" t="str">
        <f>IFERROR(__xludf.DUMMYFUNCTION("""COMPUTED_VALUE"""),"Long Bai")</f>
        <v>Long Bai</v>
      </c>
      <c r="E1163" s="7" t="str">
        <f>IFERROR(__xludf.DUMMYFUNCTION("""COMPUTED_VALUE"""),"#N/A")</f>
        <v>#N/A</v>
      </c>
      <c r="F1163" s="7" t="str">
        <f>IFERROR(__xludf.DUMMYFUNCTION("""COMPUTED_VALUE"""),"Not Pres. ")</f>
        <v>Not Pres. </v>
      </c>
      <c r="G1163" s="7" t="str">
        <f>IFERROR(__xludf.DUMMYFUNCTION("""COMPUTED_VALUE"""),"NP Findings Not Presenting ")</f>
        <v>NP Findings Not Presenting </v>
      </c>
      <c r="H1163" s="7"/>
      <c r="I1163" s="7" t="str">
        <f>IFERROR(__xludf.DUMMYFUNCTION("""COMPUTED_VALUE"""),"NP-Find")</f>
        <v>NP-Find</v>
      </c>
      <c r="J1163" s="7"/>
      <c r="K1163" s="7"/>
      <c r="L1163" s="8"/>
      <c r="M1163" s="7"/>
      <c r="N1163" s="7"/>
    </row>
    <row r="1164">
      <c r="A1164" s="7" t="str">
        <f>IFERROR(__xludf.DUMMYFUNCTION("""COMPUTED_VALUE"""),"4139-FIND")</f>
        <v>4139-FIND</v>
      </c>
      <c r="B1164" s="7" t="str">
        <f>IFERROR(__xludf.DUMMYFUNCTION("""COMPUTED_VALUE"""),"Disentangling Reasoning Tokens and Boilerplate Tokens For Language Model Fine-tuning")</f>
        <v>Disentangling Reasoning Tokens and Boilerplate Tokens For Language Model Fine-tuning</v>
      </c>
      <c r="C1164" s="7" t="str">
        <f>IFERROR(__xludf.DUMMYFUNCTION("""COMPUTED_VALUE"""),"When using agent-task datasets to enhance agent capabilities for Large Language Models (LLMs), current methodologies often treat all tokens within a sample equally. However, we argue that tokens serving different roles—specifically, reasoning tokens versu"&amp;"s boilerplate tokens (e.g., those governing output format)—differ significantly in importance and learning complexity, necessitating their disentanglement and distinct treatment. To address this, we propose a novel Shuffle-Aware Discriminator (SHAD) for a"&amp;"daptive token discrimination. SHAD classifies tokens by exploiting predictability differences observed after shuffling input-output combinations across samples: boilerplate tokens, due to their repetitive nature among samples, maintain predictability, whe"&amp;"reas reasoning tokens do not. Using SHAD, we propose the Reasoning-highlighted Fine-Tuning (RFT) method, which adaptively emphasizes reasoning tokens during fine-tuning, yielding notable performance gains over common Supervised Fine-Tuning (SFT).")</f>
        <v>When using agent-task datasets to enhance agent capabilities for Large Language Models (LLMs), current methodologies often treat all tokens within a sample equally. However, we argue that tokens serving different roles—specifically, reasoning tokens versus boilerplate tokens (e.g., those governing output format)—differ significantly in importance and learning complexity, necessitating their disentanglement and distinct treatment. To address this, we propose a novel Shuffle-Aware Discriminator (SHAD) for adaptive token discrimination. SHAD classifies tokens by exploiting predictability differences observed after shuffling input-output combinations across samples: boilerplate tokens, due to their repetitive nature among samples, maintain predictability, whereas reasoning tokens do not. Using SHAD, we propose the Reasoning-highlighted Fine-Tuning (RFT) method, which adaptively emphasizes reasoning tokens during fine-tuning, yielding notable performance gains over common Supervised Fine-Tuning (SFT).</v>
      </c>
      <c r="D1164" s="7" t="str">
        <f>IFERROR(__xludf.DUMMYFUNCTION("""COMPUTED_VALUE"""),"Ziang Ye")</f>
        <v>Ziang Ye</v>
      </c>
      <c r="E1164" s="7" t="str">
        <f>IFERROR(__xludf.DUMMYFUNCTION("""COMPUTED_VALUE"""),"Yes")</f>
        <v>Yes</v>
      </c>
      <c r="F1164" s="7" t="str">
        <f>IFERROR(__xludf.DUMMYFUNCTION("""COMPUTED_VALUE"""),"IP-Poster")</f>
        <v>IP-Poster</v>
      </c>
      <c r="G1164" s="7" t="str">
        <f>IFERROR(__xludf.DUMMYFUNCTION("""COMPUTED_VALUE"""),"In-Person")</f>
        <v>In-Person</v>
      </c>
      <c r="H1164" s="7" t="str">
        <f>IFERROR(__xludf.DUMMYFUNCTION("""COMPUTED_VALUE"""),"Hall 4/5")</f>
        <v>Hall 4/5</v>
      </c>
      <c r="I1164" s="7" t="str">
        <f>IFERROR(__xludf.DUMMYFUNCTION("""COMPUTED_VALUE"""),"Session 12: IP-Posters")</f>
        <v>Session 12: IP-Posters</v>
      </c>
      <c r="J1164" s="7" t="str">
        <f>IFERROR(__xludf.DUMMYFUNCTION("""COMPUTED_VALUE"""),"Findings Posters - In-Person 4")</f>
        <v>Findings Posters - In-Person 4</v>
      </c>
      <c r="K1164" s="7"/>
      <c r="L1164" s="8">
        <f>IFERROR(__xludf.DUMMYFUNCTION("""COMPUTED_VALUE"""),45868.0)</f>
        <v>45868</v>
      </c>
      <c r="M1164" s="7" t="str">
        <f>IFERROR(__xludf.DUMMYFUNCTION("""COMPUTED_VALUE"""),"11:00-12:30")</f>
        <v>11:00-12:30</v>
      </c>
      <c r="N1164" s="7"/>
    </row>
    <row r="1165">
      <c r="A1165" s="7" t="str">
        <f>IFERROR(__xludf.DUMMYFUNCTION("""COMPUTED_VALUE"""),"4142-FIND")</f>
        <v>4142-FIND</v>
      </c>
      <c r="B1165" s="7" t="str">
        <f>IFERROR(__xludf.DUMMYFUNCTION("""COMPUTED_VALUE"""),"APT: Improving Specialist LLM Performance with Weakness Case Acquisition and Iterative Preference Training")</f>
        <v>APT: Improving Specialist LLM Performance with Weakness Case Acquisition and Iterative Preference Training</v>
      </c>
      <c r="C1165" s="7" t="str">
        <f>IFERROR(__xludf.DUMMYFUNCTION("""COMPUTED_VALUE"""),"Large Language Models (LLMs) often require domain-specific fine-tuning to address targeted tasks, which risks degrading their general capabilities. Maintaining a balance between domain-specific enhancements and general model utility is a key challenge. Th"&amp;"is paper proposes a novel approach named APT (Weakness Case Acquisition and Iterative Preference Training) to enhance domain-specific performance with self-generated dis-preferred weakness data (bad cases and similar cases). APT uniquely focuses on traini"&amp;"ng the model using only those samples where errors occur, alongside a small, similar set of samples retrieved for this purpose. This targeted training minimizes interference with the model’s existing knowledge base, effectively retaining generic capabilit"&amp;"ies. Experimental results on the LLama-2 and Mistral-V0.3 models across various benchmarks demonstrate that APT ensures no reduction in generic capacity and achieves superior performance on downstream tasks compared to various existing methods. This valid"&amp;"ates our method as an effective strategy for enhancing domain-specific capabilities without sacrificing the model's broader applicability.")</f>
        <v>Large Language Models (LLMs) often require domain-specific fine-tuning to address targeted tasks, which risks degrading their general capabilities. Maintaining a balance between domain-specific enhancements and general model utility is a key challenge. This paper proposes a novel approach named APT (Weakness Case Acquisition and Iterative Preference Training) to enhance domain-specific performance with self-generated dis-preferred weakness data (bad cases and similar cases). APT uniquely focuses on training the model using only those samples where errors occur, alongside a small, similar set of samples retrieved for this purpose. This targeted training minimizes interference with the model’s existing knowledge base, effectively retaining generic capabilities. Experimental results on the LLama-2 and Mistral-V0.3 models across various benchmarks demonstrate that APT ensures no reduction in generic capacity and achieves superior performance on downstream tasks compared to various existing methods. This validates our method as an effective strategy for enhancing domain-specific capabilities without sacrificing the model's broader applicability.</v>
      </c>
      <c r="D1165" s="7" t="str">
        <f>IFERROR(__xludf.DUMMYFUNCTION("""COMPUTED_VALUE"""),"Jun Rao")</f>
        <v>Jun Rao</v>
      </c>
      <c r="E1165" s="7" t="str">
        <f>IFERROR(__xludf.DUMMYFUNCTION("""COMPUTED_VALUE"""),"Yes")</f>
        <v>Yes</v>
      </c>
      <c r="F1165" s="7" t="str">
        <f>IFERROR(__xludf.DUMMYFUNCTION("""COMPUTED_VALUE"""),"IP-Poster")</f>
        <v>IP-Poster</v>
      </c>
      <c r="G1165" s="7" t="str">
        <f>IFERROR(__xludf.DUMMYFUNCTION("""COMPUTED_VALUE"""),"In-Person")</f>
        <v>In-Person</v>
      </c>
      <c r="H1165" s="7" t="str">
        <f>IFERROR(__xludf.DUMMYFUNCTION("""COMPUTED_VALUE"""),"Hall 4/5")</f>
        <v>Hall 4/5</v>
      </c>
      <c r="I1165" s="7" t="str">
        <f>IFERROR(__xludf.DUMMYFUNCTION("""COMPUTED_VALUE"""),"Session 12: IP-Posters")</f>
        <v>Session 12: IP-Posters</v>
      </c>
      <c r="J1165" s="7" t="str">
        <f>IFERROR(__xludf.DUMMYFUNCTION("""COMPUTED_VALUE"""),"Findings Posters - In-Person 4")</f>
        <v>Findings Posters - In-Person 4</v>
      </c>
      <c r="K1165" s="7"/>
      <c r="L1165" s="8">
        <f>IFERROR(__xludf.DUMMYFUNCTION("""COMPUTED_VALUE"""),45868.0)</f>
        <v>45868</v>
      </c>
      <c r="M1165" s="7" t="str">
        <f>IFERROR(__xludf.DUMMYFUNCTION("""COMPUTED_VALUE"""),"11:00-12:30")</f>
        <v>11:00-12:30</v>
      </c>
      <c r="N1165" s="7"/>
    </row>
    <row r="1166">
      <c r="A1166" s="7" t="str">
        <f>IFERROR(__xludf.DUMMYFUNCTION("""COMPUTED_VALUE"""),"4143-FIND")</f>
        <v>4143-FIND</v>
      </c>
      <c r="B1166" s="7" t="str">
        <f>IFERROR(__xludf.DUMMYFUNCTION("""COMPUTED_VALUE"""),"EasyEA: Large Language Model is All You Need in Entity Alignment Between Knowledge Graphs")</f>
        <v>EasyEA: Large Language Model is All You Need in Entity Alignment Between Knowledge Graphs</v>
      </c>
      <c r="C1166" s="7" t="str">
        <f>IFERROR(__xludf.DUMMYFUNCTION("""COMPUTED_VALUE"""),"Entity alignment (EA) aims to identify entities in different knowledge graphs (KGs) that represent the same real-world objects. Traditional EA methods typically embed entity information into vector space under the guidance of seed entity pairs, and align "&amp;"entities by calculating and comparing the similarity between entity embeddings. With the advent of large language models (LLMs), emerging methods are increasingly integrating LLMs with traditional methods to leverage external knowledge and improve EA accu"&amp;"racy. However, this integration also introduces additional computational complexity and operational overhead, and still requires seed pairs that are scarce and expensive to obtain. To address these challenges, we propose EasyEA, the first end-to-end EA fr"&amp;"amework based on LLMs that requires no training. EasyEA consists of three main stages: (1) Information Summarization, (2) Embedding and Feature Fusion, and (3) Candidate Selection. By automating the EA process, EasyEA significantly reduces the reliance on"&amp;" seed entity pairs while demonstrating superior performance across various datasets, covering Cross-lingual, sparse, large-scale, and heterogeneous scenarios. Extensive experimental results show that EasyEA not only simplifies the EA process but also achi"&amp;"eves state-of-the-art (SOTA) performance on diverse datasets, providing a promising solution for advancing EA tasks.")</f>
        <v>Entity alignment (EA) aims to identify entities in different knowledge graphs (KGs) that represent the same real-world objects. Traditional EA methods typically embed entity information into vector space under the guidance of seed entity pairs, and align entities by calculating and comparing the similarity between entity embeddings. With the advent of large language models (LLMs), emerging methods are increasingly integrating LLMs with traditional methods to leverage external knowledge and improve EA accuracy. However, this integration also introduces additional computational complexity and operational overhead, and still requires seed pairs that are scarce and expensive to obtain. To address these challenges, we propose EasyEA, the first end-to-end EA framework based on LLMs that requires no training. EasyEA consists of three main stages: (1) Information Summarization, (2) Embedding and Feature Fusion, and (3) Candidate Selection. By automating the EA process, EasyEA significantly reduces the reliance on seed entity pairs while demonstrating superior performance across various datasets, covering Cross-lingual, sparse, large-scale, and heterogeneous scenarios. Extensive experimental results show that EasyEA not only simplifies the EA process but also achieves state-of-the-art (SOTA) performance on diverse datasets, providing a promising solution for advancing EA tasks.</v>
      </c>
      <c r="D1166" s="7" t="str">
        <f>IFERROR(__xludf.DUMMYFUNCTION("""COMPUTED_VALUE"""),"N/A")</f>
        <v>N/A</v>
      </c>
      <c r="E1166" s="7" t="str">
        <f>IFERROR(__xludf.DUMMYFUNCTION("""COMPUTED_VALUE"""),"#N/A")</f>
        <v>#N/A</v>
      </c>
      <c r="F1166" s="7" t="str">
        <f>IFERROR(__xludf.DUMMYFUNCTION("""COMPUTED_VALUE"""),"Not Pres. ")</f>
        <v>Not Pres. </v>
      </c>
      <c r="G1166" s="7" t="str">
        <f>IFERROR(__xludf.DUMMYFUNCTION("""COMPUTED_VALUE"""),"NP Findings Not Presenting ")</f>
        <v>NP Findings Not Presenting </v>
      </c>
      <c r="H1166" s="7"/>
      <c r="I1166" s="7" t="str">
        <f>IFERROR(__xludf.DUMMYFUNCTION("""COMPUTED_VALUE"""),"NP-Find")</f>
        <v>NP-Find</v>
      </c>
      <c r="J1166" s="7"/>
      <c r="K1166" s="7"/>
      <c r="L1166" s="8"/>
      <c r="M1166" s="7"/>
      <c r="N1166" s="7"/>
    </row>
    <row r="1167">
      <c r="A1167" s="7" t="str">
        <f>IFERROR(__xludf.DUMMYFUNCTION("""COMPUTED_VALUE"""),"4144-FIND")</f>
        <v>4144-FIND</v>
      </c>
      <c r="B1167" s="7" t="str">
        <f>IFERROR(__xludf.DUMMYFUNCTION("""COMPUTED_VALUE"""),"An Adaptive Multi-Threshold Loss and a General Framework for Collaborating Losses in Document-Level Relation Extraction")</f>
        <v>An Adaptive Multi-Threshold Loss and a General Framework for Collaborating Losses in Document-Level Relation Extraction</v>
      </c>
      <c r="C1167" s="7" t="str">
        <f>IFERROR(__xludf.DUMMYFUNCTION("""COMPUTED_VALUE"""),"The goal of document-level relation extraction (DocRE) is to identify relations for a given entity pair within a document. As a multilabel classification task, the most commonly employed method involves introducing an adaptive threshold. Specifically, for"&amp;" an entity pair, if the scores of predicted relations exceed the threshold, the relations exist. However, we observe two phenomena that significantly weaken the model’s performance in DocRE: (1) as the label space (the number of relations) expands, the mo"&amp;"del’s performance gradually declines; (2) the model tends to prioritize predicting high-frequency relations in the long-tail problem. To address these challenges, we propose an innovative **A**daptive **M**ulti-**T**hreshold **L**oss (AMTL), which for the"&amp;" first time proposes to partition the label space into different sub-label spaces (thus reducing its overall size) and learn an adaptive threshold for each sub-label space. This approach allows for more precise tuning of the model’s sensitivity to diverse"&amp;" relations, mitigating the performance degradation associated with label space expansion and the long-tail problem. Moreover, our adaptive multi-threshold method can be considered as a general framework that seamlessly integrates different losses in diffe"&amp;"rent sub-label spaces, facilitating the concurrent application of multiple losses. Experimental results demonstrate that AMTL significantly enhances the performance of existing DocRE models across four datasets, achieving state-of-the-art results. The exp"&amp;"eriments on the concurrent application of multiple losses with our framework show stable performance and outperform single-loss methods. Code is available at https://github.com/xhm-code/AMTL.")</f>
        <v>The goal of document-level relation extraction (DocRE) is to identify relations for a given entity pair within a document. As a multilabel classification task, the most commonly employed method involves introducing an adaptive threshold. Specifically, for an entity pair, if the scores of predicted relations exceed the threshold, the relations exist. However, we observe two phenomena that significantly weaken the model’s performance in DocRE: (1) as the label space (the number of relations) expands, the model’s performance gradually declines; (2) the model tends to prioritize predicting high-frequency relations in the long-tail problem. To address these challenges, we propose an innovative **A**daptive **M**ulti-**T**hreshold **L**oss (AMTL), which for the first time proposes to partition the label space into different sub-label spaces (thus reducing its overall size) and learn an adaptive threshold for each sub-label space. This approach allows for more precise tuning of the model’s sensitivity to diverse relations, mitigating the performance degradation associated with label space expansion and the long-tail problem. Moreover, our adaptive multi-threshold method can be considered as a general framework that seamlessly integrates different losses in different sub-label spaces, facilitating the concurrent application of multiple losses. Experimental results demonstrate that AMTL significantly enhances the performance of existing DocRE models across four datasets, achieving state-of-the-art results. The experiments on the concurrent application of multiple losses with our framework show stable performance and outperform single-loss methods. Code is available at https://github.com/xhm-code/AMTL.</v>
      </c>
      <c r="D1167" s="7" t="str">
        <f>IFERROR(__xludf.DUMMYFUNCTION("""COMPUTED_VALUE"""),"N/A")</f>
        <v>N/A</v>
      </c>
      <c r="E1167" s="7" t="str">
        <f>IFERROR(__xludf.DUMMYFUNCTION("""COMPUTED_VALUE"""),"#N/A")</f>
        <v>#N/A</v>
      </c>
      <c r="F1167" s="7" t="str">
        <f>IFERROR(__xludf.DUMMYFUNCTION("""COMPUTED_VALUE"""),"Not Pres. ")</f>
        <v>Not Pres. </v>
      </c>
      <c r="G1167" s="7" t="str">
        <f>IFERROR(__xludf.DUMMYFUNCTION("""COMPUTED_VALUE"""),"NP Findings Not Presenting ")</f>
        <v>NP Findings Not Presenting </v>
      </c>
      <c r="H1167" s="7"/>
      <c r="I1167" s="7" t="str">
        <f>IFERROR(__xludf.DUMMYFUNCTION("""COMPUTED_VALUE"""),"NP-Find")</f>
        <v>NP-Find</v>
      </c>
      <c r="J1167" s="7"/>
      <c r="K1167" s="7"/>
      <c r="L1167" s="8"/>
      <c r="M1167" s="7"/>
      <c r="N1167" s="7"/>
    </row>
    <row r="1168">
      <c r="A1168" s="7" t="str">
        <f>IFERROR(__xludf.DUMMYFUNCTION("""COMPUTED_VALUE"""),"4151-FIND")</f>
        <v>4151-FIND</v>
      </c>
      <c r="B1168" s="7" t="str">
        <f>IFERROR(__xludf.DUMMYFUNCTION("""COMPUTED_VALUE"""),"RoleMRC: A Fine-Grained Composite Benchmark for Role-Playing and Instruction-Following")</f>
        <v>RoleMRC: A Fine-Grained Composite Benchmark for Role-Playing and Instruction-Following</v>
      </c>
      <c r="C1168" s="7" t="str">
        <f>IFERROR(__xludf.DUMMYFUNCTION("""COMPUTED_VALUE"""),"Role-playing is important for Large Language Models (LLMs) to follow diverse instructions while maintaining role identity and the role's pre-defined ability limits. Existing role-playing datasets mostly contribute to controlling role style and knowledge b"&amp;"oundaries, but overlook role-playing in instruction-following scenarios. We introduce a fine-grained role-playing and instruction-following composite benchmark, named RoleMRC, including: (1) Multi-turn dialogues between ideal roles and humans, including f"&amp;"ree chats or discussions upon given passages; (2) Role-playing machine reading comprehension, involving response, refusal, and attempts according to passage answerability and role ability; (3) More complex scenarios with nested, multi-turn and prioritized"&amp;" instructions. The final RoleMRC features a 10.2k role profile meta-pool, 37.9k well-synthesized role-playing instructions, and 1.4k testing samples. We develop a pipeline to quantitatively evaluate the fine-grained role-playing and instruction-following "&amp;"capabilities of several mainstream LLMs, as well as models that are fine-tuned on our data. Moreover, cross-evaluation on external role-playing datasets confirms that models fine-tuned on RoleMRC enhances instruction-following without compromising general"&amp;" role-playing and reasoning capabilities. We also probe the neural-level activation maps of different capabilities over post-tuned LLMs. Access to our RoleMRC, RoleMRC-mix and Codes: https://github.com/LuJunru/RoleMRC.")</f>
        <v>Role-playing is important for Large Language Models (LLMs) to follow diverse instructions while maintaining role identity and the role's pre-defined ability limits. Existing role-playing datasets mostly contribute to controlling role style and knowledge boundaries, but overlook role-playing in instruction-following scenarios. We introduce a fine-grained role-playing and instruction-following composite benchmark, named RoleMRC, including: (1) Multi-turn dialogues between ideal roles and humans, including free chats or discussions upon given passages; (2) Role-playing machine reading comprehension, involving response, refusal, and attempts according to passage answerability and role ability; (3) More complex scenarios with nested, multi-turn and prioritized instructions. The final RoleMRC features a 10.2k role profile meta-pool, 37.9k well-synthesized role-playing instructions, and 1.4k testing samples. We develop a pipeline to quantitatively evaluate the fine-grained role-playing and instruction-following capabilities of several mainstream LLMs, as well as models that are fine-tuned on our data. Moreover, cross-evaluation on external role-playing datasets confirms that models fine-tuned on RoleMRC enhances instruction-following without compromising general role-playing and reasoning capabilities. We also probe the neural-level activation maps of different capabilities over post-tuned LLMs. Access to our RoleMRC, RoleMRC-mix and Codes: https://github.com/LuJunru/RoleMRC.</v>
      </c>
      <c r="D1168" s="7" t="str">
        <f>IFERROR(__xludf.DUMMYFUNCTION("""COMPUTED_VALUE"""),"Jiazheng Li")</f>
        <v>Jiazheng Li</v>
      </c>
      <c r="E1168" s="7" t="str">
        <f>IFERROR(__xludf.DUMMYFUNCTION("""COMPUTED_VALUE"""),"Yes")</f>
        <v>Yes</v>
      </c>
      <c r="F1168" s="7" t="str">
        <f>IFERROR(__xludf.DUMMYFUNCTION("""COMPUTED_VALUE"""),"IP-Poster")</f>
        <v>IP-Poster</v>
      </c>
      <c r="G1168" s="7" t="str">
        <f>IFERROR(__xludf.DUMMYFUNCTION("""COMPUTED_VALUE"""),"In-Person")</f>
        <v>In-Person</v>
      </c>
      <c r="H1168" s="7" t="str">
        <f>IFERROR(__xludf.DUMMYFUNCTION("""COMPUTED_VALUE"""),"Hall 4/5")</f>
        <v>Hall 4/5</v>
      </c>
      <c r="I1168" s="7" t="str">
        <f>IFERROR(__xludf.DUMMYFUNCTION("""COMPUTED_VALUE"""),"Session 12: IP-Posters")</f>
        <v>Session 12: IP-Posters</v>
      </c>
      <c r="J1168" s="7" t="str">
        <f>IFERROR(__xludf.DUMMYFUNCTION("""COMPUTED_VALUE"""),"Findings Posters - In-Person 4")</f>
        <v>Findings Posters - In-Person 4</v>
      </c>
      <c r="K1168" s="7"/>
      <c r="L1168" s="8">
        <f>IFERROR(__xludf.DUMMYFUNCTION("""COMPUTED_VALUE"""),45868.0)</f>
        <v>45868</v>
      </c>
      <c r="M1168" s="7" t="str">
        <f>IFERROR(__xludf.DUMMYFUNCTION("""COMPUTED_VALUE"""),"11:00-12:30")</f>
        <v>11:00-12:30</v>
      </c>
      <c r="N1168" s="7"/>
    </row>
    <row r="1169">
      <c r="A1169" s="7" t="str">
        <f>IFERROR(__xludf.DUMMYFUNCTION("""COMPUTED_VALUE"""),"4152-FIND")</f>
        <v>4152-FIND</v>
      </c>
      <c r="B1169" s="7" t="str">
        <f>IFERROR(__xludf.DUMMYFUNCTION("""COMPUTED_VALUE"""),"C²RBench: A Chinese Complex Reasoning Benchmark for Large Language Models")</f>
        <v>C²RBench: A Chinese Complex Reasoning Benchmark for Large Language Models</v>
      </c>
      <c r="C1169" s="7" t="str">
        <f>IFERROR(__xludf.DUMMYFUNCTION("""COMPUTED_VALUE"""),"Large language models (LLMs) have achieved remarkable progress in autonomous reasoning, evolving from basic text processing to sophisticated multimodal reasoning, a critical capability for general-purpose AI assistants. However, existing benchmarks usuall"&amp;"y fail to adequately capture the intricate multi-step reasoning demands inherent in real-world scenarios. To bridge this gap, we propose **C²RBench**: a **C**hinese **C**omplex **R**easoning **Bench**mark for evaluating multi-step, multimodal advanced rea"&amp;"soning capability of LLMs. C²RBench comprises 1,115 carefully curated Chinese tasks, which are organized into eight domain-specific subsets, each meticulously designed to mirror real-world challenges. This hierarchical benchmark features three difficulty "&amp;"tiers based on the number of reasoning steps required (average 8.44 steps per task), significantly exceeding existing benchmarks in cognitive complexity. Extensive evaluations of 16 LLMs (including DeepSeek-R1) and 20 multimodal large language models (MLL"&amp;"Ms) on C²RBench reveal critical performance gaps: GPT-4o achieves only 45.20% accuracy, indicating substantial room for improvement.")</f>
        <v>Large language models (LLMs) have achieved remarkable progress in autonomous reasoning, evolving from basic text processing to sophisticated multimodal reasoning, a critical capability for general-purpose AI assistants. However, existing benchmarks usually fail to adequately capture the intricate multi-step reasoning demands inherent in real-world scenarios. To bridge this gap, we propose **C²RBench**: a **C**hinese **C**omplex **R**easoning **Bench**mark for evaluating multi-step, multimodal advanced reasoning capability of LLMs. C²RBench comprises 1,115 carefully curated Chinese tasks, which are organized into eight domain-specific subsets, each meticulously designed to mirror real-world challenges. This hierarchical benchmark features three difficulty tiers based on the number of reasoning steps required (average 8.44 steps per task), significantly exceeding existing benchmarks in cognitive complexity. Extensive evaluations of 16 LLMs (including DeepSeek-R1) and 20 multimodal large language models (MLLMs) on C²RBench reveal critical performance gaps: GPT-4o achieves only 45.20% accuracy, indicating substantial room for improvement.</v>
      </c>
      <c r="D1169" s="7" t="str">
        <f>IFERROR(__xludf.DUMMYFUNCTION("""COMPUTED_VALUE"""),"Junru Wu")</f>
        <v>Junru Wu</v>
      </c>
      <c r="E1169" s="7" t="str">
        <f>IFERROR(__xludf.DUMMYFUNCTION("""COMPUTED_VALUE"""),"#N/A")</f>
        <v>#N/A</v>
      </c>
      <c r="F1169" s="7" t="str">
        <f>IFERROR(__xludf.DUMMYFUNCTION("""COMPUTED_VALUE"""),"Not Pres. ")</f>
        <v>Not Pres. </v>
      </c>
      <c r="G1169" s="7" t="str">
        <f>IFERROR(__xludf.DUMMYFUNCTION("""COMPUTED_VALUE"""),"NP Findings Not Presenting ")</f>
        <v>NP Findings Not Presenting </v>
      </c>
      <c r="H1169" s="7"/>
      <c r="I1169" s="7" t="str">
        <f>IFERROR(__xludf.DUMMYFUNCTION("""COMPUTED_VALUE"""),"NP-Find")</f>
        <v>NP-Find</v>
      </c>
      <c r="J1169" s="7"/>
      <c r="K1169" s="7"/>
      <c r="L1169" s="8"/>
      <c r="M1169" s="7"/>
      <c r="N1169" s="7"/>
    </row>
    <row r="1170">
      <c r="A1170" s="7" t="str">
        <f>IFERROR(__xludf.DUMMYFUNCTION("""COMPUTED_VALUE"""),"4156-FIND")</f>
        <v>4156-FIND</v>
      </c>
      <c r="B1170" s="7" t="str">
        <f>IFERROR(__xludf.DUMMYFUNCTION("""COMPUTED_VALUE"""),"Unlocking LLMs’ Self-Improvement Capacity with Autonomous Learning for Domain Adaptation")</f>
        <v>Unlocking LLMs’ Self-Improvement Capacity with Autonomous Learning for Domain Adaptation</v>
      </c>
      <c r="C1170" s="7" t="str">
        <f>IFERROR(__xludf.DUMMYFUNCTION("""COMPUTED_VALUE"""),"Self-supervised pre-training and instruction fine-tuning demonstrate the potential of large language models (LLMs) for domain adaptation (DA). In pursuit of superhuman performance, LLMs have demonstrated significant potential in math and coding through se"&amp;"lf-improvement algorithms that rely on iterative training with self-generated data. This success stems from the clear reward signals in these environments, which provide a solid foundation for self-improvement. However, when it comes to general DA scenari"&amp;"os, two main challenges emerge: 1) ambiguous self-improvement reward signals and 2) lack of high-quality instruction fine-tuning datasets. This motivates this paper addresses how LLMs can adapt autonomously to new domains using only a large amount of unla"&amp;"beled target corpora. Inspired by the human practice of self-reflection through open- and closed-book exercises to achieve domain generalization, we propose autonomous learning, which creates a self-improvement learning environment for DA. Here, the model"&amp;" generates questions from documents and conducts two explorations—one with the original document and one with a masked version. By comparing these explorations, the LLMs can independently identify and enhance its policy for reducing knowledge gaps. Experi"&amp;"ments across various DA tasks demonstrate that autonomous learning enhances the DA performance of existing models, outperforming traditional fine-tuning and self-improvement methods. Our code is publicly available at https://github.com/FreedomIntelligence"&amp;"/AL.")</f>
        <v>Self-supervised pre-training and instruction fine-tuning demonstrate the potential of large language models (LLMs) for domain adaptation (DA). In pursuit of superhuman performance, LLMs have demonstrated significant potential in math and coding through self-improvement algorithms that rely on iterative training with self-generated data. This success stems from the clear reward signals in these environments, which provide a solid foundation for self-improvement. However, when it comes to general DA scenarios, two main challenges emerge: 1) ambiguous self-improvement reward signals and 2) lack of high-quality instruction fine-tuning datasets. This motivates this paper addresses how LLMs can adapt autonomously to new domains using only a large amount of unlabeled target corpora. Inspired by the human practice of self-reflection through open- and closed-book exercises to achieve domain generalization, we propose autonomous learning, which creates a self-improvement learning environment for DA. Here, the model generates questions from documents and conducts two explorations—one with the original document and one with a masked version. By comparing these explorations, the LLMs can independently identify and enhance its policy for reducing knowledge gaps. Experiments across various DA tasks demonstrate that autonomous learning enhances the DA performance of existing models, outperforming traditional fine-tuning and self-improvement methods. Our code is publicly available at https://github.com/FreedomIntelligence/AL.</v>
      </c>
      <c r="D1170" s="7" t="str">
        <f>IFERROR(__xludf.DUMMYFUNCTION("""COMPUTED_VALUE"""),"Ke Ji")</f>
        <v>Ke Ji</v>
      </c>
      <c r="E1170" s="7" t="str">
        <f>IFERROR(__xludf.DUMMYFUNCTION("""COMPUTED_VALUE"""),"Yes")</f>
        <v>Yes</v>
      </c>
      <c r="F1170" s="7" t="str">
        <f>IFERROR(__xludf.DUMMYFUNCTION("""COMPUTED_VALUE"""),"Not Pres. ")</f>
        <v>Not Pres. </v>
      </c>
      <c r="G1170" s="7" t="str">
        <f>IFERROR(__xludf.DUMMYFUNCTION("""COMPUTED_VALUE"""),"NP Findings Not Presenting ")</f>
        <v>NP Findings Not Presenting </v>
      </c>
      <c r="H1170" s="7"/>
      <c r="I1170" s="7"/>
      <c r="J1170" s="7"/>
      <c r="K1170" s="7"/>
      <c r="L1170" s="8"/>
      <c r="M1170" s="7"/>
      <c r="N1170" s="7"/>
    </row>
    <row r="1171">
      <c r="A1171" s="7" t="str">
        <f>IFERROR(__xludf.DUMMYFUNCTION("""COMPUTED_VALUE"""),"4157-FIND")</f>
        <v>4157-FIND</v>
      </c>
      <c r="B1171" s="7" t="str">
        <f>IFERROR(__xludf.DUMMYFUNCTION("""COMPUTED_VALUE"""),"How Personality Traits Shape LLM Risk-Taking Behaviour")</f>
        <v>How Personality Traits Shape LLM Risk-Taking Behaviour</v>
      </c>
      <c r="C1171" s="7" t="str">
        <f>IFERROR(__xludf.DUMMYFUNCTION("""COMPUTED_VALUE"""),"Large Language Models (LLMs) are increasingly deployed as autonomous agents for simulation and decision-making, necessitating a deeper understanding of their decision-making behaviour under risk. We investigate the relationship between LLMs' personality t"&amp;"raits and risk-propensity, applying Cumulative Prospect Theory (CPT) and the Big Five personality framework. We compare the behaviour of several LLMs to human baselines. Our findings show that the majority of the models investigated are risk-neutral ratio"&amp;"nal agents, whilst displaying higher Conscientiousness and Agreeableness traits, coupled with lower Neuroticism. Interventions on Big Five traits, particularly Openness, influence the risk-propensity of several LLMs. Advanced models mirror human personali"&amp;"ty-risk patterns, suggesting that cognitive biases can be surfaced by optimal prompting. However, their distilled variants show no cognitive bias, suggesting limitations to knowledge transfer processes. Notably, Openness emerges as the most influential fa"&amp;"ctor to risk-propensity, aligning with human baselines. In contrast, less advanced models demonstrate inconsistent generalization of the personality-risk relationship. This research advances our understanding of LLM behaviour under risk and highlights the"&amp;" potential and limitations of personality-based interventions in shaping LLM decision-making.")</f>
        <v>Large Language Models (LLMs) are increasingly deployed as autonomous agents for simulation and decision-making, necessitating a deeper understanding of their decision-making behaviour under risk. We investigate the relationship between LLMs' personality traits and risk-propensity, applying Cumulative Prospect Theory (CPT) and the Big Five personality framework. We compare the behaviour of several LLMs to human baselines. Our findings show that the majority of the models investigated are risk-neutral rational agents, whilst displaying higher Conscientiousness and Agreeableness traits, coupled with lower Neuroticism. Interventions on Big Five traits, particularly Openness, influence the risk-propensity of several LLMs. Advanced models mirror human personality-risk patterns, suggesting that cognitive biases can be surfaced by optimal prompting. However, their distilled variants show no cognitive bias, suggesting limitations to knowledge transfer processes. Notably, Openness emerges as the most influential factor to risk-propensity, aligning with human baselines. In contrast, less advanced models demonstrate inconsistent generalization of the personality-risk relationship. This research advances our understanding of LLM behaviour under risk and highlights the potential and limitations of personality-based interventions in shaping LLM decision-making.</v>
      </c>
      <c r="D1171" s="7" t="str">
        <f>IFERROR(__xludf.DUMMYFUNCTION("""COMPUTED_VALUE"""),"John Hartley")</f>
        <v>John Hartley</v>
      </c>
      <c r="E1171" s="7" t="str">
        <f>IFERROR(__xludf.DUMMYFUNCTION("""COMPUTED_VALUE"""),"Yes")</f>
        <v>Yes</v>
      </c>
      <c r="F1171" s="7" t="str">
        <f>IFERROR(__xludf.DUMMYFUNCTION("""COMPUTED_VALUE"""),"IP-Poster")</f>
        <v>IP-Poster</v>
      </c>
      <c r="G1171" s="7" t="str">
        <f>IFERROR(__xludf.DUMMYFUNCTION("""COMPUTED_VALUE"""),"In-Person")</f>
        <v>In-Person</v>
      </c>
      <c r="H1171" s="7" t="str">
        <f>IFERROR(__xludf.DUMMYFUNCTION("""COMPUTED_VALUE"""),"Hall 4/5")</f>
        <v>Hall 4/5</v>
      </c>
      <c r="I1171" s="7" t="str">
        <f>IFERROR(__xludf.DUMMYFUNCTION("""COMPUTED_VALUE"""),"Session 12: IP-Posters")</f>
        <v>Session 12: IP-Posters</v>
      </c>
      <c r="J1171" s="7" t="str">
        <f>IFERROR(__xludf.DUMMYFUNCTION("""COMPUTED_VALUE"""),"Findings Posters - In-Person 4")</f>
        <v>Findings Posters - In-Person 4</v>
      </c>
      <c r="K1171" s="7"/>
      <c r="L1171" s="8">
        <f>IFERROR(__xludf.DUMMYFUNCTION("""COMPUTED_VALUE"""),45868.0)</f>
        <v>45868</v>
      </c>
      <c r="M1171" s="7" t="str">
        <f>IFERROR(__xludf.DUMMYFUNCTION("""COMPUTED_VALUE"""),"11:00-12:30")</f>
        <v>11:00-12:30</v>
      </c>
      <c r="N1171" s="7"/>
    </row>
    <row r="1172">
      <c r="A1172" s="7" t="str">
        <f>IFERROR(__xludf.DUMMYFUNCTION("""COMPUTED_VALUE"""),"4175-FIND")</f>
        <v>4175-FIND</v>
      </c>
      <c r="B1172" s="7" t="str">
        <f>IFERROR(__xludf.DUMMYFUNCTION("""COMPUTED_VALUE"""),"Word-Level Detection of Code-Mixed Hate Speech with Multilingual Domain Transfer")</f>
        <v>Word-Level Detection of Code-Mixed Hate Speech with Multilingual Domain Transfer</v>
      </c>
      <c r="C1172" s="7" t="str">
        <f>IFERROR(__xludf.DUMMYFUNCTION("""COMPUTED_VALUE"""),"The exponential growth of offensive language on social media tends to fuel online harassment and challenges detection mechanisms. Hate speech detection is commonly treated as a monolingual or multilingual sentence-level classification task. However, profa"&amp;"ne language tends to contain code-mixing, a combination of more than one language, which requires a more nuanced detection approach than binary classification. A general lack of available code-mixed datasets aggravates the problem. To address this issue, "&amp;"we propose five word-level annotated hate speech datasets, EN and DE from social networks, one subset of the DE-EN Offensive Content Detection Code-Switched Dataset, one DE-EN code-mixed German rap lyrics held-out test set, and a cross-domain held-out tes"&amp;"t set. We investigate the capacity of fine-tuned German-only, German-English bilingual, and German-English code-mixed token classification XLM-R models to generalize to code-mixed hate speech in German rap lyrics in zero-shot domain transfer as well as ac"&amp;"ross different domains. The results show that bilingual fine-tuning facilitates not only the detection of code-mixed hate speech but also neologisms, addressing the inherent dynamics of profane language use.")</f>
        <v>The exponential growth of offensive language on social media tends to fuel online harassment and challenges detection mechanisms. Hate speech detection is commonly treated as a monolingual or multilingual sentence-level classification task. However, profane language tends to contain code-mixing, a combination of more than one language, which requires a more nuanced detection approach than binary classification. A general lack of available code-mixed datasets aggravates the problem. To address this issue, we propose five word-level annotated hate speech datasets, EN and DE from social networks, one subset of the DE-EN Offensive Content Detection Code-Switched Dataset, one DE-EN code-mixed German rap lyrics held-out test set, and a cross-domain held-out test set. We investigate the capacity of fine-tuned German-only, German-English bilingual, and German-English code-mixed token classification XLM-R models to generalize to code-mixed hate speech in German rap lyrics in zero-shot domain transfer as well as across different domains. The results show that bilingual fine-tuning facilitates not only the detection of code-mixed hate speech but also neologisms, addressing the inherent dynamics of profane language use.</v>
      </c>
      <c r="D1172" s="7" t="str">
        <f>IFERROR(__xludf.DUMMYFUNCTION("""COMPUTED_VALUE"""),"Karin Niederreiter")</f>
        <v>Karin Niederreiter</v>
      </c>
      <c r="E1172" s="7" t="str">
        <f>IFERROR(__xludf.DUMMYFUNCTION("""COMPUTED_VALUE"""),"Yes")</f>
        <v>Yes</v>
      </c>
      <c r="F1172" s="7" t="str">
        <f>IFERROR(__xludf.DUMMYFUNCTION("""COMPUTED_VALUE"""),"IP-Poster")</f>
        <v>IP-Poster</v>
      </c>
      <c r="G1172" s="7" t="str">
        <f>IFERROR(__xludf.DUMMYFUNCTION("""COMPUTED_VALUE"""),"In-Person")</f>
        <v>In-Person</v>
      </c>
      <c r="H1172" s="7" t="str">
        <f>IFERROR(__xludf.DUMMYFUNCTION("""COMPUTED_VALUE"""),"Hall 4/5")</f>
        <v>Hall 4/5</v>
      </c>
      <c r="I1172" s="7" t="str">
        <f>IFERROR(__xludf.DUMMYFUNCTION("""COMPUTED_VALUE"""),"Session 5 :IP-Posters Find ")</f>
        <v>Session 5 :IP-Posters Find </v>
      </c>
      <c r="J1172" s="7" t="str">
        <f>IFERROR(__xludf.DUMMYFUNCTION("""COMPUTED_VALUE"""),"Findings Posters - In-Person 1")</f>
        <v>Findings Posters - In-Person 1</v>
      </c>
      <c r="K1172" s="7"/>
      <c r="L1172" s="8">
        <f>IFERROR(__xludf.DUMMYFUNCTION("""COMPUTED_VALUE"""),45866.0)</f>
        <v>45866</v>
      </c>
      <c r="M1172" s="7" t="str">
        <f>IFERROR(__xludf.DUMMYFUNCTION("""COMPUTED_VALUE"""),"18:00-19:30")</f>
        <v>18:00-19:30</v>
      </c>
      <c r="N1172" s="7"/>
    </row>
    <row r="1173">
      <c r="A1173" s="7" t="str">
        <f>IFERROR(__xludf.DUMMYFUNCTION("""COMPUTED_VALUE"""),"4177-FIND")</f>
        <v>4177-FIND</v>
      </c>
      <c r="B1173" s="7" t="str">
        <f>IFERROR(__xludf.DUMMYFUNCTION("""COMPUTED_VALUE"""),"Evaluation of Attribution Bias in Generator-Informed Retrieval-Augmented Large Language Models")</f>
        <v>Evaluation of Attribution Bias in Generator-Informed Retrieval-Augmented Large Language Models</v>
      </c>
      <c r="C1173" s="7" t="str">
        <f>IFERROR(__xludf.DUMMYFUNCTION("""COMPUTED_VALUE"""),"Attributing answers to source documents is an approach used to enhance the verifiability of a model's output in retrieval augmented generation (RAG). Prior work has mainly focused on improving and evaluating the attribution quality of large language model"&amp;"s (LLMs) in RAG, but this may come at the expense of inducing biases in the attribution of answers. We define and examine two aspects in the evaluation of LLMs in RAG pipelines, namely attribution sensitivity and bias with respect to authorship informatio"&amp;"n. We explicitly inform an LLM about the authors of source documents, instruct it to attribute its answers, and analyze (i) how sensitive the LLM's output is to the author of source documents, and (ii) whether the LLM exhibits a bias towards human-written"&amp;" or AI-generated source documents. We design an experimental setup in which we use counterfactual evaluation to study three LLMs in terms of their attribution sensitivity and bias in RAG pipelines. Our results show that adding authorship information to so"&amp;"urce documents can significantly change the attribution quality of LLMs by 3 to 18%. We show that LLMs can have an attribution bias towards explicit human authorship, which can serve as a competing hypothesis for findings of prior work that shows that LLM"&amp;"-generated content may be preferred over human-written contents. Our findings indicate that metadata of source documents can influence LLMs' trust, and how they attribute their answers. Furthermore, our research highlights attribution bias and sensitivity"&amp;" as a novel aspect of the vulnerability of LLMs.")</f>
        <v>Attributing answers to source documents is an approach used to enhance the verifiability of a model's output in retrieval augmented generation (RAG). Prior work has mainly focused on improving and evaluating the attribution quality of large language models (LLMs) in RAG, but this may come at the expense of inducing biases in the attribution of answers. We define and examine two aspects in the evaluation of LLMs in RAG pipelines, namely attribution sensitivity and bias with respect to authorship information. We explicitly inform an LLM about the authors of source documents, instruct it to attribute its answers, and analyze (i) how sensitive the LLM's output is to the author of source documents, and (ii) whether the LLM exhibits a bias towards human-written or AI-generated source documents. We design an experimental setup in which we use counterfactual evaluation to study three LLMs in terms of their attribution sensitivity and bias in RAG pipelines. Our results show that adding authorship information to source documents can significantly change the attribution quality of LLMs by 3 to 18%. We show that LLMs can have an attribution bias towards explicit human authorship, which can serve as a competing hypothesis for findings of prior work that shows that LLM-generated content may be preferred over human-written contents. Our findings indicate that metadata of source documents can influence LLMs' trust, and how they attribute their answers. Furthermore, our research highlights attribution bias and sensitivity as a novel aspect of the vulnerability of LLMs.</v>
      </c>
      <c r="D1173" s="7" t="str">
        <f>IFERROR(__xludf.DUMMYFUNCTION("""COMPUTED_VALUE"""),"Amin Abolghasemi")</f>
        <v>Amin Abolghasemi</v>
      </c>
      <c r="E1173" s="7" t="str">
        <f>IFERROR(__xludf.DUMMYFUNCTION("""COMPUTED_VALUE"""),"Yes")</f>
        <v>Yes</v>
      </c>
      <c r="F1173" s="7" t="str">
        <f>IFERROR(__xludf.DUMMYFUNCTION("""COMPUTED_VALUE"""),"IP-Poster")</f>
        <v>IP-Poster</v>
      </c>
      <c r="G1173" s="7" t="str">
        <f>IFERROR(__xludf.DUMMYFUNCTION("""COMPUTED_VALUE"""),"In-Person")</f>
        <v>In-Person</v>
      </c>
      <c r="H1173" s="7" t="str">
        <f>IFERROR(__xludf.DUMMYFUNCTION("""COMPUTED_VALUE"""),"Hall 4/5")</f>
        <v>Hall 4/5</v>
      </c>
      <c r="I1173" s="7" t="str">
        <f>IFERROR(__xludf.DUMMYFUNCTION("""COMPUTED_VALUE"""),"Session 12: IP-Posters")</f>
        <v>Session 12: IP-Posters</v>
      </c>
      <c r="J1173" s="7" t="str">
        <f>IFERROR(__xludf.DUMMYFUNCTION("""COMPUTED_VALUE"""),"Findings Posters - In-Person 4")</f>
        <v>Findings Posters - In-Person 4</v>
      </c>
      <c r="K1173" s="7"/>
      <c r="L1173" s="8">
        <f>IFERROR(__xludf.DUMMYFUNCTION("""COMPUTED_VALUE"""),45868.0)</f>
        <v>45868</v>
      </c>
      <c r="M1173" s="7" t="str">
        <f>IFERROR(__xludf.DUMMYFUNCTION("""COMPUTED_VALUE"""),"11:00-12:30")</f>
        <v>11:00-12:30</v>
      </c>
      <c r="N1173" s="7"/>
    </row>
    <row r="1174">
      <c r="A1174" s="7" t="str">
        <f>IFERROR(__xludf.DUMMYFUNCTION("""COMPUTED_VALUE"""),"4179-FIND")</f>
        <v>4179-FIND</v>
      </c>
      <c r="B1174" s="7" t="str">
        <f>IFERROR(__xludf.DUMMYFUNCTION("""COMPUTED_VALUE"""),"Implicit Cross-Lingual Rewarding for Efficient Multilingual Preference Alignment")</f>
        <v>Implicit Cross-Lingual Rewarding for Efficient Multilingual Preference Alignment</v>
      </c>
      <c r="C1174" s="7" t="str">
        <f>IFERROR(__xludf.DUMMYFUNCTION("""COMPUTED_VALUE"""),"Direct Preference Optimization (DPO) has become a prominent method for aligning Large Language Models (LLMs) with human preferences. While DPO has enabled significant progress in aligning English LLMs, multilingual preference alignment is hampered by data"&amp;" scarcity. To address this, we propose a novel approach that captures learned preferences from well-aligned English models by implicit rewards and transfers them to other languages through iterative training. Specifically, we derive an implicit reward mod"&amp;"el from the logits of an English DPO-aligned model and its corresponding reference model. This reward model is then leveraged to annotate preference relations in cross-lingual instruction-following pairs, using English instructions to evaluate multilingua"&amp;"l responses. The annotated data is subsequently used for multilingual DPO fine-tuning, facilitating preference knowledge transfer from English to other languages. Fine-tuning Llama3 for two iterations resulted in a 12.72% average improvement in Win Rate a"&amp;"nd a 5.97% increase in Length Control Win Rate across all training languages on the X-AlpacaEval leaderboard. Our findings demonstrate that leveraging existing English-aligned models can enable efficient and effective multilingual preference alignment, si"&amp;"gnificantly reducing the need for extensive multilingual preference data.")</f>
        <v>Direct Preference Optimization (DPO) has become a prominent method for aligning Large Language Models (LLMs) with human preferences. While DPO has enabled significant progress in aligning English LLMs, multilingual preference alignment is hampered by data scarcity. To address this, we propose a novel approach that captures learned preferences from well-aligned English models by implicit rewards and transfers them to other languages through iterative training. Specifically, we derive an implicit reward model from the logits of an English DPO-aligned model and its corresponding reference model. This reward model is then leveraged to annotate preference relations in cross-lingual instruction-following pairs, using English instructions to evaluate multilingual responses. The annotated data is subsequently used for multilingual DPO fine-tuning, facilitating preference knowledge transfer from English to other languages. Fine-tuning Llama3 for two iterations resulted in a 12.72% average improvement in Win Rate and a 5.97% increase in Length Control Win Rate across all training languages on the X-AlpacaEval leaderboard. Our findings demonstrate that leveraging existing English-aligned models can enable efficient and effective multilingual preference alignment, significantly reducing the need for extensive multilingual preference data.</v>
      </c>
      <c r="D1174" s="7" t="str">
        <f>IFERROR(__xludf.DUMMYFUNCTION("""COMPUTED_VALUE"""),"Wen Yang")</f>
        <v>Wen Yang</v>
      </c>
      <c r="E1174" s="7" t="str">
        <f>IFERROR(__xludf.DUMMYFUNCTION("""COMPUTED_VALUE"""),"#N/A")</f>
        <v>#N/A</v>
      </c>
      <c r="F1174" s="7" t="str">
        <f>IFERROR(__xludf.DUMMYFUNCTION("""COMPUTED_VALUE"""),"Not Pres. ")</f>
        <v>Not Pres. </v>
      </c>
      <c r="G1174" s="7" t="str">
        <f>IFERROR(__xludf.DUMMYFUNCTION("""COMPUTED_VALUE"""),"NP Findings Not Presenting ")</f>
        <v>NP Findings Not Presenting </v>
      </c>
      <c r="H1174" s="7"/>
      <c r="I1174" s="7" t="str">
        <f>IFERROR(__xludf.DUMMYFUNCTION("""COMPUTED_VALUE"""),"NP-Find")</f>
        <v>NP-Find</v>
      </c>
      <c r="J1174" s="7"/>
      <c r="K1174" s="7"/>
      <c r="L1174" s="8"/>
      <c r="M1174" s="7"/>
      <c r="N1174" s="7"/>
    </row>
    <row r="1175">
      <c r="A1175" s="7" t="str">
        <f>IFERROR(__xludf.DUMMYFUNCTION("""COMPUTED_VALUE"""),"4180-FIND")</f>
        <v>4180-FIND</v>
      </c>
      <c r="B1175" s="7" t="str">
        <f>IFERROR(__xludf.DUMMYFUNCTION("""COMPUTED_VALUE"""),"Diagnosing Failures in Large Language Models' Answers: Integrating Error Attribution into Evaluation Framework")</f>
        <v>Diagnosing Failures in Large Language Models' Answers: Integrating Error Attribution into Evaluation Framework</v>
      </c>
      <c r="C1175" s="7" t="str">
        <f>IFERROR(__xludf.DUMMYFUNCTION("""COMPUTED_VALUE"""),"With the widespread application of Large Language Models (LLMs) in various tasks, the mainstream LLM platforms generate massive user-model interactions daily. In order to efficiently analyze the performance of models and diagnose failures in their answers"&amp;", it is essential to develop an automated framework to systematically categorize and attribute errors. However, existing evaluation models lack error attribution capability. In this work, we establish a comprehensive Misattribution Framework with 6 primar"&amp;"y and 15 secondary categories to facilitate in-depth analysis. Based on this framework, we present AttriData, a dataset specifically designed for error attribution, encompassing misattribution, along with the corresponding scores and feedback. We also pro"&amp;"pose MisAttributionLLM, a fine-tuned model on AttriData, which is the first general-purpose judge model capable of simultaneously generating score, misattribution, and feedback. Extensive experiments and analyses are conducted to confirm the effectiveness"&amp;" and robustness of our proposed method.")</f>
        <v>With the widespread application of Large Language Models (LLMs) in various tasks, the mainstream LLM platforms generate massive user-model interactions daily. In order to efficiently analyze the performance of models and diagnose failures in their answers, it is essential to develop an automated framework to systematically categorize and attribute errors. However, existing evaluation models lack error attribution capability. In this work, we establish a comprehensive Misattribution Framework with 6 primary and 15 secondary categories to facilitate in-depth analysis. Based on this framework, we present AttriData, a dataset specifically designed for error attribution, encompassing misattribution, along with the corresponding scores and feedback. We also propose MisAttributionLLM, a fine-tuned model on AttriData, which is the first general-purpose judge model capable of simultaneously generating score, misattribution, and feedback. Extensive experiments and analyses are conducted to confirm the effectiveness and robustness of our proposed method.</v>
      </c>
      <c r="D1175" s="7" t="str">
        <f>IFERROR(__xludf.DUMMYFUNCTION("""COMPUTED_VALUE"""),"Zishan Xu")</f>
        <v>Zishan Xu</v>
      </c>
      <c r="E1175" s="7" t="str">
        <f>IFERROR(__xludf.DUMMYFUNCTION("""COMPUTED_VALUE"""),"#N/A")</f>
        <v>#N/A</v>
      </c>
      <c r="F1175" s="7" t="str">
        <f>IFERROR(__xludf.DUMMYFUNCTION("""COMPUTED_VALUE"""),"Not Pres. ")</f>
        <v>Not Pres. </v>
      </c>
      <c r="G1175" s="7" t="str">
        <f>IFERROR(__xludf.DUMMYFUNCTION("""COMPUTED_VALUE"""),"NP Findings Not Presenting ")</f>
        <v>NP Findings Not Presenting </v>
      </c>
      <c r="H1175" s="7"/>
      <c r="I1175" s="7" t="str">
        <f>IFERROR(__xludf.DUMMYFUNCTION("""COMPUTED_VALUE"""),"NP-Find")</f>
        <v>NP-Find</v>
      </c>
      <c r="J1175" s="7"/>
      <c r="K1175" s="7"/>
      <c r="L1175" s="8"/>
      <c r="M1175" s="7"/>
      <c r="N1175" s="7"/>
    </row>
    <row r="1176">
      <c r="A1176" s="7" t="str">
        <f>IFERROR(__xludf.DUMMYFUNCTION("""COMPUTED_VALUE"""),"4181-FIND")</f>
        <v>4181-FIND</v>
      </c>
      <c r="B1176" s="7" t="str">
        <f>IFERROR(__xludf.DUMMYFUNCTION("""COMPUTED_VALUE"""),"Encode Errors: Representational Retrieval of In-Context Demonstrations for Multilingual Grammatical Error Correction")</f>
        <v>Encode Errors: Representational Retrieval of In-Context Demonstrations for Multilingual Grammatical Error Correction</v>
      </c>
      <c r="C1176" s="7" t="str">
        <f>IFERROR(__xludf.DUMMYFUNCTION("""COMPUTED_VALUE"""),"Grammatical Error Correction (GEC) involves detecting and correcting the wrong usage of grammar. While large language models (LLMs) with in-context learning (ICL) capabilities have shown significant progress on various natural language processing (NLP) ta"&amp;"sks, their few-shot performance on GEC remains suboptimal. This is mainly due to the challenge of retrieving suitable in-context demonstrations that capture error patterns instead of semantic similarity. In this paper, we demonstrate that LLMs can inheren"&amp;"tly capture information related to grammatical errors through their internal states. From these states, we extract the Grammatical Error Representation (GER), an informative and semantically neutral encoding of grammatical errors. Our novel GER-based retr"&amp;"ieval method significantly boosts performance in ICL settings on multilingual GEC datasets, improving the precision of correction. For high-resource languages, our results on 8B-sized open-source models match those of closed-source models such as Deepseek"&amp;"2.5 and GPT-4o-mini. For low-resource languages, our F0.5 scores surpass the baseline by up to a factor of 1.2. This method provides a more precise and resource-efficient solution for multilingual GEC, offering a promising direction for interpretable GEC "&amp;"research.")</f>
        <v>Grammatical Error Correction (GEC) involves detecting and correcting the wrong usage of grammar. While large language models (LLMs) with in-context learning (ICL) capabilities have shown significant progress on various natural language processing (NLP) tasks, their few-shot performance on GEC remains suboptimal. This is mainly due to the challenge of retrieving suitable in-context demonstrations that capture error patterns instead of semantic similarity. In this paper, we demonstrate that LLMs can inherently capture information related to grammatical errors through their internal states. From these states, we extract the Grammatical Error Representation (GER), an informative and semantically neutral encoding of grammatical errors. Our novel GER-based retrieval method significantly boosts performance in ICL settings on multilingual GEC datasets, improving the precision of correction. For high-resource languages, our results on 8B-sized open-source models match those of closed-source models such as Deepseek2.5 and GPT-4o-mini. For low-resource languages, our F0.5 scores surpass the baseline by up to a factor of 1.2. This method provides a more precise and resource-efficient solution for multilingual GEC, offering a promising direction for interpretable GEC research.</v>
      </c>
      <c r="D1176" s="7" t="str">
        <f>IFERROR(__xludf.DUMMYFUNCTION("""COMPUTED_VALUE"""),"Guangyue Peng")</f>
        <v>Guangyue Peng</v>
      </c>
      <c r="E1176" s="7" t="str">
        <f>IFERROR(__xludf.DUMMYFUNCTION("""COMPUTED_VALUE"""),"Yes")</f>
        <v>Yes</v>
      </c>
      <c r="F1176" s="7" t="str">
        <f>IFERROR(__xludf.DUMMYFUNCTION("""COMPUTED_VALUE"""),"IP-Poster")</f>
        <v>IP-Poster</v>
      </c>
      <c r="G1176" s="7" t="str">
        <f>IFERROR(__xludf.DUMMYFUNCTION("""COMPUTED_VALUE"""),"In-Person")</f>
        <v>In-Person</v>
      </c>
      <c r="H1176" s="7" t="str">
        <f>IFERROR(__xludf.DUMMYFUNCTION("""COMPUTED_VALUE"""),"Hall 4/5")</f>
        <v>Hall 4/5</v>
      </c>
      <c r="I1176" s="7" t="str">
        <f>IFERROR(__xludf.DUMMYFUNCTION("""COMPUTED_VALUE"""),"Session 12: IP-Posters")</f>
        <v>Session 12: IP-Posters</v>
      </c>
      <c r="J1176" s="7" t="str">
        <f>IFERROR(__xludf.DUMMYFUNCTION("""COMPUTED_VALUE"""),"Findings Posters - In-Person 4")</f>
        <v>Findings Posters - In-Person 4</v>
      </c>
      <c r="K1176" s="7"/>
      <c r="L1176" s="8">
        <f>IFERROR(__xludf.DUMMYFUNCTION("""COMPUTED_VALUE"""),45868.0)</f>
        <v>45868</v>
      </c>
      <c r="M1176" s="7" t="str">
        <f>IFERROR(__xludf.DUMMYFUNCTION("""COMPUTED_VALUE"""),"11:00-12:30")</f>
        <v>11:00-12:30</v>
      </c>
      <c r="N1176" s="7"/>
    </row>
    <row r="1177">
      <c r="A1177" s="7" t="str">
        <f>IFERROR(__xludf.DUMMYFUNCTION("""COMPUTED_VALUE"""),"4186-FIND")</f>
        <v>4186-FIND</v>
      </c>
      <c r="B1177" s="7" t="str">
        <f>IFERROR(__xludf.DUMMYFUNCTION("""COMPUTED_VALUE"""),"Preference Curriculum: LLMs Should Always Be Pretrained on Their Preferred Data")</f>
        <v>Preference Curriculum: LLMs Should Always Be Pretrained on Their Preferred Data</v>
      </c>
      <c r="C1177" s="7" t="str">
        <f>IFERROR(__xludf.DUMMYFUNCTION("""COMPUTED_VALUE"""),"Large language models (LLMs) generally utilize a consistent data distribution throughout the pretraining process. However, as the model's capability improves, it is intuitive that its data preferences dynamically change, indicating the need for pretrainin"&amp;"g with different data at various training stages. To achieve it, we propose the Perplexity Difference (PD) based Preference Curriculum learning (PDPC) framework, which always perceives and uses the data preferred by LLMs to train and boost them. First, we"&amp;" introduce the PD metric to quantify the difference in how challenging a sample is for weak versus strong models. Samples with high PD are more challenging for weak models to learn and are more suitable to be arranged in the later stage of pretraining. Se"&amp;"cond, we propose the preference function to approximate and predict the data preference of the LLM at any training step, so as to complete the arrangement of the dataset offline and ensure continuous training without interruption. Experimental results on "&amp;"1.3B and 3B models demonstrate that PDPC significantly surpasses baselines. Notably, the 3B model trained on 1T tokens achieves an increased average accuracy of over 8.1% across MMLU and CMMLU.")</f>
        <v>Large language models (LLMs) generally utilize a consistent data distribution throughout the pretraining process. However, as the model's capability improves, it is intuitive that its data preferences dynamically change, indicating the need for pretraining with different data at various training stages. To achieve it, we propose the Perplexity Difference (PD) based Preference Curriculum learning (PDPC) framework, which always perceives and uses the data preferred by LLMs to train and boost them. First, we introduce the PD metric to quantify the difference in how challenging a sample is for weak versus strong models. Samples with high PD are more challenging for weak models to learn and are more suitable to be arranged in the later stage of pretraining. Second, we propose the preference function to approximate and predict the data preference of the LLM at any training step, so as to complete the arrangement of the dataset offline and ensure continuous training without interruption. Experimental results on 1.3B and 3B models demonstrate that PDPC significantly surpasses baselines. Notably, the 3B model trained on 1T tokens achieves an increased average accuracy of over 8.1% across MMLU and CMMLU.</v>
      </c>
      <c r="D1177" s="7" t="str">
        <f>IFERROR(__xludf.DUMMYFUNCTION("""COMPUTED_VALUE"""),"Xuemiao Zhang")</f>
        <v>Xuemiao Zhang</v>
      </c>
      <c r="E1177" s="7" t="str">
        <f>IFERROR(__xludf.DUMMYFUNCTION("""COMPUTED_VALUE"""),"#N/A")</f>
        <v>#N/A</v>
      </c>
      <c r="F1177" s="7" t="str">
        <f>IFERROR(__xludf.DUMMYFUNCTION("""COMPUTED_VALUE"""),"Not Pres. ")</f>
        <v>Not Pres. </v>
      </c>
      <c r="G1177" s="7" t="str">
        <f>IFERROR(__xludf.DUMMYFUNCTION("""COMPUTED_VALUE"""),"NP Findings Not Presenting ")</f>
        <v>NP Findings Not Presenting </v>
      </c>
      <c r="H1177" s="7"/>
      <c r="I1177" s="7" t="str">
        <f>IFERROR(__xludf.DUMMYFUNCTION("""COMPUTED_VALUE"""),"NP-Find")</f>
        <v>NP-Find</v>
      </c>
      <c r="J1177" s="7"/>
      <c r="K1177" s="7"/>
      <c r="L1177" s="8"/>
      <c r="M1177" s="7"/>
      <c r="N1177" s="7"/>
    </row>
    <row r="1178">
      <c r="A1178" s="7" t="str">
        <f>IFERROR(__xludf.DUMMYFUNCTION("""COMPUTED_VALUE"""),"4188-FIND")</f>
        <v>4188-FIND</v>
      </c>
      <c r="B1178" s="7" t="str">
        <f>IFERROR(__xludf.DUMMYFUNCTION("""COMPUTED_VALUE"""),"Can Input Attributions Interpret the Inductive Reasoning Process in In-Context Learning?")</f>
        <v>Can Input Attributions Interpret the Inductive Reasoning Process in In-Context Learning?</v>
      </c>
      <c r="C1178" s="7" t="str">
        <f>IFERROR(__xludf.DUMMYFUNCTION("""COMPUTED_VALUE"""),"Interpreting the internal process of neural models has long been a challenge. This challenge remains relevant in the era of large language models (LLMs) and in-context learning (ICL); for example, ICL poses a new issue of interpreting which example in the"&amp;" few-shot examples contributed to identifying/solving the task. To this end, in this paper, we design synthetic diagnostic tasks of inductive reasoning, inspired by the generalization tests in linguistics; here, most in-context examples are ambiguous w.r."&amp;"t. their underlying rule, and one critical example disambiguates the task demonstrated. The question is whether conventional input attribution (IA) methods can track such a reasoning process, i.e., identify the influential example, in ICL. Our experiments"&amp;" provide several practical findings; for example, a certain simple IA method works the best, and the larger the model, the generally harder it is to interpret the ICL with gradient-based IA methods.")</f>
        <v>Interpreting the internal process of neural models has long been a challenge. This challenge remains relevant in the era of large language models (LLMs) and in-context learning (ICL); for example, ICL poses a new issue of interpreting which example in the few-shot examples contributed to identifying/solving the task. To this end, in this paper, we design synthetic diagnostic tasks of inductive reasoning, inspired by the generalization tests in linguistics; here, most in-context examples are ambiguous w.r.t. their underlying rule, and one critical example disambiguates the task demonstrated. The question is whether conventional input attribution (IA) methods can track such a reasoning process, i.e., identify the influential example, in ICL. Our experiments provide several practical findings; for example, a certain simple IA method works the best, and the larger the model, the generally harder it is to interpret the ICL with gradient-based IA methods.</v>
      </c>
      <c r="D1178" s="7" t="str">
        <f>IFERROR(__xludf.DUMMYFUNCTION("""COMPUTED_VALUE"""),"Mengyu Ye")</f>
        <v>Mengyu Ye</v>
      </c>
      <c r="E1178" s="7" t="str">
        <f>IFERROR(__xludf.DUMMYFUNCTION("""COMPUTED_VALUE"""),"Yes")</f>
        <v>Yes</v>
      </c>
      <c r="F1178" s="7" t="str">
        <f>IFERROR(__xludf.DUMMYFUNCTION("""COMPUTED_VALUE"""),"IP-Poster")</f>
        <v>IP-Poster</v>
      </c>
      <c r="G1178" s="7" t="str">
        <f>IFERROR(__xludf.DUMMYFUNCTION("""COMPUTED_VALUE"""),"In-Person")</f>
        <v>In-Person</v>
      </c>
      <c r="H1178" s="7" t="str">
        <f>IFERROR(__xludf.DUMMYFUNCTION("""COMPUTED_VALUE"""),"Hall 4/5")</f>
        <v>Hall 4/5</v>
      </c>
      <c r="I1178" s="7" t="str">
        <f>IFERROR(__xludf.DUMMYFUNCTION("""COMPUTED_VALUE"""),"Session 12: IP-Posters")</f>
        <v>Session 12: IP-Posters</v>
      </c>
      <c r="J1178" s="7" t="str">
        <f>IFERROR(__xludf.DUMMYFUNCTION("""COMPUTED_VALUE"""),"Findings Posters - In-Person 4")</f>
        <v>Findings Posters - In-Person 4</v>
      </c>
      <c r="K1178" s="7"/>
      <c r="L1178" s="8">
        <f>IFERROR(__xludf.DUMMYFUNCTION("""COMPUTED_VALUE"""),45868.0)</f>
        <v>45868</v>
      </c>
      <c r="M1178" s="7" t="str">
        <f>IFERROR(__xludf.DUMMYFUNCTION("""COMPUTED_VALUE"""),"11:00-12:30")</f>
        <v>11:00-12:30</v>
      </c>
      <c r="N1178" s="7"/>
    </row>
    <row r="1179">
      <c r="A1179" s="7" t="str">
        <f>IFERROR(__xludf.DUMMYFUNCTION("""COMPUTED_VALUE"""),"4189-FIND")</f>
        <v>4189-FIND</v>
      </c>
      <c r="B1179" s="7" t="str">
        <f>IFERROR(__xludf.DUMMYFUNCTION("""COMPUTED_VALUE"""),"Modal Dependency Parsing via Biaffine Attention with Self-Loop")</f>
        <v>Modal Dependency Parsing via Biaffine Attention with Self-Loop</v>
      </c>
      <c r="C1179" s="7" t="str">
        <f>IFERROR(__xludf.DUMMYFUNCTION("""COMPUTED_VALUE"""),"A modal dependency structure represents a web of connections between events and sources of information in a document that allows for tracing of who-said-what with what levels of certainty, thereby establishing factuality in an event-centric approach. Obta"&amp;"ining such graphs defines the task of modal dependency parsing, which involves event and source identification along with the modal relations between them. In this paper, we propose a simple yet effective solution based on biaffine attention that specific"&amp;"ally optimizes against the domain-specific challenges of modal dependency parsing by integrating self-loop. We show that our approach, when coupled with data augmentation by leveraging the Large Language Models to translate annotations from one language t"&amp;"o another, outperforms the previous state-of-the-art on English and Chinese datasets by 2% and 4% respectively.")</f>
        <v>A modal dependency structure represents a web of connections between events and sources of information in a document that allows for tracing of who-said-what with what levels of certainty, thereby establishing factuality in an event-centric approach. Obtaining such graphs defines the task of modal dependency parsing, which involves event and source identification along with the modal relations between them. In this paper, we propose a simple yet effective solution based on biaffine attention that specifically optimizes against the domain-specific challenges of modal dependency parsing by integrating self-loop. We show that our approach, when coupled with data augmentation by leveraging the Large Language Models to translate annotations from one language to another, outperforms the previous state-of-the-art on English and Chinese datasets by 2% and 4% respectively.</v>
      </c>
      <c r="D1179" s="7" t="str">
        <f>IFERROR(__xludf.DUMMYFUNCTION("""COMPUTED_VALUE"""),"N/A")</f>
        <v>N/A</v>
      </c>
      <c r="E1179" s="7" t="str">
        <f>IFERROR(__xludf.DUMMYFUNCTION("""COMPUTED_VALUE"""),"#N/A")</f>
        <v>#N/A</v>
      </c>
      <c r="F1179" s="7" t="str">
        <f>IFERROR(__xludf.DUMMYFUNCTION("""COMPUTED_VALUE"""),"Not Pres. ")</f>
        <v>Not Pres. </v>
      </c>
      <c r="G1179" s="7" t="str">
        <f>IFERROR(__xludf.DUMMYFUNCTION("""COMPUTED_VALUE"""),"NP Findings Not Presenting ")</f>
        <v>NP Findings Not Presenting </v>
      </c>
      <c r="H1179" s="7"/>
      <c r="I1179" s="7" t="str">
        <f>IFERROR(__xludf.DUMMYFUNCTION("""COMPUTED_VALUE"""),"NP-Find")</f>
        <v>NP-Find</v>
      </c>
      <c r="J1179" s="7"/>
      <c r="K1179" s="7"/>
      <c r="L1179" s="8"/>
      <c r="M1179" s="7"/>
      <c r="N1179" s="7"/>
    </row>
    <row r="1180">
      <c r="A1180" s="7" t="str">
        <f>IFERROR(__xludf.DUMMYFUNCTION("""COMPUTED_VALUE"""),"4193-FIND")</f>
        <v>4193-FIND</v>
      </c>
      <c r="B1180" s="7" t="str">
        <f>IFERROR(__xludf.DUMMYFUNCTION("""COMPUTED_VALUE"""),"Beyond Profile: From Surface-Level Facts to Deep Persona Simulation in LLMs")</f>
        <v>Beyond Profile: From Surface-Level Facts to Deep Persona Simulation in LLMs</v>
      </c>
      <c r="C1180" s="7" t="str">
        <f>IFERROR(__xludf.DUMMYFUNCTION("""COMPUTED_VALUE"""),"Previous approaches to persona simulation large language models (LLMs) have typically relied on learning basic biographical information, or using limited role-play dialogue datasets to capture a character’s responses. However, a holistic representation of"&amp;" an individual goes beyond surface-level facts or conversations to deeper thoughts and thinking. In this work, we introduce CharacterBot, a model designed to replicate both the linguistic patterns and distinctive thought patterns as manifested in the text"&amp;"ual works of a character. Using Lu Xun, a renowned Chinese writer as a case study, we propose four training tasks derived from his 17 essay collections. These include a pre-training task focused on mastering external linguistic structures and knowledge, a"&amp;"s well as three fine-tuning tasks: multiple-choice question answering, generative question answering, and style transfer, each aligning the LLM with Lu Xun’s internal ideation and writing style. To optimize learning across these tasks, we introduce a Char"&amp;"LoRA parameter updating mechanism, where a general linguistic style expert collaborates with other task-specific experts to better study both the language style and the understanding of deeper thoughts. We evaluate CharacterBot on three tasks for linguist"&amp;"ic accuracy and opinion comprehension, demonstrating that it significantly outperforms the baselines on our adapted metrics. We hope this work inspires future research on deep character persona simulation LLMs: https://github.com/zxwang63/characterbot")</f>
        <v>Previous approaches to persona simulation large language models (LLMs) have typically relied on learning basic biographical information, or using limited role-play dialogue datasets to capture a character’s responses. However, a holistic representation of an individual goes beyond surface-level facts or conversations to deeper thoughts and thinking. In this work, we introduce CharacterBot, a model designed to replicate both the linguistic patterns and distinctive thought patterns as manifested in the textual works of a character. Using Lu Xun, a renowned Chinese writer as a case study, we propose four training tasks derived from his 17 essay collections. These include a pre-training task focused on mastering external linguistic structures and knowledge, as well as three fine-tuning tasks: multiple-choice question answering, generative question answering, and style transfer, each aligning the LLM with Lu Xun’s internal ideation and writing style. To optimize learning across these tasks, we introduce a CharLoRA parameter updating mechanism, where a general linguistic style expert collaborates with other task-specific experts to better study both the language style and the understanding of deeper thoughts. We evaluate CharacterBot on three tasks for linguistic accuracy and opinion comprehension, demonstrating that it significantly outperforms the baselines on our adapted metrics. We hope this work inspires future research on deep character persona simulation LLMs: https://github.com/zxwang63/characterbot</v>
      </c>
      <c r="D1180" s="7" t="str">
        <f>IFERROR(__xludf.DUMMYFUNCTION("""COMPUTED_VALUE"""),"None")</f>
        <v>None</v>
      </c>
      <c r="E1180" s="7" t="str">
        <f>IFERROR(__xludf.DUMMYFUNCTION("""COMPUTED_VALUE"""),"#N/A")</f>
        <v>#N/A</v>
      </c>
      <c r="F1180" s="7" t="str">
        <f>IFERROR(__xludf.DUMMYFUNCTION("""COMPUTED_VALUE"""),"Not Pres. ")</f>
        <v>Not Pres. </v>
      </c>
      <c r="G1180" s="7" t="str">
        <f>IFERROR(__xludf.DUMMYFUNCTION("""COMPUTED_VALUE"""),"NP Findings Not Presenting ")</f>
        <v>NP Findings Not Presenting </v>
      </c>
      <c r="H1180" s="7"/>
      <c r="I1180" s="7" t="str">
        <f>IFERROR(__xludf.DUMMYFUNCTION("""COMPUTED_VALUE"""),"NP-Find")</f>
        <v>NP-Find</v>
      </c>
      <c r="J1180" s="7"/>
      <c r="K1180" s="7"/>
      <c r="L1180" s="8"/>
      <c r="M1180" s="7"/>
      <c r="N1180" s="7"/>
    </row>
    <row r="1181">
      <c r="A1181" s="7" t="str">
        <f>IFERROR(__xludf.DUMMYFUNCTION("""COMPUTED_VALUE"""),"4195-FIND")</f>
        <v>4195-FIND</v>
      </c>
      <c r="B1181" s="7" t="str">
        <f>IFERROR(__xludf.DUMMYFUNCTION("""COMPUTED_VALUE"""),"Measuring What Makes You Unique: Difference-Aware User Modeling for Enhancing LLM Personalization")</f>
        <v>Measuring What Makes You Unique: Difference-Aware User Modeling for Enhancing LLM Personalization</v>
      </c>
      <c r="C1181" s="7" t="str">
        <f>IFERROR(__xludf.DUMMYFUNCTION("""COMPUTED_VALUE"""),"Personalizing Large Language Models (LLMs) has become a critical step in facilitating their widespread application to enhance individual life experiences. In pursuit of personalization, distilling key preference information from an individual's historical"&amp;" data as instructional preference context to customize LLM generation has emerged as a promising direction. However, these methods face a fundamental limitation by overlooking the inter-user comparative analysis, which is essential for identifying the int"&amp;"er-user differences that truly shape preferences. To address this limitation, we propose Difference-aware Personalization Learning (DPL), a novel approach that emphasizes extracting inter-user differences to enhance LLM personalization. DPL strategically "&amp;"selects representative users for comparison and establishes a structured standard to extract meaningful, task-relevant differences for customizing LLM generation. Extensive experiments on real-world datasets demonstrate that DPL significantly enhances LLM"&amp;" personalization. We release our code on Anonymous GitHub https://anonymous.4open.science/r/DPL-2111.")</f>
        <v>Personalizing Large Language Models (LLMs) has become a critical step in facilitating their widespread application to enhance individual life experiences. In pursuit of personalization, distilling key preference information from an individual's historical data as instructional preference context to customize LLM generation has emerged as a promising direction. However, these methods face a fundamental limitation by overlooking the inter-user comparative analysis, which is essential for identifying the inter-user differences that truly shape preferences. To address this limitation, we propose Difference-aware Personalization Learning (DPL), a novel approach that emphasizes extracting inter-user differences to enhance LLM personalization. DPL strategically selects representative users for comparison and establishes a structured standard to extract meaningful, task-relevant differences for customizing LLM generation. Extensive experiments on real-world datasets demonstrate that DPL significantly enhances LLM personalization. We release our code on Anonymous GitHub https://anonymous.4open.science/r/DPL-2111.</v>
      </c>
      <c r="D1181" s="7" t="str">
        <f>IFERROR(__xludf.DUMMYFUNCTION("""COMPUTED_VALUE"""),"Yilun Qiu")</f>
        <v>Yilun Qiu</v>
      </c>
      <c r="E1181" s="7" t="str">
        <f>IFERROR(__xludf.DUMMYFUNCTION("""COMPUTED_VALUE"""),"Yes")</f>
        <v>Yes</v>
      </c>
      <c r="F1181" s="7" t="str">
        <f>IFERROR(__xludf.DUMMYFUNCTION("""COMPUTED_VALUE"""),"IP-Poster")</f>
        <v>IP-Poster</v>
      </c>
      <c r="G1181" s="7" t="str">
        <f>IFERROR(__xludf.DUMMYFUNCTION("""COMPUTED_VALUE"""),"In-Person")</f>
        <v>In-Person</v>
      </c>
      <c r="H1181" s="7" t="str">
        <f>IFERROR(__xludf.DUMMYFUNCTION("""COMPUTED_VALUE"""),"Hall 4/5")</f>
        <v>Hall 4/5</v>
      </c>
      <c r="I1181" s="7" t="str">
        <f>IFERROR(__xludf.DUMMYFUNCTION("""COMPUTED_VALUE"""),"Session 12: IP-Posters")</f>
        <v>Session 12: IP-Posters</v>
      </c>
      <c r="J1181" s="7" t="str">
        <f>IFERROR(__xludf.DUMMYFUNCTION("""COMPUTED_VALUE"""),"Findings Posters - In-Person 4")</f>
        <v>Findings Posters - In-Person 4</v>
      </c>
      <c r="K1181" s="7"/>
      <c r="L1181" s="8">
        <f>IFERROR(__xludf.DUMMYFUNCTION("""COMPUTED_VALUE"""),45868.0)</f>
        <v>45868</v>
      </c>
      <c r="M1181" s="7" t="str">
        <f>IFERROR(__xludf.DUMMYFUNCTION("""COMPUTED_VALUE"""),"11:00-12:30")</f>
        <v>11:00-12:30</v>
      </c>
      <c r="N1181" s="7"/>
    </row>
    <row r="1182">
      <c r="A1182" s="7" t="str">
        <f>IFERROR(__xludf.DUMMYFUNCTION("""COMPUTED_VALUE"""),"4197-FIND")</f>
        <v>4197-FIND</v>
      </c>
      <c r="B1182" s="7" t="str">
        <f>IFERROR(__xludf.DUMMYFUNCTION("""COMPUTED_VALUE"""),"VideoRAG: Retrieval-Augmented Generation over Video Corpus")</f>
        <v>VideoRAG: Retrieval-Augmented Generation over Video Corpus</v>
      </c>
      <c r="C1182" s="7" t="str">
        <f>IFERROR(__xludf.DUMMYFUNCTION("""COMPUTED_VALUE"""),"Retrieval-Augmented Generation (RAG) is a powerful strategy for improving the factual accuracy of models by retrieving external knowledge relevant to queries and incorporating it into the generation process. However, existing approaches primarily focus on"&amp;" text, with some recent advancements considering images, and they largely overlook videos, a rich source of multimodal knowledge capable of representing contextual details more effectively than any other modality. While very recent studies explore the use"&amp;" of videos in response generation, they either predefine query-associated videos without retrieval or convert videos into textual descriptions losing multimodal richness. To tackle these, we introduce VideoRAG, a framework that not only dynamically retrie"&amp;"ves videos based on their relevance with queries and but also utilizes both visual and textual information. The operation of VideoRAG is powered by recent Large Video Language Models (LVLMs), which enable the direct processing of video content to represen"&amp;"t it for retrieval and the seamless integration of retrieved videos jointly with queries for response generation. Also, inspired by that the context size of LVLMs may not be sufficient to process all frames in extremely long videos and not all frames are "&amp;"equally important, we introduce a video frame selection mechanism to extract the most informative subset of frames, along with a strategy to extract textual information from videos (as it can aid the understanding of video content) when their subtitles ar"&amp;"e not available. We experimentally validate the effectiveness of VideoRAG, showcasing that it is superior to relevant baselines.")</f>
        <v>Retrieval-Augmented Generation (RAG) is a powerful strategy for improving the factual accuracy of models by retrieving external knowledge relevant to queries and incorporating it into the generation process. However, existing approaches primarily focus on text, with some recent advancements considering images, and they largely overlook videos, a rich source of multimodal knowledge capable of representing contextual details more effectively than any other modality. While very recent studies explore the use of videos in response generation, they either predefine query-associated videos without retrieval or convert videos into textual descriptions losing multimodal richness. To tackle these, we introduce VideoRAG, a framework that not only dynamically retrieves videos based on their relevance with queries and but also utilizes both visual and textual information. The operation of VideoRAG is powered by recent Large Video Language Models (LVLMs), which enable the direct processing of video content to represent it for retrieval and the seamless integration of retrieved videos jointly with queries for response generation. Also, inspired by that the context size of LVLMs may not be sufficient to process all frames in extremely long videos and not all frames are equally important, we introduce a video frame selection mechanism to extract the most informative subset of frames, along with a strategy to extract textual information from videos (as it can aid the understanding of video content) when their subtitles are not available. We experimentally validate the effectiveness of VideoRAG, showcasing that it is superior to relevant baselines.</v>
      </c>
      <c r="D1182" s="7" t="str">
        <f>IFERROR(__xludf.DUMMYFUNCTION("""COMPUTED_VALUE"""),"Soyeong Jeong")</f>
        <v>Soyeong Jeong</v>
      </c>
      <c r="E1182" s="7" t="str">
        <f>IFERROR(__xludf.DUMMYFUNCTION("""COMPUTED_VALUE"""),"Yes")</f>
        <v>Yes</v>
      </c>
      <c r="F1182" s="7" t="str">
        <f>IFERROR(__xludf.DUMMYFUNCTION("""COMPUTED_VALUE"""),"IP-Poster")</f>
        <v>IP-Poster</v>
      </c>
      <c r="G1182" s="7" t="str">
        <f>IFERROR(__xludf.DUMMYFUNCTION("""COMPUTED_VALUE"""),"In-Person")</f>
        <v>In-Person</v>
      </c>
      <c r="H1182" s="7" t="str">
        <f>IFERROR(__xludf.DUMMYFUNCTION("""COMPUTED_VALUE"""),"Hall 4/5")</f>
        <v>Hall 4/5</v>
      </c>
      <c r="I1182" s="7" t="str">
        <f>IFERROR(__xludf.DUMMYFUNCTION("""COMPUTED_VALUE"""),"Session 7: IP-Posters")</f>
        <v>Session 7: IP-Posters</v>
      </c>
      <c r="J1182" s="7" t="str">
        <f>IFERROR(__xludf.DUMMYFUNCTION("""COMPUTED_VALUE"""),"Findings Posters - In-Person 2")</f>
        <v>Findings Posters - In-Person 2</v>
      </c>
      <c r="K1182" s="7"/>
      <c r="L1182" s="8">
        <f>IFERROR(__xludf.DUMMYFUNCTION("""COMPUTED_VALUE"""),45867.0)</f>
        <v>45867</v>
      </c>
      <c r="M1182" s="7" t="str">
        <f>IFERROR(__xludf.DUMMYFUNCTION("""COMPUTED_VALUE"""),"10:30-12:00")</f>
        <v>10:30-12:00</v>
      </c>
      <c r="N1182" s="7"/>
    </row>
    <row r="1183">
      <c r="A1183" s="7" t="str">
        <f>IFERROR(__xludf.DUMMYFUNCTION("""COMPUTED_VALUE"""),"4198-FIND")</f>
        <v>4198-FIND</v>
      </c>
      <c r="B1183" s="7" t="str">
        <f>IFERROR(__xludf.DUMMYFUNCTION("""COMPUTED_VALUE"""),"Synergistic Augmentation: Enhancing Cross-Domain Zero-Shot Slot Filling with Small Model-Assisted Large Language Models")</f>
        <v>Synergistic Augmentation: Enhancing Cross-Domain Zero-Shot Slot Filling with Small Model-Assisted Large Language Models</v>
      </c>
      <c r="C1183" s="7" t="str">
        <f>IFERROR(__xludf.DUMMYFUNCTION("""COMPUTED_VALUE"""),"In real-world scenarios, cross-domain slot filling in spoken language understanding remains a significant challenge due to data scarcity. Previous works exhibit limited generalization ability in the target domain, demonstrating effective knowledge transfe"&amp;"r only on seen slots while performing poorly on unseen slots. Although large language models (LLMs) can alleviate this issue to some extent, they underperform on seen slots compared to small models. To address these challenges, we introduce a novel framew"&amp;"ork that harnesses the power of a small model to augment the inferential capabilities of LLMs without additional training. Initially, we utilize target domain samples synthesized by LLMs as pre-calculated demonstrations, which are curated and chosen using"&amp;" confidence metrics derived from a small model. We further extract slot predictions from the small model to fully exploit its robust learning of familiar slots. Finally, during the inference process for test inputs, we integrate these demonstrations and s"&amp;"lot prediction insights as references to enhance the slot filling performance of LLMs. Experiments on a slot filling dataset and a NER dataset including eight cross-domain settings show our framework achieves the best results.")</f>
        <v>In real-world scenarios, cross-domain slot filling in spoken language understanding remains a significant challenge due to data scarcity. Previous works exhibit limited generalization ability in the target domain, demonstrating effective knowledge transfer only on seen slots while performing poorly on unseen slots. Although large language models (LLMs) can alleviate this issue to some extent, they underperform on seen slots compared to small models. To address these challenges, we introduce a novel framework that harnesses the power of a small model to augment the inferential capabilities of LLMs without additional training. Initially, we utilize target domain samples synthesized by LLMs as pre-calculated demonstrations, which are curated and chosen using confidence metrics derived from a small model. We further extract slot predictions from the small model to fully exploit its robust learning of familiar slots. Finally, during the inference process for test inputs, we integrate these demonstrations and slot prediction insights as references to enhance the slot filling performance of LLMs. Experiments on a slot filling dataset and a NER dataset including eight cross-domain settings show our framework achieves the best results.</v>
      </c>
      <c r="D1183" s="7" t="str">
        <f>IFERROR(__xludf.DUMMYFUNCTION("""COMPUTED_VALUE"""),"N/A")</f>
        <v>N/A</v>
      </c>
      <c r="E1183" s="7" t="str">
        <f>IFERROR(__xludf.DUMMYFUNCTION("""COMPUTED_VALUE"""),"#N/A")</f>
        <v>#N/A</v>
      </c>
      <c r="F1183" s="7" t="str">
        <f>IFERROR(__xludf.DUMMYFUNCTION("""COMPUTED_VALUE"""),"Not Pres. ")</f>
        <v>Not Pres. </v>
      </c>
      <c r="G1183" s="7" t="str">
        <f>IFERROR(__xludf.DUMMYFUNCTION("""COMPUTED_VALUE"""),"NP Findings Not Presenting ")</f>
        <v>NP Findings Not Presenting </v>
      </c>
      <c r="H1183" s="7"/>
      <c r="I1183" s="7" t="str">
        <f>IFERROR(__xludf.DUMMYFUNCTION("""COMPUTED_VALUE"""),"NP-Find")</f>
        <v>NP-Find</v>
      </c>
      <c r="J1183" s="7"/>
      <c r="K1183" s="7"/>
      <c r="L1183" s="8"/>
      <c r="M1183" s="7"/>
      <c r="N1183" s="7"/>
    </row>
    <row r="1184">
      <c r="A1184" s="7" t="str">
        <f>IFERROR(__xludf.DUMMYFUNCTION("""COMPUTED_VALUE"""),"4204-FIND")</f>
        <v>4204-FIND</v>
      </c>
      <c r="B1184" s="7" t="str">
        <f>IFERROR(__xludf.DUMMYFUNCTION("""COMPUTED_VALUE"""),"A Classifier of Word-Level Variants in Witnesses of Biblical Hebrew Manuscripts")</f>
        <v>A Classifier of Word-Level Variants in Witnesses of Biblical Hebrew Manuscripts</v>
      </c>
      <c r="C1184" s="7" t="str">
        <f>IFERROR(__xludf.DUMMYFUNCTION("""COMPUTED_VALUE"""),"The current project is inscribed within the field of stemmatology or the study and/or reconstruction of textual transmission based on the relationship between the available witnesses of given texts. In particular, the variants (differences) at the word-le"&amp;"vel in manuscripts written in Biblical Hebrew are considered. A strong classifier (F1 value of 0.80) is trained to predict the category of difference between word pairs ('plus/minus', 'inversion', 'morphological', 'lexical' or 'unclassifiable') as present"&amp;" in collated (aligned) pairs of witnesses. The classifier is non-neural and makes use of the two words themselves as well as part-of-speech (POS) tags, hand-crafted rules per category and synthetically derived data. Other models experimented with include "&amp;"neural ones based on the state-of-the-art model for Modern Hebrew, DictaBERT. Other features whose relevance is tested are different types of morphological information pertaining to the word pairs and the Levenshtein distance between words. A selection of"&amp;" the strongest classifiers as well as the used synthetic data and the steps taken at its derivation are made available. Coincidentally, the corelation between two sets of morphological labels is investigated: professionally established as per the Qumran-D"&amp;"igital online library and automatically derived with the sub-model DictaBERT-morph.")</f>
        <v>The current project is inscribed within the field of stemmatology or the study and/or reconstruction of textual transmission based on the relationship between the available witnesses of given texts. In particular, the variants (differences) at the word-level in manuscripts written in Biblical Hebrew are considered. A strong classifier (F1 value of 0.80) is trained to predict the category of difference between word pairs ('plus/minus', 'inversion', 'morphological', 'lexical' or 'unclassifiable') as present in collated (aligned) pairs of witnesses. The classifier is non-neural and makes use of the two words themselves as well as part-of-speech (POS) tags, hand-crafted rules per category and synthetically derived data. Other models experimented with include neural ones based on the state-of-the-art model for Modern Hebrew, DictaBERT. Other features whose relevance is tested are different types of morphological information pertaining to the word pairs and the Levenshtein distance between words. A selection of the strongest classifiers as well as the used synthetic data and the steps taken at its derivation are made available. Coincidentally, the corelation between two sets of morphological labels is investigated: professionally established as per the Qumran-Digital online library and automatically derived with the sub-model DictaBERT-morph.</v>
      </c>
      <c r="D1184" s="7" t="str">
        <f>IFERROR(__xludf.DUMMYFUNCTION("""COMPUTED_VALUE"""),"Iglika Nikolova-Stoupak")</f>
        <v>Iglika Nikolova-Stoupak</v>
      </c>
      <c r="E1184" s="7" t="str">
        <f>IFERROR(__xludf.DUMMYFUNCTION("""COMPUTED_VALUE"""),"Yes")</f>
        <v>Yes</v>
      </c>
      <c r="F1184" s="7" t="str">
        <f>IFERROR(__xludf.DUMMYFUNCTION("""COMPUTED_VALUE"""),"IP-Poster")</f>
        <v>IP-Poster</v>
      </c>
      <c r="G1184" s="7" t="str">
        <f>IFERROR(__xludf.DUMMYFUNCTION("""COMPUTED_VALUE"""),"In-Person")</f>
        <v>In-Person</v>
      </c>
      <c r="H1184" s="7" t="str">
        <f>IFERROR(__xludf.DUMMYFUNCTION("""COMPUTED_VALUE"""),"Hall 4/5")</f>
        <v>Hall 4/5</v>
      </c>
      <c r="I1184" s="7" t="str">
        <f>IFERROR(__xludf.DUMMYFUNCTION("""COMPUTED_VALUE"""),"Session 12: IP-Posters")</f>
        <v>Session 12: IP-Posters</v>
      </c>
      <c r="J1184" s="7" t="str">
        <f>IFERROR(__xludf.DUMMYFUNCTION("""COMPUTED_VALUE"""),"Findings Posters - In-Person 4")</f>
        <v>Findings Posters - In-Person 4</v>
      </c>
      <c r="K1184" s="7"/>
      <c r="L1184" s="8">
        <f>IFERROR(__xludf.DUMMYFUNCTION("""COMPUTED_VALUE"""),45868.0)</f>
        <v>45868</v>
      </c>
      <c r="M1184" s="7" t="str">
        <f>IFERROR(__xludf.DUMMYFUNCTION("""COMPUTED_VALUE"""),"11:00-12:30")</f>
        <v>11:00-12:30</v>
      </c>
      <c r="N1184" s="7"/>
    </row>
    <row r="1185">
      <c r="A1185" s="7" t="str">
        <f>IFERROR(__xludf.DUMMYFUNCTION("""COMPUTED_VALUE"""),"4207-FIND")</f>
        <v>4207-FIND</v>
      </c>
      <c r="B1185" s="7" t="str">
        <f>IFERROR(__xludf.DUMMYFUNCTION("""COMPUTED_VALUE"""),"NOVA: An Iterative Planning Framework for Enhancing Scientific Innovation with Large Language Models")</f>
        <v>NOVA: An Iterative Planning Framework for Enhancing Scientific Innovation with Large Language Models</v>
      </c>
      <c r="C1185" s="7" t="str">
        <f>IFERROR(__xludf.DUMMYFUNCTION("""COMPUTED_VALUE"""),"Scientific innovation is pivotal for humanity, and harnessing large language models (LLMs) to generate research ideas could transform discovery. However, existing LLMs often produce simplistic and repetitive suggestions due to their limited ability in acq"&amp;"uiring external knowledge for innovation. To address this problem, we introduce an enhanced planning and search methodology designed to boost the creative potential of LLM-based systems. Our approach involves an iterative process to purposely plan the ret"&amp;"rieval of external knowledge, progressively enriching the idea generation with broader and deeper insights. Validation through automated and human assessments demonstrates that our framework substantially elevates the quality of generated ideas, particula"&amp;"rly in novelty and diversity. The number of unique novel ideas produced by our framework is 3.4 times higher than without it. Moreover, our method outperforms the current state-of-the-art, generating at least 2.5 times more top-rated ideas based on 170 se"&amp;"ed papers in a Swiss Tournament evaluation. Our code is available in [Anonymous Github Repository](https://anonymous.4open.science/r/Nova-4CA8/README.md) Repository.
A demo of our work can be found at [Nova](https://www.nova.vin/).")</f>
        <v>Scientific innovation is pivotal for humanity, and harnessing large language models (LLMs) to generate research ideas could transform discovery. However, existing LLMs often produce simplistic and repetitive suggestions due to their limited ability in acquiring external knowledge for innovation. To address this problem, we introduce an enhanced planning and search methodology designed to boost the creative potential of LLM-based systems. Our approach involves an iterative process to purposely plan the retrieval of external knowledge, progressively enriching the idea generation with broader and deeper insights. Validation through automated and human assessments demonstrates that our framework substantially elevates the quality of generated ideas, particularly in novelty and diversity. The number of unique novel ideas produced by our framework is 3.4 times higher than without it. Moreover, our method outperforms the current state-of-the-art, generating at least 2.5 times more top-rated ideas based on 170 seed papers in a Swiss Tournament evaluation. Our code is available in [Anonymous Github Repository](https://anonymous.4open.science/r/Nova-4CA8/README.md) Repository.
A demo of our work can be found at [Nova](https://www.nova.vin/).</v>
      </c>
      <c r="D1185" s="7" t="str">
        <f>IFERROR(__xludf.DUMMYFUNCTION("""COMPUTED_VALUE"""),"Hongyu Fu")</f>
        <v>Hongyu Fu</v>
      </c>
      <c r="E1185" s="7" t="str">
        <f>IFERROR(__xludf.DUMMYFUNCTION("""COMPUTED_VALUE"""),"Balance Due $200")</f>
        <v>Balance Due $200</v>
      </c>
      <c r="F1185" s="7" t="str">
        <f>IFERROR(__xludf.DUMMYFUNCTION("""COMPUTED_VALUE"""),"IP-Poster")</f>
        <v>IP-Poster</v>
      </c>
      <c r="G1185" s="7" t="str">
        <f>IFERROR(__xludf.DUMMYFUNCTION("""COMPUTED_VALUE"""),"In-Person")</f>
        <v>In-Person</v>
      </c>
      <c r="H1185" s="7" t="str">
        <f>IFERROR(__xludf.DUMMYFUNCTION("""COMPUTED_VALUE"""),"Hall 4/5")</f>
        <v>Hall 4/5</v>
      </c>
      <c r="I1185" s="7" t="str">
        <f>IFERROR(__xludf.DUMMYFUNCTION("""COMPUTED_VALUE"""),"Session 12: IP-Posters")</f>
        <v>Session 12: IP-Posters</v>
      </c>
      <c r="J1185" s="7" t="str">
        <f>IFERROR(__xludf.DUMMYFUNCTION("""COMPUTED_VALUE"""),"Findings Posters - In-Person 4")</f>
        <v>Findings Posters - In-Person 4</v>
      </c>
      <c r="K1185" s="7"/>
      <c r="L1185" s="8">
        <f>IFERROR(__xludf.DUMMYFUNCTION("""COMPUTED_VALUE"""),45868.0)</f>
        <v>45868</v>
      </c>
      <c r="M1185" s="7" t="str">
        <f>IFERROR(__xludf.DUMMYFUNCTION("""COMPUTED_VALUE"""),"11:00-12:30")</f>
        <v>11:00-12:30</v>
      </c>
      <c r="N1185" s="7"/>
    </row>
    <row r="1186">
      <c r="A1186" s="7" t="str">
        <f>IFERROR(__xludf.DUMMYFUNCTION("""COMPUTED_VALUE"""),"4210-FIND")</f>
        <v>4210-FIND</v>
      </c>
      <c r="B1186" s="7" t="str">
        <f>IFERROR(__xludf.DUMMYFUNCTION("""COMPUTED_VALUE"""),"Query-Driven Multimodal GraphRAG: Dynamic Local Knowledge Graph Construction for Online Reasoning")</f>
        <v>Query-Driven Multimodal GraphRAG: Dynamic Local Knowledge Graph Construction for Online Reasoning</v>
      </c>
      <c r="C1186" s="7" t="str">
        <f>IFERROR(__xludf.DUMMYFUNCTION("""COMPUTED_VALUE"""),"An increasing adoption of Large Language Models (LLMs) in complex reasoning tasks necessitates their interpretability and reliability. Recent advances to that end include retrieval-augmented generation (RAG) and knowledge graph-enhanced RAG (GraphRAG), wh"&amp;"ereas they are constrained by static knowledge bases and ineffective multimodal data integration. In response, we propose a Query-Driven Multimodal GraphRAG framework that dynamically constructs local knowledge graphs tailored to query semantics. Our appr"&amp;"oach 1) derives graph patterns from query semantics to guide knowledge extraction, 2) employs a multi-path retrieval strategy to pinpoint core knowledge, and 3) supplements missing multimodal information ad hoc. Experimental results on the MultimodalQA an"&amp;"d WebQA datasets demonstrate that our framework achieves the state-of-the-art performance among unsupervised competitors, particularly excelling in cross-modal understanding of complex queries.")</f>
        <v>An increasing adoption of Large Language Models (LLMs) in complex reasoning tasks necessitates their interpretability and reliability. Recent advances to that end include retrieval-augmented generation (RAG) and knowledge graph-enhanced RAG (GraphRAG), whereas they are constrained by static knowledge bases and ineffective multimodal data integration. In response, we propose a Query-Driven Multimodal GraphRAG framework that dynamically constructs local knowledge graphs tailored to query semantics. Our approach 1) derives graph patterns from query semantics to guide knowledge extraction, 2) employs a multi-path retrieval strategy to pinpoint core knowledge, and 3) supplements missing multimodal information ad hoc. Experimental results on the MultimodalQA and WebQA datasets demonstrate that our framework achieves the state-of-the-art performance among unsupervised competitors, particularly excelling in cross-modal understanding of complex queries.</v>
      </c>
      <c r="D1186" s="7" t="str">
        <f>IFERROR(__xludf.DUMMYFUNCTION("""COMPUTED_VALUE"""),"We do not plan to present.")</f>
        <v>We do not plan to present.</v>
      </c>
      <c r="E1186" s="7" t="str">
        <f>IFERROR(__xludf.DUMMYFUNCTION("""COMPUTED_VALUE"""),"#N/A")</f>
        <v>#N/A</v>
      </c>
      <c r="F1186" s="7" t="str">
        <f>IFERROR(__xludf.DUMMYFUNCTION("""COMPUTED_VALUE"""),"Not Pres. ")</f>
        <v>Not Pres. </v>
      </c>
      <c r="G1186" s="7" t="str">
        <f>IFERROR(__xludf.DUMMYFUNCTION("""COMPUTED_VALUE"""),"NP Findings Not Presenting ")</f>
        <v>NP Findings Not Presenting </v>
      </c>
      <c r="H1186" s="7"/>
      <c r="I1186" s="7" t="str">
        <f>IFERROR(__xludf.DUMMYFUNCTION("""COMPUTED_VALUE"""),"NP-Find")</f>
        <v>NP-Find</v>
      </c>
      <c r="J1186" s="7"/>
      <c r="K1186" s="7"/>
      <c r="L1186" s="8"/>
      <c r="M1186" s="7"/>
      <c r="N1186" s="7"/>
    </row>
    <row r="1187">
      <c r="A1187" s="7" t="str">
        <f>IFERROR(__xludf.DUMMYFUNCTION("""COMPUTED_VALUE"""),"4211-FIND")</f>
        <v>4211-FIND</v>
      </c>
      <c r="B1187" s="7" t="str">
        <f>IFERROR(__xludf.DUMMYFUNCTION("""COMPUTED_VALUE"""),"A Survey of Uncertainty Estimation Methods on Large Language Models")</f>
        <v>A Survey of Uncertainty Estimation Methods on Large Language Models</v>
      </c>
      <c r="C1187" s="7" t="str">
        <f>IFERROR(__xludf.DUMMYFUNCTION("""COMPUTED_VALUE"""),"Large language models (LLMs) have demonstrated remarkable capabilities across various tasks. However, these models could offer biased, hallucinated, or non-factual responses camouflaged by their fluency and realistic appearance. Uncertainty estimation is "&amp;"the key method to address this challenge. While research efforts in uncertainty estimation are ramping up, there is a lack of comprehensive and dedicated surveys on LLM uncertainty estimation. This survey presents four major avenues of LLM uncertainty est"&amp;"imation. Furthermore, we perform extensive experimental evaluations across multiple methods and datasets. At last, we provide critical and promising future directions for LLM uncertainty estimation.")</f>
        <v>Large language models (LLMs) have demonstrated remarkable capabilities across various tasks. However, these models could offer biased, hallucinated, or non-factual responses camouflaged by their fluency and realistic appearance. Uncertainty estimation is the key method to address this challenge. While research efforts in uncertainty estimation are ramping up, there is a lack of comprehensive and dedicated surveys on LLM uncertainty estimation. This survey presents four major avenues of LLM uncertainty estimation. Furthermore, we perform extensive experimental evaluations across multiple methods and datasets. At last, we provide critical and promising future directions for LLM uncertainty estimation.</v>
      </c>
      <c r="D1187" s="7" t="str">
        <f>IFERROR(__xludf.DUMMYFUNCTION("""COMPUTED_VALUE"""),"N/A")</f>
        <v>N/A</v>
      </c>
      <c r="E1187" s="7" t="str">
        <f>IFERROR(__xludf.DUMMYFUNCTION("""COMPUTED_VALUE"""),"#N/A")</f>
        <v>#N/A</v>
      </c>
      <c r="F1187" s="7" t="str">
        <f>IFERROR(__xludf.DUMMYFUNCTION("""COMPUTED_VALUE"""),"Not Pres. ")</f>
        <v>Not Pres. </v>
      </c>
      <c r="G1187" s="7" t="str">
        <f>IFERROR(__xludf.DUMMYFUNCTION("""COMPUTED_VALUE"""),"NP Findings Not Presenting ")</f>
        <v>NP Findings Not Presenting </v>
      </c>
      <c r="H1187" s="7"/>
      <c r="I1187" s="7" t="str">
        <f>IFERROR(__xludf.DUMMYFUNCTION("""COMPUTED_VALUE"""),"NP-Find")</f>
        <v>NP-Find</v>
      </c>
      <c r="J1187" s="7"/>
      <c r="K1187" s="7"/>
      <c r="L1187" s="8"/>
      <c r="M1187" s="7"/>
      <c r="N1187" s="7"/>
    </row>
    <row r="1188">
      <c r="A1188" s="7" t="str">
        <f>IFERROR(__xludf.DUMMYFUNCTION("""COMPUTED_VALUE"""),"4214-FIND")</f>
        <v>4214-FIND</v>
      </c>
      <c r="B1188" s="7" t="str">
        <f>IFERROR(__xludf.DUMMYFUNCTION("""COMPUTED_VALUE"""),"Beyond Single-Value Metrics: Evaluating and Enhancing LLM Unlearning with Cognitive Diagnosis")</f>
        <v>Beyond Single-Value Metrics: Evaluating and Enhancing LLM Unlearning with Cognitive Diagnosis</v>
      </c>
      <c r="C1188" s="7" t="str">
        <f>IFERROR(__xludf.DUMMYFUNCTION("""COMPUTED_VALUE"""),"Due to the widespread use of LLMs and the rising critical ethical and safety concerns, LLM unlearning methods have been developed to remove harmful knowledge and undesirable capabilities. In this context, evaluations are mostly based on single-value metri"&amp;"cs such as QA accuracy. However, these metrics often fail to capture the nuanced retention of harmful knowledge components, making it difficult to assess the true effectiveness of unlearning. To address this issue, we propose UNCD (\underline{UN}learning "&amp;"evaluation using \underline{C}ognitive \underline{D}iagnosis), a novel framework that leverages Cognitive Diagnosis Modeling for fine-grained evaluation of LLM unlearning. Our dedicated benchmark, UNCD-Cyber, provides a detailed assessment of the removal "&amp;"of dangerous capabilities. Moreover, we introduce UNCD-Agent, which refines unlearning by diagnosing knowledge remnants and generating targeted unlearning data. Extensive experiments across eight unlearning methods and two base models demonstrate that UNC"&amp;"D not only enhances evaluation but also effectively facilitates the removal of harmful LLM abilities.")</f>
        <v>Due to the widespread use of LLMs and the rising critical ethical and safety concerns, LLM unlearning methods have been developed to remove harmful knowledge and undesirable capabilities. In this context, evaluations are mostly based on single-value metrics such as QA accuracy. However, these metrics often fail to capture the nuanced retention of harmful knowledge components, making it difficult to assess the true effectiveness of unlearning. To address this issue, we propose UNCD (\underline{UN}learning evaluation using \underline{C}ognitive \underline{D}iagnosis), a novel framework that leverages Cognitive Diagnosis Modeling for fine-grained evaluation of LLM unlearning. Our dedicated benchmark, UNCD-Cyber, provides a detailed assessment of the removal of dangerous capabilities. Moreover, we introduce UNCD-Agent, which refines unlearning by diagnosing knowledge remnants and generating targeted unlearning data. Extensive experiments across eight unlearning methods and two base models demonstrate that UNCD not only enhances evaluation but also effectively facilitates the removal of harmful LLM abilities.</v>
      </c>
      <c r="D1188" s="7" t="str">
        <f>IFERROR(__xludf.DUMMYFUNCTION("""COMPUTED_VALUE"""),"no present")</f>
        <v>no present</v>
      </c>
      <c r="E1188" s="7" t="str">
        <f>IFERROR(__xludf.DUMMYFUNCTION("""COMPUTED_VALUE"""),"#N/A")</f>
        <v>#N/A</v>
      </c>
      <c r="F1188" s="7" t="str">
        <f>IFERROR(__xludf.DUMMYFUNCTION("""COMPUTED_VALUE"""),"Not Pres. ")</f>
        <v>Not Pres. </v>
      </c>
      <c r="G1188" s="7" t="str">
        <f>IFERROR(__xludf.DUMMYFUNCTION("""COMPUTED_VALUE"""),"NP Findings Not Presenting ")</f>
        <v>NP Findings Not Presenting </v>
      </c>
      <c r="H1188" s="7"/>
      <c r="I1188" s="7" t="str">
        <f>IFERROR(__xludf.DUMMYFUNCTION("""COMPUTED_VALUE"""),"NP-Find")</f>
        <v>NP-Find</v>
      </c>
      <c r="J1188" s="7"/>
      <c r="K1188" s="7"/>
      <c r="L1188" s="8"/>
      <c r="M1188" s="7"/>
      <c r="N1188" s="7"/>
    </row>
    <row r="1189">
      <c r="A1189" s="7" t="str">
        <f>IFERROR(__xludf.DUMMYFUNCTION("""COMPUTED_VALUE"""),"4215-FIND")</f>
        <v>4215-FIND</v>
      </c>
      <c r="B1189" s="7" t="str">
        <f>IFERROR(__xludf.DUMMYFUNCTION("""COMPUTED_VALUE"""),"Natural Language Processing in Support of Evidence-based Medicine: A Scoping Review")</f>
        <v>Natural Language Processing in Support of Evidence-based Medicine: A Scoping Review</v>
      </c>
      <c r="C1189" s="7" t="str">
        <f>IFERROR(__xludf.DUMMYFUNCTION("""COMPUTED_VALUE"""),"Evidence-based medicine (EBM) is at the forefront of modern healthcare, emphasizing the use of the best available scientific evidence to guide clinical decisions. Due to the sheer volume and rapid growth of medical literature and the high cost of curation"&amp;", there is a critical need to investigate Natural Language Processing (NLP) methods to identify, appraise, synthesize, summarize, and disseminate evidence in EBM. This survey presents an in-depth review of 129 research studies on leveraging NLP for EBM, i"&amp;"llustrating its pivotal role in enhancing clinical decision-making processes. The paper systematically explores how NLP supports the five fundamental steps of EBM---Ask, Acquire, Appraise, Apply, and Assess. The review not only identifies current limitati"&amp;"ons within the field but also proposes directions for future research, emphasizing the potential for NLP to revolutionize EBM by refining evidence extraction, evidence synthesis, appraisal, summarization, enhancing data comprehensibility, and facilitating"&amp;" a more efficient clinical workflow.")</f>
        <v>Evidence-based medicine (EBM) is at the forefront of modern healthcare, emphasizing the use of the best available scientific evidence to guide clinical decisions. Due to the sheer volume and rapid growth of medical literature and the high cost of curation, there is a critical need to investigate Natural Language Processing (NLP) methods to identify, appraise, synthesize, summarize, and disseminate evidence in EBM. This survey presents an in-depth review of 129 research studies on leveraging NLP for EBM, illustrating its pivotal role in enhancing clinical decision-making processes. The paper systematically explores how NLP supports the five fundamental steps of EBM---Ask, Acquire, Appraise, Apply, and Assess. The review not only identifies current limitations within the field but also proposes directions for future research, emphasizing the potential for NLP to revolutionize EBM by refining evidence extraction, evidence synthesis, appraisal, summarization, enhancing data comprehensibility, and facilitating a more efficient clinical workflow.</v>
      </c>
      <c r="D1189" s="7" t="str">
        <f>IFERROR(__xludf.DUMMYFUNCTION("""COMPUTED_VALUE"""),"N/A")</f>
        <v>N/A</v>
      </c>
      <c r="E1189" s="7" t="str">
        <f>IFERROR(__xludf.DUMMYFUNCTION("""COMPUTED_VALUE"""),"#N/A")</f>
        <v>#N/A</v>
      </c>
      <c r="F1189" s="7" t="str">
        <f>IFERROR(__xludf.DUMMYFUNCTION("""COMPUTED_VALUE"""),"Not Pres. ")</f>
        <v>Not Pres. </v>
      </c>
      <c r="G1189" s="7" t="str">
        <f>IFERROR(__xludf.DUMMYFUNCTION("""COMPUTED_VALUE"""),"NP Findings Not Presenting ")</f>
        <v>NP Findings Not Presenting </v>
      </c>
      <c r="H1189" s="7"/>
      <c r="I1189" s="7" t="str">
        <f>IFERROR(__xludf.DUMMYFUNCTION("""COMPUTED_VALUE"""),"NP-Find")</f>
        <v>NP-Find</v>
      </c>
      <c r="J1189" s="7"/>
      <c r="K1189" s="7"/>
      <c r="L1189" s="8"/>
      <c r="M1189" s="7"/>
      <c r="N1189" s="7"/>
    </row>
    <row r="1190">
      <c r="A1190" s="7" t="str">
        <f>IFERROR(__xludf.DUMMYFUNCTION("""COMPUTED_VALUE"""),"4218-FIND")</f>
        <v>4218-FIND</v>
      </c>
      <c r="B1190" s="7" t="str">
        <f>IFERROR(__xludf.DUMMYFUNCTION("""COMPUTED_VALUE"""),"How do Transformer Embeddings Represent Compositions? A Functional Analysis")</f>
        <v>How do Transformer Embeddings Represent Compositions? A Functional Analysis</v>
      </c>
      <c r="C1190" s="7" t="str">
        <f>IFERROR(__xludf.DUMMYFUNCTION("""COMPUTED_VALUE"""),"Compositionality is a key aspect of human intelligence, essential for reasoning and generalization. While transformer-based models have become the de facto standard for many language modeling tasks, little is known about how they represent compound words,"&amp;" and whether these representations are compositional. In this study, we test compositionality in Mistral, OpenAI Large, and Google embedding models, and compare them with BERT. First, we evaluate compositionality in the representations by examining six di"&amp;"verse models of compositionality (addition, multiplication, dilation, regression, etc.). We find that ridge regression, albeit linear, best accounts for compositionality. Surprisingly, we find that the classic vector addition model performs almost as well"&amp;" as any other model. Next, we verify that most embedding models are highly compositional, while BERT shows much poorer compositionality. We verify and visualize our findings with a synthetic dataset consisting of fully transparent adjective-noun compositi"&amp;"ons. Overall, we present a thorough investigation of compositionality.")</f>
        <v>Compositionality is a key aspect of human intelligence, essential for reasoning and generalization. While transformer-based models have become the de facto standard for many language modeling tasks, little is known about how they represent compound words, and whether these representations are compositional. In this study, we test compositionality in Mistral, OpenAI Large, and Google embedding models, and compare them with BERT. First, we evaluate compositionality in the representations by examining six diverse models of compositionality (addition, multiplication, dilation, regression, etc.). We find that ridge regression, albeit linear, best accounts for compositionality. Surprisingly, we find that the classic vector addition model performs almost as well as any other model. Next, we verify that most embedding models are highly compositional, while BERT shows much poorer compositionality. We verify and visualize our findings with a synthetic dataset consisting of fully transparent adjective-noun compositions. Overall, we present a thorough investigation of compositionality.</v>
      </c>
      <c r="D1190" s="7" t="str">
        <f>IFERROR(__xludf.DUMMYFUNCTION("""COMPUTED_VALUE"""),"Aishik Nagar")</f>
        <v>Aishik Nagar</v>
      </c>
      <c r="E1190" s="7" t="str">
        <f>IFERROR(__xludf.DUMMYFUNCTION("""COMPUTED_VALUE"""),"Yes")</f>
        <v>Yes</v>
      </c>
      <c r="F1190" s="7" t="str">
        <f>IFERROR(__xludf.DUMMYFUNCTION("""COMPUTED_VALUE"""),"IP-Poster")</f>
        <v>IP-Poster</v>
      </c>
      <c r="G1190" s="7" t="str">
        <f>IFERROR(__xludf.DUMMYFUNCTION("""COMPUTED_VALUE"""),"In-Person")</f>
        <v>In-Person</v>
      </c>
      <c r="H1190" s="7" t="str">
        <f>IFERROR(__xludf.DUMMYFUNCTION("""COMPUTED_VALUE"""),"Hall 4/5")</f>
        <v>Hall 4/5</v>
      </c>
      <c r="I1190" s="7" t="str">
        <f>IFERROR(__xludf.DUMMYFUNCTION("""COMPUTED_VALUE"""),"Session 5 :IP-Posters Find ")</f>
        <v>Session 5 :IP-Posters Find </v>
      </c>
      <c r="J1190" s="7" t="str">
        <f>IFERROR(__xludf.DUMMYFUNCTION("""COMPUTED_VALUE"""),"Findings Posters - In-Person 1")</f>
        <v>Findings Posters - In-Person 1</v>
      </c>
      <c r="K1190" s="7"/>
      <c r="L1190" s="8">
        <f>IFERROR(__xludf.DUMMYFUNCTION("""COMPUTED_VALUE"""),45866.0)</f>
        <v>45866</v>
      </c>
      <c r="M1190" s="7" t="str">
        <f>IFERROR(__xludf.DUMMYFUNCTION("""COMPUTED_VALUE"""),"18:00-19:30")</f>
        <v>18:00-19:30</v>
      </c>
      <c r="N1190" s="7"/>
    </row>
    <row r="1191">
      <c r="A1191" s="7" t="str">
        <f>IFERROR(__xludf.DUMMYFUNCTION("""COMPUTED_VALUE"""),"4222-FIND")</f>
        <v>4222-FIND</v>
      </c>
      <c r="B1191" s="7" t="str">
        <f>IFERROR(__xludf.DUMMYFUNCTION("""COMPUTED_VALUE"""),"Entriever: Energy-based Retriever for Knowledge-Grounded Dialog Systems")</f>
        <v>Entriever: Energy-based Retriever for Knowledge-Grounded Dialog Systems</v>
      </c>
      <c r="C1191" s="7" t="str">
        <f>IFERROR(__xludf.DUMMYFUNCTION("""COMPUTED_VALUE"""),"The retriever, which retrieves relevant knowledge pieces from a knowledge base given a context, is an important component in many natural language processing (NLP) tasks. Recently, retrievers have been introduced in knowledge-grounded dialog systems to im"&amp;"prove knowledge acquisition. In knowledge-grounded dialog systems, when conditioning on a given context, there may be multiple relevant and correlated knowledge pieces. However, knowledge pieces are usually assumed to be conditionally independent in curre"&amp;"nt retriever models. To address this issue, we propose Entriever, an energy-based retriever. The Entriever directly models the candidate retrieval results as a whole instead of modeling the knowledge pieces separately, with the relevance score defined by "&amp;"an energy function. We explore various architectures of energy functions and different training methods for Entriever, and show that Entriever substantially outperforms the strong cross-encoder baseline in knowledge retrieval tasks. Furthermore, we show t"&amp;"hat in semi-supervised training of knowledge-grounded dialog systems, Entriever enables the effective scoring of retrieved knowledge pieces and leads to a significant improvement in the end-to-end performance of the dialog system.")</f>
        <v>The retriever, which retrieves relevant knowledge pieces from a knowledge base given a context, is an important component in many natural language processing (NLP) tasks. Recently, retrievers have been introduced in knowledge-grounded dialog systems to improve knowledge acquisition. In knowledge-grounded dialog systems, when conditioning on a given context, there may be multiple relevant and correlated knowledge pieces. However, knowledge pieces are usually assumed to be conditionally independent in current retriever models. To address this issue, we propose Entriever, an energy-based retriever. The Entriever directly models the candidate retrieval results as a whole instead of modeling the knowledge pieces separately, with the relevance score defined by an energy function. We explore various architectures of energy functions and different training methods for Entriever, and show that Entriever substantially outperforms the strong cross-encoder baseline in knowledge retrieval tasks. Furthermore, we show that in semi-supervised training of knowledge-grounded dialog systems, Entriever enables the effective scoring of retrieved knowledge pieces and leads to a significant improvement in the end-to-end performance of the dialog system.</v>
      </c>
      <c r="D1191" s="7" t="str">
        <f>IFERROR(__xludf.DUMMYFUNCTION("""COMPUTED_VALUE"""),"Yi Huang")</f>
        <v>Yi Huang</v>
      </c>
      <c r="E1191" s="7" t="str">
        <f>IFERROR(__xludf.DUMMYFUNCTION("""COMPUTED_VALUE"""),"Yes")</f>
        <v>Yes</v>
      </c>
      <c r="F1191" s="7" t="str">
        <f>IFERROR(__xludf.DUMMYFUNCTION("""COMPUTED_VALUE"""),"IP-Poster")</f>
        <v>IP-Poster</v>
      </c>
      <c r="G1191" s="7" t="str">
        <f>IFERROR(__xludf.DUMMYFUNCTION("""COMPUTED_VALUE"""),"In-Person")</f>
        <v>In-Person</v>
      </c>
      <c r="H1191" s="7" t="str">
        <f>IFERROR(__xludf.DUMMYFUNCTION("""COMPUTED_VALUE"""),"Hall 4/5")</f>
        <v>Hall 4/5</v>
      </c>
      <c r="I1191" s="7" t="str">
        <f>IFERROR(__xludf.DUMMYFUNCTION("""COMPUTED_VALUE"""),"Session 5 :IP-Posters Find ")</f>
        <v>Session 5 :IP-Posters Find </v>
      </c>
      <c r="J1191" s="7" t="str">
        <f>IFERROR(__xludf.DUMMYFUNCTION("""COMPUTED_VALUE"""),"Findings Posters - In-Person 1")</f>
        <v>Findings Posters - In-Person 1</v>
      </c>
      <c r="K1191" s="7"/>
      <c r="L1191" s="8">
        <f>IFERROR(__xludf.DUMMYFUNCTION("""COMPUTED_VALUE"""),45866.0)</f>
        <v>45866</v>
      </c>
      <c r="M1191" s="7" t="str">
        <f>IFERROR(__xludf.DUMMYFUNCTION("""COMPUTED_VALUE"""),"18:00-19:30")</f>
        <v>18:00-19:30</v>
      </c>
      <c r="N1191" s="7"/>
    </row>
    <row r="1192">
      <c r="A1192" s="7" t="str">
        <f>IFERROR(__xludf.DUMMYFUNCTION("""COMPUTED_VALUE"""),"4225-FIND")</f>
        <v>4225-FIND</v>
      </c>
      <c r="B1192" s="7" t="str">
        <f>IFERROR(__xludf.DUMMYFUNCTION("""COMPUTED_VALUE"""),"MONTROSE: LLM-driven Monte Carlo Tree Search Self-Refinement for Cross-Domain Rumor Detection")</f>
        <v>MONTROSE: LLM-driven Monte Carlo Tree Search Self-Refinement for Cross-Domain Rumor Detection</v>
      </c>
      <c r="C1192" s="7" t="str">
        <f>IFERROR(__xludf.DUMMYFUNCTION("""COMPUTED_VALUE"""),"With the emergence of new topics on social media as sources of rumor dissemination, addressing the distribution shifts between source and target domains remains a crucial task in cross-domain rumor detection. Existing feature alignment methods, which aim "&amp;"to reduce the discrepancies between domains, are often susceptible to task interference during training. Additionally, data distribution alignment methods, which rely on existing data to synthesize new training samples, inherently introduce noise. To deal"&amp;" with these challenges, a new cross-domain rumor detection method, MONTROSE, is proposed. It combines LLM-driven Monte Carlo Tree Search (MCTS) data synthesis to generate high-quality synthetic data for the target domain and a domain-sharpness-aware (DSAM"&amp;") self-refinement approach to train rumor detection models with these synthetic data effectively. Experiments demonstrate the superior performance of MONTROSE in cross-domain rumor detection.")</f>
        <v>With the emergence of new topics on social media as sources of rumor dissemination, addressing the distribution shifts between source and target domains remains a crucial task in cross-domain rumor detection. Existing feature alignment methods, which aim to reduce the discrepancies between domains, are often susceptible to task interference during training. Additionally, data distribution alignment methods, which rely on existing data to synthesize new training samples, inherently introduce noise. To deal with these challenges, a new cross-domain rumor detection method, MONTROSE, is proposed. It combines LLM-driven Monte Carlo Tree Search (MCTS) data synthesis to generate high-quality synthetic data for the target domain and a domain-sharpness-aware (DSAM) self-refinement approach to train rumor detection models with these synthetic data effectively. Experiments demonstrate the superior performance of MONTROSE in cross-domain rumor detection.</v>
      </c>
      <c r="D1192" s="7" t="str">
        <f>IFERROR(__xludf.DUMMYFUNCTION("""COMPUTED_VALUE"""),"I do not plan to present.")</f>
        <v>I do not plan to present.</v>
      </c>
      <c r="E1192" s="7" t="str">
        <f>IFERROR(__xludf.DUMMYFUNCTION("""COMPUTED_VALUE"""),"#N/A")</f>
        <v>#N/A</v>
      </c>
      <c r="F1192" s="7" t="str">
        <f>IFERROR(__xludf.DUMMYFUNCTION("""COMPUTED_VALUE"""),"Not Pres. ")</f>
        <v>Not Pres. </v>
      </c>
      <c r="G1192" s="7" t="str">
        <f>IFERROR(__xludf.DUMMYFUNCTION("""COMPUTED_VALUE"""),"NP Findings Not Presenting ")</f>
        <v>NP Findings Not Presenting </v>
      </c>
      <c r="H1192" s="7"/>
      <c r="I1192" s="7" t="str">
        <f>IFERROR(__xludf.DUMMYFUNCTION("""COMPUTED_VALUE"""),"NP-Find")</f>
        <v>NP-Find</v>
      </c>
      <c r="J1192" s="7"/>
      <c r="K1192" s="7"/>
      <c r="L1192" s="8"/>
      <c r="M1192" s="7"/>
      <c r="N1192" s="7"/>
    </row>
    <row r="1193">
      <c r="A1193" s="7" t="str">
        <f>IFERROR(__xludf.DUMMYFUNCTION("""COMPUTED_VALUE"""),"4231-FIND")</f>
        <v>4231-FIND</v>
      </c>
      <c r="B1193" s="7" t="str">
        <f>IFERROR(__xludf.DUMMYFUNCTION("""COMPUTED_VALUE"""),"PEToolLLM: Towards Personalized Tool Learning in Large Language Models")</f>
        <v>PEToolLLM: Towards Personalized Tool Learning in Large Language Models</v>
      </c>
      <c r="C1193" s="7" t="str">
        <f>IFERROR(__xludf.DUMMYFUNCTION("""COMPUTED_VALUE"""),"Tool learning has emerged as a promising direction by extending Large Language Models’ (LLMs) capabilities with external tools. Existing tool learning studies primarily focus on the general-purpose tool-use capability, which addresses explicit user requir"&amp;"ements in instructions. However, they overlook the importance of personalized tool-use capability, leading to an inability to handle implicit user preferences. To address the limitation, we first formulate the task of personalized tool learning, which int"&amp;"egrates user’s interaction history towards personalized tool usage. To fill the gap of missing benchmarks, we construct PEToolBench, featuring diverse user preferences reflected in interaction history under three distinct personalized settings, and encomp"&amp;"assing a wide range of tool-use scenarios. Moreover, we propose a framework PEToolLLaMA to adapt LLMs to the personalized tool learning task, which is trained through supervised fine-tuning and direct preference optimization. Extensive experiments on PETo"&amp;"olBench demonstrate the superiority of PEToolLLaMA over existing LLMs. We release code and data for review at https://anonymous.4open.science/r/PEToolBench-952F/.")</f>
        <v>Tool learning has emerged as a promising direction by extending Large Language Models’ (LLMs) capabilities with external tools. Existing tool learning studies primarily focus on the general-purpose tool-use capability, which addresses explicit user requirements in instructions. However, they overlook the importance of personalized tool-use capability, leading to an inability to handle implicit user preferences. To address the limitation, we first formulate the task of personalized tool learning, which integrates user’s interaction history towards personalized tool usage. To fill the gap of missing benchmarks, we construct PEToolBench, featuring diverse user preferences reflected in interaction history under three distinct personalized settings, and encompassing a wide range of tool-use scenarios. Moreover, we propose a framework PEToolLLaMA to adapt LLMs to the personalized tool learning task, which is trained through supervised fine-tuning and direct preference optimization. Extensive experiments on PEToolBench demonstrate the superiority of PEToolLLaMA over existing LLMs. We release code and data for review at https://anonymous.4open.science/r/PEToolBench-952F/.</v>
      </c>
      <c r="D1193" s="7" t="str">
        <f>IFERROR(__xludf.DUMMYFUNCTION("""COMPUTED_VALUE"""),"Qiancheng Xu")</f>
        <v>Qiancheng Xu</v>
      </c>
      <c r="E1193" s="7" t="str">
        <f>IFERROR(__xludf.DUMMYFUNCTION("""COMPUTED_VALUE"""),"N/A")</f>
        <v>N/A</v>
      </c>
      <c r="F1193" s="7" t="str">
        <f>IFERROR(__xludf.DUMMYFUNCTION("""COMPUTED_VALUE"""),"Not Pres. ")</f>
        <v>Not Pres. </v>
      </c>
      <c r="G1193" s="7"/>
      <c r="H1193" s="7"/>
      <c r="I1193" s="7" t="str">
        <f>IFERROR(__xludf.DUMMYFUNCTION("""COMPUTED_VALUE"""),"NP-Find")</f>
        <v>NP-Find</v>
      </c>
      <c r="J1193" s="7"/>
      <c r="K1193" s="7"/>
      <c r="L1193" s="8"/>
      <c r="M1193" s="7"/>
      <c r="N1193" s="7"/>
    </row>
    <row r="1194">
      <c r="A1194" s="7" t="str">
        <f>IFERROR(__xludf.DUMMYFUNCTION("""COMPUTED_VALUE"""),"4233-FIND")</f>
        <v>4233-FIND</v>
      </c>
      <c r="B1194" s="7" t="str">
        <f>IFERROR(__xludf.DUMMYFUNCTION("""COMPUTED_VALUE"""),"A Comprehensive Graph Framework for Question Answering with Mode-Seeking Preference Alignment")</f>
        <v>A Comprehensive Graph Framework for Question Answering with Mode-Seeking Preference Alignment</v>
      </c>
      <c r="C1194" s="7" t="str">
        <f>IFERROR(__xludf.DUMMYFUNCTION("""COMPUTED_VALUE"""),"Recent advancements in retrieval-augmented generation (RAG) have enhanced large language models in question answering by integrating external knowledge. However, challenges persist in achieving global understanding and aligning responses with human ethica"&amp;"l and quality preferences. To address these issues, we propose GraphMPA, a comprehensive graph-based framework with mode-seeking preference alignment. Our approach constructs a hierarchical document graph using a general similarity measurement, mimicking "&amp;"human cognitive processes for information understanding and synthesis. Additionally, we introduce mode-seeking preference optimization to better align model outputs with human preferences through probability-matching constraints. Extensive experiments on "&amp;"six datasets demonstrate the effectiveness of our  \href{https://github.com/tangquanwei/GraphMPA}{GraphMPA}.")</f>
        <v>Recent advancements in retrieval-augmented generation (RAG) have enhanced large language models in question answering by integrating external knowledge. However, challenges persist in achieving global understanding and aligning responses with human ethical and quality preferences. To address these issues, we propose GraphMPA, a comprehensive graph-based framework with mode-seeking preference alignment. Our approach constructs a hierarchical document graph using a general similarity measurement, mimicking human cognitive processes for information understanding and synthesis. Additionally, we introduce mode-seeking preference optimization to better align model outputs with human preferences through probability-matching constraints. Extensive experiments on six datasets demonstrate the effectiveness of our  \href{https://github.com/tangquanwei/GraphMPA}{GraphMPA}.</v>
      </c>
      <c r="D1194" s="7" t="str">
        <f>IFERROR(__xludf.DUMMYFUNCTION("""COMPUTED_VALUE"""),"Quanwei Tang")</f>
        <v>Quanwei Tang</v>
      </c>
      <c r="E1194" s="7" t="str">
        <f>IFERROR(__xludf.DUMMYFUNCTION("""COMPUTED_VALUE"""),"#N/A")</f>
        <v>#N/A</v>
      </c>
      <c r="F1194" s="7" t="str">
        <f>IFERROR(__xludf.DUMMYFUNCTION("""COMPUTED_VALUE"""),"Not Pres. ")</f>
        <v>Not Pres. </v>
      </c>
      <c r="G1194" s="7" t="str">
        <f>IFERROR(__xludf.DUMMYFUNCTION("""COMPUTED_VALUE"""),"NP Findings Not Presenting ")</f>
        <v>NP Findings Not Presenting </v>
      </c>
      <c r="H1194" s="7"/>
      <c r="I1194" s="7" t="str">
        <f>IFERROR(__xludf.DUMMYFUNCTION("""COMPUTED_VALUE"""),"NP-Find")</f>
        <v>NP-Find</v>
      </c>
      <c r="J1194" s="7"/>
      <c r="K1194" s="7"/>
      <c r="L1194" s="8"/>
      <c r="M1194" s="7"/>
      <c r="N1194" s="7"/>
    </row>
    <row r="1195">
      <c r="A1195" s="7" t="str">
        <f>IFERROR(__xludf.DUMMYFUNCTION("""COMPUTED_VALUE"""),"4237-FIND")</f>
        <v>4237-FIND</v>
      </c>
      <c r="B1195" s="7" t="str">
        <f>IFERROR(__xludf.DUMMYFUNCTION("""COMPUTED_VALUE"""),"A MISMATCHED Benchmark for Scientific Natural Language Inference")</f>
        <v>A MISMATCHED Benchmark for Scientific Natural Language Inference</v>
      </c>
      <c r="C1195" s="7" t="str">
        <f>IFERROR(__xludf.DUMMYFUNCTION("""COMPUTED_VALUE"""),"Scientific Natural Language Inference (NLI) is the task of predicting the semantic relation between a pair of sentences extracted from research articles. Existing datasets for this task are derived from various computer science (CS) domains, whereas non-C"&amp;"S domains are completely ignored. In this paper, we introduce a novel evaluation benchmark for scientific NLI, called MisMatched. The new MisMatched benchmark covers three non-CS domains--Psychology, Engineering, and Public Health, and contains 2,700 huma"&amp;"n annotated sentence pairs. We establish strong baselines on MisMatched using both Pre-trained Small Language Models (SLMs) and Large Language Models (LLMs). Our best performing baseline shows a Macro F1 of only 78.17% illustrating the substantial headroo"&amp;"m for future improvements. In addition to introducing the MisMatched benchmark, we show that incorporating sentence pairs having an implicit scientific NLI relation between them in model training improves their performance on scientific NLI. We will make "&amp;"our code and data available on GitHub.")</f>
        <v>Scientific Natural Language Inference (NLI) is the task of predicting the semantic relation between a pair of sentences extracted from research articles. Existing datasets for this task are derived from various computer science (CS) domains, whereas non-CS domains are completely ignored. In this paper, we introduce a novel evaluation benchmark for scientific NLI, called MisMatched. The new MisMatched benchmark covers three non-CS domains--Psychology, Engineering, and Public Health, and contains 2,700 human annotated sentence pairs. We establish strong baselines on MisMatched using both Pre-trained Small Language Models (SLMs) and Large Language Models (LLMs). Our best performing baseline shows a Macro F1 of only 78.17% illustrating the substantial headroom for future improvements. In addition to introducing the MisMatched benchmark, we show that incorporating sentence pairs having an implicit scientific NLI relation between them in model training improves their performance on scientific NLI. We will make our code and data available on GitHub.</v>
      </c>
      <c r="D1195" s="7" t="str">
        <f>IFERROR(__xludf.DUMMYFUNCTION("""COMPUTED_VALUE"""),"Firoz Shaik")</f>
        <v>Firoz Shaik</v>
      </c>
      <c r="E1195" s="7" t="str">
        <f>IFERROR(__xludf.DUMMYFUNCTION("""COMPUTED_VALUE"""),"#N/A")</f>
        <v>#N/A</v>
      </c>
      <c r="F1195" s="7" t="str">
        <f>IFERROR(__xludf.DUMMYFUNCTION("""COMPUTED_VALUE"""),"Not Pres. ")</f>
        <v>Not Pres. </v>
      </c>
      <c r="G1195" s="7" t="str">
        <f>IFERROR(__xludf.DUMMYFUNCTION("""COMPUTED_VALUE"""),"NP Findings Not Presenting ")</f>
        <v>NP Findings Not Presenting </v>
      </c>
      <c r="H1195" s="7"/>
      <c r="I1195" s="7" t="str">
        <f>IFERROR(__xludf.DUMMYFUNCTION("""COMPUTED_VALUE"""),"NP-Find")</f>
        <v>NP-Find</v>
      </c>
      <c r="J1195" s="7"/>
      <c r="K1195" s="7"/>
      <c r="L1195" s="8"/>
      <c r="M1195" s="7"/>
      <c r="N1195" s="7"/>
    </row>
    <row r="1196">
      <c r="A1196" s="7" t="str">
        <f>IFERROR(__xludf.DUMMYFUNCTION("""COMPUTED_VALUE"""),"4238-FIND")</f>
        <v>4238-FIND</v>
      </c>
      <c r="B1196" s="7" t="str">
        <f>IFERROR(__xludf.DUMMYFUNCTION("""COMPUTED_VALUE"""),"TagRouter: Learning Route to LLMs through Tags for Open-Domain Text Generation Tasks")</f>
        <v>TagRouter: Learning Route to LLMs through Tags for Open-Domain Text Generation Tasks</v>
      </c>
      <c r="C1196" s="7" t="str">
        <f>IFERROR(__xludf.DUMMYFUNCTION("""COMPUTED_VALUE"""),"Model routing allocates queries to the suitable model, improving system performance while reducing costs. However, existing routing methods face practical limitations that hinder scalability in large-scale applications and struggle to keep up with the rap"&amp;"id growth of the large language model (LLM) ecosystem. To tackle these challenges, we propose TagRouter, a training-free model routing method designed to optimize the synergy among multiple LLMs for open-domain text generation tasks. Experimental results "&amp;"demonstrate that TagRouter outperforms 13 baseline methods, increasing the accept rate of system by 6.15% and reducing costs by 17.20%, achieving optimal cost-efficiency. Our findings provides the LLM community with an efficient and scalable solution for "&amp;"model ensembling, offering users an evolvable ""super model.""")</f>
        <v>Model routing allocates queries to the suitable model, improving system performance while reducing costs. However, existing routing methods face practical limitations that hinder scalability in large-scale applications and struggle to keep up with the rapid growth of the large language model (LLM) ecosystem. To tackle these challenges, we propose TagRouter, a training-free model routing method designed to optimize the synergy among multiple LLMs for open-domain text generation tasks. Experimental results demonstrate that TagRouter outperforms 13 baseline methods, increasing the accept rate of system by 6.15% and reducing costs by 17.20%, achieving optimal cost-efficiency. Our findings provides the LLM community with an efficient and scalable solution for model ensembling, offering users an evolvable "super model."</v>
      </c>
      <c r="D1196" s="7" t="str">
        <f>IFERROR(__xludf.DUMMYFUNCTION("""COMPUTED_VALUE"""),"Zhou Chen")</f>
        <v>Zhou Chen</v>
      </c>
      <c r="E1196" s="7" t="str">
        <f>IFERROR(__xludf.DUMMYFUNCTION("""COMPUTED_VALUE"""),"Yes")</f>
        <v>Yes</v>
      </c>
      <c r="F1196" s="7" t="str">
        <f>IFERROR(__xludf.DUMMYFUNCTION("""COMPUTED_VALUE"""),"IP-Poster")</f>
        <v>IP-Poster</v>
      </c>
      <c r="G1196" s="7" t="str">
        <f>IFERROR(__xludf.DUMMYFUNCTION("""COMPUTED_VALUE"""),"In-Person")</f>
        <v>In-Person</v>
      </c>
      <c r="H1196" s="7" t="str">
        <f>IFERROR(__xludf.DUMMYFUNCTION("""COMPUTED_VALUE"""),"Hall 4/5")</f>
        <v>Hall 4/5</v>
      </c>
      <c r="I1196" s="7" t="str">
        <f>IFERROR(__xludf.DUMMYFUNCTION("""COMPUTED_VALUE"""),"Session 10: IP-Posters")</f>
        <v>Session 10: IP-Posters</v>
      </c>
      <c r="J1196" s="7" t="str">
        <f>IFERROR(__xludf.DUMMYFUNCTION("""COMPUTED_VALUE"""),"Findings Posters - In-Person 3")</f>
        <v>Findings Posters - In-Person 3</v>
      </c>
      <c r="K1196" s="7"/>
      <c r="L1196" s="8">
        <f>IFERROR(__xludf.DUMMYFUNCTION("""COMPUTED_VALUE"""),45867.0)</f>
        <v>45867</v>
      </c>
      <c r="M1196" s="7" t="str">
        <f>IFERROR(__xludf.DUMMYFUNCTION("""COMPUTED_VALUE"""),"16:00-17:30")</f>
        <v>16:00-17:30</v>
      </c>
      <c r="N1196" s="7"/>
    </row>
    <row r="1197">
      <c r="A1197" s="7" t="str">
        <f>IFERROR(__xludf.DUMMYFUNCTION("""COMPUTED_VALUE"""),"4240-FIND")</f>
        <v>4240-FIND</v>
      </c>
      <c r="B1197" s="7" t="str">
        <f>IFERROR(__xludf.DUMMYFUNCTION("""COMPUTED_VALUE"""),"The Reasoning-Memorization Interplay in Language Models Is Mediated by a Single Direction")</f>
        <v>The Reasoning-Memorization Interplay in Language Models Is Mediated by a Single Direction</v>
      </c>
      <c r="C1197" s="7" t="str">
        <f>IFERROR(__xludf.DUMMYFUNCTION("""COMPUTED_VALUE"""),"Large language models (LLMs) excel on a variety of reasoning benchmarks, but previous studies suggest they sometimes struggle to generalize to unseen questions, potentially due to over-reliance on memorized training examples. However, the precise conditio"&amp;"ns under which LLMs switch between reasoning and memorization during text generation remain unclear. In this work, we provide a mechanistic understanding of LLMs’ reasoning-memorization dynamics by identifying a set of linear features in the model's resid"&amp;"ual stream that govern the balance between genuine reasoning and memory recall. These features not only distinguish reasoning tasks from memory-intensive ones but can also be manipulated to causally influence model performance on reasoning tasks. Addition"&amp;"ally, we show that intervening in these reasoning features helps the model more accurately activate the most relevant problem-solving capabilities during answer generation. Our findings offer new insights into the underlying mechanisms of reasoning and me"&amp;"mory in LLMs and pave the way for the development of more robust and interpretable generative AI systems.")</f>
        <v>Large language models (LLMs) excel on a variety of reasoning benchmarks, but previous studies suggest they sometimes struggle to generalize to unseen questions, potentially due to over-reliance on memorized training examples. However, the precise conditions under which LLMs switch between reasoning and memorization during text generation remain unclear. In this work, we provide a mechanistic understanding of LLMs’ reasoning-memorization dynamics by identifying a set of linear features in the model's residual stream that govern the balance between genuine reasoning and memory recall. These features not only distinguish reasoning tasks from memory-intensive ones but can also be manipulated to causally influence model performance on reasoning tasks. Additionally, we show that intervening in these reasoning features helps the model more accurately activate the most relevant problem-solving capabilities during answer generation. Our findings offer new insights into the underlying mechanisms of reasoning and memory in LLMs and pave the way for the development of more robust and interpretable generative AI systems.</v>
      </c>
      <c r="D1197" s="7" t="str">
        <f>IFERROR(__xludf.DUMMYFUNCTION("""COMPUTED_VALUE"""),"Yihuai Hong")</f>
        <v>Yihuai Hong</v>
      </c>
      <c r="E1197" s="7" t="str">
        <f>IFERROR(__xludf.DUMMYFUNCTION("""COMPUTED_VALUE"""),"Yes")</f>
        <v>Yes</v>
      </c>
      <c r="F1197" s="7" t="str">
        <f>IFERROR(__xludf.DUMMYFUNCTION("""COMPUTED_VALUE"""),"IP-Poster")</f>
        <v>IP-Poster</v>
      </c>
      <c r="G1197" s="7" t="str">
        <f>IFERROR(__xludf.DUMMYFUNCTION("""COMPUTED_VALUE"""),"In-Person")</f>
        <v>In-Person</v>
      </c>
      <c r="H1197" s="7" t="str">
        <f>IFERROR(__xludf.DUMMYFUNCTION("""COMPUTED_VALUE"""),"Hall 4/5")</f>
        <v>Hall 4/5</v>
      </c>
      <c r="I1197" s="7" t="str">
        <f>IFERROR(__xludf.DUMMYFUNCTION("""COMPUTED_VALUE"""),"Session 12: IP-Posters")</f>
        <v>Session 12: IP-Posters</v>
      </c>
      <c r="J1197" s="7" t="str">
        <f>IFERROR(__xludf.DUMMYFUNCTION("""COMPUTED_VALUE"""),"Findings Posters - In-Person 4")</f>
        <v>Findings Posters - In-Person 4</v>
      </c>
      <c r="K1197" s="7"/>
      <c r="L1197" s="8">
        <f>IFERROR(__xludf.DUMMYFUNCTION("""COMPUTED_VALUE"""),45868.0)</f>
        <v>45868</v>
      </c>
      <c r="M1197" s="7" t="str">
        <f>IFERROR(__xludf.DUMMYFUNCTION("""COMPUTED_VALUE"""),"11:00-12:30")</f>
        <v>11:00-12:30</v>
      </c>
      <c r="N1197" s="7"/>
    </row>
    <row r="1198">
      <c r="A1198" s="7" t="str">
        <f>IFERROR(__xludf.DUMMYFUNCTION("""COMPUTED_VALUE"""),"4251-FIND")</f>
        <v>4251-FIND</v>
      </c>
      <c r="B1198" s="7" t="str">
        <f>IFERROR(__xludf.DUMMYFUNCTION("""COMPUTED_VALUE"""),"MPBench: A Comprehensive Multimodal Reasoning Benchmark for Process Errors Identification")</f>
        <v>MPBench: A Comprehensive Multimodal Reasoning Benchmark for Process Errors Identification</v>
      </c>
      <c r="C1198" s="7" t="str">
        <f>IFERROR(__xludf.DUMMYFUNCTION("""COMPUTED_VALUE"""),"Reasoning is an essential capacity for large language models (LLMs) to address complex tasks, whereas the identification of process errors is vital for improving this ability. Recently, process-level reward models (PRMs) were proposed to provide step-wise"&amp;" rewards that facilitate reinforcement learning and data production during training and guide LLMs toward correct steps during inference, thereby improving reasoning accuracy. However, existing benchmarks of PRMs are text-based and focus on error detectio"&amp;"n, neglecting other scenarios like reasoning search. To address this gap, we introduce MPBench, a comprehensive, multi-task, multimodal benchmark designed to systematically assess the effectiveness of PRMs in diverse scenarios. MPBench employs three evalu"&amp;"ation paradigms, each targeting a specific role of PRMs in the reasoning process: (1) Step Correctness, which assesses the correctness of each intermediate reasoning step; (2) Answers Aggregation, which aggregates multiple solutions and selects the best o"&amp;"ne; and (3) Reasoning Process Search, which guides the search for optimal reasoning steps during inference. Through these paradigms, MPBench makes comprehensive evaluations and provides insights into the development of multimodal PRMs.")</f>
        <v>Reasoning is an essential capacity for large language models (LLMs) to address complex tasks, whereas the identification of process errors is vital for improving this ability. Recently, process-level reward models (PRMs) were proposed to provide step-wise rewards that facilitate reinforcement learning and data production during training and guide LLMs toward correct steps during inference, thereby improving reasoning accuracy. However, existing benchmarks of PRMs are text-based and focus on error detection, neglecting other scenarios like reasoning search. To address this gap, we introduce MPBench, a comprehensive, multi-task, multimodal benchmark designed to systematically assess the effectiveness of PRMs in diverse scenarios. MPBench employs three evaluation paradigms, each targeting a specific role of PRMs in the reasoning process: (1) Step Correctness, which assesses the correctness of each intermediate reasoning step; (2) Answers Aggregation, which aggregates multiple solutions and selects the best one; and (3) Reasoning Process Search, which guides the search for optimal reasoning steps during inference. Through these paradigms, MPBench makes comprehensive evaluations and provides insights into the development of multimodal PRMs.</v>
      </c>
      <c r="D1198" s="7" t="str">
        <f>IFERROR(__xludf.DUMMYFUNCTION("""COMPUTED_VALUE"""),"Zhaopan Xu")</f>
        <v>Zhaopan Xu</v>
      </c>
      <c r="E1198" s="7" t="str">
        <f>IFERROR(__xludf.DUMMYFUNCTION("""COMPUTED_VALUE"""),"#N/A")</f>
        <v>#N/A</v>
      </c>
      <c r="F1198" s="7" t="str">
        <f>IFERROR(__xludf.DUMMYFUNCTION("""COMPUTED_VALUE"""),"Not Pres. ")</f>
        <v>Not Pres. </v>
      </c>
      <c r="G1198" s="7" t="str">
        <f>IFERROR(__xludf.DUMMYFUNCTION("""COMPUTED_VALUE"""),"NP Findings Not Presenting ")</f>
        <v>NP Findings Not Presenting </v>
      </c>
      <c r="H1198" s="7"/>
      <c r="I1198" s="7" t="str">
        <f>IFERROR(__xludf.DUMMYFUNCTION("""COMPUTED_VALUE"""),"NP-Find")</f>
        <v>NP-Find</v>
      </c>
      <c r="J1198" s="7"/>
      <c r="K1198" s="7"/>
      <c r="L1198" s="8"/>
      <c r="M1198" s="7"/>
      <c r="N1198" s="7"/>
    </row>
    <row r="1199">
      <c r="A1199" s="7" t="str">
        <f>IFERROR(__xludf.DUMMYFUNCTION("""COMPUTED_VALUE"""),"4253-FIND")</f>
        <v>4253-FIND</v>
      </c>
      <c r="B1199" s="7" t="str">
        <f>IFERROR(__xludf.DUMMYFUNCTION("""COMPUTED_VALUE"""),"CRAB: Cross-environment Agent Benchmark for Multimodal Language Model Agents")</f>
        <v>CRAB: Cross-environment Agent Benchmark for Multimodal Language Model Agents</v>
      </c>
      <c r="C1199" s="7" t="str">
        <f>IFERROR(__xludf.DUMMYFUNCTION("""COMPUTED_VALUE"""),"The development of autonomous agents increasingly relies on Multimodal Language Models (MLMs) to perform tasks described in natural language with GUI environments, such as websites, desktop computers, or mobile phones. Existing benchmarks for MLM agents i"&amp;"n interactive environments are limited by their focus on a single environment, lack of detailed and generalized evaluation methods, and the complexities of constructing tasks and evaluators. To overcome these limitations, we introduce CRAB, the first cros"&amp;"s-environment agent benchmark framework, incorporating a graph-based fine-grained evaluation method and an efficient task generation method. Our framework supports multiple devices and can be easily extended to any environment with a Python interface. Lev"&amp;"eraging CRAB, we develope CRAB Benchmark-v0 comprising 120 tasks in computer desktop and mobile phone environments. We evaluated 6 advanced MLMs using different single and multi-agent system configurations on this benchmark. The experimental results demon"&amp;"strate that the single agent with GPT-4o achieves the best completion ratio of 38.01%.")</f>
        <v>The development of autonomous agents increasingly relies on Multimodal Language Models (MLMs) to perform tasks described in natural language with GUI environments, such as websites, desktop computers, or mobile phones. Existing benchmarks for MLM agents in interactive environments are limited by their focus on a single environment, lack of detailed and generalized evaluation methods, and the complexities of constructing tasks and evaluators. To overcome these limitations, we introduce CRAB, the first cross-environment agent benchmark framework, incorporating a graph-based fine-grained evaluation method and an efficient task generation method. Our framework supports multiple devices and can be easily extended to any environment with a Python interface. Leveraging CRAB, we develope CRAB Benchmark-v0 comprising 120 tasks in computer desktop and mobile phone environments. We evaluated 6 advanced MLMs using different single and multi-agent system configurations on this benchmark. The experimental results demonstrate that the single agent with GPT-4o achieves the best completion ratio of 38.01%.</v>
      </c>
      <c r="D1199" s="7" t="str">
        <f>IFERROR(__xludf.DUMMYFUNCTION("""COMPUTED_VALUE"""),"Tianqi Xu")</f>
        <v>Tianqi Xu</v>
      </c>
      <c r="E1199" s="7" t="str">
        <f>IFERROR(__xludf.DUMMYFUNCTION("""COMPUTED_VALUE"""),"Yes")</f>
        <v>Yes</v>
      </c>
      <c r="F1199" s="7" t="str">
        <f>IFERROR(__xludf.DUMMYFUNCTION("""COMPUTED_VALUE"""),"IP-Poster")</f>
        <v>IP-Poster</v>
      </c>
      <c r="G1199" s="7" t="str">
        <f>IFERROR(__xludf.DUMMYFUNCTION("""COMPUTED_VALUE"""),"In-Person")</f>
        <v>In-Person</v>
      </c>
      <c r="H1199" s="7" t="str">
        <f>IFERROR(__xludf.DUMMYFUNCTION("""COMPUTED_VALUE"""),"Hall 4/5")</f>
        <v>Hall 4/5</v>
      </c>
      <c r="I1199" s="7" t="str">
        <f>IFERROR(__xludf.DUMMYFUNCTION("""COMPUTED_VALUE"""),"Session 10: IP-Posters")</f>
        <v>Session 10: IP-Posters</v>
      </c>
      <c r="J1199" s="7" t="str">
        <f>IFERROR(__xludf.DUMMYFUNCTION("""COMPUTED_VALUE"""),"Findings Posters - In-Person 3")</f>
        <v>Findings Posters - In-Person 3</v>
      </c>
      <c r="K1199" s="7"/>
      <c r="L1199" s="8">
        <f>IFERROR(__xludf.DUMMYFUNCTION("""COMPUTED_VALUE"""),45867.0)</f>
        <v>45867</v>
      </c>
      <c r="M1199" s="7" t="str">
        <f>IFERROR(__xludf.DUMMYFUNCTION("""COMPUTED_VALUE"""),"16:00-17:30")</f>
        <v>16:00-17:30</v>
      </c>
      <c r="N1199" s="7"/>
    </row>
    <row r="1200">
      <c r="A1200" s="7" t="str">
        <f>IFERROR(__xludf.DUMMYFUNCTION("""COMPUTED_VALUE"""),"4260-FIND")</f>
        <v>4260-FIND</v>
      </c>
      <c r="B1200" s="7" t="str">
        <f>IFERROR(__xludf.DUMMYFUNCTION("""COMPUTED_VALUE"""),"Towards A “Novel” Benchmark: Evaluating Literary Fiction with Large Language Models")</f>
        <v>Towards A “Novel” Benchmark: Evaluating Literary Fiction with Large Language Models</v>
      </c>
      <c r="C1200" s="7" t="str">
        <f>IFERROR(__xludf.DUMMYFUNCTION("""COMPUTED_VALUE"""),"Current exploration on creative generation focuses mainly on short stories, poetry, and scripts. With the expansion of Large Language Models (LLMs) context windows, ""novel"" avenues emerge. This study aims to extend the boundaries of Natural Language Gen"&amp;"eration (NLG) evaluation by exploring LLMs' capabilities in more challenging long-form fiction. We propose a new multi-level evaluation framework that incorporates ten metrics across the Macro, Meso, and Micro levels. An annotated fiction dataset, sourced"&amp;" from human authors, LLMs, and human-AI collaborations in both English and Chinese is then constructed. Human evaluation reveals notable disparities between LLM-generated and human-authored fictions, particularly the “high-starting, low-ending” pattern in"&amp;" LLM outputs. We further probe ten high-performing LLMs through different prompt templates, achieving moderate correlations by strategically utilizing diverse LLMs tailored to different levels, as an initial step towards better automatic fiction evaluatio"&amp;"n. Finally, we offer a fine-grained analysis of LLMs capabilities through six issues, providing promising insights for future advancements.")</f>
        <v>Current exploration on creative generation focuses mainly on short stories, poetry, and scripts. With the expansion of Large Language Models (LLMs) context windows, "novel" avenues emerge. This study aims to extend the boundaries of Natural Language Generation (NLG) evaluation by exploring LLMs' capabilities in more challenging long-form fiction. We propose a new multi-level evaluation framework that incorporates ten metrics across the Macro, Meso, and Micro levels. An annotated fiction dataset, sourced from human authors, LLMs, and human-AI collaborations in both English and Chinese is then constructed. Human evaluation reveals notable disparities between LLM-generated and human-authored fictions, particularly the “high-starting, low-ending” pattern in LLM outputs. We further probe ten high-performing LLMs through different prompt templates, achieving moderate correlations by strategically utilizing diverse LLMs tailored to different levels, as an initial step towards better automatic fiction evaluation. Finally, we offer a fine-grained analysis of LLMs capabilities through six issues, providing promising insights for future advancements.</v>
      </c>
      <c r="D1200" s="7" t="str">
        <f>IFERROR(__xludf.DUMMYFUNCTION("""COMPUTED_VALUE"""),"Wenqing Wang")</f>
        <v>Wenqing Wang</v>
      </c>
      <c r="E1200" s="7" t="str">
        <f>IFERROR(__xludf.DUMMYFUNCTION("""COMPUTED_VALUE"""),"Yes")</f>
        <v>Yes</v>
      </c>
      <c r="F1200" s="7" t="str">
        <f>IFERROR(__xludf.DUMMYFUNCTION("""COMPUTED_VALUE"""),"IP-Poster")</f>
        <v>IP-Poster</v>
      </c>
      <c r="G1200" s="7" t="str">
        <f>IFERROR(__xludf.DUMMYFUNCTION("""COMPUTED_VALUE"""),"In-Person")</f>
        <v>In-Person</v>
      </c>
      <c r="H1200" s="7" t="str">
        <f>IFERROR(__xludf.DUMMYFUNCTION("""COMPUTED_VALUE"""),"Hall 4/5")</f>
        <v>Hall 4/5</v>
      </c>
      <c r="I1200" s="7" t="str">
        <f>IFERROR(__xludf.DUMMYFUNCTION("""COMPUTED_VALUE"""),"Session 10: IP-Posters")</f>
        <v>Session 10: IP-Posters</v>
      </c>
      <c r="J1200" s="7" t="str">
        <f>IFERROR(__xludf.DUMMYFUNCTION("""COMPUTED_VALUE"""),"Findings Posters - In-Person 3")</f>
        <v>Findings Posters - In-Person 3</v>
      </c>
      <c r="K1200" s="7"/>
      <c r="L1200" s="8">
        <f>IFERROR(__xludf.DUMMYFUNCTION("""COMPUTED_VALUE"""),45867.0)</f>
        <v>45867</v>
      </c>
      <c r="M1200" s="7" t="str">
        <f>IFERROR(__xludf.DUMMYFUNCTION("""COMPUTED_VALUE"""),"16:00-17:30")</f>
        <v>16:00-17:30</v>
      </c>
      <c r="N1200" s="7"/>
    </row>
    <row r="1201">
      <c r="A1201" s="7" t="str">
        <f>IFERROR(__xludf.DUMMYFUNCTION("""COMPUTED_VALUE"""),"4266-FIND")</f>
        <v>4266-FIND</v>
      </c>
      <c r="B1201" s="7" t="str">
        <f>IFERROR(__xludf.DUMMYFUNCTION("""COMPUTED_VALUE"""),"A Reinforcement Learning Framework for Cross-Lingual Stance Detection Using Chain-of-Thought Alignment")</f>
        <v>A Reinforcement Learning Framework for Cross-Lingual Stance Detection Using Chain-of-Thought Alignment</v>
      </c>
      <c r="C1201" s="7" t="str">
        <f>IFERROR(__xludf.DUMMYFUNCTION("""COMPUTED_VALUE"""),"Cross-lingual stance detection identifies users' attitudes toward specific targets in texts by transferring knowledge from source (high-resource) languages to target (low-resource) languages. Previous studies have typically facilitated this transfer by tr"&amp;"anslating and aligning labels or targets. However, these methods cannot effectively perform cross-lingual transfer of the complex reasoning processes in stance detection. To address this challenge, we propose a reinforcement learning framework using cross"&amp;"-lingual Chain-of-Thought (CoT) alignment, referred to as RCCA. Specifically, we adopt a cross-lingual CoT alignment strategy to obtain the high-quality CoTs generated from target language inputs. After that, we leverage reinforcement learning by sampling"&amp;" CoTs and assigning rewards according to predefined rules, aiming to enhance the model’s generalization capabilities in the target language. Experimental results on four multilingual datasets demonstrate that our approach outperforms competitive methods.")</f>
        <v>Cross-lingual stance detection identifies users' attitudes toward specific targets in texts by transferring knowledge from source (high-resource) languages to target (low-resource) languages. Previous studies have typically facilitated this transfer by translating and aligning labels or targets. However, these methods cannot effectively perform cross-lingual transfer of the complex reasoning processes in stance detection. To address this challenge, we propose a reinforcement learning framework using cross-lingual Chain-of-Thought (CoT) alignment, referred to as RCCA. Specifically, we adopt a cross-lingual CoT alignment strategy to obtain the high-quality CoTs generated from target language inputs. After that, we leverage reinforcement learning by sampling CoTs and assigning rewards according to predefined rules, aiming to enhance the model’s generalization capabilities in the target language. Experimental results on four multilingual datasets demonstrate that our approach outperforms competitive methods.</v>
      </c>
      <c r="D1201" s="7" t="str">
        <f>IFERROR(__xludf.DUMMYFUNCTION("""COMPUTED_VALUE"""),"Binghui Li")</f>
        <v>Binghui Li</v>
      </c>
      <c r="E1201" s="7" t="str">
        <f>IFERROR(__xludf.DUMMYFUNCTION("""COMPUTED_VALUE"""),"#N/A")</f>
        <v>#N/A</v>
      </c>
      <c r="F1201" s="7" t="str">
        <f>IFERROR(__xludf.DUMMYFUNCTION("""COMPUTED_VALUE"""),"Not Pres. ")</f>
        <v>Not Pres. </v>
      </c>
      <c r="G1201" s="7" t="str">
        <f>IFERROR(__xludf.DUMMYFUNCTION("""COMPUTED_VALUE"""),"NP Findings Not Presenting ")</f>
        <v>NP Findings Not Presenting </v>
      </c>
      <c r="H1201" s="7"/>
      <c r="I1201" s="7" t="str">
        <f>IFERROR(__xludf.DUMMYFUNCTION("""COMPUTED_VALUE"""),"NP-Find")</f>
        <v>NP-Find</v>
      </c>
      <c r="J1201" s="7"/>
      <c r="K1201" s="7"/>
      <c r="L1201" s="8"/>
      <c r="M1201" s="7"/>
      <c r="N1201" s="7"/>
    </row>
    <row r="1202">
      <c r="A1202" s="7" t="str">
        <f>IFERROR(__xludf.DUMMYFUNCTION("""COMPUTED_VALUE"""),"4267-FIND")</f>
        <v>4267-FIND</v>
      </c>
      <c r="B1202" s="7" t="str">
        <f>IFERROR(__xludf.DUMMYFUNCTION("""COMPUTED_VALUE"""),"CARE-STaR: Constraint-aware Self-taught Reasoner")</f>
        <v>CARE-STaR: Constraint-aware Self-taught Reasoner</v>
      </c>
      <c r="C1202" s="7" t="str">
        <f>IFERROR(__xludf.DUMMYFUNCTION("""COMPUTED_VALUE"""),"In real-world applications, large language models (LLMs) often need to handle diverse and complex instructions. Specifically, when instructions are subject to multiple constraints, some of which are somewhat ambiguous, LLMs often fail to produce answers t"&amp;"hat satisfy all constraints, limiting their effectiveness in various tasks. To address this challenge, we examine the different constraints in the instructions and discover that the difficulty of determining whether an answer meets a constraint varies wid"&amp;"ely, from extremely straightforward to exceptionally perplexing. Correspondingly, we propose to assign constraints to different constraint levels. Furthermore, inspired by chain-of-thought (CoT) and self-taught reasoner (STaR), we propose a two-stage meth"&amp;"od named CARE-STaR (Constraint-AwaRE STaR). Our method distinguishes constraints within instructions by generating different CoTs and guides LLMs to autonomously learn optimal answers by setting the positive rewards to the CoTs that are beneficial to gene"&amp;"rating accurate answers and iteratively optimizing these answers. We have conducted extensive experiments on three instruction-following benchmarks, taking three existing LLMs as base LLMs, respectively. Experimental results indicate that our method subst"&amp;"antially enhances the capability of these LLMs to handle complex instructions, outperforming supervised fine-tuning (SFT). Our code is available at https://github.com/lzl0124/carestar.")</f>
        <v>In real-world applications, large language models (LLMs) often need to handle diverse and complex instructions. Specifically, when instructions are subject to multiple constraints, some of which are somewhat ambiguous, LLMs often fail to produce answers that satisfy all constraints, limiting their effectiveness in various tasks. To address this challenge, we examine the different constraints in the instructions and discover that the difficulty of determining whether an answer meets a constraint varies widely, from extremely straightforward to exceptionally perplexing. Correspondingly, we propose to assign constraints to different constraint levels. Furthermore, inspired by chain-of-thought (CoT) and self-taught reasoner (STaR), we propose a two-stage method named CARE-STaR (Constraint-AwaRE STaR). Our method distinguishes constraints within instructions by generating different CoTs and guides LLMs to autonomously learn optimal answers by setting the positive rewards to the CoTs that are beneficial to generating accurate answers and iteratively optimizing these answers. We have conducted extensive experiments on three instruction-following benchmarks, taking three existing LLMs as base LLMs, respectively. Experimental results indicate that our method substantially enhances the capability of these LLMs to handle complex instructions, outperforming supervised fine-tuning (SFT). Our code is available at https://github.com/lzl0124/carestar.</v>
      </c>
      <c r="D1202" s="7" t="str">
        <f>IFERROR(__xludf.DUMMYFUNCTION("""COMPUTED_VALUE"""),"Zhiliang Li")</f>
        <v>Zhiliang Li</v>
      </c>
      <c r="E1202" s="7" t="str">
        <f>IFERROR(__xludf.DUMMYFUNCTION("""COMPUTED_VALUE"""),"Yes")</f>
        <v>Yes</v>
      </c>
      <c r="F1202" s="7" t="str">
        <f>IFERROR(__xludf.DUMMYFUNCTION("""COMPUTED_VALUE"""),"IP-Poster")</f>
        <v>IP-Poster</v>
      </c>
      <c r="G1202" s="7" t="str">
        <f>IFERROR(__xludf.DUMMYFUNCTION("""COMPUTED_VALUE"""),"In-Person")</f>
        <v>In-Person</v>
      </c>
      <c r="H1202" s="7" t="str">
        <f>IFERROR(__xludf.DUMMYFUNCTION("""COMPUTED_VALUE"""),"Hall 4/5")</f>
        <v>Hall 4/5</v>
      </c>
      <c r="I1202" s="7" t="str">
        <f>IFERROR(__xludf.DUMMYFUNCTION("""COMPUTED_VALUE"""),"Session 12: IP-Posters")</f>
        <v>Session 12: IP-Posters</v>
      </c>
      <c r="J1202" s="7" t="str">
        <f>IFERROR(__xludf.DUMMYFUNCTION("""COMPUTED_VALUE"""),"Findings Posters - In-Person 4")</f>
        <v>Findings Posters - In-Person 4</v>
      </c>
      <c r="K1202" s="7"/>
      <c r="L1202" s="8">
        <f>IFERROR(__xludf.DUMMYFUNCTION("""COMPUTED_VALUE"""),45868.0)</f>
        <v>45868</v>
      </c>
      <c r="M1202" s="7" t="str">
        <f>IFERROR(__xludf.DUMMYFUNCTION("""COMPUTED_VALUE"""),"11:00-12:30")</f>
        <v>11:00-12:30</v>
      </c>
      <c r="N1202" s="7"/>
    </row>
    <row r="1203">
      <c r="A1203" s="7" t="str">
        <f>IFERROR(__xludf.DUMMYFUNCTION("""COMPUTED_VALUE"""),"4268-FIND")</f>
        <v>4268-FIND</v>
      </c>
      <c r="B1203" s="7" t="str">
        <f>IFERROR(__xludf.DUMMYFUNCTION("""COMPUTED_VALUE"""),"Is It JUST Semantics? A Case Study of Discourse Particle Understanding in LLMs")</f>
        <v>Is It JUST Semantics? A Case Study of Discourse Particle Understanding in LLMs</v>
      </c>
      <c r="C1203" s="7" t="str">
        <f>IFERROR(__xludf.DUMMYFUNCTION("""COMPUTED_VALUE"""),"Discourse particles are crucial elements that subtly shape the meaning of text.  These words, often polyfunctional, give rise to nuanced and often quite disparate semantic/discourse effects,
as exemplified by the diverse uses of the particle *just* (e.g.,"&amp;" exclusive, temporal, emphatic).  
This work investigates the capacity of LLMs to distinguish the fine-grained senses of English *just*, a well-studied example in formal semantics, using data meticulously created and labeled by expert linguists. Our findi"&amp;"ngs reveal that while LLMs exhibit some ability to differentiate between broader categories, they struggle to fully capture more subtle nuances, highlighting a gap in their understanding of discourse particles.")</f>
        <v>Discourse particles are crucial elements that subtly shape the meaning of text.  These words, often polyfunctional, give rise to nuanced and often quite disparate semantic/discourse effects,
as exemplified by the diverse uses of the particle *just* (e.g., exclusive, temporal, emphatic).  
This work investigates the capacity of LLMs to distinguish the fine-grained senses of English *just*, a well-studied example in formal semantics, using data meticulously created and labeled by expert linguists. Our findings reveal that while LLMs exhibit some ability to differentiate between broader categories, they struggle to fully capture more subtle nuances, highlighting a gap in their understanding of discourse particles.</v>
      </c>
      <c r="D1203" s="7" t="str">
        <f>IFERROR(__xludf.DUMMYFUNCTION("""COMPUTED_VALUE"""),"William Sheffield")</f>
        <v>William Sheffield</v>
      </c>
      <c r="E1203" s="7" t="str">
        <f>IFERROR(__xludf.DUMMYFUNCTION("""COMPUTED_VALUE"""),"Yes")</f>
        <v>Yes</v>
      </c>
      <c r="F1203" s="7" t="str">
        <f>IFERROR(__xludf.DUMMYFUNCTION("""COMPUTED_VALUE"""),"IP-Poster")</f>
        <v>IP-Poster</v>
      </c>
      <c r="G1203" s="7" t="str">
        <f>IFERROR(__xludf.DUMMYFUNCTION("""COMPUTED_VALUE"""),"In-Person")</f>
        <v>In-Person</v>
      </c>
      <c r="H1203" s="7" t="str">
        <f>IFERROR(__xludf.DUMMYFUNCTION("""COMPUTED_VALUE"""),"Hall 4/5")</f>
        <v>Hall 4/5</v>
      </c>
      <c r="I1203" s="7" t="str">
        <f>IFERROR(__xludf.DUMMYFUNCTION("""COMPUTED_VALUE"""),"Session 5 :IP-Posters Find ")</f>
        <v>Session 5 :IP-Posters Find </v>
      </c>
      <c r="J1203" s="7" t="str">
        <f>IFERROR(__xludf.DUMMYFUNCTION("""COMPUTED_VALUE"""),"Findings Posters - In-Person 1")</f>
        <v>Findings Posters - In-Person 1</v>
      </c>
      <c r="K1203" s="7"/>
      <c r="L1203" s="8">
        <f>IFERROR(__xludf.DUMMYFUNCTION("""COMPUTED_VALUE"""),45866.0)</f>
        <v>45866</v>
      </c>
      <c r="M1203" s="7" t="str">
        <f>IFERROR(__xludf.DUMMYFUNCTION("""COMPUTED_VALUE"""),"18:00-19:30")</f>
        <v>18:00-19:30</v>
      </c>
      <c r="N1203" s="7"/>
    </row>
    <row r="1204">
      <c r="A1204" s="7" t="str">
        <f>IFERROR(__xludf.DUMMYFUNCTION("""COMPUTED_VALUE"""),"4269-FIND")</f>
        <v>4269-FIND</v>
      </c>
      <c r="B1204" s="7" t="str">
        <f>IFERROR(__xludf.DUMMYFUNCTION("""COMPUTED_VALUE"""),"War of Thoughts: Competition Stimulates Stronger Reasoning in Large Language Models")</f>
        <v>War of Thoughts: Competition Stimulates Stronger Reasoning in Large Language Models</v>
      </c>
      <c r="C1204" s="7" t="str">
        <f>IFERROR(__xludf.DUMMYFUNCTION("""COMPUTED_VALUE"""),"Recent advances in Large Language Models (LLMs) have reshaped the landscape of reasoning tasks, particularly through test-time scaling (TTS) to enhance LLM reasoning. Prior research has used structures such as trees or graphs to guide LLMs in searching fo"&amp;"r optimal solutions. These methods are time-consuming and require a strong reward model (RM) to support effective solution space exploration. Tournament-style approaches eliminate the reliance on RMs through comparative evaluation but suffer from transiti"&amp;"vity dilemmas, leading to unstable ordering. To address these issues, we propose War of Thoughts (**WoT**), a novel post-hoc method that enhances reasoning without finetuning. WoT comprises two distinct stages: (1) *Exploration*, in which diverse and mean"&amp;"ingful candidate solutions are generated through contrastive demonstrations and multi-granularity reasoning specifications; and (2) *Competition*, where these candidate solutions are subjected to multiple rounds of matchups within a competitive arena. Thr"&amp;"oughout this iterative process, the solutions are optimized and improved, with the optimal solution being determined based on Elo ratings. Extensive experiments across various LLMs demonstrate the superiority of WoT, surpassing baselines by **10–30%**. Wo"&amp;"T can effectively stimulate stronger reasoning abilities, achieving impressive TTS performance in both generation budget and model size. It shows higher scalability efficiency compared to the baseline within the same budget. Notably, WoT exhibits excellen"&amp;"t scalability with model size, even outperforming a 72B model despite using a 7B model.")</f>
        <v>Recent advances in Large Language Models (LLMs) have reshaped the landscape of reasoning tasks, particularly through test-time scaling (TTS) to enhance LLM reasoning. Prior research has used structures such as trees or graphs to guide LLMs in searching for optimal solutions. These methods are time-consuming and require a strong reward model (RM) to support effective solution space exploration. Tournament-style approaches eliminate the reliance on RMs through comparative evaluation but suffer from transitivity dilemmas, leading to unstable ordering. To address these issues, we propose War of Thoughts (**WoT**), a novel post-hoc method that enhances reasoning without finetuning. WoT comprises two distinct stages: (1) *Exploration*, in which diverse and meaningful candidate solutions are generated through contrastive demonstrations and multi-granularity reasoning specifications; and (2) *Competition*, where these candidate solutions are subjected to multiple rounds of matchups within a competitive arena. Throughout this iterative process, the solutions are optimized and improved, with the optimal solution being determined based on Elo ratings. Extensive experiments across various LLMs demonstrate the superiority of WoT, surpassing baselines by **10–30%**. WoT can effectively stimulate stronger reasoning abilities, achieving impressive TTS performance in both generation budget and model size. It shows higher scalability efficiency compared to the baseline within the same budget. Notably, WoT exhibits excellent scalability with model size, even outperforming a 72B model despite using a 7B model.</v>
      </c>
      <c r="D1204" s="7" t="str">
        <f>IFERROR(__xludf.DUMMYFUNCTION("""COMPUTED_VALUE"""),"Yibin Chen")</f>
        <v>Yibin Chen</v>
      </c>
      <c r="E1204" s="7" t="str">
        <f>IFERROR(__xludf.DUMMYFUNCTION("""COMPUTED_VALUE"""),"#N/A")</f>
        <v>#N/A</v>
      </c>
      <c r="F1204" s="7" t="str">
        <f>IFERROR(__xludf.DUMMYFUNCTION("""COMPUTED_VALUE"""),"Not Pres. ")</f>
        <v>Not Pres. </v>
      </c>
      <c r="G1204" s="7" t="str">
        <f>IFERROR(__xludf.DUMMYFUNCTION("""COMPUTED_VALUE"""),"NP Findings Not Presenting ")</f>
        <v>NP Findings Not Presenting </v>
      </c>
      <c r="H1204" s="7"/>
      <c r="I1204" s="7" t="str">
        <f>IFERROR(__xludf.DUMMYFUNCTION("""COMPUTED_VALUE"""),"NP-Find")</f>
        <v>NP-Find</v>
      </c>
      <c r="J1204" s="7"/>
      <c r="K1204" s="7"/>
      <c r="L1204" s="8"/>
      <c r="M1204" s="7"/>
      <c r="N1204" s="7"/>
    </row>
    <row r="1205">
      <c r="A1205" s="7" t="str">
        <f>IFERROR(__xludf.DUMMYFUNCTION("""COMPUTED_VALUE"""),"4275-FIND")</f>
        <v>4275-FIND</v>
      </c>
      <c r="B1205" s="7" t="str">
        <f>IFERROR(__xludf.DUMMYFUNCTION("""COMPUTED_VALUE"""),"Does Rationale Quality Matter? Enhancing Mental Disorder Detection via Selective Reasoning Distillation")</f>
        <v>Does Rationale Quality Matter? Enhancing Mental Disorder Detection via Selective Reasoning Distillation</v>
      </c>
      <c r="C1205" s="7" t="str">
        <f>IFERROR(__xludf.DUMMYFUNCTION("""COMPUTED_VALUE"""),"The detection of mental health problems from social media and the interpretation of these results have been extensively explored. Research has shown that incorporating clinical symptom information into a model enhances domain expertise, improving its dete"&amp;"ction and interpretation performance. While large language models (LLMs) are shown to be effective for generating explanatory rationales in mental health detection, their substantially big parameter size and high computational cost limit their practicalit"&amp;"y. Reasoning distillation transfers this ability to smaller language models (SLMs), but inconsistencies in the relevance and domain alignment of LLM-generated rationales pose a challenge. This paper investigates how rationale quality impacts SLM performan"&amp;"ce in mental health detection and explanation generation. We hypothesize that ensuring high-quality and domain-relevant rationales enhances the distillation. To this end, we propose a framework that selects rationales based on their alignment with expert "&amp;"clinical reasoning. Experiments show that our quality-focused approach significantly enhances SLM performance in both mental disorder detection and rationale generation. This work highlights the importance of rationale quality and offers an insightful fra"&amp;"mework for knowledge transfer in mental health applications.")</f>
        <v>The detection of mental health problems from social media and the interpretation of these results have been extensively explored. Research has shown that incorporating clinical symptom information into a model enhances domain expertise, improving its detection and interpretation performance. While large language models (LLMs) are shown to be effective for generating explanatory rationales in mental health detection, their substantially big parameter size and high computational cost limit their practicality. Reasoning distillation transfers this ability to smaller language models (SLMs), but inconsistencies in the relevance and domain alignment of LLM-generated rationales pose a challenge. This paper investigates how rationale quality impacts SLM performance in mental health detection and explanation generation. We hypothesize that ensuring high-quality and domain-relevant rationales enhances the distillation. To this end, we propose a framework that selects rationales based on their alignment with expert clinical reasoning. Experiments show that our quality-focused approach significantly enhances SLM performance in both mental disorder detection and rationale generation. This work highlights the importance of rationale quality and offers an insightful framework for knowledge transfer in mental health applications.</v>
      </c>
      <c r="D1205" s="7" t="str">
        <f>IFERROR(__xludf.DUMMYFUNCTION("""COMPUTED_VALUE"""),"Hoyun Song")</f>
        <v>Hoyun Song</v>
      </c>
      <c r="E1205" s="7" t="str">
        <f>IFERROR(__xludf.DUMMYFUNCTION("""COMPUTED_VALUE"""),"Yes")</f>
        <v>Yes</v>
      </c>
      <c r="F1205" s="7" t="str">
        <f>IFERROR(__xludf.DUMMYFUNCTION("""COMPUTED_VALUE"""),"IP-Poster")</f>
        <v>IP-Poster</v>
      </c>
      <c r="G1205" s="7" t="str">
        <f>IFERROR(__xludf.DUMMYFUNCTION("""COMPUTED_VALUE"""),"In-Person")</f>
        <v>In-Person</v>
      </c>
      <c r="H1205" s="7" t="str">
        <f>IFERROR(__xludf.DUMMYFUNCTION("""COMPUTED_VALUE"""),"Hall 4/5")</f>
        <v>Hall 4/5</v>
      </c>
      <c r="I1205" s="7" t="str">
        <f>IFERROR(__xludf.DUMMYFUNCTION("""COMPUTED_VALUE"""),"Session 12: IP-Posters")</f>
        <v>Session 12: IP-Posters</v>
      </c>
      <c r="J1205" s="7" t="str">
        <f>IFERROR(__xludf.DUMMYFUNCTION("""COMPUTED_VALUE"""),"Findings Posters - In-Person 4")</f>
        <v>Findings Posters - In-Person 4</v>
      </c>
      <c r="K1205" s="7"/>
      <c r="L1205" s="8">
        <f>IFERROR(__xludf.DUMMYFUNCTION("""COMPUTED_VALUE"""),45868.0)</f>
        <v>45868</v>
      </c>
      <c r="M1205" s="7" t="str">
        <f>IFERROR(__xludf.DUMMYFUNCTION("""COMPUTED_VALUE"""),"11:00-12:30")</f>
        <v>11:00-12:30</v>
      </c>
      <c r="N1205" s="7"/>
    </row>
    <row r="1206">
      <c r="A1206" s="7" t="str">
        <f>IFERROR(__xludf.DUMMYFUNCTION("""COMPUTED_VALUE"""),"4280-FIND")</f>
        <v>4280-FIND</v>
      </c>
      <c r="B1206" s="7" t="str">
        <f>IFERROR(__xludf.DUMMYFUNCTION("""COMPUTED_VALUE"""),"Rethinking Table Instruction Tuning")</f>
        <v>Rethinking Table Instruction Tuning</v>
      </c>
      <c r="C1206" s="7" t="str">
        <f>IFERROR(__xludf.DUMMYFUNCTION("""COMPUTED_VALUE"""),"Recent advances in table understanding have focused on instruction-tuning large language models (LLMs) for table-related tasks. However, existing research has overlooked the impact of hyperparameter choices and lacks a comprehensive evaluation of the out-"&amp;"of-domain table understanding ability and the general capabilities of these table LLMs. In this paper, we evaluate these abilities in existing table LLMs, and reveal significant declines in both out-of-domain table understanding and general capabilities c"&amp;"ompared to their base models. Through systematic analysis, we show that hyperparameters, such as learning rate, can significantly influence both table-specific and general capabilities. Contrary to the existing table instruction-tuning works, we demonstra"&amp;"te that smaller learning rates and fewer training instances can enhance table understanding while preserving general capabilities. Based on our findings, we introduce TAMA, a TAble LLM instruction-tuned from LLaMA 3.1 8B Instruct, which achieves performan"&amp;"ce on par with, or surpassing GPT-3.5 and GPT-4 on table tasks, while maintaining strong out-of-domain generalization and general capabilities. Our findings highlight the potential for reduced data annotation costs and more efficient model development thr"&amp;"ough careful hyperparameter selection.")</f>
        <v>Recent advances in table understanding have focused on instruction-tuning large language models (LLMs) for table-related tasks. However, existing research has overlooked the impact of hyperparameter choices and lacks a comprehensive evaluation of the out-of-domain table understanding ability and the general capabilities of these table LLMs. In this paper, we evaluate these abilities in existing table LLMs, and reveal significant declines in both out-of-domain table understanding and general capabilities compared to their base models. Through systematic analysis, we show that hyperparameters, such as learning rate, can significantly influence both table-specific and general capabilities. Contrary to the existing table instruction-tuning works, we demonstrate that smaller learning rates and fewer training instances can enhance table understanding while preserving general capabilities. Based on our findings, we introduce TAMA, a TAble LLM instruction-tuned from LLaMA 3.1 8B Instruct, which achieves performance on par with, or surpassing GPT-3.5 and GPT-4 on table tasks, while maintaining strong out-of-domain generalization and general capabilities. Our findings highlight the potential for reduced data annotation costs and more efficient model development through careful hyperparameter selection.</v>
      </c>
      <c r="D1206" s="7" t="str">
        <f>IFERROR(__xludf.DUMMYFUNCTION("""COMPUTED_VALUE"""),"Rada Mihalcea")</f>
        <v>Rada Mihalcea</v>
      </c>
      <c r="E1206" s="7" t="str">
        <f>IFERROR(__xludf.DUMMYFUNCTION("""COMPUTED_VALUE"""),"Yes")</f>
        <v>Yes</v>
      </c>
      <c r="F1206" s="7" t="str">
        <f>IFERROR(__xludf.DUMMYFUNCTION("""COMPUTED_VALUE"""),"IP-Poster")</f>
        <v>IP-Poster</v>
      </c>
      <c r="G1206" s="7" t="str">
        <f>IFERROR(__xludf.DUMMYFUNCTION("""COMPUTED_VALUE"""),"In-Person")</f>
        <v>In-Person</v>
      </c>
      <c r="H1206" s="7" t="str">
        <f>IFERROR(__xludf.DUMMYFUNCTION("""COMPUTED_VALUE"""),"Hall 4/5")</f>
        <v>Hall 4/5</v>
      </c>
      <c r="I1206" s="7" t="str">
        <f>IFERROR(__xludf.DUMMYFUNCTION("""COMPUTED_VALUE"""),"Session 5 :IP-Posters Find ")</f>
        <v>Session 5 :IP-Posters Find </v>
      </c>
      <c r="J1206" s="7" t="str">
        <f>IFERROR(__xludf.DUMMYFUNCTION("""COMPUTED_VALUE"""),"Findings Posters - In-Person 1")</f>
        <v>Findings Posters - In-Person 1</v>
      </c>
      <c r="K1206" s="7"/>
      <c r="L1206" s="8">
        <f>IFERROR(__xludf.DUMMYFUNCTION("""COMPUTED_VALUE"""),45866.0)</f>
        <v>45866</v>
      </c>
      <c r="M1206" s="7" t="str">
        <f>IFERROR(__xludf.DUMMYFUNCTION("""COMPUTED_VALUE"""),"18:00-19:30")</f>
        <v>18:00-19:30</v>
      </c>
      <c r="N1206" s="7"/>
    </row>
    <row r="1207">
      <c r="A1207" s="7" t="str">
        <f>IFERROR(__xludf.DUMMYFUNCTION("""COMPUTED_VALUE"""),"4282-FIND")</f>
        <v>4282-FIND</v>
      </c>
      <c r="B1207" s="7" t="str">
        <f>IFERROR(__xludf.DUMMYFUNCTION("""COMPUTED_VALUE"""),"CliniDial: A Naturally Emerged Multimodal Dialogue Dataset for Team Reflection During Clinical Operation")</f>
        <v>CliniDial: A Naturally Emerged Multimodal Dialogue Dataset for Team Reflection During Clinical Operation</v>
      </c>
      <c r="C1207" s="7" t="str">
        <f>IFERROR(__xludf.DUMMYFUNCTION("""COMPUTED_VALUE"""),"In clinical operations, teamwork can be the crucial factor that determines the final outcome. Prior studies have shown that sufficient collaboration is the key factor that determines the outcome of an operation. To understand how the team practices teamwo"&amp;"rk during the operation, we collected CliniDial from simulations of medical operations. CliniDial includes the audio data and its transcriptions, the simulated physiology signals of the patient manikins, and how the team operates from two camera angles. W"&amp;"e annotate behavior codes following an existing framework to understand the teamwork process for CliniDial. We pinpoint three main characteristics of our dataset, including its label imbalances, rich and natural interactions, and multiple modalities, and "&amp;"conduct experiments to test existing LLMs' capabilities on handling data with these characteristics. Experimental results show that CliniDial poses significant challenges to the existing models, inviting future effort on developing domain-specific models "&amp;"that can deal with real-world clinical data.")</f>
        <v>In clinical operations, teamwork can be the crucial factor that determines the final outcome. Prior studies have shown that sufficient collaboration is the key factor that determines the outcome of an operation. To understand how the team practices teamwork during the operation, we collected CliniDial from simulations of medical operations. CliniDial includes the audio data and its transcriptions, the simulated physiology signals of the patient manikins, and how the team operates from two camera angles. We annotate behavior codes following an existing framework to understand the teamwork process for CliniDial. We pinpoint three main characteristics of our dataset, including its label imbalances, rich and natural interactions, and multiple modalities, and conduct experiments to test existing LLMs' capabilities on handling data with these characteristics. Experimental results show that CliniDial poses significant challenges to the existing models, inviting future effort on developing domain-specific models that can deal with real-world clinical data.</v>
      </c>
      <c r="D1207" s="7" t="str">
        <f>IFERROR(__xludf.DUMMYFUNCTION("""COMPUTED_VALUE"""),"Mohamed Abouelenien")</f>
        <v>Mohamed Abouelenien</v>
      </c>
      <c r="E1207" s="7" t="str">
        <f>IFERROR(__xludf.DUMMYFUNCTION("""COMPUTED_VALUE"""),"Yes")</f>
        <v>Yes</v>
      </c>
      <c r="F1207" s="7" t="str">
        <f>IFERROR(__xludf.DUMMYFUNCTION("""COMPUTED_VALUE"""),"IP-Poster")</f>
        <v>IP-Poster</v>
      </c>
      <c r="G1207" s="7" t="str">
        <f>IFERROR(__xludf.DUMMYFUNCTION("""COMPUTED_VALUE"""),"In-Person")</f>
        <v>In-Person</v>
      </c>
      <c r="H1207" s="7" t="str">
        <f>IFERROR(__xludf.DUMMYFUNCTION("""COMPUTED_VALUE"""),"Hall 4/5")</f>
        <v>Hall 4/5</v>
      </c>
      <c r="I1207" s="7" t="str">
        <f>IFERROR(__xludf.DUMMYFUNCTION("""COMPUTED_VALUE"""),"Session 5 :IP-Posters Find ")</f>
        <v>Session 5 :IP-Posters Find </v>
      </c>
      <c r="J1207" s="7" t="str">
        <f>IFERROR(__xludf.DUMMYFUNCTION("""COMPUTED_VALUE"""),"Findings Posters - In-Person 1")</f>
        <v>Findings Posters - In-Person 1</v>
      </c>
      <c r="K1207" s="7"/>
      <c r="L1207" s="8">
        <f>IFERROR(__xludf.DUMMYFUNCTION("""COMPUTED_VALUE"""),45866.0)</f>
        <v>45866</v>
      </c>
      <c r="M1207" s="7" t="str">
        <f>IFERROR(__xludf.DUMMYFUNCTION("""COMPUTED_VALUE"""),"18:00-19:30")</f>
        <v>18:00-19:30</v>
      </c>
      <c r="N1207" s="7"/>
    </row>
    <row r="1208">
      <c r="A1208" s="7" t="str">
        <f>IFERROR(__xludf.DUMMYFUNCTION("""COMPUTED_VALUE"""),"4284-FIND")</f>
        <v>4284-FIND</v>
      </c>
      <c r="B1208" s="7" t="str">
        <f>IFERROR(__xludf.DUMMYFUNCTION("""COMPUTED_VALUE"""),"Chumor 2.0: Towards Better Benchmarking Chinese Humor Understanding")</f>
        <v>Chumor 2.0: Towards Better Benchmarking Chinese Humor Understanding</v>
      </c>
      <c r="C1208" s="7" t="str">
        <f>IFERROR(__xludf.DUMMYFUNCTION("""COMPUTED_VALUE"""),"Existing humor datasets and evaluations predominantly focus on English, leaving limited resources for culturally nuanced humor in non-English languages like Chinese. To address this gap, we construct **Chumor**, the first and the largest Chinese humor exp"&amp;"lanation dataset. **Chumor** is sourced from Ruo Zhi Ba (RZB, 弱智吧), a Chinese Reddit-like platform known for sharing intellectually challenging and culturally specific jokes. We test ten LLMs through direct and chain-of-thought prompting, revealing that *"&amp;"*Chumor** poses significant challenges to existing LLMs, with their accuracy slightly above random and far below human. In addition, our analysis highlights that human-annotated humor explanations are significantly better than those generated by GPT-4o an"&amp;"d ERNIE4-turbo. We release **Chumor** at https://huggingface.co/datasets/MichiganNLP/Chumor , our project page is at https://github.com/MichiganNLP/Chumor-2.0 , our leaderboard is at https://huggingface.co/spaces/MichiganNLP/Chumor-leaderboard , and our c"&amp;"odebase is at https://github.com/MichiganNLP/Chumor-2.0 .")</f>
        <v>Existing humor datasets and evaluations predominantly focus on English, leaving limited resources for culturally nuanced humor in non-English languages like Chinese. To address this gap, we construct **Chumor**, the first and the largest Chinese humor explanation dataset. **Chumor** is sourced from Ruo Zhi Ba (RZB, 弱智吧), a Chinese Reddit-like platform known for sharing intellectually challenging and culturally specific jokes. We test ten LLMs through direct and chain-of-thought prompting, revealing that **Chumor** poses significant challenges to existing LLMs, with their accuracy slightly above random and far below human. In addition, our analysis highlights that human-annotated humor explanations are significantly better than those generated by GPT-4o and ERNIE4-turbo. We release **Chumor** at https://huggingface.co/datasets/MichiganNLP/Chumor , our project page is at https://github.com/MichiganNLP/Chumor-2.0 , our leaderboard is at https://huggingface.co/spaces/MichiganNLP/Chumor-leaderboard , and our codebase is at https://github.com/MichiganNLP/Chumor-2.0 .</v>
      </c>
      <c r="D1208" s="7" t="str">
        <f>IFERROR(__xludf.DUMMYFUNCTION("""COMPUTED_VALUE"""),"Rada Mihalcea")</f>
        <v>Rada Mihalcea</v>
      </c>
      <c r="E1208" s="7" t="str">
        <f>IFERROR(__xludf.DUMMYFUNCTION("""COMPUTED_VALUE"""),"Yes")</f>
        <v>Yes</v>
      </c>
      <c r="F1208" s="7" t="str">
        <f>IFERROR(__xludf.DUMMYFUNCTION("""COMPUTED_VALUE"""),"IP-Poster")</f>
        <v>IP-Poster</v>
      </c>
      <c r="G1208" s="7" t="str">
        <f>IFERROR(__xludf.DUMMYFUNCTION("""COMPUTED_VALUE"""),"In-Person")</f>
        <v>In-Person</v>
      </c>
      <c r="H1208" s="7" t="str">
        <f>IFERROR(__xludf.DUMMYFUNCTION("""COMPUTED_VALUE"""),"Hall 4/5")</f>
        <v>Hall 4/5</v>
      </c>
      <c r="I1208" s="7" t="str">
        <f>IFERROR(__xludf.DUMMYFUNCTION("""COMPUTED_VALUE"""),"Session 12: IP-Posters")</f>
        <v>Session 12: IP-Posters</v>
      </c>
      <c r="J1208" s="7" t="str">
        <f>IFERROR(__xludf.DUMMYFUNCTION("""COMPUTED_VALUE"""),"Findings Posters - In-Person 4")</f>
        <v>Findings Posters - In-Person 4</v>
      </c>
      <c r="K1208" s="7"/>
      <c r="L1208" s="8">
        <f>IFERROR(__xludf.DUMMYFUNCTION("""COMPUTED_VALUE"""),45868.0)</f>
        <v>45868</v>
      </c>
      <c r="M1208" s="7" t="str">
        <f>IFERROR(__xludf.DUMMYFUNCTION("""COMPUTED_VALUE"""),"11:00-12:30")</f>
        <v>11:00-12:30</v>
      </c>
      <c r="N1208" s="7"/>
    </row>
    <row r="1209">
      <c r="A1209" s="7" t="str">
        <f>IFERROR(__xludf.DUMMYFUNCTION("""COMPUTED_VALUE"""),"4287-FIND")</f>
        <v>4287-FIND</v>
      </c>
      <c r="B1209" s="7" t="str">
        <f>IFERROR(__xludf.DUMMYFUNCTION("""COMPUTED_VALUE"""),"Explicit Bayesian Inference to Uncover the Latent Themes of Large Language Models")</f>
        <v>Explicit Bayesian Inference to Uncover the Latent Themes of Large Language Models</v>
      </c>
      <c r="C1209" s="7" t="str">
        <f>IFERROR(__xludf.DUMMYFUNCTION("""COMPUTED_VALUE"""),"Large language models (LLMs) have demonstrated impressive generative capabilities, yet their inner mechanisms remain largely opaque. In this work, we introduce a novel approach to interpret LLMs generation process through the lens of an explicit Bayesian "&amp;"framework by inferring latent topic variables via variational inference. Specifically, we leverage a variational autoencoder-based neural topic model to dynamically approximate the posterior distribution over the high-level latent topic variables at each "&amp;"generation step. By reconstructing the LLM's next-token predictions through these latent topics and maintaining a regularized latent space, our method yields interpretable and diverse topic representations but also has the ability to effectively captures "&amp;"semantic shifts throughout the text. We validate our approach on multiple datasets, showing that our latent topics outperform state-of-the-art topic models on intrinsic measures of coherence and diversity. Furthermore, we demonstrate the utility of our ap"&amp;"proach in downstream applications by using the inferred topic distributions to retrieve relevant demonstration examples for in-context learning, resulting in significant gains on classification and summarization tasks.")</f>
        <v>Large language models (LLMs) have demonstrated impressive generative capabilities, yet their inner mechanisms remain largely opaque. In this work, we introduce a novel approach to interpret LLMs generation process through the lens of an explicit Bayesian framework by inferring latent topic variables via variational inference. Specifically, we leverage a variational autoencoder-based neural topic model to dynamically approximate the posterior distribution over the high-level latent topic variables at each generation step. By reconstructing the LLM's next-token predictions through these latent topics and maintaining a regularized latent space, our method yields interpretable and diverse topic representations but also has the ability to effectively captures semantic shifts throughout the text. We validate our approach on multiple datasets, showing that our latent topics outperform state-of-the-art topic models on intrinsic measures of coherence and diversity. Furthermore, we demonstrate the utility of our approach in downstream applications by using the inferred topic distributions to retrieve relevant demonstration examples for in-context learning, resulting in significant gains on classification and summarization tasks.</v>
      </c>
      <c r="D1209" s="7" t="str">
        <f>IFERROR(__xludf.DUMMYFUNCTION("""COMPUTED_VALUE"""),"Chuyuan Li")</f>
        <v>Chuyuan Li</v>
      </c>
      <c r="E1209" s="7" t="str">
        <f>IFERROR(__xludf.DUMMYFUNCTION("""COMPUTED_VALUE"""),"Yes")</f>
        <v>Yes</v>
      </c>
      <c r="F1209" s="7" t="str">
        <f>IFERROR(__xludf.DUMMYFUNCTION("""COMPUTED_VALUE"""),"IP-Poster")</f>
        <v>IP-Poster</v>
      </c>
      <c r="G1209" s="7" t="str">
        <f>IFERROR(__xludf.DUMMYFUNCTION("""COMPUTED_VALUE"""),"In-Person")</f>
        <v>In-Person</v>
      </c>
      <c r="H1209" s="7" t="str">
        <f>IFERROR(__xludf.DUMMYFUNCTION("""COMPUTED_VALUE"""),"Hall 4/5")</f>
        <v>Hall 4/5</v>
      </c>
      <c r="I1209" s="7" t="str">
        <f>IFERROR(__xludf.DUMMYFUNCTION("""COMPUTED_VALUE"""),"Session 12: IP-Posters")</f>
        <v>Session 12: IP-Posters</v>
      </c>
      <c r="J1209" s="7" t="str">
        <f>IFERROR(__xludf.DUMMYFUNCTION("""COMPUTED_VALUE"""),"Findings Posters - In-Person 4")</f>
        <v>Findings Posters - In-Person 4</v>
      </c>
      <c r="K1209" s="7"/>
      <c r="L1209" s="8">
        <f>IFERROR(__xludf.DUMMYFUNCTION("""COMPUTED_VALUE"""),45868.0)</f>
        <v>45868</v>
      </c>
      <c r="M1209" s="7" t="str">
        <f>IFERROR(__xludf.DUMMYFUNCTION("""COMPUTED_VALUE"""),"11:00-12:30")</f>
        <v>11:00-12:30</v>
      </c>
      <c r="N1209" s="7"/>
    </row>
    <row r="1210">
      <c r="A1210" s="7" t="str">
        <f>IFERROR(__xludf.DUMMYFUNCTION("""COMPUTED_VALUE"""),"4289-FIND")</f>
        <v>4289-FIND</v>
      </c>
      <c r="B1210" s="7" t="str">
        <f>IFERROR(__xludf.DUMMYFUNCTION("""COMPUTED_VALUE"""),"Multi-Modal Framing Analysis of News")</f>
        <v>Multi-Modal Framing Analysis of News</v>
      </c>
      <c r="C1210" s="7" t="str">
        <f>IFERROR(__xludf.DUMMYFUNCTION("""COMPUTED_VALUE"""),"Automated frame analysis of political communication is a popular task in computational social science that is used to study how authors select aspects of a topic to frame its reception. So far, such studies have been narrow, in that they use a fixed set o"&amp;"f pre-defined frames and focus only on the text, ignoring the visual contexts in which those texts appear. Especially for framing in the news, this leaves out valuable information about editorial choices, which include not just the written article but als"&amp;"o accompanying photographs. To overcome such limitations, we present a method for conducting multi-modal and multi-label framing analysis at scale using large language and vision-language models. Grounding our work in framing theory, we extract latent mea"&amp;"ning embedded in images used to convey a certain point and contrast that to the text by comparing the respective frames used. We also identify highly partisan framing of topics, with issue-specific frame analysis, found in prior qualitative work. We demon"&amp;"strate a method for doing scalable integrative framing analysis of both text and image in news, providing a more complete picture for understanding media bias.")</f>
        <v>Automated frame analysis of political communication is a popular task in computational social science that is used to study how authors select aspects of a topic to frame its reception. So far, such studies have been narrow, in that they use a fixed set of pre-defined frames and focus only on the text, ignoring the visual contexts in which those texts appear. Especially for framing in the news, this leaves out valuable information about editorial choices, which include not just the written article but also accompanying photographs. To overcome such limitations, we present a method for conducting multi-modal and multi-label framing analysis at scale using large language and vision-language models. Grounding our work in framing theory, we extract latent meaning embedded in images used to convey a certain point and contrast that to the text by comparing the respective frames used. We also identify highly partisan framing of topics, with issue-specific frame analysis, found in prior qualitative work. We demonstrate a method for doing scalable integrative framing analysis of both text and image in news, providing a more complete picture for understanding media bias.</v>
      </c>
      <c r="D1210" s="7" t="str">
        <f>IFERROR(__xludf.DUMMYFUNCTION("""COMPUTED_VALUE"""),"-")</f>
        <v>-</v>
      </c>
      <c r="E1210" s="7" t="str">
        <f>IFERROR(__xludf.DUMMYFUNCTION("""COMPUTED_VALUE"""),"#N/A")</f>
        <v>#N/A</v>
      </c>
      <c r="F1210" s="7" t="str">
        <f>IFERROR(__xludf.DUMMYFUNCTION("""COMPUTED_VALUE"""),"Not Pres. ")</f>
        <v>Not Pres. </v>
      </c>
      <c r="G1210" s="7" t="str">
        <f>IFERROR(__xludf.DUMMYFUNCTION("""COMPUTED_VALUE"""),"NP Findings Not Presenting ")</f>
        <v>NP Findings Not Presenting </v>
      </c>
      <c r="H1210" s="7"/>
      <c r="I1210" s="7" t="str">
        <f>IFERROR(__xludf.DUMMYFUNCTION("""COMPUTED_VALUE"""),"NP-Find")</f>
        <v>NP-Find</v>
      </c>
      <c r="J1210" s="7"/>
      <c r="K1210" s="7"/>
      <c r="L1210" s="8"/>
      <c r="M1210" s="7"/>
      <c r="N1210" s="7"/>
    </row>
    <row r="1211">
      <c r="A1211" s="7" t="str">
        <f>IFERROR(__xludf.DUMMYFUNCTION("""COMPUTED_VALUE"""),"4291-FIND")</f>
        <v>4291-FIND</v>
      </c>
      <c r="B1211" s="7" t="str">
        <f>IFERROR(__xludf.DUMMYFUNCTION("""COMPUTED_VALUE"""),"Improving Occupational ISCO Classification of Multilingual Swiss Job Postings with LLM-Refined Training Data")</f>
        <v>Improving Occupational ISCO Classification of Multilingual Swiss Job Postings with LLM-Refined Training Data</v>
      </c>
      <c r="C1211" s="7" t="str">
        <f>IFERROR(__xludf.DUMMYFUNCTION("""COMPUTED_VALUE"""),"Classifying occupations in multilingual job postings is challenging due to label noise, language variation, and domain-specific terminology. We propose an approach that refines existing silver-standard job labels using large language model (LLM) assessmen"&amp;"ts and integrates them into Multiple Negatives Ranking (MNR) training for SBERT-based ISCO classification. Our method improves classification accuracy across languages while retaining partial ontology alignment. Experimental results show that LLM-assisted"&amp;" curation enhances training data quality, increasing Top-1 accuracy by over 20 percentage points on job postings. Additionally, multilingual performance benefits from positive cross-lingual transfer, with substantial gains in French and Italian. While fin"&amp;"e-tuning leads to a slight drop in ontology-specific accuracy, the overall alignment between job ads and occupational classifications improves. Our findings highlight the potential of LLM-guided refinement for enhancing occupation classification in multil"&amp;"ingual labor market data.")</f>
        <v>Classifying occupations in multilingual job postings is challenging due to label noise, language variation, and domain-specific terminology. We propose an approach that refines existing silver-standard job labels using large language model (LLM) assessments and integrates them into Multiple Negatives Ranking (MNR) training for SBERT-based ISCO classification. Our method improves classification accuracy across languages while retaining partial ontology alignment. Experimental results show that LLM-assisted curation enhances training data quality, increasing Top-1 accuracy by over 20 percentage points on job postings. Additionally, multilingual performance benefits from positive cross-lingual transfer, with substantial gains in French and Italian. While fine-tuning leads to a slight drop in ontology-specific accuracy, the overall alignment between job ads and occupational classifications improves. Our findings highlight the potential of LLM-guided refinement for enhancing occupation classification in multilingual labor market data.</v>
      </c>
      <c r="D1211" s="7" t="str">
        <f>IFERROR(__xludf.DUMMYFUNCTION("""COMPUTED_VALUE"""),"Ann-Sophie Gnehm")</f>
        <v>Ann-Sophie Gnehm</v>
      </c>
      <c r="E1211" s="7" t="str">
        <f>IFERROR(__xludf.DUMMYFUNCTION("""COMPUTED_VALUE"""),"#N/A")</f>
        <v>#N/A</v>
      </c>
      <c r="F1211" s="7" t="str">
        <f>IFERROR(__xludf.DUMMYFUNCTION("""COMPUTED_VALUE"""),"Not Pres. ")</f>
        <v>Not Pres. </v>
      </c>
      <c r="G1211" s="7" t="str">
        <f>IFERROR(__xludf.DUMMYFUNCTION("""COMPUTED_VALUE"""),"NP Findings Not Presenting ")</f>
        <v>NP Findings Not Presenting </v>
      </c>
      <c r="H1211" s="7"/>
      <c r="I1211" s="7" t="str">
        <f>IFERROR(__xludf.DUMMYFUNCTION("""COMPUTED_VALUE"""),"NP-Find")</f>
        <v>NP-Find</v>
      </c>
      <c r="J1211" s="7"/>
      <c r="K1211" s="7"/>
      <c r="L1211" s="8"/>
      <c r="M1211" s="7"/>
      <c r="N1211" s="7"/>
    </row>
    <row r="1212">
      <c r="A1212" s="7" t="str">
        <f>IFERROR(__xludf.DUMMYFUNCTION("""COMPUTED_VALUE"""),"4295-FIND")</f>
        <v>4295-FIND</v>
      </c>
      <c r="B1212" s="7" t="str">
        <f>IFERROR(__xludf.DUMMYFUNCTION("""COMPUTED_VALUE"""),"Brevity is the soul of sustainability: Characterizing LLM response lengths")</f>
        <v>Brevity is the soul of sustainability: Characterizing LLM response lengths</v>
      </c>
      <c r="C1212" s="7" t="str">
        <f>IFERROR(__xludf.DUMMYFUNCTION("""COMPUTED_VALUE"""),"A significant portion of the energy consumed by Large Language Models (LLMs) arises from their inference processes; hence developing energy-efficient methods for inference is crucial. While several techniques exist for inference optimization, output compr"&amp;"ession remains relatively unexplored, with only a few preliminary efforts addressing this aspect. In this work, we first benchmark 12 decoder-only LLMs across 5 datasets, revealing that these models often produce responses that are substantially longer th"&amp;"an necessary. We then conduct a comprehensive quality assessment of LLM responses, formally defining six information categories present in LLM responses. We show that LLMs often tend to include redundant or additional information besides the minimal answe"&amp;"r. To address this issue of long responses by LLMs, we explore several simple and intuitive prompt-engineering strategies.Empirical evaluation shows that appropriate prompts targeting length reduction and controlling information content can achieve signif"&amp;"icant energy optimization between 25-60% by reducing the response length while preserving the quality of LLM responses.")</f>
        <v>A significant portion of the energy consumed by Large Language Models (LLMs) arises from their inference processes; hence developing energy-efficient methods for inference is crucial. While several techniques exist for inference optimization, output compression remains relatively unexplored, with only a few preliminary efforts addressing this aspect. In this work, we first benchmark 12 decoder-only LLMs across 5 datasets, revealing that these models often produce responses that are substantially longer than necessary. We then conduct a comprehensive quality assessment of LLM responses, formally defining six information categories present in LLM responses. We show that LLMs often tend to include redundant or additional information besides the minimal answer. To address this issue of long responses by LLMs, we explore several simple and intuitive prompt-engineering strategies.Empirical evaluation shows that appropriate prompts targeting length reduction and controlling information content can achieve significant energy optimization between 25-60% by reducing the response length while preserving the quality of LLM responses.</v>
      </c>
      <c r="D1212" s="7" t="str">
        <f>IFERROR(__xludf.DUMMYFUNCTION("""COMPUTED_VALUE"""),"None")</f>
        <v>None</v>
      </c>
      <c r="E1212" s="7" t="str">
        <f>IFERROR(__xludf.DUMMYFUNCTION("""COMPUTED_VALUE"""),"#N/A")</f>
        <v>#N/A</v>
      </c>
      <c r="F1212" s="7" t="str">
        <f>IFERROR(__xludf.DUMMYFUNCTION("""COMPUTED_VALUE"""),"Not Pres. ")</f>
        <v>Not Pres. </v>
      </c>
      <c r="G1212" s="7" t="str">
        <f>IFERROR(__xludf.DUMMYFUNCTION("""COMPUTED_VALUE"""),"NP Findings Not Presenting ")</f>
        <v>NP Findings Not Presenting </v>
      </c>
      <c r="H1212" s="7"/>
      <c r="I1212" s="7" t="str">
        <f>IFERROR(__xludf.DUMMYFUNCTION("""COMPUTED_VALUE"""),"NP-Find")</f>
        <v>NP-Find</v>
      </c>
      <c r="J1212" s="7"/>
      <c r="K1212" s="7"/>
      <c r="L1212" s="8"/>
      <c r="M1212" s="7"/>
      <c r="N1212" s="7"/>
    </row>
    <row r="1213">
      <c r="A1213" s="7" t="str">
        <f>IFERROR(__xludf.DUMMYFUNCTION("""COMPUTED_VALUE"""),"4300-FIND")</f>
        <v>4300-FIND</v>
      </c>
      <c r="B1213" s="7" t="str">
        <f>IFERROR(__xludf.DUMMYFUNCTION("""COMPUTED_VALUE"""),"Adversarial Preference Learning for Robust LLM Alignment")</f>
        <v>Adversarial Preference Learning for Robust LLM Alignment</v>
      </c>
      <c r="C1213" s="7" t="str">
        <f>IFERROR(__xludf.DUMMYFUNCTION("""COMPUTED_VALUE"""),"Modern language models often rely on Reinforcement Learning from Human Feedback (RLHF) to promote safe behaviors. However, they remain vulnerable to adversarial attacks due to three key limitations: (1) the inefficiency and high cost of human annotation, "&amp;"(2) the vast range of potential adversarial attacks, and (3) the risk of feedback bias and reward manipulation. To address these challenges, we propose Adversarial Preference Learning (APL), an iterative adversarial training approach with three key innova"&amp;"tions. First, APL uses a harmfulness metric based on the model's intrinsic preference probabilities, eliminating the need for external assessments. Second, it employs a conditional generative attacker that generates adversarial variations specific to each"&amp;" input. Third, APL uses an iterative framework with automated feedback, enabling continuous model adaptation through the discovery and mitigation of vulnerabilities. Experiments on Mistral-7B-Instruct-v0.3 show that APL significantly enhances robustness, "&amp;"achieving an 83.33% harmlessness win rate (evaluated by GPT-4o), reducing harmful outputs from 5.88% to 0.43% (measured by LLaMA-Guard), and reducing attack success rates by up to 65% (measured by HarmBench). Notably, APL maintains competitive utility, wi"&amp;"th an MT-Bench score of 6.59 (comparable to the baseline 6.78) and an LC-WinRate of 46.52 against the base model.Modern language models often rely on Reinforcement Learning from Human Feedback (RLHF) to promote safe behaviors. However, they remain vulnera"&amp;"ble to adversarial attacks due to three key limitations: (1) the inefficiency and high cost of human annotation, (2) the vast range of potential adversarial attacks, and (3) the risk of feedback bias and reward manipulation. To address these challenges, w"&amp;"e propose Adversarial Preference Learning (APL), an iterative adversarial training approach with three key innovations. First, APL uses a harmfulness metric based on the model's intrinsic preference probabilities, eliminating the need for external assessm"&amp;"ents. Second, it employs a conditional generative attacker that generates adversarial variations specific to each input. Third, APL uses an iterative framework with automated feedback, enabling continuous model adaptation through the discovery and mitigat"&amp;"ion of vulnerabilities. Experiments on Mistral-7B-Instruct-v0.3 show that APL significantly enhances robustness, achieving an 83.33% harmlessness win rate (evaluated by GPT-4o), reducing harmful outputs from 5.88% to 0.43% (measured by LLaMA-Guard), and r"&amp;"educing attack success rates by up to 65% (measured by HarmBench). Notably, APL maintains competitive utility, with an MT-Bench score of 6.59 (comparable to the baseline 6.78) and an LC-WinRate of 46.52% against the base model.")</f>
        <v>Modern language models often rely on Reinforcement Learning from Human Feedback (RLHF) to promote safe behaviors. However, they remain vulnerable to adversarial attacks due to three key limitations: (1) the inefficiency and high cost of human annotation, (2) the vast range of potential adversarial attacks, and (3) the risk of feedback bias and reward manipulation. To address these challenges, we propose Adversarial Preference Learning (APL), an iterative adversarial training approach with three key innovations. First, APL uses a harmfulness metric based on the model's intrinsic preference probabilities, eliminating the need for external assessments. Second, it employs a conditional generative attacker that generates adversarial variations specific to each input. Third, APL uses an iterative framework with automated feedback, enabling continuous model adaptation through the discovery and mitigation of vulnerabilities. Experiments on Mistral-7B-Instruct-v0.3 show that APL significantly enhances robustness, achieving an 83.33% harmlessness win rate (evaluated by GPT-4o), reducing harmful outputs from 5.88% to 0.43% (measured by LLaMA-Guard), and reducing attack success rates by up to 65% (measured by HarmBench). Notably, APL maintains competitive utility, with an MT-Bench score of 6.59 (comparable to the baseline 6.78) and an LC-WinRate of 46.52 against the base model.Modern language models often rely on Reinforcement Learning from Human Feedback (RLHF) to promote safe behaviors. However, they remain vulnerable to adversarial attacks due to three key limitations: (1) the inefficiency and high cost of human annotation, (2) the vast range of potential adversarial attacks, and (3) the risk of feedback bias and reward manipulation. To address these challenges, we propose Adversarial Preference Learning (APL), an iterative adversarial training approach with three key innovations. First, APL uses a harmfulness metric based on the model's intrinsic preference probabilities, eliminating the need for external assessments. Second, it employs a conditional generative attacker that generates adversarial variations specific to each input. Third, APL uses an iterative framework with automated feedback, enabling continuous model adaptation through the discovery and mitigation of vulnerabilities. Experiments on Mistral-7B-Instruct-v0.3 show that APL significantly enhances robustness, achieving an 83.33% harmlessness win rate (evaluated by GPT-4o), reducing harmful outputs from 5.88% to 0.43% (measured by LLaMA-Guard), and reducing attack success rates by up to 65% (measured by HarmBench). Notably, APL maintains competitive utility, with an MT-Bench score of 6.59 (comparable to the baseline 6.78) and an LC-WinRate of 46.52% against the base model.</v>
      </c>
      <c r="D1213" s="7" t="str">
        <f>IFERROR(__xludf.DUMMYFUNCTION("""COMPUTED_VALUE"""),"Yuanfu Wang")</f>
        <v>Yuanfu Wang</v>
      </c>
      <c r="E1213" s="7" t="str">
        <f>IFERROR(__xludf.DUMMYFUNCTION("""COMPUTED_VALUE"""),"#N/A")</f>
        <v>#N/A</v>
      </c>
      <c r="F1213" s="7" t="str">
        <f>IFERROR(__xludf.DUMMYFUNCTION("""COMPUTED_VALUE"""),"Not Pres. ")</f>
        <v>Not Pres. </v>
      </c>
      <c r="G1213" s="7" t="str">
        <f>IFERROR(__xludf.DUMMYFUNCTION("""COMPUTED_VALUE"""),"NP Findings Not Presenting ")</f>
        <v>NP Findings Not Presenting </v>
      </c>
      <c r="H1213" s="7"/>
      <c r="I1213" s="7" t="str">
        <f>IFERROR(__xludf.DUMMYFUNCTION("""COMPUTED_VALUE"""),"NP-Find")</f>
        <v>NP-Find</v>
      </c>
      <c r="J1213" s="7"/>
      <c r="K1213" s="7"/>
      <c r="L1213" s="8"/>
      <c r="M1213" s="7"/>
      <c r="N1213" s="7"/>
    </row>
    <row r="1214">
      <c r="A1214" s="7" t="str">
        <f>IFERROR(__xludf.DUMMYFUNCTION("""COMPUTED_VALUE"""),"4301-FIND")</f>
        <v>4301-FIND</v>
      </c>
      <c r="B1214" s="7" t="str">
        <f>IFERROR(__xludf.DUMMYFUNCTION("""COMPUTED_VALUE"""),"gMBA: Expression Semantic Guided Mixed Boolean-Arithmetic Deobfuscation Using Transformer Architectures")</f>
        <v>gMBA: Expression Semantic Guided Mixed Boolean-Arithmetic Deobfuscation Using Transformer Architectures</v>
      </c>
      <c r="C1214" s="7" t="str">
        <f>IFERROR(__xludf.DUMMYFUNCTION("""COMPUTED_VALUE"""),"Mixed Boolean-Arithmetic (MBA) obfuscation protects intellectual property by converting programs into forms that are more complex to analyze. However, MBA has been increasingly exploited by malware developers to evade detection and cause significant real-"&amp;"world problems. Traditional MBA deobfuscation methods often consider these expressions as part of a black box and overlook their internal semantic information. To bridge this gap, we propose a truth table, which is an automatically constructed semantic re"&amp;"presentation of an expression's behavior that does not rely on external resources. The truth table is a mathematical form that represents the output of expression for all possible combinations of input. We also propose a general and extensible guided MBA "&amp;"deobfuscation framework (gMBA) that modifies a Transformer-based neural encoder-decoder Seq2Seq architecture to incorporate this semantic guidance. Experimental results and in-depth analysis show that integrating expression semantics significantly improve"&amp;"s performance and highlights the importance of internal semantic expressions in recovering obfuscated code to its original form.")</f>
        <v>Mixed Boolean-Arithmetic (MBA) obfuscation protects intellectual property by converting programs into forms that are more complex to analyze. However, MBA has been increasingly exploited by malware developers to evade detection and cause significant real-world problems. Traditional MBA deobfuscation methods often consider these expressions as part of a black box and overlook their internal semantic information. To bridge this gap, we propose a truth table, which is an automatically constructed semantic representation of an expression's behavior that does not rely on external resources. The truth table is a mathematical form that represents the output of expression for all possible combinations of input. We also propose a general and extensible guided MBA deobfuscation framework (gMBA) that modifies a Transformer-based neural encoder-decoder Seq2Seq architecture to incorporate this semantic guidance. Experimental results and in-depth analysis show that integrating expression semantics significantly improves performance and highlights the importance of internal semantic expressions in recovering obfuscated code to its original form.</v>
      </c>
      <c r="D1214" s="7" t="str">
        <f>IFERROR(__xludf.DUMMYFUNCTION("""COMPUTED_VALUE"""),"Youjeong Noh")</f>
        <v>Youjeong Noh</v>
      </c>
      <c r="E1214" s="7" t="str">
        <f>IFERROR(__xludf.DUMMYFUNCTION("""COMPUTED_VALUE"""),"Yes")</f>
        <v>Yes</v>
      </c>
      <c r="F1214" s="7" t="str">
        <f>IFERROR(__xludf.DUMMYFUNCTION("""COMPUTED_VALUE"""),"IP-Poster")</f>
        <v>IP-Poster</v>
      </c>
      <c r="G1214" s="7" t="str">
        <f>IFERROR(__xludf.DUMMYFUNCTION("""COMPUTED_VALUE"""),"In-Person")</f>
        <v>In-Person</v>
      </c>
      <c r="H1214" s="7" t="str">
        <f>IFERROR(__xludf.DUMMYFUNCTION("""COMPUTED_VALUE"""),"Hall 4/5")</f>
        <v>Hall 4/5</v>
      </c>
      <c r="I1214" s="7" t="str">
        <f>IFERROR(__xludf.DUMMYFUNCTION("""COMPUTED_VALUE"""),"Session 12: IP-Posters")</f>
        <v>Session 12: IP-Posters</v>
      </c>
      <c r="J1214" s="7" t="str">
        <f>IFERROR(__xludf.DUMMYFUNCTION("""COMPUTED_VALUE"""),"Findings Posters - In-Person 4")</f>
        <v>Findings Posters - In-Person 4</v>
      </c>
      <c r="K1214" s="7"/>
      <c r="L1214" s="8">
        <f>IFERROR(__xludf.DUMMYFUNCTION("""COMPUTED_VALUE"""),45868.0)</f>
        <v>45868</v>
      </c>
      <c r="M1214" s="7" t="str">
        <f>IFERROR(__xludf.DUMMYFUNCTION("""COMPUTED_VALUE"""),"11:00-12:30")</f>
        <v>11:00-12:30</v>
      </c>
      <c r="N1214" s="7"/>
    </row>
    <row r="1215">
      <c r="A1215" s="7" t="str">
        <f>IFERROR(__xludf.DUMMYFUNCTION("""COMPUTED_VALUE"""),"4309-FIND")</f>
        <v>4309-FIND</v>
      </c>
      <c r="B1215" s="7" t="str">
        <f>IFERROR(__xludf.DUMMYFUNCTION("""COMPUTED_VALUE"""),"READoc: A Unified Benchmark for Realistic Document Structured Extraction")</f>
        <v>READoc: A Unified Benchmark for Realistic Document Structured Extraction</v>
      </c>
      <c r="C1215" s="7" t="str">
        <f>IFERROR(__xludf.DUMMYFUNCTION("""COMPUTED_VALUE"""),"Document Structured Extraction (DSE) aims to extract structured content from raw documents. Despite the emergence of numerous DSE systems, their unified evaluation remains inadequate, significantly hindering the field’s advancement. This problem is largel"&amp;"y attributed to existing benchmark paradigms, which exhibit fragmented and localized characteristics. To offer a thorough evaluation of DSE systems, we introduce a novel benchmark named READoc, which defines DSE as a realistic task of converting unstructu"&amp;"red PDFs into semantically rich Markdown. The READOC dataset is derived from 3,576 diverse and real-world documents from arXiv, GitHub, and Zenodo. In addition, we develop a DSE Evaluation S$^3$uite comprising Standardization, Segmentation and Scoring mod"&amp;"ules, to conduct a unified evaluation of state-of-the-art DSE approaches. By evaluating a range of pipeline tools, expert visual models, and general VLMs, we identify the gap between current work and the unified, realistic DSE objective for the first time"&amp;". We aspire that READoc will catalyze future research in DSE, fostering more comprehensive and practical solutions.")</f>
        <v>Document Structured Extraction (DSE) aims to extract structured content from raw documents. Despite the emergence of numerous DSE systems, their unified evaluation remains inadequate, significantly hindering the field’s advancement. This problem is largely attributed to existing benchmark paradigms, which exhibit fragmented and localized characteristics. To offer a thorough evaluation of DSE systems, we introduce a novel benchmark named READoc, which defines DSE as a realistic task of converting unstructured PDFs into semantically rich Markdown. The READOC dataset is derived from 3,576 diverse and real-world documents from arXiv, GitHub, and Zenodo. In addition, we develop a DSE Evaluation S$^3$uite comprising Standardization, Segmentation and Scoring modules, to conduct a unified evaluation of state-of-the-art DSE approaches. By evaluating a range of pipeline tools, expert visual models, and general VLMs, we identify the gap between current work and the unified, realistic DSE objective for the first time. We aspire that READoc will catalyze future research in DSE, fostering more comprehensive and practical solutions.</v>
      </c>
      <c r="D1215" s="7" t="str">
        <f>IFERROR(__xludf.DUMMYFUNCTION("""COMPUTED_VALUE"""),"No answer.")</f>
        <v>No answer.</v>
      </c>
      <c r="E1215" s="7" t="str">
        <f>IFERROR(__xludf.DUMMYFUNCTION("""COMPUTED_VALUE"""),"#N/A")</f>
        <v>#N/A</v>
      </c>
      <c r="F1215" s="7" t="str">
        <f>IFERROR(__xludf.DUMMYFUNCTION("""COMPUTED_VALUE"""),"Not Pres. ")</f>
        <v>Not Pres. </v>
      </c>
      <c r="G1215" s="7" t="str">
        <f>IFERROR(__xludf.DUMMYFUNCTION("""COMPUTED_VALUE"""),"NP Findings Not Presenting ")</f>
        <v>NP Findings Not Presenting </v>
      </c>
      <c r="H1215" s="7"/>
      <c r="I1215" s="7" t="str">
        <f>IFERROR(__xludf.DUMMYFUNCTION("""COMPUTED_VALUE"""),"NP-Find")</f>
        <v>NP-Find</v>
      </c>
      <c r="J1215" s="7"/>
      <c r="K1215" s="7"/>
      <c r="L1215" s="8"/>
      <c r="M1215" s="7"/>
      <c r="N1215" s="7"/>
    </row>
    <row r="1216">
      <c r="A1216" s="7" t="str">
        <f>IFERROR(__xludf.DUMMYFUNCTION("""COMPUTED_VALUE"""),"4320-FIND")</f>
        <v>4320-FIND</v>
      </c>
      <c r="B1216" s="7" t="str">
        <f>IFERROR(__xludf.DUMMYFUNCTION("""COMPUTED_VALUE"""),"TicTac: Temporal-aware Supervised Fine-tuning for Automatic Text Dating")</f>
        <v>TicTac: Temporal-aware Supervised Fine-tuning for Automatic Text Dating</v>
      </c>
      <c r="C1216" s="7" t="str">
        <f>IFERROR(__xludf.DUMMYFUNCTION("""COMPUTED_VALUE"""),"Pre-trained language models have achieved success in many natural language processing tasks, whereas they are trapped by the time-agnostic setting, impacting the performance in automatic text dating. Studies on adopting sophisticated learning models to ca"&amp;"pture the lexical knowledge of semantic change which helps improve task performance, whereas few of them take into account the temporal relatedness of documents, which may be helpful for learning temporal semantic variations. This paper introduces TicTac,"&amp;" a supervised fine-tuning model for text dating. Based on a fine-tuning framework, the model employs a contrastive learning-based document modeling approach, trying to capture temporal implications in time-ordered documents. The model also adopts a metric"&amp;" learning approach to improve model performances by appropriately correcting prediction errors of different degrees. Experiments on two diachronic corpora show that our model effectively captures the temporal semantic information and outperforms state-of-"&amp;"the-art baselines.")</f>
        <v>Pre-trained language models have achieved success in many natural language processing tasks, whereas they are trapped by the time-agnostic setting, impacting the performance in automatic text dating. Studies on adopting sophisticated learning models to capture the lexical knowledge of semantic change which helps improve task performance, whereas few of them take into account the temporal relatedness of documents, which may be helpful for learning temporal semantic variations. This paper introduces TicTac, a supervised fine-tuning model for text dating. Based on a fine-tuning framework, the model employs a contrastive learning-based document modeling approach, trying to capture temporal implications in time-ordered documents. The model also adopts a metric learning approach to improve model performances by appropriately correcting prediction errors of different degrees. Experiments on two diachronic corpora show that our model effectively captures the temporal semantic information and outperforms state-of-the-art baselines.</v>
      </c>
      <c r="D1216" s="7" t="str">
        <f>IFERROR(__xludf.DUMMYFUNCTION("""COMPUTED_VALUE"""),"Minna Peng")</f>
        <v>Minna Peng</v>
      </c>
      <c r="E1216" s="7" t="str">
        <f>IFERROR(__xludf.DUMMYFUNCTION("""COMPUTED_VALUE"""),"Yes")</f>
        <v>Yes</v>
      </c>
      <c r="F1216" s="7" t="str">
        <f>IFERROR(__xludf.DUMMYFUNCTION("""COMPUTED_VALUE"""),"IP-Poster")</f>
        <v>IP-Poster</v>
      </c>
      <c r="G1216" s="7" t="str">
        <f>IFERROR(__xludf.DUMMYFUNCTION("""COMPUTED_VALUE"""),"In-Person")</f>
        <v>In-Person</v>
      </c>
      <c r="H1216" s="7" t="str">
        <f>IFERROR(__xludf.DUMMYFUNCTION("""COMPUTED_VALUE"""),"Hall 4/5")</f>
        <v>Hall 4/5</v>
      </c>
      <c r="I1216" s="7" t="str">
        <f>IFERROR(__xludf.DUMMYFUNCTION("""COMPUTED_VALUE"""),"Session 12: IP-Posters")</f>
        <v>Session 12: IP-Posters</v>
      </c>
      <c r="J1216" s="7" t="str">
        <f>IFERROR(__xludf.DUMMYFUNCTION("""COMPUTED_VALUE"""),"Findings Posters - In-Person 4")</f>
        <v>Findings Posters - In-Person 4</v>
      </c>
      <c r="K1216" s="7"/>
      <c r="L1216" s="8">
        <f>IFERROR(__xludf.DUMMYFUNCTION("""COMPUTED_VALUE"""),45868.0)</f>
        <v>45868</v>
      </c>
      <c r="M1216" s="7" t="str">
        <f>IFERROR(__xludf.DUMMYFUNCTION("""COMPUTED_VALUE"""),"11:00-12:30")</f>
        <v>11:00-12:30</v>
      </c>
      <c r="N1216" s="7"/>
    </row>
    <row r="1217">
      <c r="A1217" s="7" t="str">
        <f>IFERROR(__xludf.DUMMYFUNCTION("""COMPUTED_VALUE"""),"4321-FIND")</f>
        <v>4321-FIND</v>
      </c>
      <c r="B1217" s="7" t="str">
        <f>IFERROR(__xludf.DUMMYFUNCTION("""COMPUTED_VALUE"""),"Dolphin: Document Image Parsing via Heterogeneous Anchor Prompting")</f>
        <v>Dolphin: Document Image Parsing via Heterogeneous Anchor Prompting</v>
      </c>
      <c r="C1217" s="7" t="str">
        <f>IFERROR(__xludf.DUMMYFUNCTION("""COMPUTED_VALUE"""),"Document image parsing is challenging due to its complexly intertwined elements such as text paragraphs, figures, formulas, and tables. Current approaches either assemble specialized expert models or directly generate page-level content autoregressively, "&amp;"facing integration overhead, efficiency bottlenecks, and layout structure degradation despite their decent performance. To address these limitations, we present Dolphin ( Document Image Parsing via Heterogeneous Anchor Prompting), a novel multimodal docum"&amp;"ent image parsing model following an analyze-then-parse paradigm. In the first stage, Dolphin generates a sequence of layout elements in reading order. These heterogeneous elements, serving as anchors and coupled with task-specific prompts, are fed back t"&amp;"o Dolphin for parallel content parsing in the second stage. To train Dolphin, we construct a large-scale dataset of over 30 million samples, covering multi-granularity parsing tasks. Through comprehensive evaluations on both prevalent benchmarks and self-"&amp;"constructed ones, Dolphin achieves state-of-the-art performance across diverse page-level and element-level settings, while ensuring superior efficiency through its lightweight architecture and parallel parsing mechanism. The code and pre-trained models a"&amp;"re publicly available at https://github.com/ByteDance/Dolphin")</f>
        <v>Document image parsing is challenging due to its complexly intertwined elements such as text paragraphs, figures, formulas, and tables. Current approaches either assemble specialized expert models or directly generate page-level content autoregressively, facing integration overhead, efficiency bottlenecks, and layout structure degradation despite their decent performance. To address these limitations, we present Dolphin ( Document Image Parsing via Heterogeneous Anchor Prompting), a novel multimodal document image parsing model following an analyze-then-parse paradigm. In the first stage, Dolphin generates a sequence of layout elements in reading order. These heterogeneous elements, serving as anchors and coupled with task-specific prompts, are fed back to Dolphin for parallel content parsing in the second stage. To train Dolphin, we construct a large-scale dataset of over 30 million samples, covering multi-granularity parsing tasks. Through comprehensive evaluations on both prevalent benchmarks and self-constructed ones, Dolphin achieves state-of-the-art performance across diverse page-level and element-level settings, while ensuring superior efficiency through its lightweight architecture and parallel parsing mechanism. The code and pre-trained models are publicly available at https://github.com/ByteDance/Dolphin</v>
      </c>
      <c r="D1217" s="7" t="str">
        <f>IFERROR(__xludf.DUMMYFUNCTION("""COMPUTED_VALUE"""),"Xiang Fei")</f>
        <v>Xiang Fei</v>
      </c>
      <c r="E1217" s="7" t="str">
        <f>IFERROR(__xludf.DUMMYFUNCTION("""COMPUTED_VALUE"""),"Yes")</f>
        <v>Yes</v>
      </c>
      <c r="F1217" s="7" t="str">
        <f>IFERROR(__xludf.DUMMYFUNCTION("""COMPUTED_VALUE"""),"IP-Poster")</f>
        <v>IP-Poster</v>
      </c>
      <c r="G1217" s="7" t="str">
        <f>IFERROR(__xludf.DUMMYFUNCTION("""COMPUTED_VALUE"""),"In-Person")</f>
        <v>In-Person</v>
      </c>
      <c r="H1217" s="7" t="str">
        <f>IFERROR(__xludf.DUMMYFUNCTION("""COMPUTED_VALUE"""),"Hall 4/5")</f>
        <v>Hall 4/5</v>
      </c>
      <c r="I1217" s="7" t="str">
        <f>IFERROR(__xludf.DUMMYFUNCTION("""COMPUTED_VALUE"""),"Session 10: IP-Posters")</f>
        <v>Session 10: IP-Posters</v>
      </c>
      <c r="J1217" s="7" t="str">
        <f>IFERROR(__xludf.DUMMYFUNCTION("""COMPUTED_VALUE"""),"Findings Posters - In-Person 3")</f>
        <v>Findings Posters - In-Person 3</v>
      </c>
      <c r="K1217" s="7"/>
      <c r="L1217" s="8">
        <f>IFERROR(__xludf.DUMMYFUNCTION("""COMPUTED_VALUE"""),45867.0)</f>
        <v>45867</v>
      </c>
      <c r="M1217" s="7" t="str">
        <f>IFERROR(__xludf.DUMMYFUNCTION("""COMPUTED_VALUE"""),"16:00-17:30")</f>
        <v>16:00-17:30</v>
      </c>
      <c r="N1217" s="7"/>
    </row>
    <row r="1218">
      <c r="A1218" s="7" t="str">
        <f>IFERROR(__xludf.DUMMYFUNCTION("""COMPUTED_VALUE"""),"4324-FIND")</f>
        <v>4324-FIND</v>
      </c>
      <c r="B1218" s="7" t="str">
        <f>IFERROR(__xludf.DUMMYFUNCTION("""COMPUTED_VALUE"""),"FanChuan: A Multilingual and Graph-Structured Benchmark For Parody Detection and Analysis")</f>
        <v>FanChuan: A Multilingual and Graph-Structured Benchmark For Parody Detection and Analysis</v>
      </c>
      <c r="C1218" s="7" t="str">
        <f>IFERROR(__xludf.DUMMYFUNCTION("""COMPUTED_VALUE"""),"Parody is an emerging phenomenon on social media, where individuals imitate a role or position opposite to their own, often for humor, provocation, or controversy. Detecting and analyzing parody can be challenging and is often reliant on context, yet it p"&amp;"lays a crucial role in understanding cultural values, promoting subcultures, and enhancing self-expression. However, the study of parody is hindered by limited available data and deficient diversity in current datasets. To bridge this gap, we built seven "&amp;"parody datasets from both English and Chinese corpora, with 14,755 annotated users and 21,210 annotated comments in total. To provide sufficient context information, we also collect replies and construct user-interaction graphs to provide richer contextua"&amp;"l information, which is lacking in existing datasets. With these datasets, we test traditional methods and Large Language Models (LLMs) on three key tasks: (1) parody detection, (2) comment sentiment analysis with parody, and (3) user sentiment analysis w"&amp;"ith parody. Our extensive experiments reveal that parody-related tasks still remain challenging for all models, and contextual information plays a critical role. Interestingly, we find that, in certain scenarios, traditional sentence embedding methods com"&amp;"bined with simple classifiers can outperform advanced LLMs, i.e. DeepSeek-R1 and GPT-o3, highlighting parody as a significant challenge for LLMs.")</f>
        <v>Parody is an emerging phenomenon on social media, where individuals imitate a role or position opposite to their own, often for humor, provocation, or controversy. Detecting and analyzing parody can be challenging and is often reliant on context, yet it plays a crucial role in understanding cultural values, promoting subcultures, and enhancing self-expression. However, the study of parody is hindered by limited available data and deficient diversity in current datasets. To bridge this gap, we built seven parody datasets from both English and Chinese corpora, with 14,755 annotated users and 21,210 annotated comments in total. To provide sufficient context information, we also collect replies and construct user-interaction graphs to provide richer contextual information, which is lacking in existing datasets. With these datasets, we test traditional methods and Large Language Models (LLMs) on three key tasks: (1) parody detection, (2) comment sentiment analysis with parody, and (3) user sentiment analysis with parody. Our extensive experiments reveal that parody-related tasks still remain challenging for all models, and contextual information plays a critical role. Interestingly, we find that, in certain scenarios, traditional sentence embedding methods combined with simple classifiers can outperform advanced LLMs, i.e. DeepSeek-R1 and GPT-o3, highlighting parody as a significant challenge for LLMs.</v>
      </c>
      <c r="D1218" s="7" t="str">
        <f>IFERROR(__xludf.DUMMYFUNCTION("""COMPUTED_VALUE"""),"Zheng Yilun")</f>
        <v>Zheng Yilun</v>
      </c>
      <c r="E1218" s="7" t="str">
        <f>IFERROR(__xludf.DUMMYFUNCTION("""COMPUTED_VALUE"""),"Yes")</f>
        <v>Yes</v>
      </c>
      <c r="F1218" s="7" t="str">
        <f>IFERROR(__xludf.DUMMYFUNCTION("""COMPUTED_VALUE"""),"IP-Poster")</f>
        <v>IP-Poster</v>
      </c>
      <c r="G1218" s="7" t="str">
        <f>IFERROR(__xludf.DUMMYFUNCTION("""COMPUTED_VALUE"""),"In-Person")</f>
        <v>In-Person</v>
      </c>
      <c r="H1218" s="7" t="str">
        <f>IFERROR(__xludf.DUMMYFUNCTION("""COMPUTED_VALUE"""),"Hall 4/5")</f>
        <v>Hall 4/5</v>
      </c>
      <c r="I1218" s="7" t="str">
        <f>IFERROR(__xludf.DUMMYFUNCTION("""COMPUTED_VALUE"""),"Session 12: IP-Posters")</f>
        <v>Session 12: IP-Posters</v>
      </c>
      <c r="J1218" s="7" t="str">
        <f>IFERROR(__xludf.DUMMYFUNCTION("""COMPUTED_VALUE"""),"Findings Posters - In-Person 4")</f>
        <v>Findings Posters - In-Person 4</v>
      </c>
      <c r="K1218" s="7"/>
      <c r="L1218" s="8">
        <f>IFERROR(__xludf.DUMMYFUNCTION("""COMPUTED_VALUE"""),45868.0)</f>
        <v>45868</v>
      </c>
      <c r="M1218" s="7" t="str">
        <f>IFERROR(__xludf.DUMMYFUNCTION("""COMPUTED_VALUE"""),"11:00-12:30")</f>
        <v>11:00-12:30</v>
      </c>
      <c r="N1218" s="7"/>
    </row>
    <row r="1219">
      <c r="A1219" s="7" t="str">
        <f>IFERROR(__xludf.DUMMYFUNCTION("""COMPUTED_VALUE"""),"4330-FIND")</f>
        <v>4330-FIND</v>
      </c>
      <c r="B1219" s="7" t="str">
        <f>IFERROR(__xludf.DUMMYFUNCTION("""COMPUTED_VALUE"""),"P-CoT: A Pedagogically-motivated Participatory Chain-of-Thought Prompting for Phonological Reasoning in LLMs")</f>
        <v>P-CoT: A Pedagogically-motivated Participatory Chain-of-Thought Prompting for Phonological Reasoning in LLMs</v>
      </c>
      <c r="C1219" s="7" t="str">
        <f>IFERROR(__xludf.DUMMYFUNCTION("""COMPUTED_VALUE"""),"This study explores the potential of phonological reasoning within text-based large language models (LLMs). Utilizing the PhonologyBench benchmark, we assess tasks like rhyme generation, grapheme-to-phoneme conversion, and syllable counting. Our evaluatio"&amp;"ns across 12 LLMs reveal that while few-shot learning offers inconsistent gains, the introduction of a novel Pedagogical Chain-of-Thought (P-CoT) prompts, which is anchored in educational theories like scaffolding and discovery learning consistently enhan"&amp;"ces performance. This method leverages structured guidance to activate latent phonological abilities, achieving up to 52% improvement and even surpassing human baselines in certain tasks. Future work could aim to optimize P-CoT prompts for specific models"&amp;" or explore their application across different linguistic domains.")</f>
        <v>This study explores the potential of phonological reasoning within text-based large language models (LLMs). Utilizing the PhonologyBench benchmark, we assess tasks like rhyme generation, grapheme-to-phoneme conversion, and syllable counting. Our evaluations across 12 LLMs reveal that while few-shot learning offers inconsistent gains, the introduction of a novel Pedagogical Chain-of-Thought (P-CoT) prompts, which is anchored in educational theories like scaffolding and discovery learning consistently enhances performance. This method leverages structured guidance to activate latent phonological abilities, achieving up to 52% improvement and even surpassing human baselines in certain tasks. Future work could aim to optimize P-CoT prompts for specific models or explore their application across different linguistic domains.</v>
      </c>
      <c r="D1219" s="7" t="str">
        <f>IFERROR(__xludf.DUMMYFUNCTION("""COMPUTED_VALUE"""),"Dongjun Jang, Youngchae Ahn")</f>
        <v>Dongjun Jang, Youngchae Ahn</v>
      </c>
      <c r="E1219" s="7" t="str">
        <f>IFERROR(__xludf.DUMMYFUNCTION("""COMPUTED_VALUE"""),"Yes")</f>
        <v>Yes</v>
      </c>
      <c r="F1219" s="7" t="str">
        <f>IFERROR(__xludf.DUMMYFUNCTION("""COMPUTED_VALUE"""),"IP-Poster")</f>
        <v>IP-Poster</v>
      </c>
      <c r="G1219" s="7" t="str">
        <f>IFERROR(__xludf.DUMMYFUNCTION("""COMPUTED_VALUE"""),"In-Person")</f>
        <v>In-Person</v>
      </c>
      <c r="H1219" s="7" t="str">
        <f>IFERROR(__xludf.DUMMYFUNCTION("""COMPUTED_VALUE"""),"Hall 4/5")</f>
        <v>Hall 4/5</v>
      </c>
      <c r="I1219" s="7" t="str">
        <f>IFERROR(__xludf.DUMMYFUNCTION("""COMPUTED_VALUE"""),"Session 5 :IP-Posters Find ")</f>
        <v>Session 5 :IP-Posters Find </v>
      </c>
      <c r="J1219" s="7" t="str">
        <f>IFERROR(__xludf.DUMMYFUNCTION("""COMPUTED_VALUE"""),"Findings Posters - In-Person 1")</f>
        <v>Findings Posters - In-Person 1</v>
      </c>
      <c r="K1219" s="7"/>
      <c r="L1219" s="8">
        <f>IFERROR(__xludf.DUMMYFUNCTION("""COMPUTED_VALUE"""),45866.0)</f>
        <v>45866</v>
      </c>
      <c r="M1219" s="7" t="str">
        <f>IFERROR(__xludf.DUMMYFUNCTION("""COMPUTED_VALUE"""),"18:00-19:30")</f>
        <v>18:00-19:30</v>
      </c>
      <c r="N1219" s="7"/>
    </row>
    <row r="1220">
      <c r="A1220" s="7" t="str">
        <f>IFERROR(__xludf.DUMMYFUNCTION("""COMPUTED_VALUE"""),"4339-FIND")</f>
        <v>4339-FIND</v>
      </c>
      <c r="B1220" s="7" t="str">
        <f>IFERROR(__xludf.DUMMYFUNCTION("""COMPUTED_VALUE"""),"DynaCode: A Dynamic Complexity-Aware Code Benchmark for Evaluating Large Language Models in Code Generation")</f>
        <v>DynaCode: A Dynamic Complexity-Aware Code Benchmark for Evaluating Large Language Models in Code Generation</v>
      </c>
      <c r="C1220" s="7" t="str">
        <f>IFERROR(__xludf.DUMMYFUNCTION("""COMPUTED_VALUE"""),"The rapid advancement of large language models (LLMs) has significantly improved their performance in code generation tasks. However, existing code benchmarks remain static, consisting of fixed datasets with predefined problems. This makes them vulnerable"&amp;" to memorization during training, where LLMs recall specific test cases instead of generalizing to new problems, leading to data contamination and unreliable evaluation results. To address these issues, we introduce DynaCode, a dynamic, complexity-aware b"&amp;"enchmark that overcomes the limitations of static datasets. DynaCode evaluates LLMs systematically using a complexity-aware metric, incorporating both code complexity and call-graph structures. DynaCode achieves large-scale diversity, generating up to 189"&amp;" million unique nested code problems across 4 units of code complexity and 16 types of call graphs. Results on 12 latest LLMs show an average performance drop of 16.8% to 45.7% compared to MBPP+, with performance progressively decreasing as complexity inc"&amp;"reases. This demonstrates DynaCode’s ability to effectively differentiate model performance based on code complexity and how different parts of a program interact.")</f>
        <v>The rapid advancement of large language models (LLMs) has significantly improved their performance in code generation tasks. However, existing code benchmarks remain static, consisting of fixed datasets with predefined problems. This makes them vulnerable to memorization during training, where LLMs recall specific test cases instead of generalizing to new problems, leading to data contamination and unreliable evaluation results. To address these issues, we introduce DynaCode, a dynamic, complexity-aware benchmark that overcomes the limitations of static datasets. DynaCode evaluates LLMs systematically using a complexity-aware metric, incorporating both code complexity and call-graph structures. DynaCode achieves large-scale diversity, generating up to 189 million unique nested code problems across 4 units of code complexity and 16 types of call graphs. Results on 12 latest LLMs show an average performance drop of 16.8% to 45.7% compared to MBPP+, with performance progressively decreasing as complexity increases. This demonstrates DynaCode’s ability to effectively differentiate model performance based on code complexity and how different parts of a program interact.</v>
      </c>
      <c r="D1220" s="7" t="str">
        <f>IFERROR(__xludf.DUMMYFUNCTION("""COMPUTED_VALUE"""),"Wenhao Hu")</f>
        <v>Wenhao Hu</v>
      </c>
      <c r="E1220" s="7" t="str">
        <f>IFERROR(__xludf.DUMMYFUNCTION("""COMPUTED_VALUE"""),"#N/A")</f>
        <v>#N/A</v>
      </c>
      <c r="F1220" s="7" t="str">
        <f>IFERROR(__xludf.DUMMYFUNCTION("""COMPUTED_VALUE"""),"Not Pres. ")</f>
        <v>Not Pres. </v>
      </c>
      <c r="G1220" s="7" t="str">
        <f>IFERROR(__xludf.DUMMYFUNCTION("""COMPUTED_VALUE"""),"NP Findings Not Presenting ")</f>
        <v>NP Findings Not Presenting </v>
      </c>
      <c r="H1220" s="7"/>
      <c r="I1220" s="7" t="str">
        <f>IFERROR(__xludf.DUMMYFUNCTION("""COMPUTED_VALUE"""),"NP-Find")</f>
        <v>NP-Find</v>
      </c>
      <c r="J1220" s="7"/>
      <c r="K1220" s="7"/>
      <c r="L1220" s="8"/>
      <c r="M1220" s="7"/>
      <c r="N1220" s="7"/>
    </row>
    <row r="1221">
      <c r="A1221" s="7" t="str">
        <f>IFERROR(__xludf.DUMMYFUNCTION("""COMPUTED_VALUE"""),"4349-FIND")</f>
        <v>4349-FIND</v>
      </c>
      <c r="B1221" s="7" t="str">
        <f>IFERROR(__xludf.DUMMYFUNCTION("""COMPUTED_VALUE"""),"Small Encoders Can Rival Large Decoders in Detecting Groundedness")</f>
        <v>Small Encoders Can Rival Large Decoders in Detecting Groundedness</v>
      </c>
      <c r="C1221" s="7" t="str">
        <f>IFERROR(__xludf.DUMMYFUNCTION("""COMPUTED_VALUE"""),"Augmenting large language models (LLMs) with external context significantly improves their performance in natural language processing (NLP) tasks. However, LLMs struggle to answer queries reliably when the provided context lacks information, often resorti"&amp;"ng to ungrounded speculation or internal knowledge. Groundedness – generating responses strictly supported by the context – is essential for ensuring factual consistency and trustworthiness. This study focuses on detecting whether a given query is grounde"&amp;"d in a document provided in context before the costly answer generation by LLMs. Such a detection mechanism can significantly reduce both inference time and resource consumption. We show that lightweight, task-specific encoder models such as RoBERTa and N"&amp;"omicBERT, fine-tuned on curated datasets, can achieve accuracy comparable to state-of-the-art LLMs, such as Llama3 8B and GPT4o, in groundedness detection while reducing inference latency by orders of magnitude.")</f>
        <v>Augmenting large language models (LLMs) with external context significantly improves their performance in natural language processing (NLP) tasks. However, LLMs struggle to answer queries reliably when the provided context lacks information, often resorting to ungrounded speculation or internal knowledge. Groundedness – generating responses strictly supported by the context – is essential for ensuring factual consistency and trustworthiness. This study focuses on detecting whether a given query is grounded in a document provided in context before the costly answer generation by LLMs. Such a detection mechanism can significantly reduce both inference time and resource consumption. We show that lightweight, task-specific encoder models such as RoBERTa and NomicBERT, fine-tuned on curated datasets, can achieve accuracy comparable to state-of-the-art LLMs, such as Llama3 8B and GPT4o, in groundedness detection while reducing inference latency by orders of magnitude.</v>
      </c>
      <c r="D1221" s="7" t="str">
        <f>IFERROR(__xludf.DUMMYFUNCTION("""COMPUTED_VALUE"""),"Istabrak Abbes")</f>
        <v>Istabrak Abbes</v>
      </c>
      <c r="E1221" s="7" t="str">
        <f>IFERROR(__xludf.DUMMYFUNCTION("""COMPUTED_VALUE"""),"Yes")</f>
        <v>Yes</v>
      </c>
      <c r="F1221" s="7" t="str">
        <f>IFERROR(__xludf.DUMMYFUNCTION("""COMPUTED_VALUE"""),"IP-Poster")</f>
        <v>IP-Poster</v>
      </c>
      <c r="G1221" s="7" t="str">
        <f>IFERROR(__xludf.DUMMYFUNCTION("""COMPUTED_VALUE"""),"In-Person")</f>
        <v>In-Person</v>
      </c>
      <c r="H1221" s="7" t="str">
        <f>IFERROR(__xludf.DUMMYFUNCTION("""COMPUTED_VALUE"""),"Hall 4/5")</f>
        <v>Hall 4/5</v>
      </c>
      <c r="I1221" s="7" t="str">
        <f>IFERROR(__xludf.DUMMYFUNCTION("""COMPUTED_VALUE"""),"Session 10: IP-Posters")</f>
        <v>Session 10: IP-Posters</v>
      </c>
      <c r="J1221" s="7" t="str">
        <f>IFERROR(__xludf.DUMMYFUNCTION("""COMPUTED_VALUE"""),"Findings Posters - In-Person 3")</f>
        <v>Findings Posters - In-Person 3</v>
      </c>
      <c r="K1221" s="7"/>
      <c r="L1221" s="8">
        <f>IFERROR(__xludf.DUMMYFUNCTION("""COMPUTED_VALUE"""),45867.0)</f>
        <v>45867</v>
      </c>
      <c r="M1221" s="7" t="str">
        <f>IFERROR(__xludf.DUMMYFUNCTION("""COMPUTED_VALUE"""),"16:00-17:30")</f>
        <v>16:00-17:30</v>
      </c>
      <c r="N1221" s="7"/>
    </row>
    <row r="1222">
      <c r="A1222" s="7" t="str">
        <f>IFERROR(__xludf.DUMMYFUNCTION("""COMPUTED_VALUE"""),"4350-FIND")</f>
        <v>4350-FIND</v>
      </c>
      <c r="B1222" s="7" t="str">
        <f>IFERROR(__xludf.DUMMYFUNCTION("""COMPUTED_VALUE"""),"KITAB-Bench: A Comprehensive Multi-Domain Benchmark for Arabic OCR and Document Understanding")</f>
        <v>KITAB-Bench: A Comprehensive Multi-Domain Benchmark for Arabic OCR and Document Understanding</v>
      </c>
      <c r="C1222" s="7" t="str">
        <f>IFERROR(__xludf.DUMMYFUNCTION("""COMPUTED_VALUE"""),"With the growing adoption of Retrieval-Augmented Generation (RAG) in document processing, robust text recognition has become increasingly critical for knowledge extraction. While OCR (Optical Character Recognition) for English and other languages benefits"&amp;" from large datasets and well-established benchmarks, Arabic OCR faces unique challenges due to its cursive script, right-to-left text flow, and complex typographic and calligraphic features. We present KITAB-Bench, a comprehensive Arabic OCR benchmark th"&amp;"at fills the gaps in current evaluation systems. Our benchmark comprises 8,809 samples across 9 major domains and 36 sub-domains, encompassing diverse document types including handwritten text, structured tables, and specialized coverage of 21 chart types"&amp;" for business intelligence. Our findings show that modern vision-language models (such as GPT-4, Gemini, and Qwen) outperform traditional OCR approached (like EasyOCR, PaddleOCR, and Surya) by an average of 60% in Character Error Rate (CER). Furthermore, "&amp;"we highlight significant limitations of current Arabic OCR models, particularly in PDF-to-Markdown conversion, where the best model Gemini-2.0-Flash achieves only 65% accuracy. This underscores the challenges in accurately recognizing Arabic text, includi"&amp;"ng issues with complex fonts, numeral recognition errors, word elongation, and table structure detection. This work establishes a rigorous evaluation framework that can drive improvements in Arabic document analysis methods and bridge the performance gap "&amp;"with English OCR technologies.")</f>
        <v>With the growing adoption of Retrieval-Augmented Generation (RAG) in document processing, robust text recognition has become increasingly critical for knowledge extraction. While OCR (Optical Character Recognition) for English and other languages benefits from large datasets and well-established benchmarks, Arabic OCR faces unique challenges due to its cursive script, right-to-left text flow, and complex typographic and calligraphic features. We present KITAB-Bench, a comprehensive Arabic OCR benchmark that fills the gaps in current evaluation systems. Our benchmark comprises 8,809 samples across 9 major domains and 36 sub-domains, encompassing diverse document types including handwritten text, structured tables, and specialized coverage of 21 chart types for business intelligence. Our findings show that modern vision-language models (such as GPT-4, Gemini, and Qwen) outperform traditional OCR approached (like EasyOCR, PaddleOCR, and Surya) by an average of 60% in Character Error Rate (CER). Furthermore, we highlight significant limitations of current Arabic OCR models, particularly in PDF-to-Markdown conversion, where the best model Gemini-2.0-Flash achieves only 65% accuracy. This underscores the challenges in accurately recognizing Arabic text, including issues with complex fonts, numeral recognition errors, word elongation, and table structure detection. This work establishes a rigorous evaluation framework that can drive improvements in Arabic document analysis methods and bridge the performance gap with English OCR technologies.</v>
      </c>
      <c r="D1222" s="7" t="str">
        <f>IFERROR(__xludf.DUMMYFUNCTION("""COMPUTED_VALUE"""),"Ahmed Heakl")</f>
        <v>Ahmed Heakl</v>
      </c>
      <c r="E1222" s="7" t="str">
        <f>IFERROR(__xludf.DUMMYFUNCTION("""COMPUTED_VALUE"""),"Yes")</f>
        <v>Yes</v>
      </c>
      <c r="F1222" s="7" t="str">
        <f>IFERROR(__xludf.DUMMYFUNCTION("""COMPUTED_VALUE"""),"IP-Poster")</f>
        <v>IP-Poster</v>
      </c>
      <c r="G1222" s="7" t="str">
        <f>IFERROR(__xludf.DUMMYFUNCTION("""COMPUTED_VALUE"""),"In-Person")</f>
        <v>In-Person</v>
      </c>
      <c r="H1222" s="7" t="str">
        <f>IFERROR(__xludf.DUMMYFUNCTION("""COMPUTED_VALUE"""),"Hall 4/5")</f>
        <v>Hall 4/5</v>
      </c>
      <c r="I1222" s="7" t="str">
        <f>IFERROR(__xludf.DUMMYFUNCTION("""COMPUTED_VALUE"""),"Session 10: IP-Posters")</f>
        <v>Session 10: IP-Posters</v>
      </c>
      <c r="J1222" s="7" t="str">
        <f>IFERROR(__xludf.DUMMYFUNCTION("""COMPUTED_VALUE"""),"Findings Posters - In-Person 3")</f>
        <v>Findings Posters - In-Person 3</v>
      </c>
      <c r="K1222" s="7"/>
      <c r="L1222" s="8">
        <f>IFERROR(__xludf.DUMMYFUNCTION("""COMPUTED_VALUE"""),45867.0)</f>
        <v>45867</v>
      </c>
      <c r="M1222" s="7" t="str">
        <f>IFERROR(__xludf.DUMMYFUNCTION("""COMPUTED_VALUE"""),"16:00-17:30")</f>
        <v>16:00-17:30</v>
      </c>
      <c r="N1222" s="7"/>
    </row>
    <row r="1223">
      <c r="A1223" s="7" t="str">
        <f>IFERROR(__xludf.DUMMYFUNCTION("""COMPUTED_VALUE"""),"4361-FIND")</f>
        <v>4361-FIND</v>
      </c>
      <c r="B1223" s="7" t="str">
        <f>IFERROR(__xludf.DUMMYFUNCTION("""COMPUTED_VALUE"""),"Robustness and Confounders in the Demographic Alignment of LLMs with Human Perceptions of Offensiveness")</f>
        <v>Robustness and Confounders in the Demographic Alignment of LLMs with Human Perceptions of Offensiveness</v>
      </c>
      <c r="C1223" s="7" t="str">
        <f>IFERROR(__xludf.DUMMYFUNCTION("""COMPUTED_VALUE"""),"Despite a growing literature finding that large language models (LLMs) exhibit demographic biases, reports with whom they align best are hard to generalize or even contradictory. In this work, we examine the alignment of LLMs with human annotations in fiv"&amp;"e offensive language datasets, comprising approximately 220K annotations. While demographic traits, particularly race, influence alignment, these effects vary across datasets and are often entangled with other factors. Confounders introduced in the annota"&amp;"tion process&amp;mdash;such as document difficulty, annotator sensitivity, and within-group agreement&amp;mdash;account for more variation in alignment patterns than demographic traits. Alignment increases with annotator sensitivity and group agreement, and decre"&amp;"ases with document difficulty. Our results underscore the importance of multi-dataset analyses and confounder-aware methodologies in developing robust measures of demographic bias.")</f>
        <v>Despite a growing literature finding that large language models (LLMs) exhibit demographic biases, reports with whom they align best are hard to generalize or even contradictory. In this work, we examine the alignment of LLMs with human annotations in five offensive language datasets, comprising approximately 220K annotations. While demographic traits, particularly race, influence alignment, these effects vary across datasets and are often entangled with other factors. Confounders introduced in the annotation process&amp;mdash;such as document difficulty, annotator sensitivity, and within-group agreement&amp;mdash;account for more variation in alignment patterns than demographic traits. Alignment increases with annotator sensitivity and group agreement, and decreases with document difficulty. Our results underscore the importance of multi-dataset analyses and confounder-aware methodologies in developing robust measures of demographic bias.</v>
      </c>
      <c r="D1223" s="7" t="str">
        <f>IFERROR(__xludf.DUMMYFUNCTION("""COMPUTED_VALUE"""),"Indira Sen")</f>
        <v>Indira Sen</v>
      </c>
      <c r="E1223" s="7" t="str">
        <f>IFERROR(__xludf.DUMMYFUNCTION("""COMPUTED_VALUE"""),"Yes")</f>
        <v>Yes</v>
      </c>
      <c r="F1223" s="7" t="str">
        <f>IFERROR(__xludf.DUMMYFUNCTION("""COMPUTED_VALUE"""),"IP-Poster")</f>
        <v>IP-Poster</v>
      </c>
      <c r="G1223" s="7" t="str">
        <f>IFERROR(__xludf.DUMMYFUNCTION("""COMPUTED_VALUE"""),"In-Person")</f>
        <v>In-Person</v>
      </c>
      <c r="H1223" s="7" t="str">
        <f>IFERROR(__xludf.DUMMYFUNCTION("""COMPUTED_VALUE"""),"Hall 4/5")</f>
        <v>Hall 4/5</v>
      </c>
      <c r="I1223" s="7" t="str">
        <f>IFERROR(__xludf.DUMMYFUNCTION("""COMPUTED_VALUE"""),"Session 12: IP-Posters")</f>
        <v>Session 12: IP-Posters</v>
      </c>
      <c r="J1223" s="7" t="str">
        <f>IFERROR(__xludf.DUMMYFUNCTION("""COMPUTED_VALUE"""),"Findings Posters - In-Person 4")</f>
        <v>Findings Posters - In-Person 4</v>
      </c>
      <c r="K1223" s="7"/>
      <c r="L1223" s="8">
        <f>IFERROR(__xludf.DUMMYFUNCTION("""COMPUTED_VALUE"""),45868.0)</f>
        <v>45868</v>
      </c>
      <c r="M1223" s="7" t="str">
        <f>IFERROR(__xludf.DUMMYFUNCTION("""COMPUTED_VALUE"""),"11:00-12:30")</f>
        <v>11:00-12:30</v>
      </c>
      <c r="N1223" s="7"/>
    </row>
    <row r="1224">
      <c r="A1224" s="7" t="str">
        <f>IFERROR(__xludf.DUMMYFUNCTION("""COMPUTED_VALUE"""),"4363-FIND")</f>
        <v>4363-FIND</v>
      </c>
      <c r="B1224" s="7" t="str">
        <f>IFERROR(__xludf.DUMMYFUNCTION("""COMPUTED_VALUE"""),"AL-QASIDA: Analyzing LLM Quality and Accuracy Systematically in Dialectal Arabic")</f>
        <v>AL-QASIDA: Analyzing LLM Quality and Accuracy Systematically in Dialectal Arabic</v>
      </c>
      <c r="C1224" s="7" t="str">
        <f>IFERROR(__xludf.DUMMYFUNCTION("""COMPUTED_VALUE"""),"Dialectal Arabic (DA) varieties are underserved by language technologies, particularly large language models (LLMs). This trend threatens to exacerbate existing social inequalities and limits language modeling applications, yet the research community lack"&amp;"s operationalized LLM performance measurements in DA. We present a method that comprehensively evaluates LLM fidelity, understanding, quality, and diglossia in modeling DA. We evaluate nine LLMs in eight DA varieties across these four dimensions and provi"&amp;"de best practice recommendations. Our evaluation suggests that LLMs do not produce DA as well as they understand it, but does not suggest deterioration in quality when they do. Further analysis suggests that current post-training can degrade DA capabiliti"&amp;"es, that few-shot examples can overcome this and other LLM deficiencies, and that otherwise no measurable features of input text correlate well with LLM DA performance.")</f>
        <v>Dialectal Arabic (DA) varieties are underserved by language technologies, particularly large language models (LLMs). This trend threatens to exacerbate existing social inequalities and limits language modeling applications, yet the research community lacks operationalized LLM performance measurements in DA. We present a method that comprehensively evaluates LLM fidelity, understanding, quality, and diglossia in modeling DA. We evaluate nine LLMs in eight DA varieties across these four dimensions and provide best practice recommendations. Our evaluation suggests that LLMs do not produce DA as well as they understand it, but does not suggest deterioration in quality when they do. Further analysis suggests that current post-training can degrade DA capabilities, that few-shot examples can overcome this and other LLM deficiencies, and that otherwise no measurable features of input text correlate well with LLM DA performance.</v>
      </c>
      <c r="D1224" s="7" t="str">
        <f>IFERROR(__xludf.DUMMYFUNCTION("""COMPUTED_VALUE"""),"Nathaniel R. Robinson")</f>
        <v>Nathaniel R. Robinson</v>
      </c>
      <c r="E1224" s="7" t="str">
        <f>IFERROR(__xludf.DUMMYFUNCTION("""COMPUTED_VALUE"""),"Yes")</f>
        <v>Yes</v>
      </c>
      <c r="F1224" s="7" t="str">
        <f>IFERROR(__xludf.DUMMYFUNCTION("""COMPUTED_VALUE"""),"IP-Poster")</f>
        <v>IP-Poster</v>
      </c>
      <c r="G1224" s="7" t="str">
        <f>IFERROR(__xludf.DUMMYFUNCTION("""COMPUTED_VALUE"""),"In-Person")</f>
        <v>In-Person</v>
      </c>
      <c r="H1224" s="7" t="str">
        <f>IFERROR(__xludf.DUMMYFUNCTION("""COMPUTED_VALUE"""),"Hall 4/5")</f>
        <v>Hall 4/5</v>
      </c>
      <c r="I1224" s="7" t="str">
        <f>IFERROR(__xludf.DUMMYFUNCTION("""COMPUTED_VALUE"""),"Session 5 :IP-Posters Find ")</f>
        <v>Session 5 :IP-Posters Find </v>
      </c>
      <c r="J1224" s="7" t="str">
        <f>IFERROR(__xludf.DUMMYFUNCTION("""COMPUTED_VALUE"""),"Findings Posters - In-Person 1")</f>
        <v>Findings Posters - In-Person 1</v>
      </c>
      <c r="K1224" s="7"/>
      <c r="L1224" s="8">
        <f>IFERROR(__xludf.DUMMYFUNCTION("""COMPUTED_VALUE"""),45866.0)</f>
        <v>45866</v>
      </c>
      <c r="M1224" s="7" t="str">
        <f>IFERROR(__xludf.DUMMYFUNCTION("""COMPUTED_VALUE"""),"18:00-19:30")</f>
        <v>18:00-19:30</v>
      </c>
      <c r="N1224" s="7"/>
    </row>
    <row r="1225">
      <c r="A1225" s="7" t="str">
        <f>IFERROR(__xludf.DUMMYFUNCTION("""COMPUTED_VALUE"""),"4365-FIND")</f>
        <v>4365-FIND</v>
      </c>
      <c r="B1225" s="7" t="str">
        <f>IFERROR(__xludf.DUMMYFUNCTION("""COMPUTED_VALUE"""),"Is Large Language Model Performance on Reasoning Tasks Impacted by Different Ways Questions Are Asked?")</f>
        <v>Is Large Language Model Performance on Reasoning Tasks Impacted by Different Ways Questions Are Asked?</v>
      </c>
      <c r="C1225" s="7" t="str">
        <f>IFERROR(__xludf.DUMMYFUNCTION("""COMPUTED_VALUE"""),"Large Language Models (LLMs) have been evaluated using diverse question types, e.g., multiple-choice, true/false, and short/long answers. This study answers an unexplored question about the impact of different question types on LLM accuracy on reasoning t"&amp;"asks. We investigate the performance of five LLMs on three different types of questions using quantitative and deductive reasoning tasks. The performance metrics include accuracy in the reasoning steps and choosing the final answer. Key Findings: (1) Sign"&amp;"ificant differences exist in LLM performance across different question types. (2) Reasoning accuracy does not necessarily correlate with the final selection accuracy. (3) The number of options and the choice of words, influence LLM performance.")</f>
        <v>Large Language Models (LLMs) have been evaluated using diverse question types, e.g., multiple-choice, true/false, and short/long answers. This study answers an unexplored question about the impact of different question types on LLM accuracy on reasoning tasks. We investigate the performance of five LLMs on three different types of questions using quantitative and deductive reasoning tasks. The performance metrics include accuracy in the reasoning steps and choosing the final answer. Key Findings: (1) Significant differences exist in LLM performance across different question types. (2) Reasoning accuracy does not necessarily correlate with the final selection accuracy. (3) The number of options and the choice of words, influence LLM performance.</v>
      </c>
      <c r="D1225" s="7" t="str">
        <f>IFERROR(__xludf.DUMMYFUNCTION("""COMPUTED_VALUE"""),"Seok Hwan Song")</f>
        <v>Seok Hwan Song</v>
      </c>
      <c r="E1225" s="7" t="str">
        <f>IFERROR(__xludf.DUMMYFUNCTION("""COMPUTED_VALUE"""),"Yes")</f>
        <v>Yes</v>
      </c>
      <c r="F1225" s="7" t="str">
        <f>IFERROR(__xludf.DUMMYFUNCTION("""COMPUTED_VALUE"""),"V-Presentation")</f>
        <v>V-Presentation</v>
      </c>
      <c r="G1225" s="7" t="str">
        <f>IFERROR(__xludf.DUMMYFUNCTION("""COMPUTED_VALUE"""),"Virtual/Gather")</f>
        <v>Virtual/Gather</v>
      </c>
      <c r="H1225" s="7" t="str">
        <f>IFERROR(__xludf.DUMMYFUNCTION("""COMPUTED_VALUE"""),"Gather")</f>
        <v>Gather</v>
      </c>
      <c r="I1225" s="7" t="str">
        <f>IFERROR(__xludf.DUMMYFUNCTION("""COMPUTED_VALUE"""),"Session5: V-Gather Find")</f>
        <v>Session5: V-Gather Find</v>
      </c>
      <c r="J1225" s="7" t="str">
        <f>IFERROR(__xludf.DUMMYFUNCTION("""COMPUTED_VALUE"""),"Findings Posters - Virtual")</f>
        <v>Findings Posters - Virtual</v>
      </c>
      <c r="K1225" s="7"/>
      <c r="L1225" s="8">
        <f>IFERROR(__xludf.DUMMYFUNCTION("""COMPUTED_VALUE"""),45866.0)</f>
        <v>45866</v>
      </c>
      <c r="M1225" s="7" t="str">
        <f>IFERROR(__xludf.DUMMYFUNCTION("""COMPUTED_VALUE"""),"18:00-19:30")</f>
        <v>18:00-19:30</v>
      </c>
      <c r="N1225" s="7"/>
    </row>
    <row r="1226">
      <c r="A1226" s="7" t="str">
        <f>IFERROR(__xludf.DUMMYFUNCTION("""COMPUTED_VALUE"""),"4367-FIND")</f>
        <v>4367-FIND</v>
      </c>
      <c r="B1226" s="7" t="str">
        <f>IFERROR(__xludf.DUMMYFUNCTION("""COMPUTED_VALUE"""),"MutantPrompt: Prompt Optimization via Mutation Under a Budget on Modest-sized LMs")</f>
        <v>MutantPrompt: Prompt Optimization via Mutation Under a Budget on Modest-sized LMs</v>
      </c>
      <c r="C1226" s="7" t="str">
        <f>IFERROR(__xludf.DUMMYFUNCTION("""COMPUTED_VALUE"""),"Prompts serve as a critical instruction interface to unlock the diverse capabilities of Large Language Models (LLMs), thus directly influencing the quality of their outputs. While prompt engineering has shown great promise, identifying optimal prompts rem"&amp;"ains a significant challenge, particularly for low-resource languages, which often face higher computational costs due to increased token generation and limited gold standard task data. In response, we propose MutantPrompt, a framework that leverages mult"&amp;"i-armed bandit algorithms to efficiently identify optimal prompts tailored to low-resource languages. By framing prompt selection as an exploration-exploitation problem under a fixed computational budget, the framework dynamically balances exploring new p"&amp;"rompts with exploiting known high-performing ones. We demonstrate the framework’s effectiveness across multiple low-resource Indic language tasks, including classification, question-answering and causal reasoning using three small parameter-size LLMs. The"&amp;" results highlight the cost efficiency of the search method in finding optimal prompts and resulting performance improvements.")</f>
        <v>Prompts serve as a critical instruction interface to unlock the diverse capabilities of Large Language Models (LLMs), thus directly influencing the quality of their outputs. While prompt engineering has shown great promise, identifying optimal prompts remains a significant challenge, particularly for low-resource languages, which often face higher computational costs due to increased token generation and limited gold standard task data. In response, we propose MutantPrompt, a framework that leverages multi-armed bandit algorithms to efficiently identify optimal prompts tailored to low-resource languages. By framing prompt selection as an exploration-exploitation problem under a fixed computational budget, the framework dynamically balances exploring new prompts with exploiting known high-performing ones. We demonstrate the framework’s effectiveness across multiple low-resource Indic language tasks, including classification, question-answering and causal reasoning using three small parameter-size LLMs. The results highlight the cost efficiency of the search method in finding optimal prompts and resulting performance improvements.</v>
      </c>
      <c r="D1226" s="7" t="str">
        <f>IFERROR(__xludf.DUMMYFUNCTION("""COMPUTED_VALUE"""),"Arijit Nag")</f>
        <v>Arijit Nag</v>
      </c>
      <c r="E1226" s="7" t="str">
        <f>IFERROR(__xludf.DUMMYFUNCTION("""COMPUTED_VALUE"""),"N/A")</f>
        <v>N/A</v>
      </c>
      <c r="F1226" s="7" t="str">
        <f>IFERROR(__xludf.DUMMYFUNCTION("""COMPUTED_VALUE"""),"Not Pres. ")</f>
        <v>Not Pres. </v>
      </c>
      <c r="G1226" s="7" t="str">
        <f>IFERROR(__xludf.DUMMYFUNCTION("""COMPUTED_VALUE"""),"NP Findings Not Presenting ")</f>
        <v>NP Findings Not Presenting </v>
      </c>
      <c r="H1226" s="7"/>
      <c r="I1226" s="7"/>
      <c r="J1226" s="7"/>
      <c r="K1226" s="7"/>
      <c r="L1226" s="8"/>
      <c r="M1226" s="7"/>
      <c r="N1226" s="7"/>
    </row>
    <row r="1227">
      <c r="A1227" s="7" t="str">
        <f>IFERROR(__xludf.DUMMYFUNCTION("""COMPUTED_VALUE"""),"4373-FIND")</f>
        <v>4373-FIND</v>
      </c>
      <c r="B1227" s="7" t="str">
        <f>IFERROR(__xludf.DUMMYFUNCTION("""COMPUTED_VALUE"""),"Heuristic-based Search Algorithm in Automatic Instruction-focused Prompt Optimization: A Survey")</f>
        <v>Heuristic-based Search Algorithm in Automatic Instruction-focused Prompt Optimization: A Survey</v>
      </c>
      <c r="C1227" s="7" t="str">
        <f>IFERROR(__xludf.DUMMYFUNCTION("""COMPUTED_VALUE"""),"Recent advances in Large Language Models(LLMs) have led to remarkable achievements across a variety of Natural Language Processing(NLP) tasks, making prompt engineering increasingly central to guiding model outputs. While manual methods (e.g., “chain-of-t"&amp;"hought,” “step-by-step” prompts) can be effective, they typically rely on intuition and do not automatically refine prompts over time. In contrast, automatic prompt optimization employing heuristic-based search algorithms can systematically explore and im"&amp;"prove prompts with minimal human oversight. This survey proposes a comprehensive taxonomy of these methods, categorizing them by where optimization occurs, what is optimized, what criteria drive the optimization, which operators generate new prompts, and "&amp;"which iterative search algorithms are applied. We further highlight specialized datasets and tools that support and accelerate automated prompt refinement. We conclude by discussing key open challenges, pointing toward future opportunities for more robust"&amp;" and versatile LLM applications.")</f>
        <v>Recent advances in Large Language Models(LLMs) have led to remarkable achievements across a variety of Natural Language Processing(NLP) tasks, making prompt engineering increasingly central to guiding model outputs. While manual methods (e.g., “chain-of-thought,” “step-by-step” prompts) can be effective, they typically rely on intuition and do not automatically refine prompts over time. In contrast, automatic prompt optimization employing heuristic-based search algorithms can systematically explore and improve prompts with minimal human oversight. This survey proposes a comprehensive taxonomy of these methods, categorizing them by where optimization occurs, what is optimized, what criteria drive the optimization, which operators generate new prompts, and which iterative search algorithms are applied. We further highlight specialized datasets and tools that support and accelerate automated prompt refinement. We conclude by discussing key open challenges, pointing toward future opportunities for more robust and versatile LLM applications.</v>
      </c>
      <c r="D1227" s="7" t="str">
        <f>IFERROR(__xludf.DUMMYFUNCTION("""COMPUTED_VALUE"""),"Wendi Cui")</f>
        <v>Wendi Cui</v>
      </c>
      <c r="E1227" s="7" t="str">
        <f>IFERROR(__xludf.DUMMYFUNCTION("""COMPUTED_VALUE"""),"Yes")</f>
        <v>Yes</v>
      </c>
      <c r="F1227" s="7" t="str">
        <f>IFERROR(__xludf.DUMMYFUNCTION("""COMPUTED_VALUE"""),"V-Presentation")</f>
        <v>V-Presentation</v>
      </c>
      <c r="G1227" s="7" t="str">
        <f>IFERROR(__xludf.DUMMYFUNCTION("""COMPUTED_VALUE"""),"Virtual/Gather")</f>
        <v>Virtual/Gather</v>
      </c>
      <c r="H1227" s="7" t="str">
        <f>IFERROR(__xludf.DUMMYFUNCTION("""COMPUTED_VALUE"""),"Gather")</f>
        <v>Gather</v>
      </c>
      <c r="I1227" s="7" t="str">
        <f>IFERROR(__xludf.DUMMYFUNCTION("""COMPUTED_VALUE"""),"Session5: V-Gather Find")</f>
        <v>Session5: V-Gather Find</v>
      </c>
      <c r="J1227" s="7" t="str">
        <f>IFERROR(__xludf.DUMMYFUNCTION("""COMPUTED_VALUE"""),"Findings Posters - Virtual")</f>
        <v>Findings Posters - Virtual</v>
      </c>
      <c r="K1227" s="7"/>
      <c r="L1227" s="8">
        <f>IFERROR(__xludf.DUMMYFUNCTION("""COMPUTED_VALUE"""),45866.0)</f>
        <v>45866</v>
      </c>
      <c r="M1227" s="7" t="str">
        <f>IFERROR(__xludf.DUMMYFUNCTION("""COMPUTED_VALUE"""),"18:00-19:30")</f>
        <v>18:00-19:30</v>
      </c>
      <c r="N1227" s="7"/>
    </row>
    <row r="1228">
      <c r="A1228" s="7" t="str">
        <f>IFERROR(__xludf.DUMMYFUNCTION("""COMPUTED_VALUE"""),"4376-FIND")</f>
        <v>4376-FIND</v>
      </c>
      <c r="B1228" s="7" t="str">
        <f>IFERROR(__xludf.DUMMYFUNCTION("""COMPUTED_VALUE"""),"CONSENSAGENT: Towards Efficient and Effective Consensus in Multi-Agent LLM Interactions Through Sycophancy Mitigation")</f>
        <v>CONSENSAGENT: Towards Efficient and Effective Consensus in Multi-Agent LLM Interactions Through Sycophancy Mitigation</v>
      </c>
      <c r="C1228" s="7" t="str">
        <f>IFERROR(__xludf.DUMMYFUNCTION("""COMPUTED_VALUE"""),"Multi-agent large language model (LLM) systems have shown remarkable performance in tasks such as reasoning, planning, and decision-making. However, their applicability is limited by challenges such as high computational costs and robustness issues. In th"&amp;"is work, we identify and systematically evaluate a critical yet overlooked challenge: sycophancy, where agents reinforce each other’s responses instead of critically engaging with the debate. This behavior inflates computational costs by requiring additio"&amp;"nal debate rounds to reach consensus, limiting the efficiency of multi-agent LLM systems. Through experiments on six benchmark reasoning datasets across three models, we analyze the impact of sycophancy and its role in reducing the reliability of multi-ag"&amp;"ent debate. Motivated by our findings, we propose CONSENSAGENT, a novel framework that dynamically refines prompts based on agent interactions to mitigate sycophancy. CONSENSAGENT reduces the number of debate rounds required for consensus and improves acc"&amp;"uracy while maintaining efficiency. It significantly outperforms both single-agent and multi-agent baselines, achieving state-of-the-art results across all benchmark datasets. Our findings highlight the crucial role of structured prompt optimization in mu"&amp;"lti-agent setups and establish a foundation for more reliable, efficient multi-agent LLM systems in real-world applications.")</f>
        <v>Multi-agent large language model (LLM) systems have shown remarkable performance in tasks such as reasoning, planning, and decision-making. However, their applicability is limited by challenges such as high computational costs and robustness issues. In this work, we identify and systematically evaluate a critical yet overlooked challenge: sycophancy, where agents reinforce each other’s responses instead of critically engaging with the debate. This behavior inflates computational costs by requiring additional debate rounds to reach consensus, limiting the efficiency of multi-agent LLM systems. Through experiments on six benchmark reasoning datasets across three models, we analyze the impact of sycophancy and its role in reducing the reliability of multi-agent debate. Motivated by our findings, we propose CONSENSAGENT, a novel framework that dynamically refines prompts based on agent interactions to mitigate sycophancy. CONSENSAGENT reduces the number of debate rounds required for consensus and improves accuracy while maintaining efficiency. It significantly outperforms both single-agent and multi-agent baselines, achieving state-of-the-art results across all benchmark datasets. Our findings highlight the crucial role of structured prompt optimization in multi-agent setups and establish a foundation for more reliable, efficient multi-agent LLM systems in real-world applications.</v>
      </c>
      <c r="D1228" s="7" t="str">
        <f>IFERROR(__xludf.DUMMYFUNCTION("""COMPUTED_VALUE"""),"Priya Pitre")</f>
        <v>Priya Pitre</v>
      </c>
      <c r="E1228" s="7" t="str">
        <f>IFERROR(__xludf.DUMMYFUNCTION("""COMPUTED_VALUE"""),"Yes")</f>
        <v>Yes</v>
      </c>
      <c r="F1228" s="7" t="str">
        <f>IFERROR(__xludf.DUMMYFUNCTION("""COMPUTED_VALUE"""),"V-Presentation")</f>
        <v>V-Presentation</v>
      </c>
      <c r="G1228" s="7" t="str">
        <f>IFERROR(__xludf.DUMMYFUNCTION("""COMPUTED_VALUE"""),"Virtual/Gather")</f>
        <v>Virtual/Gather</v>
      </c>
      <c r="H1228" s="7" t="str">
        <f>IFERROR(__xludf.DUMMYFUNCTION("""COMPUTED_VALUE"""),"Gather")</f>
        <v>Gather</v>
      </c>
      <c r="I1228" s="7" t="str">
        <f>IFERROR(__xludf.DUMMYFUNCTION("""COMPUTED_VALUE"""),"Session5: V-Gather Find")</f>
        <v>Session5: V-Gather Find</v>
      </c>
      <c r="J1228" s="7" t="str">
        <f>IFERROR(__xludf.DUMMYFUNCTION("""COMPUTED_VALUE"""),"Findings Posters - Virtual")</f>
        <v>Findings Posters - Virtual</v>
      </c>
      <c r="K1228" s="7"/>
      <c r="L1228" s="8">
        <f>IFERROR(__xludf.DUMMYFUNCTION("""COMPUTED_VALUE"""),45866.0)</f>
        <v>45866</v>
      </c>
      <c r="M1228" s="7" t="str">
        <f>IFERROR(__xludf.DUMMYFUNCTION("""COMPUTED_VALUE"""),"18:00-19:30")</f>
        <v>18:00-19:30</v>
      </c>
      <c r="N1228" s="7"/>
    </row>
    <row r="1229">
      <c r="A1229" s="7" t="str">
        <f>IFERROR(__xludf.DUMMYFUNCTION("""COMPUTED_VALUE"""),"4380-FIND")</f>
        <v>4380-FIND</v>
      </c>
      <c r="B1229" s="7" t="str">
        <f>IFERROR(__xludf.DUMMYFUNCTION("""COMPUTED_VALUE"""),"The Structural Safety Generalization Problem")</f>
        <v>The Structural Safety Generalization Problem</v>
      </c>
      <c r="C1229" s="7" t="str">
        <f>IFERROR(__xludf.DUMMYFUNCTION("""COMPUTED_VALUE"""),"LLM jailbreaks are a widespread safety challenge. Given this problem has not yet been tractable, we suggest targeting a key failure mechanism: the failure of safety to generalize across semantically equivalent inputs. We further focus the target by requir"&amp;"ing desirable tractability properties of attacks to study: explainability, transferability between models, and transferability between goals. We perform red-teaming within this framework by uncovering new vulnerabilities to multi-turn, multi-image, and tr"&amp;"anslation-based attacks. These attacks are semantically equivalent by our design to their single-turn, single-image, or untranslated counterparts, enabling systematic comparisons; we show that the different structures yield different safety outcomes. We t"&amp;"hen demonstrate the potential for this framework to enable new defenses by proposing a Structure Rewriting Guardrail, which converts an input to a structure more conducive to safety assessment. This guardrail significantly improves refusal of harmful inpu"&amp;"ts, without over-refusing benign ones. Thus, by framing this intermediate challenge—more tractable than universal defenses but essential for long-term safety—we highlight a critical milestone for AI safety research.")</f>
        <v>LLM jailbreaks are a widespread safety challenge. Given this problem has not yet been tractable, we suggest targeting a key failure mechanism: the failure of safety to generalize across semantically equivalent inputs. We further focus the target by requiring desirable tractability properties of attacks to study: explainability, transferability between models, and transferability between goals. We perform red-teaming within this framework by uncovering new vulnerabilities to multi-turn, multi-image, and translation-based attacks. These attacks are semantically equivalent by our design to their single-turn, single-image, or untranslated counterparts, enabling systematic comparisons; we show that the different structures yield different safety outcomes. We then demonstrate the potential for this framework to enable new defenses by proposing a Structure Rewriting Guardrail, which converts an input to a structure more conducive to safety assessment. This guardrail significantly improves refusal of harmful inputs, without over-refusing benign ones. Thus, by framing this intermediate challenge—more tractable than universal defenses but essential for long-term safety—we highlight a critical milestone for AI safety research.</v>
      </c>
      <c r="D1229" s="7" t="str">
        <f>IFERROR(__xludf.DUMMYFUNCTION("""COMPUTED_VALUE"""),"Julius Broomfield")</f>
        <v>Julius Broomfield</v>
      </c>
      <c r="E1229" s="7" t="str">
        <f>IFERROR(__xludf.DUMMYFUNCTION("""COMPUTED_VALUE"""),"#N/A")</f>
        <v>#N/A</v>
      </c>
      <c r="F1229" s="7" t="str">
        <f>IFERROR(__xludf.DUMMYFUNCTION("""COMPUTED_VALUE"""),"Not Pres. ")</f>
        <v>Not Pres. </v>
      </c>
      <c r="G1229" s="7" t="str">
        <f>IFERROR(__xludf.DUMMYFUNCTION("""COMPUTED_VALUE"""),"NP Findings Not Presenting ")</f>
        <v>NP Findings Not Presenting </v>
      </c>
      <c r="H1229" s="7"/>
      <c r="I1229" s="7" t="str">
        <f>IFERROR(__xludf.DUMMYFUNCTION("""COMPUTED_VALUE"""),"NP-Find")</f>
        <v>NP-Find</v>
      </c>
      <c r="J1229" s="7"/>
      <c r="K1229" s="7"/>
      <c r="L1229" s="8"/>
      <c r="M1229" s="7"/>
      <c r="N1229" s="7"/>
    </row>
    <row r="1230">
      <c r="A1230" s="7" t="str">
        <f>IFERROR(__xludf.DUMMYFUNCTION("""COMPUTED_VALUE"""),"4384-FIND")</f>
        <v>4384-FIND</v>
      </c>
      <c r="B1230" s="7" t="str">
        <f>IFERROR(__xludf.DUMMYFUNCTION("""COMPUTED_VALUE"""),"DPO Kernels: A Semantically-Aware, Kernel-Enhanced, and Divergence-Rich Paradigm for Direct Preference Optimization")</f>
        <v>DPO Kernels: A Semantically-Aware, Kernel-Enhanced, and Divergence-Rich Paradigm for Direct Preference Optimization</v>
      </c>
      <c r="C1230" s="7" t="str">
        <f>IFERROR(__xludf.DUMMYFUNCTION("""COMPUTED_VALUE"""),"The rapid advancement of large language models (LLMs) has revolutionized numerous applications, but presents significant challenges in aligning these models with diverse human values, ethical standards, and specific user preferences. Direct Preference Opt"&amp;"imization (DPO) has become a cornerstone for preference alignment but is constrained by reliance on fixed divergence measures and limited feature transformations. We introduce DPO-Kernels, an innovative enhancement of DPO that integrates kernel methods to"&amp;" overcome these challenges through four key contributions: (i) Kernelized Representations: These representations enhance divergence measures by using polynomial, RBF, Mahalanobis, and spectral kernels for richer feature transformations. Additionally, we i"&amp;"ntroduce a hybrid loss that combines embedding-based loss with probability-based loss; (ii) Divergence Alternatives: Beyond Kullback–Leibler (KL), we incorporate Jensen-Shannon, Hellinger, Rényi, Bhattacharyya, Wasserstein, and other f-divergences to boos"&amp;"t stability and robustness; (iii) Data-Driven Selection: Choosing the optimal kernel-divergence pair among 28 combinations (4 kernels × 7 divergences) is challenging. We introduce automatic metrics that analyze the data to select the best kernel-divergenc"&amp;"e pair, eliminating the need for manual tuning; (iv) Hierarchical Mixture of Kernels (HMK): Combining local and global kernels for precise and large-scale semantic modeling. This approach automatically selects the optimal kernel mixture during training, e"&amp;"nhancing modeling flexibility. DPO-Kernels achieve state-of-the-art generalization in factuality, safety, reasoning, and instruction following across 12 datasets. While alignment risks overfitting, Heavy-Tailed Self-Regularization (HT-SR) theory confirms "&amp;"that DPO-Kernels ensure robust generalization in LLMs. Comprehensive resources are available to facilitate further research and application of DPO-Kernels.")</f>
        <v>The rapid advancement of large language models (LLMs) has revolutionized numerous applications, but presents significant challenges in aligning these models with diverse human values, ethical standards, and specific user preferences. Direct Preference Optimization (DPO) has become a cornerstone for preference alignment but is constrained by reliance on fixed divergence measures and limited feature transformations. We introduce DPO-Kernels, an innovative enhancement of DPO that integrates kernel methods to overcome these challenges through four key contributions: (i) Kernelized Representations: These representations enhance divergence measures by using polynomial, RBF, Mahalanobis, and spectral kernels for richer feature transformations. Additionally, we introduce a hybrid loss that combines embedding-based loss with probability-based loss; (ii) Divergence Alternatives: Beyond Kullback–Leibler (KL), we incorporate Jensen-Shannon, Hellinger, Rényi, Bhattacharyya, Wasserstein, and other f-divergences to boost stability and robustness; (iii) Data-Driven Selection: Choosing the optimal kernel-divergence pair among 28 combinations (4 kernels × 7 divergences) is challenging. We introduce automatic metrics that analyze the data to select the best kernel-divergence pair, eliminating the need for manual tuning; (iv) Hierarchical Mixture of Kernels (HMK): Combining local and global kernels for precise and large-scale semantic modeling. This approach automatically selects the optimal kernel mixture during training, enhancing modeling flexibility. DPO-Kernels achieve state-of-the-art generalization in factuality, safety, reasoning, and instruction following across 12 datasets. While alignment risks overfitting, Heavy-Tailed Self-Regularization (HT-SR) theory confirms that DPO-Kernels ensure robust generalization in LLMs. Comprehensive resources are available to facilitate further research and application of DPO-Kernels.</v>
      </c>
      <c r="D1230" s="7" t="str">
        <f>IFERROR(__xludf.DUMMYFUNCTION("""COMPUTED_VALUE"""),"Amitava Das")</f>
        <v>Amitava Das</v>
      </c>
      <c r="E1230" s="7" t="str">
        <f>IFERROR(__xludf.DUMMYFUNCTION("""COMPUTED_VALUE"""),"Yes")</f>
        <v>Yes</v>
      </c>
      <c r="F1230" s="7" t="str">
        <f>IFERROR(__xludf.DUMMYFUNCTION("""COMPUTED_VALUE"""),"IP-Poster")</f>
        <v>IP-Poster</v>
      </c>
      <c r="G1230" s="7" t="str">
        <f>IFERROR(__xludf.DUMMYFUNCTION("""COMPUTED_VALUE"""),"In-Person")</f>
        <v>In-Person</v>
      </c>
      <c r="H1230" s="7" t="str">
        <f>IFERROR(__xludf.DUMMYFUNCTION("""COMPUTED_VALUE"""),"Hall 4/5")</f>
        <v>Hall 4/5</v>
      </c>
      <c r="I1230" s="7" t="str">
        <f>IFERROR(__xludf.DUMMYFUNCTION("""COMPUTED_VALUE"""),"Session 12: IP-Posters")</f>
        <v>Session 12: IP-Posters</v>
      </c>
      <c r="J1230" s="7" t="str">
        <f>IFERROR(__xludf.DUMMYFUNCTION("""COMPUTED_VALUE"""),"Findings Posters - In-Person 4")</f>
        <v>Findings Posters - In-Person 4</v>
      </c>
      <c r="K1230" s="7"/>
      <c r="L1230" s="8">
        <f>IFERROR(__xludf.DUMMYFUNCTION("""COMPUTED_VALUE"""),45868.0)</f>
        <v>45868</v>
      </c>
      <c r="M1230" s="7" t="str">
        <f>IFERROR(__xludf.DUMMYFUNCTION("""COMPUTED_VALUE"""),"11:00-12:30")</f>
        <v>11:00-12:30</v>
      </c>
      <c r="N1230" s="7"/>
    </row>
    <row r="1231">
      <c r="A1231" s="7" t="str">
        <f>IFERROR(__xludf.DUMMYFUNCTION("""COMPUTED_VALUE"""),"4389-FIND")</f>
        <v>4389-FIND</v>
      </c>
      <c r="B1231" s="7" t="str">
        <f>IFERROR(__xludf.DUMMYFUNCTION("""COMPUTED_VALUE"""),"Model-Dependent Moderation: Inconsistencies in Hate Speech Detection Across LLM-based Systems")</f>
        <v>Model-Dependent Moderation: Inconsistencies in Hate Speech Detection Across LLM-based Systems</v>
      </c>
      <c r="C1231" s="7" t="str">
        <f>IFERROR(__xludf.DUMMYFUNCTION("""COMPUTED_VALUE"""),"Content moderation systems powered by Large Language Models (LLMs) are increasingly being deployed to detect and filter hate speech. However, there has been limited systematic comparison of how different systems perform this critical task. Through a compa"&amp;"rative analysis of seven leading models for content moderation, we demonstrate that the choice of moderation system fundamentally determines what content gets classified as hate speech. Our analysis compares dedicated Moderation Endpoints (OpenAI, Mistral"&amp;"), frontier LLMs (Claude 3.5 Sonnet, GPT-4o, Mistral Large, DeepSeek V3), and traditional machine learning approaches (Google Perspective API) using a novel synthetic dataset of over 1.3 million sentences generated through a fully factorial design. The re"&amp;"sults reveal that identical content received markedly different classification values and filtering decisions across systems, with variations particularly pronounced when analyzing hate speech targeting specific groups. Testing across 125 distinct demogra"&amp;"phic groups demonstrates these divergences are not random but reflect systematic differences in how models draw decision boundaries around harmful content, which has significant implications for automated content moderation.")</f>
        <v>Content moderation systems powered by Large Language Models (LLMs) are increasingly being deployed to detect and filter hate speech. However, there has been limited systematic comparison of how different systems perform this critical task. Through a comparative analysis of seven leading models for content moderation, we demonstrate that the choice of moderation system fundamentally determines what content gets classified as hate speech. Our analysis compares dedicated Moderation Endpoints (OpenAI, Mistral), frontier LLMs (Claude 3.5 Sonnet, GPT-4o, Mistral Large, DeepSeek V3), and traditional machine learning approaches (Google Perspective API) using a novel synthetic dataset of over 1.3 million sentences generated through a fully factorial design. The results reveal that identical content received markedly different classification values and filtering decisions across systems, with variations particularly pronounced when analyzing hate speech targeting specific groups. Testing across 125 distinct demographic groups demonstrates these divergences are not random but reflect systematic differences in how models draw decision boundaries around harmful content, which has significant implications for automated content moderation.</v>
      </c>
      <c r="D1231" s="7" t="str">
        <f>IFERROR(__xludf.DUMMYFUNCTION("""COMPUTED_VALUE"""),"I do not plan to present.")</f>
        <v>I do not plan to present.</v>
      </c>
      <c r="E1231" s="7" t="str">
        <f>IFERROR(__xludf.DUMMYFUNCTION("""COMPUTED_VALUE"""),"#N/A")</f>
        <v>#N/A</v>
      </c>
      <c r="F1231" s="7" t="str">
        <f>IFERROR(__xludf.DUMMYFUNCTION("""COMPUTED_VALUE"""),"Not Pres. ")</f>
        <v>Not Pres. </v>
      </c>
      <c r="G1231" s="7" t="str">
        <f>IFERROR(__xludf.DUMMYFUNCTION("""COMPUTED_VALUE"""),"NP Findings Not Presenting ")</f>
        <v>NP Findings Not Presenting </v>
      </c>
      <c r="H1231" s="7"/>
      <c r="I1231" s="7" t="str">
        <f>IFERROR(__xludf.DUMMYFUNCTION("""COMPUTED_VALUE"""),"NP-Find")</f>
        <v>NP-Find</v>
      </c>
      <c r="J1231" s="7"/>
      <c r="K1231" s="7"/>
      <c r="L1231" s="8"/>
      <c r="M1231" s="7"/>
      <c r="N1231" s="7"/>
    </row>
    <row r="1232">
      <c r="A1232" s="7" t="str">
        <f>IFERROR(__xludf.DUMMYFUNCTION("""COMPUTED_VALUE"""),"4391-FIND")</f>
        <v>4391-FIND</v>
      </c>
      <c r="B1232" s="7" t="str">
        <f>IFERROR(__xludf.DUMMYFUNCTION("""COMPUTED_VALUE"""),"Label-semantics Aware Generative Approach for Domain-Agnostic Multilabel Classification")</f>
        <v>Label-semantics Aware Generative Approach for Domain-Agnostic Multilabel Classification</v>
      </c>
      <c r="C1232" s="7" t="str">
        <f>IFERROR(__xludf.DUMMYFUNCTION("""COMPUTED_VALUE"""),"The explosion of textual data has made manual document classification increasingly challenging. To address this, we introduce a robust, efficient domain-agnostic generative model framework for multi-label text classification. Instead of treating labels as"&amp;" mere atomic symbols, our approach utilizes predefined label descriptions and is trained to generate these descriptions based on the input text. During inference, the generated descriptions are matched to the predefined labels using a finetuned sentence t"&amp;"ransformer. We integrate this with a dual-objective loss function, combining cross-entropy loss and cosine similarity of the generated sentences with the predefined target descriptions, ensuring both semantic alignment and accuracy. Our proposed model LAG"&amp;"AMC stands out for its parameter efficiency and versatility across diverse datasets, making it well-suited for practical applications. We demonstrate the effectiveness of our proposed model by achieving new state-of-the-art performances across all evaluat"&amp;"ed datasets, surpassing several strong baselines. We achieve improvements of 13.94 % in Micro-F1 and 24.85 % in Macro-F1 compared to the closest baseline across all datasets.")</f>
        <v>The explosion of textual data has made manual document classification increasingly challenging. To address this, we introduce a robust, efficient domain-agnostic generative model framework for multi-label text classification. Instead of treating labels as mere atomic symbols, our approach utilizes predefined label descriptions and is trained to generate these descriptions based on the input text. During inference, the generated descriptions are matched to the predefined labels using a finetuned sentence transformer. We integrate this with a dual-objective loss function, combining cross-entropy loss and cosine similarity of the generated sentences with the predefined target descriptions, ensuring both semantic alignment and accuracy. Our proposed model LAGAMC stands out for its parameter efficiency and versatility across diverse datasets, making it well-suited for practical applications. We demonstrate the effectiveness of our proposed model by achieving new state-of-the-art performances across all evaluated datasets, surpassing several strong baselines. We achieve improvements of 13.94 % in Micro-F1 and 24.85 % in Macro-F1 compared to the closest baseline across all datasets.</v>
      </c>
      <c r="D1232" s="7" t="str">
        <f>IFERROR(__xludf.DUMMYFUNCTION("""COMPUTED_VALUE"""),"Subhendu Khatuya")</f>
        <v>Subhendu Khatuya</v>
      </c>
      <c r="E1232" s="7" t="str">
        <f>IFERROR(__xludf.DUMMYFUNCTION("""COMPUTED_VALUE"""),"Yes")</f>
        <v>Yes</v>
      </c>
      <c r="F1232" s="7" t="str">
        <f>IFERROR(__xludf.DUMMYFUNCTION("""COMPUTED_VALUE"""),"IP-Poster")</f>
        <v>IP-Poster</v>
      </c>
      <c r="G1232" s="7" t="str">
        <f>IFERROR(__xludf.DUMMYFUNCTION("""COMPUTED_VALUE"""),"In-Person")</f>
        <v>In-Person</v>
      </c>
      <c r="H1232" s="7" t="str">
        <f>IFERROR(__xludf.DUMMYFUNCTION("""COMPUTED_VALUE"""),"Hall 4/5")</f>
        <v>Hall 4/5</v>
      </c>
      <c r="I1232" s="7" t="str">
        <f>IFERROR(__xludf.DUMMYFUNCTION("""COMPUTED_VALUE"""),"Session 12: IP-Posters")</f>
        <v>Session 12: IP-Posters</v>
      </c>
      <c r="J1232" s="7" t="str">
        <f>IFERROR(__xludf.DUMMYFUNCTION("""COMPUTED_VALUE"""),"Findings Posters - In-Person 4")</f>
        <v>Findings Posters - In-Person 4</v>
      </c>
      <c r="K1232" s="7"/>
      <c r="L1232" s="8">
        <f>IFERROR(__xludf.DUMMYFUNCTION("""COMPUTED_VALUE"""),45868.0)</f>
        <v>45868</v>
      </c>
      <c r="M1232" s="7" t="str">
        <f>IFERROR(__xludf.DUMMYFUNCTION("""COMPUTED_VALUE"""),"11:00-12:30")</f>
        <v>11:00-12:30</v>
      </c>
      <c r="N1232" s="7"/>
    </row>
    <row r="1233">
      <c r="A1233" s="7" t="str">
        <f>IFERROR(__xludf.DUMMYFUNCTION("""COMPUTED_VALUE"""),"4393-FIND")</f>
        <v>4393-FIND</v>
      </c>
      <c r="B1233" s="7" t="str">
        <f>IFERROR(__xludf.DUMMYFUNCTION("""COMPUTED_VALUE"""),"Unsupervised Morphological Tree Tokenizer")</f>
        <v>Unsupervised Morphological Tree Tokenizer</v>
      </c>
      <c r="C1233" s="7" t="str">
        <f>IFERROR(__xludf.DUMMYFUNCTION("""COMPUTED_VALUE"""),"As a cornerstone in language modeling, tokenization involves segmenting text inputs into pre-defined atomic units. Conventional statistical tokenizers often disrupt constituent boundaries within words, thereby corrupting semantic information. To address t"&amp;"his drawback, we introduce morphological structure guidance to tokenization and propose a deep model to induce character-level structures of words. Specifically, the deep model jointly encodes internal structures and representations of words with a mechan"&amp;"ism named MorphOverriding to ensure the indecomposability of morphemes. By training the model with self-supervised objectives, our method is capable of inducing character-level structures that align with morphological rules without annotated training data"&amp;". Based on the induced structures, our algorithm tokenizes words through vocabulary matching in a top-down manner. Empirical results indicate that the proposed method effectively retains complete morphemes and outperforms widely adopted methods such as BP"&amp;"E and WordPiece on both morphological segmentation tasks and language modeling tasks. The code will be released upon acceptance.")</f>
        <v>As a cornerstone in language modeling, tokenization involves segmenting text inputs into pre-defined atomic units. Conventional statistical tokenizers often disrupt constituent boundaries within words, thereby corrupting semantic information. To address this drawback, we introduce morphological structure guidance to tokenization and propose a deep model to induce character-level structures of words. Specifically, the deep model jointly encodes internal structures and representations of words with a mechanism named MorphOverriding to ensure the indecomposability of morphemes. By training the model with self-supervised objectives, our method is capable of inducing character-level structures that align with morphological rules without annotated training data. Based on the induced structures, our algorithm tokenizes words through vocabulary matching in a top-down manner. Empirical results indicate that the proposed method effectively retains complete morphemes and outperforms widely adopted methods such as BPE and WordPiece on both morphological segmentation tasks and language modeling tasks. The code will be released upon acceptance.</v>
      </c>
      <c r="D1233" s="7" t="str">
        <f>IFERROR(__xludf.DUMMYFUNCTION("""COMPUTED_VALUE"""),"Xiang Hu")</f>
        <v>Xiang Hu</v>
      </c>
      <c r="E1233" s="7" t="str">
        <f>IFERROR(__xludf.DUMMYFUNCTION("""COMPUTED_VALUE"""),"Yes")</f>
        <v>Yes</v>
      </c>
      <c r="F1233" s="7" t="str">
        <f>IFERROR(__xludf.DUMMYFUNCTION("""COMPUTED_VALUE"""),"IP-Poster")</f>
        <v>IP-Poster</v>
      </c>
      <c r="G1233" s="7" t="str">
        <f>IFERROR(__xludf.DUMMYFUNCTION("""COMPUTED_VALUE"""),"In-Person")</f>
        <v>In-Person</v>
      </c>
      <c r="H1233" s="7" t="str">
        <f>IFERROR(__xludf.DUMMYFUNCTION("""COMPUTED_VALUE"""),"Hall 4/5")</f>
        <v>Hall 4/5</v>
      </c>
      <c r="I1233" s="7" t="str">
        <f>IFERROR(__xludf.DUMMYFUNCTION("""COMPUTED_VALUE"""),"Session 5 :IP-Posters Find ")</f>
        <v>Session 5 :IP-Posters Find </v>
      </c>
      <c r="J1233" s="7" t="str">
        <f>IFERROR(__xludf.DUMMYFUNCTION("""COMPUTED_VALUE"""),"Findings Posters - In-Person 1")</f>
        <v>Findings Posters - In-Person 1</v>
      </c>
      <c r="K1233" s="7"/>
      <c r="L1233" s="8">
        <f>IFERROR(__xludf.DUMMYFUNCTION("""COMPUTED_VALUE"""),45866.0)</f>
        <v>45866</v>
      </c>
      <c r="M1233" s="7" t="str">
        <f>IFERROR(__xludf.DUMMYFUNCTION("""COMPUTED_VALUE"""),"18:00-19:30")</f>
        <v>18:00-19:30</v>
      </c>
      <c r="N1233" s="7"/>
    </row>
    <row r="1234">
      <c r="A1234" s="7" t="str">
        <f>IFERROR(__xludf.DUMMYFUNCTION("""COMPUTED_VALUE"""),"4403-FIND")</f>
        <v>4403-FIND</v>
      </c>
      <c r="B1234" s="7" t="str">
        <f>IFERROR(__xludf.DUMMYFUNCTION("""COMPUTED_VALUE"""),"CausalLink: An Interactive Evaluation Framework for Causal Reasoning")</f>
        <v>CausalLink: An Interactive Evaluation Framework for Causal Reasoning</v>
      </c>
      <c r="C1234" s="7" t="str">
        <f>IFERROR(__xludf.DUMMYFUNCTION("""COMPUTED_VALUE"""),"We present CausalLink, an innovative evaluation framework that interactively assesses the
causal reasoning skill to identify the correct intervention in conversational language models. Each CausalLink test case creates a hypothetical environment in which "&amp;"the language models are instructed to apply interventions to entities whose interactions follow predefined causal relations generated from controllable causal graphs. Our evaluation framework isolates causal capabilities from the confounding effects of wo"&amp;"rld knowledge and semantic cues. We evaluate a series of LLMs in a scenario featuring movements of geometric shapes and discover that models start to exhibit reliable reasoning on two or three variables at the 14-billion-parameter scale. However, the perf"&amp;"ormance of state-of-the-art models such as GPT4o degrades below random chance as the number of variables increases. We identify and analyze several key failure modes.")</f>
        <v>We present CausalLink, an innovative evaluation framework that interactively assesses the
causal reasoning skill to identify the correct intervention in conversational language models. Each CausalLink test case creates a hypothetical environment in which the language models are instructed to apply interventions to entities whose interactions follow predefined causal relations generated from controllable causal graphs. Our evaluation framework isolates causal capabilities from the confounding effects of world knowledge and semantic cues. We evaluate a series of LLMs in a scenario featuring movements of geometric shapes and discover that models start to exhibit reliable reasoning on two or three variables at the 14-billion-parameter scale. However, the performance of state-of-the-art models such as GPT4o degrades below random chance as the number of variables increases. We identify and analyze several key failure modes.</v>
      </c>
      <c r="D1234" s="7" t="str">
        <f>IFERROR(__xludf.DUMMYFUNCTION("""COMPUTED_VALUE"""),"Jinyue Feng")</f>
        <v>Jinyue Feng</v>
      </c>
      <c r="E1234" s="7" t="str">
        <f>IFERROR(__xludf.DUMMYFUNCTION("""COMPUTED_VALUE"""),"Yes")</f>
        <v>Yes</v>
      </c>
      <c r="F1234" s="7" t="str">
        <f>IFERROR(__xludf.DUMMYFUNCTION("""COMPUTED_VALUE"""),"V-Presentation")</f>
        <v>V-Presentation</v>
      </c>
      <c r="G1234" s="7" t="str">
        <f>IFERROR(__xludf.DUMMYFUNCTION("""COMPUTED_VALUE"""),"Virtual/Gather")</f>
        <v>Virtual/Gather</v>
      </c>
      <c r="H1234" s="7" t="str">
        <f>IFERROR(__xludf.DUMMYFUNCTION("""COMPUTED_VALUE"""),"Gather")</f>
        <v>Gather</v>
      </c>
      <c r="I1234" s="7" t="str">
        <f>IFERROR(__xludf.DUMMYFUNCTION("""COMPUTED_VALUE"""),"Session5: V-Gather Find")</f>
        <v>Session5: V-Gather Find</v>
      </c>
      <c r="J1234" s="7" t="str">
        <f>IFERROR(__xludf.DUMMYFUNCTION("""COMPUTED_VALUE"""),"Findings Posters - Virtual")</f>
        <v>Findings Posters - Virtual</v>
      </c>
      <c r="K1234" s="7"/>
      <c r="L1234" s="8">
        <f>IFERROR(__xludf.DUMMYFUNCTION("""COMPUTED_VALUE"""),45866.0)</f>
        <v>45866</v>
      </c>
      <c r="M1234" s="7" t="str">
        <f>IFERROR(__xludf.DUMMYFUNCTION("""COMPUTED_VALUE"""),"18:00-19:30")</f>
        <v>18:00-19:30</v>
      </c>
      <c r="N1234" s="7"/>
    </row>
    <row r="1235">
      <c r="A1235" s="7" t="str">
        <f>IFERROR(__xludf.DUMMYFUNCTION("""COMPUTED_VALUE"""),"4409-FIND")</f>
        <v>4409-FIND</v>
      </c>
      <c r="B1235" s="7" t="str">
        <f>IFERROR(__xludf.DUMMYFUNCTION("""COMPUTED_VALUE"""),"Toward Global AI Inclusivity: A Large-Scale Multilingual Terminology Dataset (GIST)")</f>
        <v>Toward Global AI Inclusivity: A Large-Scale Multilingual Terminology Dataset (GIST)</v>
      </c>
      <c r="C1235" s="7" t="str">
        <f>IFERROR(__xludf.DUMMYFUNCTION("""COMPUTED_VALUE"""),"The field of machine translation has achieved significant advancements, yet domain-specific terminology translation, particularly in AI, remains challenging. This work introduces GIST, a large-scale multilingual AI terminology dataset containing 5K terms "&amp;"extracted from top AI conference papers spanning 2000 to 2023. The terms were translated into Arabic, Chinese, French, Japanese, and Russian using a hybrid framework that combines LLMs for extraction with human expertise for translation. The dataset's qua"&amp;"lity was benchmarked against existing resources, demonstrating superior translation accuracy through crowdsourced evaluation. GIST was integrated into translation workflows using post-translation refinement methods that required no retraining, where LLM p"&amp;"rompting consistently improved BLEU and COMET scores. A web demonstration on the ACL Anthology platform highlights its practical application, showcasing improved accessibility for non-English speakers. We address a critical gap in AI terminology resources"&amp;" and fosters global inclusivity and collaboration in AI research.")</f>
        <v>The field of machine translation has achieved significant advancements, yet domain-specific terminology translation, particularly in AI, remains challenging. This work introduces GIST, a large-scale multilingual AI terminology dataset containing 5K terms extracted from top AI conference papers spanning 2000 to 2023. The terms were translated into Arabic, Chinese, French, Japanese, and Russian using a hybrid framework that combines LLMs for extraction with human expertise for translation. The dataset's quality was benchmarked against existing resources, demonstrating superior translation accuracy through crowdsourced evaluation. GIST was integrated into translation workflows using post-translation refinement methods that required no retraining, where LLM prompting consistently improved BLEU and COMET scores. A web demonstration on the ACL Anthology platform highlights its practical application, showcasing improved accessibility for non-English speakers. We address a critical gap in AI terminology resources and fosters global inclusivity and collaboration in AI research.</v>
      </c>
      <c r="D1235" s="7" t="str">
        <f>IFERROR(__xludf.DUMMYFUNCTION("""COMPUTED_VALUE"""),"Jiarui Liu")</f>
        <v>Jiarui Liu</v>
      </c>
      <c r="E1235" s="7" t="str">
        <f>IFERROR(__xludf.DUMMYFUNCTION("""COMPUTED_VALUE"""),"Yes")</f>
        <v>Yes</v>
      </c>
      <c r="F1235" s="7" t="str">
        <f>IFERROR(__xludf.DUMMYFUNCTION("""COMPUTED_VALUE"""),"IP-Poster")</f>
        <v>IP-Poster</v>
      </c>
      <c r="G1235" s="7" t="str">
        <f>IFERROR(__xludf.DUMMYFUNCTION("""COMPUTED_VALUE"""),"In-Person")</f>
        <v>In-Person</v>
      </c>
      <c r="H1235" s="7" t="str">
        <f>IFERROR(__xludf.DUMMYFUNCTION("""COMPUTED_VALUE"""),"Hall 4/5")</f>
        <v>Hall 4/5</v>
      </c>
      <c r="I1235" s="7" t="str">
        <f>IFERROR(__xludf.DUMMYFUNCTION("""COMPUTED_VALUE"""),"Session 10: IP-Posters")</f>
        <v>Session 10: IP-Posters</v>
      </c>
      <c r="J1235" s="7" t="str">
        <f>IFERROR(__xludf.DUMMYFUNCTION("""COMPUTED_VALUE"""),"Findings Posters - In-Person 3")</f>
        <v>Findings Posters - In-Person 3</v>
      </c>
      <c r="K1235" s="7"/>
      <c r="L1235" s="8">
        <f>IFERROR(__xludf.DUMMYFUNCTION("""COMPUTED_VALUE"""),45867.0)</f>
        <v>45867</v>
      </c>
      <c r="M1235" s="7" t="str">
        <f>IFERROR(__xludf.DUMMYFUNCTION("""COMPUTED_VALUE"""),"16:00-17:30")</f>
        <v>16:00-17:30</v>
      </c>
      <c r="N1235" s="7"/>
    </row>
    <row r="1236">
      <c r="A1236" s="7" t="str">
        <f>IFERROR(__xludf.DUMMYFUNCTION("""COMPUTED_VALUE"""),"4423-FIND")</f>
        <v>4423-FIND</v>
      </c>
      <c r="B1236" s="7" t="str">
        <f>IFERROR(__xludf.DUMMYFUNCTION("""COMPUTED_VALUE"""),"A Joint Optimization Framework for Enhancing Efficiency of Tool Utilization in LLM Agents")</f>
        <v>A Joint Optimization Framework for Enhancing Efficiency of Tool Utilization in LLM Agents</v>
      </c>
      <c r="C1236" s="7" t="str">
        <f>IFERROR(__xludf.DUMMYFUNCTION("""COMPUTED_VALUE"""),"Large Language Models (LLMs) augmented with external tools have demonstrated remarkable capabilities in complex problem solving. Existing efforts for tool utilization typically involve an LLM agent that contains instructions on using the description of th"&amp;"e available tools to determine and call the tools required to solve the problem. Inference Scaling techniques, such as chain-of-thought and tree-of-thought reasoning, are commonly used but require significant computational overhead and rendering such meth"&amp;"ods impractical in real-world applications. In this work, we recognize and formalize the critical role of instructions provided in agent prompts and tool descriptions---collectively referred to as context---and show that incomplete context is one of the r"&amp;"easons for this computational overhead. To fill this efficiency gap, we propose an optimization framework that jointly refines both the instructions provided in the agent prompt and tool description, enhancing their interaction. Experiments on StableToolB"&amp;"ench and RestBench demonstrate that our optimized agents achieve superior efficiency while maintaining effectiveness. Our findings underscore the critical role of context optimization in improving LLM agents for tool utilization, paving the way for more r"&amp;"esponsive and cost-effective LLM agents.")</f>
        <v>Large Language Models (LLMs) augmented with external tools have demonstrated remarkable capabilities in complex problem solving. Existing efforts for tool utilization typically involve an LLM agent that contains instructions on using the description of the available tools to determine and call the tools required to solve the problem. Inference Scaling techniques, such as chain-of-thought and tree-of-thought reasoning, are commonly used but require significant computational overhead and rendering such methods impractical in real-world applications. In this work, we recognize and formalize the critical role of instructions provided in agent prompts and tool descriptions---collectively referred to as context---and show that incomplete context is one of the reasons for this computational overhead. To fill this efficiency gap, we propose an optimization framework that jointly refines both the instructions provided in the agent prompt and tool description, enhancing their interaction. Experiments on StableToolBench and RestBench demonstrate that our optimized agents achieve superior efficiency while maintaining effectiveness. Our findings underscore the critical role of context optimization in improving LLM agents for tool utilization, paving the way for more responsive and cost-effective LLM agents.</v>
      </c>
      <c r="D1236" s="7" t="str">
        <f>IFERROR(__xludf.DUMMYFUNCTION("""COMPUTED_VALUE"""),"Bin Wu")</f>
        <v>Bin Wu</v>
      </c>
      <c r="E1236" s="7" t="str">
        <f>IFERROR(__xludf.DUMMYFUNCTION("""COMPUTED_VALUE"""),"Yes")</f>
        <v>Yes</v>
      </c>
      <c r="F1236" s="7" t="str">
        <f>IFERROR(__xludf.DUMMYFUNCTION("""COMPUTED_VALUE"""),"IP-Poster")</f>
        <v>IP-Poster</v>
      </c>
      <c r="G1236" s="7" t="str">
        <f>IFERROR(__xludf.DUMMYFUNCTION("""COMPUTED_VALUE"""),"In-Person")</f>
        <v>In-Person</v>
      </c>
      <c r="H1236" s="7" t="str">
        <f>IFERROR(__xludf.DUMMYFUNCTION("""COMPUTED_VALUE"""),"Hall 4/5")</f>
        <v>Hall 4/5</v>
      </c>
      <c r="I1236" s="7" t="str">
        <f>IFERROR(__xludf.DUMMYFUNCTION("""COMPUTED_VALUE"""),"Session 12: IP-Posters")</f>
        <v>Session 12: IP-Posters</v>
      </c>
      <c r="J1236" s="7" t="str">
        <f>IFERROR(__xludf.DUMMYFUNCTION("""COMPUTED_VALUE"""),"Findings Posters - In-Person 4")</f>
        <v>Findings Posters - In-Person 4</v>
      </c>
      <c r="K1236" s="7"/>
      <c r="L1236" s="8">
        <f>IFERROR(__xludf.DUMMYFUNCTION("""COMPUTED_VALUE"""),45868.0)</f>
        <v>45868</v>
      </c>
      <c r="M1236" s="7" t="str">
        <f>IFERROR(__xludf.DUMMYFUNCTION("""COMPUTED_VALUE"""),"11:00-12:30")</f>
        <v>11:00-12:30</v>
      </c>
      <c r="N1236" s="7"/>
    </row>
    <row r="1237">
      <c r="A1237" s="7" t="str">
        <f>IFERROR(__xludf.DUMMYFUNCTION("""COMPUTED_VALUE"""),"4425-FIND")</f>
        <v>4425-FIND</v>
      </c>
      <c r="B1237" s="7" t="str">
        <f>IFERROR(__xludf.DUMMYFUNCTION("""COMPUTED_VALUE"""),"When Claims Evolve: Evaluating and Enhancing the Robustness of Embedding Models Against Misinformation Edits")</f>
        <v>When Claims Evolve: Evaluating and Enhancing the Robustness of Embedding Models Against Misinformation Edits</v>
      </c>
      <c r="C1237" s="7" t="str">
        <f>IFERROR(__xludf.DUMMYFUNCTION("""COMPUTED_VALUE"""),"Online misinformation remains a critical challenge, and fact-checkers increasingly rely on embedding-based methods to retrieve relevant fact-checks. Yet, when debunked claims reappear in edited forms, the performance of these methods is unclear. In this w"&amp;"ork, we introduce a taxonomy of six common real-world misinformation edits and propose a perturbation framework that generates valid, natural claim variations. Our multi-stage retrieval evaluation reveals that standard embedding models struggle with user-"&amp;"introduced edits, while LLM-distilled embeddings offer improved robustness at a higher computational cost. Although a strong reranker helps mitigate some issues, it cannot fully compensate for first-stage retrieval gaps. Addressing these retrieval gaps, o"&amp;"ur train- and inference-time mitigation approaches enhance in-domain robustness by up to 17 percentage points and boost out-of-domain generalization by 10 percentage points over baseline models. Overall, our findings provide practical improvements to clai"&amp;"m-matching systems, enabling more reliable fact-checking of evolving misinformation.")</f>
        <v>Online misinformation remains a critical challenge, and fact-checkers increasingly rely on embedding-based methods to retrieve relevant fact-checks. Yet, when debunked claims reappear in edited forms, the performance of these methods is unclear. In this work, we introduce a taxonomy of six common real-world misinformation edits and propose a perturbation framework that generates valid, natural claim variations. Our multi-stage retrieval evaluation reveals that standard embedding models struggle with user-introduced edits, while LLM-distilled embeddings offer improved robustness at a higher computational cost. Although a strong reranker helps mitigate some issues, it cannot fully compensate for first-stage retrieval gaps. Addressing these retrieval gaps, our train- and inference-time mitigation approaches enhance in-domain robustness by up to 17 percentage points and boost out-of-domain generalization by 10 percentage points over baseline models. Overall, our findings provide practical improvements to claim-matching systems, enabling more reliable fact-checking of evolving misinformation.</v>
      </c>
      <c r="D1237" s="7" t="str">
        <f>IFERROR(__xludf.DUMMYFUNCTION("""COMPUTED_VALUE"""),"Jabez Magomere")</f>
        <v>Jabez Magomere</v>
      </c>
      <c r="E1237" s="7" t="str">
        <f>IFERROR(__xludf.DUMMYFUNCTION("""COMPUTED_VALUE"""),"Yes")</f>
        <v>Yes</v>
      </c>
      <c r="F1237" s="7" t="str">
        <f>IFERROR(__xludf.DUMMYFUNCTION("""COMPUTED_VALUE"""),"IP-Poster")</f>
        <v>IP-Poster</v>
      </c>
      <c r="G1237" s="7" t="str">
        <f>IFERROR(__xludf.DUMMYFUNCTION("""COMPUTED_VALUE"""),"In-Person")</f>
        <v>In-Person</v>
      </c>
      <c r="H1237" s="7" t="str">
        <f>IFERROR(__xludf.DUMMYFUNCTION("""COMPUTED_VALUE"""),"Hall 4/5")</f>
        <v>Hall 4/5</v>
      </c>
      <c r="I1237" s="7" t="str">
        <f>IFERROR(__xludf.DUMMYFUNCTION("""COMPUTED_VALUE"""),"Session 5 :IP-Posters Find ")</f>
        <v>Session 5 :IP-Posters Find </v>
      </c>
      <c r="J1237" s="7" t="str">
        <f>IFERROR(__xludf.DUMMYFUNCTION("""COMPUTED_VALUE"""),"Findings Posters - In-Person 1")</f>
        <v>Findings Posters - In-Person 1</v>
      </c>
      <c r="K1237" s="7"/>
      <c r="L1237" s="8">
        <f>IFERROR(__xludf.DUMMYFUNCTION("""COMPUTED_VALUE"""),45866.0)</f>
        <v>45866</v>
      </c>
      <c r="M1237" s="7" t="str">
        <f>IFERROR(__xludf.DUMMYFUNCTION("""COMPUTED_VALUE"""),"18:00-19:30")</f>
        <v>18:00-19:30</v>
      </c>
      <c r="N1237" s="7"/>
    </row>
    <row r="1238">
      <c r="A1238" s="7" t="str">
        <f>IFERROR(__xludf.DUMMYFUNCTION("""COMPUTED_VALUE"""),"4429-FIND")</f>
        <v>4429-FIND</v>
      </c>
      <c r="B1238" s="7" t="str">
        <f>IFERROR(__xludf.DUMMYFUNCTION("""COMPUTED_VALUE"""),"Splintering Nonconcatenative Languages for Better Tokenization")</f>
        <v>Splintering Nonconcatenative Languages for Better Tokenization</v>
      </c>
      <c r="C1238" s="7" t="str">
        <f>IFERROR(__xludf.DUMMYFUNCTION("""COMPUTED_VALUE"""),"Common subword tokenization algorithms like BPE and UnigramLM assume that text can be split into meaningful units by concatenative measures alone. This is not true for languages such as Hebrew and Arabic, where morphology is encoded in root-template patte"&amp;"rns, or Malay and Georgian, where split affixes are common. We present SPLINTER, a pre-processing step which rearranges text into a linear form that better represents such nonconcatenative morphologies, enabling meaningful contiguous segments to be found "&amp;"by the tokenizer. We demonstrate SPLINTER's merit using both intrinsic measures evaluating token vocabularies in Hebrew, Arabic, and Malay; as well as on downstream tasks using BERT-architecture models trained for Hebrew.")</f>
        <v>Common subword tokenization algorithms like BPE and UnigramLM assume that text can be split into meaningful units by concatenative measures alone. This is not true for languages such as Hebrew and Arabic, where morphology is encoded in root-template patterns, or Malay and Georgian, where split affixes are common. We present SPLINTER, a pre-processing step which rearranges text into a linear form that better represents such nonconcatenative morphologies, enabling meaningful contiguous segments to be found by the tokenizer. We demonstrate SPLINTER's merit using both intrinsic measures evaluating token vocabularies in Hebrew, Arabic, and Malay; as well as on downstream tasks using BERT-architecture models trained for Hebrew.</v>
      </c>
      <c r="D1238" s="7" t="str">
        <f>IFERROR(__xludf.DUMMYFUNCTION("""COMPUTED_VALUE"""),"Yuval Pinter")</f>
        <v>Yuval Pinter</v>
      </c>
      <c r="E1238" s="7" t="str">
        <f>IFERROR(__xludf.DUMMYFUNCTION("""COMPUTED_VALUE"""),"Yes")</f>
        <v>Yes</v>
      </c>
      <c r="F1238" s="7" t="str">
        <f>IFERROR(__xludf.DUMMYFUNCTION("""COMPUTED_VALUE"""),"IP-Poster")</f>
        <v>IP-Poster</v>
      </c>
      <c r="G1238" s="7" t="str">
        <f>IFERROR(__xludf.DUMMYFUNCTION("""COMPUTED_VALUE"""),"In-Person")</f>
        <v>In-Person</v>
      </c>
      <c r="H1238" s="7" t="str">
        <f>IFERROR(__xludf.DUMMYFUNCTION("""COMPUTED_VALUE"""),"Hall 4/5")</f>
        <v>Hall 4/5</v>
      </c>
      <c r="I1238" s="7" t="str">
        <f>IFERROR(__xludf.DUMMYFUNCTION("""COMPUTED_VALUE"""),"Session 5 :IP-Posters Find ")</f>
        <v>Session 5 :IP-Posters Find </v>
      </c>
      <c r="J1238" s="7" t="str">
        <f>IFERROR(__xludf.DUMMYFUNCTION("""COMPUTED_VALUE"""),"Findings Posters - In-Person 1")</f>
        <v>Findings Posters - In-Person 1</v>
      </c>
      <c r="K1238" s="7"/>
      <c r="L1238" s="8">
        <f>IFERROR(__xludf.DUMMYFUNCTION("""COMPUTED_VALUE"""),45866.0)</f>
        <v>45866</v>
      </c>
      <c r="M1238" s="7" t="str">
        <f>IFERROR(__xludf.DUMMYFUNCTION("""COMPUTED_VALUE"""),"18:00-19:30")</f>
        <v>18:00-19:30</v>
      </c>
      <c r="N1238" s="7"/>
    </row>
    <row r="1239">
      <c r="A1239" s="7" t="str">
        <f>IFERROR(__xludf.DUMMYFUNCTION("""COMPUTED_VALUE"""),"4442-FIND")</f>
        <v>4442-FIND</v>
      </c>
      <c r="B1239" s="7" t="str">
        <f>IFERROR(__xludf.DUMMYFUNCTION("""COMPUTED_VALUE"""),"Aria-UI: Visual Grounding for GUI Instructions")</f>
        <v>Aria-UI: Visual Grounding for GUI Instructions</v>
      </c>
      <c r="C1239" s="7" t="str">
        <f>IFERROR(__xludf.DUMMYFUNCTION("""COMPUTED_VALUE"""),"Digital agents for automating tasks across different platforms by directly manipulating the GUIs are increasingly important. For these agents, grounding from language instructions to target elements remains a significant challenge due to reliance on HTML "&amp;"or AXTree inputs. In this paper, we introduce Aria-UI, a large multimodal model specifically designed for GUI grounding. Aria-UI adopts a pure-vision approach, eschewing reliance on auxiliary inputs. To adapt to heterogeneous planning instructions, we pro"&amp;"pose a scalable data pipeline that synthesizes diverse and high-quality instruction samples for grounding. To handle dynamic contexts in task performing, Aria-UI incorporates textual and text-image interleaved action histories, enabling robust context-awa"&amp;"re reasoning for grounding. Aria-UI sets new state-of-the-art results across offline and online agent benchmarks, outperforming both vision-only and AXTree-reliant baselines. We release all training data and model checkpoints to foster further research.")</f>
        <v>Digital agents for automating tasks across different platforms by directly manipulating the GUIs are increasingly important. For these agents, grounding from language instructions to target elements remains a significant challenge due to reliance on HTML or AXTree inputs. In this paper, we introduce Aria-UI, a large multimodal model specifically designed for GUI grounding. Aria-UI adopts a pure-vision approach, eschewing reliance on auxiliary inputs. To adapt to heterogeneous planning instructions, we propose a scalable data pipeline that synthesizes diverse and high-quality instruction samples for grounding. To handle dynamic contexts in task performing, Aria-UI incorporates textual and text-image interleaved action histories, enabling robust context-aware reasoning for grounding. Aria-UI sets new state-of-the-art results across offline and online agent benchmarks, outperforming both vision-only and AXTree-reliant baselines. We release all training data and model checkpoints to foster further research.</v>
      </c>
      <c r="D1239" s="7" t="str">
        <f>IFERROR(__xludf.DUMMYFUNCTION("""COMPUTED_VALUE"""),"Yuhao Yang")</f>
        <v>Yuhao Yang</v>
      </c>
      <c r="E1239" s="7" t="str">
        <f>IFERROR(__xludf.DUMMYFUNCTION("""COMPUTED_VALUE"""),"#N/A")</f>
        <v>#N/A</v>
      </c>
      <c r="F1239" s="7" t="str">
        <f>IFERROR(__xludf.DUMMYFUNCTION("""COMPUTED_VALUE"""),"Not Pres. ")</f>
        <v>Not Pres. </v>
      </c>
      <c r="G1239" s="7" t="str">
        <f>IFERROR(__xludf.DUMMYFUNCTION("""COMPUTED_VALUE"""),"NP Findings Not Presenting ")</f>
        <v>NP Findings Not Presenting </v>
      </c>
      <c r="H1239" s="7"/>
      <c r="I1239" s="7" t="str">
        <f>IFERROR(__xludf.DUMMYFUNCTION("""COMPUTED_VALUE"""),"NP-Find")</f>
        <v>NP-Find</v>
      </c>
      <c r="J1239" s="7"/>
      <c r="K1239" s="7"/>
      <c r="L1239" s="8"/>
      <c r="M1239" s="7"/>
      <c r="N1239" s="7"/>
    </row>
    <row r="1240">
      <c r="A1240" s="7" t="str">
        <f>IFERROR(__xludf.DUMMYFUNCTION("""COMPUTED_VALUE"""),"4443-FIND")</f>
        <v>4443-FIND</v>
      </c>
      <c r="B1240" s="7" t="str">
        <f>IFERROR(__xludf.DUMMYFUNCTION("""COMPUTED_VALUE"""),"Revealing Hidden Mechanisms of Cross-Country Content Moderation with Natural Language Processing")</f>
        <v>Revealing Hidden Mechanisms of Cross-Country Content Moderation with Natural Language Processing</v>
      </c>
      <c r="C1240" s="7" t="str">
        <f>IFERROR(__xludf.DUMMYFUNCTION("""COMPUTED_VALUE"""),"The ability of Natural Language Processing (NLP) methods to categorize text into multiple classes has motivated their use in online content moderation tasks, such as hate speech and fake news detection. However, there is limited understanding of how or wh"&amp;"y these methods make such decisions, or why certain content is moderated in the first place. To investigate the hidden mechanisms behind content moderation, we explore multiple directions: 1) training classifiers to reverse-engineer content moderation dec"&amp;"isions across countries; 2) explaining content moderation decisions by analyzing Shapley values and LLM-guided explanations. Our primary focus is on content moderation decisions made across countries, using pre-existing corpora sampled from the Twitter St"&amp;"ream Grab. Our experiments reveal interesting patterns in censored posts, both across countries and over time. Through human evaluations of LLM-generated explanations across three LLMs, we assess the effectiveness of using LLMs in content moderation. Fina"&amp;"lly, we discuss potential future directions, as well as the limitations and ethical considerations of this work.")</f>
        <v>The ability of Natural Language Processing (NLP) methods to categorize text into multiple classes has motivated their use in online content moderation tasks, such as hate speech and fake news detection. However, there is limited understanding of how or why these methods make such decisions, or why certain content is moderated in the first place. To investigate the hidden mechanisms behind content moderation, we explore multiple directions: 1) training classifiers to reverse-engineer content moderation decisions across countries; 2) explaining content moderation decisions by analyzing Shapley values and LLM-guided explanations. Our primary focus is on content moderation decisions made across countries, using pre-existing corpora sampled from the Twitter Stream Grab. Our experiments reveal interesting patterns in censored posts, both across countries and over time. Through human evaluations of LLM-generated explanations across three LLMs, we assess the effectiveness of using LLMs in content moderation. Finally, we discuss potential future directions, as well as the limitations and ethical considerations of this work.</v>
      </c>
      <c r="D1240" s="7" t="str">
        <f>IFERROR(__xludf.DUMMYFUNCTION("""COMPUTED_VALUE"""),"Zhijing Jin")</f>
        <v>Zhijing Jin</v>
      </c>
      <c r="E1240" s="7" t="str">
        <f>IFERROR(__xludf.DUMMYFUNCTION("""COMPUTED_VALUE"""),"Yes")</f>
        <v>Yes</v>
      </c>
      <c r="F1240" s="7" t="str">
        <f>IFERROR(__xludf.DUMMYFUNCTION("""COMPUTED_VALUE"""),"IP-Poster")</f>
        <v>IP-Poster</v>
      </c>
      <c r="G1240" s="7" t="str">
        <f>IFERROR(__xludf.DUMMYFUNCTION("""COMPUTED_VALUE"""),"In-Person")</f>
        <v>In-Person</v>
      </c>
      <c r="H1240" s="7" t="str">
        <f>IFERROR(__xludf.DUMMYFUNCTION("""COMPUTED_VALUE"""),"Hall 4/5")</f>
        <v>Hall 4/5</v>
      </c>
      <c r="I1240" s="7" t="str">
        <f>IFERROR(__xludf.DUMMYFUNCTION("""COMPUTED_VALUE"""),"Session 12: IP-Posters")</f>
        <v>Session 12: IP-Posters</v>
      </c>
      <c r="J1240" s="7" t="str">
        <f>IFERROR(__xludf.DUMMYFUNCTION("""COMPUTED_VALUE"""),"Findings Posters - In-Person 4")</f>
        <v>Findings Posters - In-Person 4</v>
      </c>
      <c r="K1240" s="7"/>
      <c r="L1240" s="8">
        <f>IFERROR(__xludf.DUMMYFUNCTION("""COMPUTED_VALUE"""),45868.0)</f>
        <v>45868</v>
      </c>
      <c r="M1240" s="7" t="str">
        <f>IFERROR(__xludf.DUMMYFUNCTION("""COMPUTED_VALUE"""),"11:00-12:30")</f>
        <v>11:00-12:30</v>
      </c>
      <c r="N1240" s="7"/>
    </row>
    <row r="1241">
      <c r="A1241" s="7" t="str">
        <f>IFERROR(__xludf.DUMMYFUNCTION("""COMPUTED_VALUE"""),"4445-FIND")</f>
        <v>4445-FIND</v>
      </c>
      <c r="B1241" s="7" t="str">
        <f>IFERROR(__xludf.DUMMYFUNCTION("""COMPUTED_VALUE"""),"Unilogit: Robust Machine Unlearning for LLMs Using Uniform-Target Self-Distillation")</f>
        <v>Unilogit: Robust Machine Unlearning for LLMs Using Uniform-Target Self-Distillation</v>
      </c>
      <c r="C1241" s="7" t="str">
        <f>IFERROR(__xludf.DUMMYFUNCTION("""COMPUTED_VALUE"""),"This paper introduces Unilogit, a novel self-distillation method for machine unlearning in Large Language Models. Unilogit addresses the challenge of selectively forgetting specific information while maintaining overall model utility, a critical task in c"&amp;"ompliance with data privacy regulations like GDPR. Unlike prior methods that rely on static hyperparameters or starting model outputs, Unilogit dynamically adjusts target logits to achieve a uniform probability for the target token, leveraging the current"&amp;" model's outputs for more accurate self-distillation targets. This approach not only eliminates the need for additional hyperparameters but also enhances the model's ability to approximate the golden targets. Extensive experiments on public benchmarks and"&amp;" an in-house e-commerce dataset demonstrate Unilogit's superior performance in balancing forget and retain objectives, outperforming state-of-the-art methods such as NPO and UnDIAL. Our analysis further reveals Unilogit's robustness across various scenari"&amp;"os, highlighting its practical applicability and effectiveness in achieving efficacious machine unlearning.")</f>
        <v>This paper introduces Unilogit, a novel self-distillation method for machine unlearning in Large Language Models. Unilogit addresses the challenge of selectively forgetting specific information while maintaining overall model utility, a critical task in compliance with data privacy regulations like GDPR. Unlike prior methods that rely on static hyperparameters or starting model outputs, Unilogit dynamically adjusts target logits to achieve a uniform probability for the target token, leveraging the current model's outputs for more accurate self-distillation targets. This approach not only eliminates the need for additional hyperparameters but also enhances the model's ability to approximate the golden targets. Extensive experiments on public benchmarks and an in-house e-commerce dataset demonstrate Unilogit's superior performance in balancing forget and retain objectives, outperforming state-of-the-art methods such as NPO and UnDIAL. Our analysis further reveals Unilogit's robustness across various scenarios, highlighting its practical applicability and effectiveness in achieving efficacious machine unlearning.</v>
      </c>
      <c r="D1241" s="7" t="str">
        <f>IFERROR(__xludf.DUMMYFUNCTION("""COMPUTED_VALUE"""),"Stefan Vasilev")</f>
        <v>Stefan Vasilev</v>
      </c>
      <c r="E1241" s="7" t="str">
        <f>IFERROR(__xludf.DUMMYFUNCTION("""COMPUTED_VALUE"""),"Yes")</f>
        <v>Yes</v>
      </c>
      <c r="F1241" s="7" t="str">
        <f>IFERROR(__xludf.DUMMYFUNCTION("""COMPUTED_VALUE"""),"IP-Poster")</f>
        <v>IP-Poster</v>
      </c>
      <c r="G1241" s="7" t="str">
        <f>IFERROR(__xludf.DUMMYFUNCTION("""COMPUTED_VALUE"""),"In-Person")</f>
        <v>In-Person</v>
      </c>
      <c r="H1241" s="7" t="str">
        <f>IFERROR(__xludf.DUMMYFUNCTION("""COMPUTED_VALUE"""),"Hall 4/5")</f>
        <v>Hall 4/5</v>
      </c>
      <c r="I1241" s="7" t="str">
        <f>IFERROR(__xludf.DUMMYFUNCTION("""COMPUTED_VALUE"""),"Session 12: IP-Posters")</f>
        <v>Session 12: IP-Posters</v>
      </c>
      <c r="J1241" s="7" t="str">
        <f>IFERROR(__xludf.DUMMYFUNCTION("""COMPUTED_VALUE"""),"Findings Posters - In-Person 4")</f>
        <v>Findings Posters - In-Person 4</v>
      </c>
      <c r="K1241" s="7"/>
      <c r="L1241" s="8">
        <f>IFERROR(__xludf.DUMMYFUNCTION("""COMPUTED_VALUE"""),45868.0)</f>
        <v>45868</v>
      </c>
      <c r="M1241" s="7" t="str">
        <f>IFERROR(__xludf.DUMMYFUNCTION("""COMPUTED_VALUE"""),"11:00-12:30")</f>
        <v>11:00-12:30</v>
      </c>
      <c r="N1241" s="7"/>
    </row>
    <row r="1242">
      <c r="A1242" s="7" t="str">
        <f>IFERROR(__xludf.DUMMYFUNCTION("""COMPUTED_VALUE"""),"4446-FIND")</f>
        <v>4446-FIND</v>
      </c>
      <c r="B1242" s="7" t="str">
        <f>IFERROR(__xludf.DUMMYFUNCTION("""COMPUTED_VALUE"""),"Creating a Lens of Chinese Culture: A Multimodal Dataset for Chinese Pun Rebus Art Understanding")</f>
        <v>Creating a Lens of Chinese Culture: A Multimodal Dataset for Chinese Pun Rebus Art Understanding</v>
      </c>
      <c r="C1242" s="7" t="str">
        <f>IFERROR(__xludf.DUMMYFUNCTION("""COMPUTED_VALUE"""),"Large vision-language models (VLMs) have demonstrated remarkable abilities in understanding everyday content. However, their performance in the domain of art, particularly culturally rich art forms, remains less explored. As a pearl of human wisdom and cr"&amp;"eativity, art encapsulates complex cultural narratives and symbolism. In this paper, we offer the Pun Rebus Art Dataset, a multimodal dataset for art understanding deeply rooted in traditional Chinese culture. We focus on three primary tasks: identifying "&amp;"salient visual elements, matching elements with their symbolic meanings, and explanations for the conveyed messages. Our evaluation reveals that state-of-the-art VLMs struggle with these tasks, often providing biased and hallucinated explanations and show"&amp;"ing limited improvement through in-context learning. By releasing the Pun Rebus Art Dataset, we aim to facilitate the development of VLMs that can better understand and interpret culturally specific content, promoting greater inclusiveness beyond English-"&amp;"based corpora. The dataset and evaluation code are available at [this link](https://github.com/zhang-tuo-pdf/Pun-Rebus-Art-Benchmark).")</f>
        <v>Large vision-language models (VLMs) have demonstrated remarkable abilities in understanding everyday content. However, their performance in the domain of art, particularly culturally rich art forms, remains less explored. As a pearl of human wisdom and creativity, art encapsulates complex cultural narratives and symbolism. In this paper, we offer the Pun Rebus Art Dataset, a multimodal dataset for art understanding deeply rooted in traditional Chinese culture. We focus on three primary tasks: identifying salient visual elements, matching elements with their symbolic meanings, and explanations for the conveyed messages. Our evaluation reveals that state-of-the-art VLMs struggle with these tasks, often providing biased and hallucinated explanations and showing limited improvement through in-context learning. By releasing the Pun Rebus Art Dataset, we aim to facilitate the development of VLMs that can better understand and interpret culturally specific content, promoting greater inclusiveness beyond English-based corpora. The dataset and evaluation code are available at [this link](https://github.com/zhang-tuo-pdf/Pun-Rebus-Art-Benchmark).</v>
      </c>
      <c r="D1242" s="7" t="str">
        <f>IFERROR(__xludf.DUMMYFUNCTION("""COMPUTED_VALUE"""),"Tuo Zhang")</f>
        <v>Tuo Zhang</v>
      </c>
      <c r="E1242" s="7" t="str">
        <f>IFERROR(__xludf.DUMMYFUNCTION("""COMPUTED_VALUE"""),"yes")</f>
        <v>yes</v>
      </c>
      <c r="F1242" s="7" t="str">
        <f>IFERROR(__xludf.DUMMYFUNCTION("""COMPUTED_VALUE"""),"V-Presentation")</f>
        <v>V-Presentation</v>
      </c>
      <c r="G1242" s="7" t="str">
        <f>IFERROR(__xludf.DUMMYFUNCTION("""COMPUTED_VALUE"""),"Virtual/Gather")</f>
        <v>Virtual/Gather</v>
      </c>
      <c r="H1242" s="7" t="str">
        <f>IFERROR(__xludf.DUMMYFUNCTION("""COMPUTED_VALUE"""),"Gather")</f>
        <v>Gather</v>
      </c>
      <c r="I1242" s="7" t="str">
        <f>IFERROR(__xludf.DUMMYFUNCTION("""COMPUTED_VALUE"""),"Session5: V-Gather Find")</f>
        <v>Session5: V-Gather Find</v>
      </c>
      <c r="J1242" s="7" t="str">
        <f>IFERROR(__xludf.DUMMYFUNCTION("""COMPUTED_VALUE"""),"Findings Posters - Virtual")</f>
        <v>Findings Posters - Virtual</v>
      </c>
      <c r="K1242" s="7"/>
      <c r="L1242" s="8">
        <f>IFERROR(__xludf.DUMMYFUNCTION("""COMPUTED_VALUE"""),45866.0)</f>
        <v>45866</v>
      </c>
      <c r="M1242" s="7" t="str">
        <f>IFERROR(__xludf.DUMMYFUNCTION("""COMPUTED_VALUE"""),"18:00-19:30")</f>
        <v>18:00-19:30</v>
      </c>
      <c r="N1242" s="7"/>
    </row>
    <row r="1243">
      <c r="A1243" s="7" t="str">
        <f>IFERROR(__xludf.DUMMYFUNCTION("""COMPUTED_VALUE"""),"4448-FIND")</f>
        <v>4448-FIND</v>
      </c>
      <c r="B1243" s="7" t="str">
        <f>IFERROR(__xludf.DUMMYFUNCTION("""COMPUTED_VALUE"""),"FastDraft: How to Train Your Draft")</f>
        <v>FastDraft: How to Train Your Draft</v>
      </c>
      <c r="C1243" s="7" t="str">
        <f>IFERROR(__xludf.DUMMYFUNCTION("""COMPUTED_VALUE"""),"Speculative Decoding has gained popularity as an effective technique for accelerating the auto-regressive inference process of Large Language Models. However, Speculative Decoding entirely relies on the availability of efficient draft models, which are of"&amp;"ten lacking for many existing language models due to a stringent constraint of vocabulary compatibility. In this work we introduce FastDraft, a novel and efficient approach for pre-training and aligning a draft model to any large language model by incorpo"&amp;"rating efficient pre-training, followed by fine-tuning over synthetic datasets generated by the target model. We demonstrate FastDraft by training two highly parameter efficient drafts for the popular Phi-3-mini and Llama-3.1-8B models. Using FastDraft, w"&amp;"e were able to produce a draft with approximately 10 billion tokens on a single server with 8 Intel Gaudi 2 accelerators in under 24 hours. Our results show that the draft model achieves impressive results in key metrics of acceptance rate, block efficien"&amp;"cy and up to 3x memory bound speed up when evaluated on code completion and up to 2x in summarization, text completion and instruction tasks. We validate our theoretical findings through benchmarking on the latest Intel Core Ultra, achieving a wall-clock "&amp;"time speedup of up to 2x, indicating a significant reduction in runtime. Due to its high quality, FastDraft unlocks large language models inference on AI-PC and other edge-devices.")</f>
        <v>Speculative Decoding has gained popularity as an effective technique for accelerating the auto-regressive inference process of Large Language Models. However, Speculative Decoding entirely relies on the availability of efficient draft models, which are often lacking for many existing language models due to a stringent constraint of vocabulary compatibility. In this work we introduce FastDraft, a novel and efficient approach for pre-training and aligning a draft model to any large language model by incorporating efficient pre-training, followed by fine-tuning over synthetic datasets generated by the target model. We demonstrate FastDraft by training two highly parameter efficient drafts for the popular Phi-3-mini and Llama-3.1-8B models. Using FastDraft, we were able to produce a draft with approximately 10 billion tokens on a single server with 8 Intel Gaudi 2 accelerators in under 24 hours. Our results show that the draft model achieves impressive results in key metrics of acceptance rate, block efficiency and up to 3x memory bound speed up when evaluated on code completion and up to 2x in summarization, text completion and instruction tasks. We validate our theoretical findings through benchmarking on the latest Intel Core Ultra, achieving a wall-clock time speedup of up to 2x, indicating a significant reduction in runtime. Due to its high quality, FastDraft unlocks large language models inference on AI-PC and other edge-devices.</v>
      </c>
      <c r="D1243" s="7" t="str">
        <f>IFERROR(__xludf.DUMMYFUNCTION("""COMPUTED_VALUE"""),"Ofir Zafrir")</f>
        <v>Ofir Zafrir</v>
      </c>
      <c r="E1243" s="7" t="str">
        <f>IFERROR(__xludf.DUMMYFUNCTION("""COMPUTED_VALUE"""),"Yes")</f>
        <v>Yes</v>
      </c>
      <c r="F1243" s="7" t="str">
        <f>IFERROR(__xludf.DUMMYFUNCTION("""COMPUTED_VALUE"""),"IP-Poster")</f>
        <v>IP-Poster</v>
      </c>
      <c r="G1243" s="7" t="str">
        <f>IFERROR(__xludf.DUMMYFUNCTION("""COMPUTED_VALUE"""),"In-Person")</f>
        <v>In-Person</v>
      </c>
      <c r="H1243" s="7" t="str">
        <f>IFERROR(__xludf.DUMMYFUNCTION("""COMPUTED_VALUE"""),"Hall 4/5")</f>
        <v>Hall 4/5</v>
      </c>
      <c r="I1243" s="7" t="str">
        <f>IFERROR(__xludf.DUMMYFUNCTION("""COMPUTED_VALUE"""),"Session 10: IP-Posters")</f>
        <v>Session 10: IP-Posters</v>
      </c>
      <c r="J1243" s="7" t="str">
        <f>IFERROR(__xludf.DUMMYFUNCTION("""COMPUTED_VALUE"""),"Findings Posters - In-Person 3")</f>
        <v>Findings Posters - In-Person 3</v>
      </c>
      <c r="K1243" s="7"/>
      <c r="L1243" s="8">
        <f>IFERROR(__xludf.DUMMYFUNCTION("""COMPUTED_VALUE"""),45867.0)</f>
        <v>45867</v>
      </c>
      <c r="M1243" s="7" t="str">
        <f>IFERROR(__xludf.DUMMYFUNCTION("""COMPUTED_VALUE"""),"16:00-17:30")</f>
        <v>16:00-17:30</v>
      </c>
      <c r="N1243" s="7"/>
    </row>
    <row r="1244">
      <c r="A1244" s="7" t="str">
        <f>IFERROR(__xludf.DUMMYFUNCTION("""COMPUTED_VALUE"""),"4449-FIND")</f>
        <v>4449-FIND</v>
      </c>
      <c r="B1244" s="7" t="str">
        <f>IFERROR(__xludf.DUMMYFUNCTION("""COMPUTED_VALUE"""),"SignMusketeers: An Efficient Multi-Stream Approach for Sign Language Translation at Scale")</f>
        <v>SignMusketeers: An Efficient Multi-Stream Approach for Sign Language Translation at Scale</v>
      </c>
      <c r="C1244" s="7" t="str">
        <f>IFERROR(__xludf.DUMMYFUNCTION("""COMPUTED_VALUE"""),"A persistent challenge in sign language video processing, including the task of sign language to written language translation, is how we train efficient model given the nature of videos. Informed by the nature and linguistics of signed languages, our prop"&amp;"osed method focuses on just the most relevant parts in a signing video: the face, hands and body posture of the signer. However, instead of using pose estimation coordinates from off-the-shelf pose tracking models, which have inconsistent performance for "&amp;"hands and faces, we propose to learn the complex handshapes and rich facial expressions of sign languages in a self-supervised fashion. Our approach is based on learning from individual frames (rather than video sequences) and is therefore much more effic"&amp;"ient than prior work on sign language pre-training. Compared to a recent model trained on publicly avaiable data that established a new state of the art in sign language translation on the How2Sign dataset, our approach yields similar translation performa"&amp;"nce, using less than 3% of the compute.")</f>
        <v>A persistent challenge in sign language video processing, including the task of sign language to written language translation, is how we train efficient model given the nature of videos. Informed by the nature and linguistics of signed languages, our proposed method focuses on just the most relevant parts in a signing video: the face, hands and body posture of the signer. However, instead of using pose estimation coordinates from off-the-shelf pose tracking models, which have inconsistent performance for hands and faces, we propose to learn the complex handshapes and rich facial expressions of sign languages in a self-supervised fashion. Our approach is based on learning from individual frames (rather than video sequences) and is therefore much more efficient than prior work on sign language pre-training. Compared to a recent model trained on publicly avaiable data that established a new state of the art in sign language translation on the How2Sign dataset, our approach yields similar translation performance, using less than 3% of the compute.</v>
      </c>
      <c r="D1244" s="7" t="str">
        <f>IFERROR(__xludf.DUMMYFUNCTION("""COMPUTED_VALUE"""),"Shester Gueuwou")</f>
        <v>Shester Gueuwou</v>
      </c>
      <c r="E1244" s="7" t="str">
        <f>IFERROR(__xludf.DUMMYFUNCTION("""COMPUTED_VALUE"""),"Yes")</f>
        <v>Yes</v>
      </c>
      <c r="F1244" s="7" t="str">
        <f>IFERROR(__xludf.DUMMYFUNCTION("""COMPUTED_VALUE"""),"IP-Poster")</f>
        <v>IP-Poster</v>
      </c>
      <c r="G1244" s="7" t="str">
        <f>IFERROR(__xludf.DUMMYFUNCTION("""COMPUTED_VALUE"""),"In-Person")</f>
        <v>In-Person</v>
      </c>
      <c r="H1244" s="7" t="str">
        <f>IFERROR(__xludf.DUMMYFUNCTION("""COMPUTED_VALUE"""),"Hall 4/5")</f>
        <v>Hall 4/5</v>
      </c>
      <c r="I1244" s="7" t="str">
        <f>IFERROR(__xludf.DUMMYFUNCTION("""COMPUTED_VALUE"""),"Session 10: IP-Posters")</f>
        <v>Session 10: IP-Posters</v>
      </c>
      <c r="J1244" s="7" t="str">
        <f>IFERROR(__xludf.DUMMYFUNCTION("""COMPUTED_VALUE"""),"Findings Posters - In-Person 3")</f>
        <v>Findings Posters - In-Person 3</v>
      </c>
      <c r="K1244" s="7"/>
      <c r="L1244" s="8">
        <f>IFERROR(__xludf.DUMMYFUNCTION("""COMPUTED_VALUE"""),45867.0)</f>
        <v>45867</v>
      </c>
      <c r="M1244" s="7" t="str">
        <f>IFERROR(__xludf.DUMMYFUNCTION("""COMPUTED_VALUE"""),"16:00-17:30")</f>
        <v>16:00-17:30</v>
      </c>
      <c r="N1244" s="7"/>
    </row>
    <row r="1245">
      <c r="A1245" s="7" t="str">
        <f>IFERROR(__xludf.DUMMYFUNCTION("""COMPUTED_VALUE"""),"4460-FIND")</f>
        <v>4460-FIND</v>
      </c>
      <c r="B1245" s="7" t="str">
        <f>IFERROR(__xludf.DUMMYFUNCTION("""COMPUTED_VALUE"""),"Click, Type, Repeat: A Comprehensive Survey on GUI Agents")</f>
        <v>Click, Type, Repeat: A Comprehensive Survey on GUI Agents</v>
      </c>
      <c r="C1245" s="7" t="str">
        <f>IFERROR(__xludf.DUMMYFUNCTION("""COMPUTED_VALUE"""),"Graphical User Interface (GUI) agents, powered by Large Foundation Models, have emerged as a transformative approach to automating human-computer interaction. These agents autonomously interact with digital systems via GUIs, emulating human actions such a"&amp;"s clicking, typing, and navigating visual elements across diverse platforms. Motivated by the growing interest and fundamental importance of GUI agents, we provide a comprehensive survey that categorizes their benchmarks, evaluation metrics, architectures"&amp;", and training methods. We propose a unified framework that delineates their perception, reasoning, planning, and acting capabilities. Furthermore, we identify important open challenges and discuss key future directions. Finally, this work serves as a bas"&amp;"is for practitioners and researchers to gain an intuitive understanding of current progress, techniques, benchmarks, and critical open problems that remain to be addressed.")</f>
        <v>Graphical User Interface (GUI) agents, powered by Large Foundation Models, have emerged as a transformative approach to automating human-computer interaction. These agents autonomously interact with digital systems via GUIs, emulating human actions such as clicking, typing, and navigating visual elements across diverse platforms. Motivated by the growing interest and fundamental importance of GUI agents, we provide a comprehensive survey that categorizes their benchmarks, evaluation metrics, architectures, and training methods. We propose a unified framework that delineates their perception, reasoning, planning, and acting capabilities. Furthermore, we identify important open challenges and discuss key future directions. Finally, this work serves as a basis for practitioners and researchers to gain an intuitive understanding of current progress, techniques, benchmarks, and critical open problems that remain to be addressed.</v>
      </c>
      <c r="D1245" s="7" t="str">
        <f>IFERROR(__xludf.DUMMYFUNCTION("""COMPUTED_VALUE"""),"NA")</f>
        <v>NA</v>
      </c>
      <c r="E1245" s="7" t="str">
        <f>IFERROR(__xludf.DUMMYFUNCTION("""COMPUTED_VALUE"""),"#N/A")</f>
        <v>#N/A</v>
      </c>
      <c r="F1245" s="7" t="str">
        <f>IFERROR(__xludf.DUMMYFUNCTION("""COMPUTED_VALUE"""),"Not Pres. ")</f>
        <v>Not Pres. </v>
      </c>
      <c r="G1245" s="7" t="str">
        <f>IFERROR(__xludf.DUMMYFUNCTION("""COMPUTED_VALUE"""),"NP Findings Not Presenting ")</f>
        <v>NP Findings Not Presenting </v>
      </c>
      <c r="H1245" s="7"/>
      <c r="I1245" s="7" t="str">
        <f>IFERROR(__xludf.DUMMYFUNCTION("""COMPUTED_VALUE"""),"NP-Find")</f>
        <v>NP-Find</v>
      </c>
      <c r="J1245" s="7"/>
      <c r="K1245" s="7"/>
      <c r="L1245" s="8"/>
      <c r="M1245" s="7"/>
      <c r="N1245" s="7"/>
    </row>
    <row r="1246">
      <c r="A1246" s="7" t="str">
        <f>IFERROR(__xludf.DUMMYFUNCTION("""COMPUTED_VALUE"""),"4463-FIND")</f>
        <v>4463-FIND</v>
      </c>
      <c r="B1246" s="7" t="str">
        <f>IFERROR(__xludf.DUMMYFUNCTION("""COMPUTED_VALUE"""),"MEDEC: A Benchmark for Medical Error Detection and Correction in Clinical Notes")</f>
        <v>MEDEC: A Benchmark for Medical Error Detection and Correction in Clinical Notes</v>
      </c>
      <c r="C1246" s="7" t="str">
        <f>IFERROR(__xludf.DUMMYFUNCTION("""COMPUTED_VALUE"""),"Several studies showed that Large Language Models (LLMs) can answer medical questions correctly, even outperforming the average human score in some medical exams. However, to our knowledge, no study has been conducted to assess the ability of language mod"&amp;"els to validate existing or generated medical text for correctness and consistency. In this paper, we introduce MEDEC, the first publicly available benchmark for medical error detection and correction in clinical notes, covering five types of errors (Diag"&amp;"nosis, Management, Treatment, Pharmacotherapy, and Causal Organism). MEDEC consists of 3,848 clinical texts, including 488 clinical notes from three US hospital systems that were not previously seen by any LLM. The dataset has been used in a shared task t"&amp;"o evaluate seventeen participating systems. In this paper, we describe the data creation methods and we evaluate recent LLMs (e.g., o1-preview, GPT-4, Claude 3.5 Sonnet, Gemini 2.0 Flash, and DeepSeek-R1) for the tasks of detecting and correcting medical "&amp;"errors requiring both medical knowledge and reasoning capabilities. We also conducted a comparative study where two medical doctors performed the same task on the MEDEC test set. The results showed that MEDEC is a sufficiently challenging benchmark to ass"&amp;"ess the ability of models to validate existing or generated notes and to correct medical errors. We also found that although recent LLMs have a good performance in error detection and correction, they are still outperformed by medical doctors in these tas"&amp;"ks. We discuss the potential factors behind this gap, the insights from our experiments, the limitations of current evaluation metrics, and share potential pointers for future research.")</f>
        <v>Several studies showed that Large Language Models (LLMs) can answer medical questions correctly, even outperforming the average human score in some medical exams. However, to our knowledge, no study has been conducted to assess the ability of language models to validate existing or generated medical text for correctness and consistency. In this paper, we introduce MEDEC, the first publicly available benchmark for medical error detection and correction in clinical notes, covering five types of errors (Diagnosis, Management, Treatment, Pharmacotherapy, and Causal Organism). MEDEC consists of 3,848 clinical texts, including 488 clinical notes from three US hospital systems that were not previously seen by any LLM. The dataset has been used in a shared task to evaluate seventeen participating systems. In this paper, we describe the data creation methods and we evaluate recent LLMs (e.g., o1-preview, GPT-4, Claude 3.5 Sonnet, Gemini 2.0 Flash, and DeepSeek-R1) for the tasks of detecting and correcting medical errors requiring both medical knowledge and reasoning capabilities. We also conducted a comparative study where two medical doctors performed the same task on the MEDEC test set. The results showed that MEDEC is a sufficiently challenging benchmark to assess the ability of models to validate existing or generated notes and to correct medical errors. We also found that although recent LLMs have a good performance in error detection and correction, they are still outperformed by medical doctors in these tasks. We discuss the potential factors behind this gap, the insights from our experiments, the limitations of current evaluation metrics, and share potential pointers for future research.</v>
      </c>
      <c r="D1246" s="7" t="str">
        <f>IFERROR(__xludf.DUMMYFUNCTION("""COMPUTED_VALUE"""),"Fei Xia")</f>
        <v>Fei Xia</v>
      </c>
      <c r="E1246" s="7" t="str">
        <f>IFERROR(__xludf.DUMMYFUNCTION("""COMPUTED_VALUE"""),"Yes")</f>
        <v>Yes</v>
      </c>
      <c r="F1246" s="7" t="str">
        <f>IFERROR(__xludf.DUMMYFUNCTION("""COMPUTED_VALUE"""),"IP-Poster")</f>
        <v>IP-Poster</v>
      </c>
      <c r="G1246" s="7" t="str">
        <f>IFERROR(__xludf.DUMMYFUNCTION("""COMPUTED_VALUE"""),"In-Person")</f>
        <v>In-Person</v>
      </c>
      <c r="H1246" s="7" t="str">
        <f>IFERROR(__xludf.DUMMYFUNCTION("""COMPUTED_VALUE"""),"Hall 4/5")</f>
        <v>Hall 4/5</v>
      </c>
      <c r="I1246" s="7" t="str">
        <f>IFERROR(__xludf.DUMMYFUNCTION("""COMPUTED_VALUE"""),"Session 12: IP-Posters")</f>
        <v>Session 12: IP-Posters</v>
      </c>
      <c r="J1246" s="7" t="str">
        <f>IFERROR(__xludf.DUMMYFUNCTION("""COMPUTED_VALUE"""),"Findings Posters - In-Person 4")</f>
        <v>Findings Posters - In-Person 4</v>
      </c>
      <c r="K1246" s="7"/>
      <c r="L1246" s="8">
        <f>IFERROR(__xludf.DUMMYFUNCTION("""COMPUTED_VALUE"""),45868.0)</f>
        <v>45868</v>
      </c>
      <c r="M1246" s="7" t="str">
        <f>IFERROR(__xludf.DUMMYFUNCTION("""COMPUTED_VALUE"""),"11:00-12:30")</f>
        <v>11:00-12:30</v>
      </c>
      <c r="N1246" s="7"/>
    </row>
    <row r="1247">
      <c r="A1247" s="7" t="str">
        <f>IFERROR(__xludf.DUMMYFUNCTION("""COMPUTED_VALUE"""),"4464-FIND")</f>
        <v>4464-FIND</v>
      </c>
      <c r="B1247" s="7" t="str">
        <f>IFERROR(__xludf.DUMMYFUNCTION("""COMPUTED_VALUE"""),"Understanding the Influence of Synthetic Data for Text Embedders")</f>
        <v>Understanding the Influence of Synthetic Data for Text Embedders</v>
      </c>
      <c r="C1247" s="7" t="str">
        <f>IFERROR(__xludf.DUMMYFUNCTION("""COMPUTED_VALUE"""),"Recent progress in developing general-purpose text embedders has been driven by training on synthetic LLM-generated data. Nonetheless, no publicly available synthetic data exists, posing a barrier to studying its role for the generalization of embedding m"&amp;"odels. To address this issue, we first reproduce and publicly release the synthetic data proposed by Wang et al. (2024) (Mistral-E5). Our synthetic data is high quality and leads to consistent improvements in performance. Next, we critically examine where"&amp;" exactly synthetic data improves model generalization. Our analysis reveals that benefits from synthetic data are sparse and highly localized to individual datasets. Moreover, we observe trade-offs between the performance on different categories and data "&amp;"that benefits one task, degrades performance on another. Our findings highlight the limitations of current synthetic data approaches for building general-purpose embedders and challenge the notion that training on synthetic data leads to more robust embed"&amp;"ding models across tasks.")</f>
        <v>Recent progress in developing general-purpose text embedders has been driven by training on synthetic LLM-generated data. Nonetheless, no publicly available synthetic data exists, posing a barrier to studying its role for the generalization of embedding models. To address this issue, we first reproduce and publicly release the synthetic data proposed by Wang et al. (2024) (Mistral-E5). Our synthetic data is high quality and leads to consistent improvements in performance. Next, we critically examine where exactly synthetic data improves model generalization. Our analysis reveals that benefits from synthetic data are sparse and highly localized to individual datasets. Moreover, we observe trade-offs between the performance on different categories and data that benefits one task, degrades performance on another. Our findings highlight the limitations of current synthetic data approaches for building general-purpose embedders and challenge the notion that training on synthetic data leads to more robust embedding models across tasks.</v>
      </c>
      <c r="D1247" s="7" t="str">
        <f>IFERROR(__xludf.DUMMYFUNCTION("""COMPUTED_VALUE"""),"Marius Mosbach")</f>
        <v>Marius Mosbach</v>
      </c>
      <c r="E1247" s="7" t="str">
        <f>IFERROR(__xludf.DUMMYFUNCTION("""COMPUTED_VALUE"""),"Yes")</f>
        <v>Yes</v>
      </c>
      <c r="F1247" s="7" t="str">
        <f>IFERROR(__xludf.DUMMYFUNCTION("""COMPUTED_VALUE"""),"IP-Poster")</f>
        <v>IP-Poster</v>
      </c>
      <c r="G1247" s="7" t="str">
        <f>IFERROR(__xludf.DUMMYFUNCTION("""COMPUTED_VALUE"""),"In-Person")</f>
        <v>In-Person</v>
      </c>
      <c r="H1247" s="7" t="str">
        <f>IFERROR(__xludf.DUMMYFUNCTION("""COMPUTED_VALUE"""),"Hall 4/5")</f>
        <v>Hall 4/5</v>
      </c>
      <c r="I1247" s="7" t="str">
        <f>IFERROR(__xludf.DUMMYFUNCTION("""COMPUTED_VALUE"""),"Session 5 :IP-Posters Find ")</f>
        <v>Session 5 :IP-Posters Find </v>
      </c>
      <c r="J1247" s="7" t="str">
        <f>IFERROR(__xludf.DUMMYFUNCTION("""COMPUTED_VALUE"""),"Findings Posters - In-Person 1")</f>
        <v>Findings Posters - In-Person 1</v>
      </c>
      <c r="K1247" s="7"/>
      <c r="L1247" s="8">
        <f>IFERROR(__xludf.DUMMYFUNCTION("""COMPUTED_VALUE"""),45866.0)</f>
        <v>45866</v>
      </c>
      <c r="M1247" s="7" t="str">
        <f>IFERROR(__xludf.DUMMYFUNCTION("""COMPUTED_VALUE"""),"18:00-19:30")</f>
        <v>18:00-19:30</v>
      </c>
      <c r="N1247" s="7"/>
    </row>
    <row r="1248">
      <c r="A1248" s="7" t="str">
        <f>IFERROR(__xludf.DUMMYFUNCTION("""COMPUTED_VALUE"""),"4467-FIND")</f>
        <v>4467-FIND</v>
      </c>
      <c r="B1248" s="7" t="str">
        <f>IFERROR(__xludf.DUMMYFUNCTION("""COMPUTED_VALUE"""),"Dynamic Knowledge Integration for Evidence-Driven Counter-Argument Generation with Large Language Models")</f>
        <v>Dynamic Knowledge Integration for Evidence-Driven Counter-Argument Generation with Large Language Models</v>
      </c>
      <c r="C1248" s="7" t="str">
        <f>IFERROR(__xludf.DUMMYFUNCTION("""COMPUTED_VALUE"""),"This paper investigates the role of dynamic external knowledge integration in improving counter-argument generation using Large Language Models (LLMs). While LLMs have shown promise in argumentative tasks, their tendency to generate lengthy, potentially u"&amp;"nfactual responses highlights the need for more controlled and evidence-based approaches. We introduce a new manually curated dataset of argument and counter-argument pairs specifically designed to balance argumentative complexity with evaluative feasibil"&amp;"ity. We also propose a new LLM-as-a-Judge evaluation methodology that shows a stronger correlation with human judgments compared to traditional reference-based metrics. Our experimental results demonstrate that integrating dynamic external knowledge from "&amp;"the web significantly improves the quality of generated counter-arguments, particularly in terms of relatedness, persuasiveness, and factuality. The findings suggest that combining LLMs with real-time external knowledge retrieval offers a promising direct"&amp;"ion for developing more effective and reliable counter-argumentation systems. Data and code are publicly available.")</f>
        <v>This paper investigates the role of dynamic external knowledge integration in improving counter-argument generation using Large Language Models (LLMs). While LLMs have shown promise in argumentative tasks, their tendency to generate lengthy, potentially unfactual responses highlights the need for more controlled and evidence-based approaches. We introduce a new manually curated dataset of argument and counter-argument pairs specifically designed to balance argumentative complexity with evaluative feasibility. We also propose a new LLM-as-a-Judge evaluation methodology that shows a stronger correlation with human judgments compared to traditional reference-based metrics. Our experimental results demonstrate that integrating dynamic external knowledge from the web significantly improves the quality of generated counter-arguments, particularly in terms of relatedness, persuasiveness, and factuality. The findings suggest that combining LLMs with real-time external knowledge retrieval offers a promising direction for developing more effective and reliable counter-argumentation systems. Data and code are publicly available.</v>
      </c>
      <c r="D1248" s="7" t="str">
        <f>IFERROR(__xludf.DUMMYFUNCTION("""COMPUTED_VALUE"""),"Anar Yeginbergen")</f>
        <v>Anar Yeginbergen</v>
      </c>
      <c r="E1248" s="7" t="str">
        <f>IFERROR(__xludf.DUMMYFUNCTION("""COMPUTED_VALUE"""),"Yes")</f>
        <v>Yes</v>
      </c>
      <c r="F1248" s="7" t="str">
        <f>IFERROR(__xludf.DUMMYFUNCTION("""COMPUTED_VALUE"""),"IP-Poster")</f>
        <v>IP-Poster</v>
      </c>
      <c r="G1248" s="7" t="str">
        <f>IFERROR(__xludf.DUMMYFUNCTION("""COMPUTED_VALUE"""),"In-Person")</f>
        <v>In-Person</v>
      </c>
      <c r="H1248" s="7" t="str">
        <f>IFERROR(__xludf.DUMMYFUNCTION("""COMPUTED_VALUE"""),"Hall 4/5")</f>
        <v>Hall 4/5</v>
      </c>
      <c r="I1248" s="7" t="str">
        <f>IFERROR(__xludf.DUMMYFUNCTION("""COMPUTED_VALUE"""),"Session 5 :IP-Posters Find ")</f>
        <v>Session 5 :IP-Posters Find </v>
      </c>
      <c r="J1248" s="7" t="str">
        <f>IFERROR(__xludf.DUMMYFUNCTION("""COMPUTED_VALUE"""),"Findings Posters - In-Person 1")</f>
        <v>Findings Posters - In-Person 1</v>
      </c>
      <c r="K1248" s="7"/>
      <c r="L1248" s="8">
        <f>IFERROR(__xludf.DUMMYFUNCTION("""COMPUTED_VALUE"""),45866.0)</f>
        <v>45866</v>
      </c>
      <c r="M1248" s="7" t="str">
        <f>IFERROR(__xludf.DUMMYFUNCTION("""COMPUTED_VALUE"""),"18:00-19:30")</f>
        <v>18:00-19:30</v>
      </c>
      <c r="N1248" s="7"/>
    </row>
    <row r="1249">
      <c r="A1249" s="7" t="str">
        <f>IFERROR(__xludf.DUMMYFUNCTION("""COMPUTED_VALUE"""),"4469-FIND")</f>
        <v>4469-FIND</v>
      </c>
      <c r="B1249" s="7" t="str">
        <f>IFERROR(__xludf.DUMMYFUNCTION("""COMPUTED_VALUE"""),"Tell, Don't Show: Leveraging Language Models' Abstractive Retellings to Model Literary Themes")</f>
        <v>Tell, Don't Show: Leveraging Language Models' Abstractive Retellings to Model Literary Themes</v>
      </c>
      <c r="C1249" s="7" t="str">
        <f>IFERROR(__xludf.DUMMYFUNCTION("""COMPUTED_VALUE"""),"Conventional bag-of-words approaches for topic modeling, like latent Dirichlet allocation (LDA), struggle with literary text. Literature challenges lexical methods because narrative language focuses on immersive sensory details instead of abstractive desc"&amp;"ription or exposition: writers are advised to *show, don't tell*. We propose Retell, a simple, accessible topic modeling approach for literature. Here, we prompt resource-efficient, generative language models (LMs) to *tell* what passages *show*, thereby "&amp;"translating narratives' surface forms into higher-level concepts and themes. By running LDA on LMs' retellings of passages, we can obtain more precise and informative topics than by running LDA alone or by directly asking LMs to list topics. To investigat"&amp;"e the potential of our method for cultural analytics, we compare our method's outputs to expert-guided annotations in a case study on racial/cultural identity in high school English language arts books.")</f>
        <v>Conventional bag-of-words approaches for topic modeling, like latent Dirichlet allocation (LDA), struggle with literary text. Literature challenges lexical methods because narrative language focuses on immersive sensory details instead of abstractive description or exposition: writers are advised to *show, don't tell*. We propose Retell, a simple, accessible topic modeling approach for literature. Here, we prompt resource-efficient, generative language models (LMs) to *tell* what passages *show*, thereby translating narratives' surface forms into higher-level concepts and themes. By running LDA on LMs' retellings of passages, we can obtain more precise and informative topics than by running LDA alone or by directly asking LMs to list topics. To investigate the potential of our method for cultural analytics, we compare our method's outputs to expert-guided annotations in a case study on racial/cultural identity in high school English language arts books.</v>
      </c>
      <c r="D1249" s="7" t="str">
        <f>IFERROR(__xludf.DUMMYFUNCTION("""COMPUTED_VALUE"""),"Lucy Li")</f>
        <v>Lucy Li</v>
      </c>
      <c r="E1249" s="7" t="str">
        <f>IFERROR(__xludf.DUMMYFUNCTION("""COMPUTED_VALUE"""),"Yes")</f>
        <v>Yes</v>
      </c>
      <c r="F1249" s="7" t="str">
        <f>IFERROR(__xludf.DUMMYFUNCTION("""COMPUTED_VALUE"""),"IP-Poster")</f>
        <v>IP-Poster</v>
      </c>
      <c r="G1249" s="7" t="str">
        <f>IFERROR(__xludf.DUMMYFUNCTION("""COMPUTED_VALUE"""),"In-Person")</f>
        <v>In-Person</v>
      </c>
      <c r="H1249" s="7" t="str">
        <f>IFERROR(__xludf.DUMMYFUNCTION("""COMPUTED_VALUE"""),"Hall 4/5")</f>
        <v>Hall 4/5</v>
      </c>
      <c r="I1249" s="7" t="str">
        <f>IFERROR(__xludf.DUMMYFUNCTION("""COMPUTED_VALUE"""),"Session 12: IP-Posters")</f>
        <v>Session 12: IP-Posters</v>
      </c>
      <c r="J1249" s="7" t="str">
        <f>IFERROR(__xludf.DUMMYFUNCTION("""COMPUTED_VALUE"""),"Findings Posters - In-Person 4")</f>
        <v>Findings Posters - In-Person 4</v>
      </c>
      <c r="K1249" s="7"/>
      <c r="L1249" s="8">
        <f>IFERROR(__xludf.DUMMYFUNCTION("""COMPUTED_VALUE"""),45868.0)</f>
        <v>45868</v>
      </c>
      <c r="M1249" s="7" t="str">
        <f>IFERROR(__xludf.DUMMYFUNCTION("""COMPUTED_VALUE"""),"11:00-12:30")</f>
        <v>11:00-12:30</v>
      </c>
      <c r="N1249" s="7"/>
    </row>
    <row r="1250">
      <c r="A1250" s="7" t="str">
        <f>IFERROR(__xludf.DUMMYFUNCTION("""COMPUTED_VALUE"""),"4470-FIND")</f>
        <v>4470-FIND</v>
      </c>
      <c r="B1250" s="7" t="str">
        <f>IFERROR(__xludf.DUMMYFUNCTION("""COMPUTED_VALUE"""),"BottleHumor: Self-Informed Humor Explanation using the Information Bottleneck Principle")</f>
        <v>BottleHumor: Self-Informed Humor Explanation using the Information Bottleneck Principle</v>
      </c>
      <c r="C1250" s="7" t="str">
        <f>IFERROR(__xludf.DUMMYFUNCTION("""COMPUTED_VALUE"""),"Humor is prevalent in online communications and it often relies on more than one modality (e.g., cartoons and memes).
Interpreting humor in multimodal settings requires drawing on diverse types of knowledge, including metaphorical, sociocultural, and comm"&amp;"onsense knowledge. However, identifying the most useful knowledge remains an open question. We introduce BottleHumor, a method inspired by the information bottleneck principle that elicits relevant world knowledge from vision and language models which is "&amp;"iteratively refined for generating an explanation of the humor in an unsupervised manner. Our experiments on three datasets confirm the advantage of our method over a range of baselines. Our method can further be adapted in the future for additional tasks"&amp;" that can benefit from eliciting and conditioning on relevant world knowledge and open new research avenues in this direction.")</f>
        <v>Humor is prevalent in online communications and it often relies on more than one modality (e.g., cartoons and memes).
Interpreting humor in multimodal settings requires drawing on diverse types of knowledge, including metaphorical, sociocultural, and commonsense knowledge. However, identifying the most useful knowledge remains an open question. We introduce BottleHumor, a method inspired by the information bottleneck principle that elicits relevant world knowledge from vision and language models which is iteratively refined for generating an explanation of the humor in an unsupervised manner. Our experiments on three datasets confirm the advantage of our method over a range of baselines. Our method can further be adapted in the future for additional tasks that can benefit from eliciting and conditioning on relevant world knowledge and open new research avenues in this direction.</v>
      </c>
      <c r="D1250" s="7" t="str">
        <f>IFERROR(__xludf.DUMMYFUNCTION("""COMPUTED_VALUE"""),"EunJeong Hwang")</f>
        <v>EunJeong Hwang</v>
      </c>
      <c r="E1250" s="7" t="str">
        <f>IFERROR(__xludf.DUMMYFUNCTION("""COMPUTED_VALUE"""),"Yes")</f>
        <v>Yes</v>
      </c>
      <c r="F1250" s="7" t="str">
        <f>IFERROR(__xludf.DUMMYFUNCTION("""COMPUTED_VALUE"""),"IP-Poster")</f>
        <v>IP-Poster</v>
      </c>
      <c r="G1250" s="7" t="str">
        <f>IFERROR(__xludf.DUMMYFUNCTION("""COMPUTED_VALUE"""),"In-Person")</f>
        <v>In-Person</v>
      </c>
      <c r="H1250" s="7" t="str">
        <f>IFERROR(__xludf.DUMMYFUNCTION("""COMPUTED_VALUE"""),"Hall 4/5")</f>
        <v>Hall 4/5</v>
      </c>
      <c r="I1250" s="7" t="str">
        <f>IFERROR(__xludf.DUMMYFUNCTION("""COMPUTED_VALUE"""),"Session 10: IP-Posters")</f>
        <v>Session 10: IP-Posters</v>
      </c>
      <c r="J1250" s="7" t="str">
        <f>IFERROR(__xludf.DUMMYFUNCTION("""COMPUTED_VALUE"""),"Findings Posters - In-Person 3")</f>
        <v>Findings Posters - In-Person 3</v>
      </c>
      <c r="K1250" s="7"/>
      <c r="L1250" s="8">
        <f>IFERROR(__xludf.DUMMYFUNCTION("""COMPUTED_VALUE"""),45867.0)</f>
        <v>45867</v>
      </c>
      <c r="M1250" s="7" t="str">
        <f>IFERROR(__xludf.DUMMYFUNCTION("""COMPUTED_VALUE"""),"16:00-17:30")</f>
        <v>16:00-17:30</v>
      </c>
      <c r="N1250" s="7"/>
    </row>
    <row r="1251">
      <c r="A1251" s="7" t="str">
        <f>IFERROR(__xludf.DUMMYFUNCTION("""COMPUTED_VALUE"""),"4473-FIND")</f>
        <v>4473-FIND</v>
      </c>
      <c r="B1251" s="7" t="str">
        <f>IFERROR(__xludf.DUMMYFUNCTION("""COMPUTED_VALUE"""),"Financial Language Model Evaluation (FLaME)")</f>
        <v>Financial Language Model Evaluation (FLaME)</v>
      </c>
      <c r="C1251" s="7" t="str">
        <f>IFERROR(__xludf.DUMMYFUNCTION("""COMPUTED_VALUE"""),"Language Models (LMs) have demonstrated impressive capabilities with core Natural Language Processing (NLP) tasks. The effectiveness of LMs for highly specialized knowledge-intensive tasks in finance remains difficult to assess due to major gaps in the me"&amp;"thodologies of existing evaluation frameworks, which have caused an erroneous belief in a far lower bound of LMs' performance on common Finance NLP (FinNLP) tasks. To demonstrate the potential of LMs for these FinNLP tasks, we present the first holistic b"&amp;"enchmarking suite for Financial Language Model Evaluation (FLaME). We are the first research paper to comprehensively study LMs against 'reasoning-reinforced' LMs, with an empirical study of 23 foundation LMs over 20 core NLP tasks in finance. We open-sou"&amp;"rce our framework software along with all data and results.")</f>
        <v>Language Models (LMs) have demonstrated impressive capabilities with core Natural Language Processing (NLP) tasks. The effectiveness of LMs for highly specialized knowledge-intensive tasks in finance remains difficult to assess due to major gaps in the methodologies of existing evaluation frameworks, which have caused an erroneous belief in a far lower bound of LMs' performance on common Finance NLP (FinNLP) tasks. To demonstrate the potential of LMs for these FinNLP tasks, we present the first holistic benchmarking suite for Financial Language Model Evaluation (FLaME). We are the first research paper to comprehensively study LMs against 'reasoning-reinforced' LMs, with an empirical study of 23 foundation LMs over 20 core NLP tasks in finance. We open-source our framework software along with all data and results.</v>
      </c>
      <c r="D1251" s="7" t="str">
        <f>IFERROR(__xludf.DUMMYFUNCTION("""COMPUTED_VALUE"""),"Glenn Matlin")</f>
        <v>Glenn Matlin</v>
      </c>
      <c r="E1251" s="7" t="str">
        <f>IFERROR(__xludf.DUMMYFUNCTION("""COMPUTED_VALUE"""),"Yes")</f>
        <v>Yes</v>
      </c>
      <c r="F1251" s="7" t="str">
        <f>IFERROR(__xludf.DUMMYFUNCTION("""COMPUTED_VALUE"""),"IP-Poster")</f>
        <v>IP-Poster</v>
      </c>
      <c r="G1251" s="7" t="str">
        <f>IFERROR(__xludf.DUMMYFUNCTION("""COMPUTED_VALUE"""),"In-Person")</f>
        <v>In-Person</v>
      </c>
      <c r="H1251" s="7" t="str">
        <f>IFERROR(__xludf.DUMMYFUNCTION("""COMPUTED_VALUE"""),"Hall 4/5")</f>
        <v>Hall 4/5</v>
      </c>
      <c r="I1251" s="7" t="str">
        <f>IFERROR(__xludf.DUMMYFUNCTION("""COMPUTED_VALUE"""),"Session 12: IP-Posters")</f>
        <v>Session 12: IP-Posters</v>
      </c>
      <c r="J1251" s="7" t="str">
        <f>IFERROR(__xludf.DUMMYFUNCTION("""COMPUTED_VALUE"""),"Findings Posters - In-Person 4")</f>
        <v>Findings Posters - In-Person 4</v>
      </c>
      <c r="K1251" s="7"/>
      <c r="L1251" s="8">
        <f>IFERROR(__xludf.DUMMYFUNCTION("""COMPUTED_VALUE"""),45868.0)</f>
        <v>45868</v>
      </c>
      <c r="M1251" s="7" t="str">
        <f>IFERROR(__xludf.DUMMYFUNCTION("""COMPUTED_VALUE"""),"11:00-12:30")</f>
        <v>11:00-12:30</v>
      </c>
      <c r="N1251" s="7"/>
    </row>
    <row r="1252">
      <c r="A1252" s="7" t="str">
        <f>IFERROR(__xludf.DUMMYFUNCTION("""COMPUTED_VALUE"""),"4475-FIND")</f>
        <v>4475-FIND</v>
      </c>
      <c r="B1252" s="7" t="str">
        <f>IFERROR(__xludf.DUMMYFUNCTION("""COMPUTED_VALUE"""),"CausalRAG: Integrating Causal Graphs into Retrieval-Augmented Generation")</f>
        <v>CausalRAG: Integrating Causal Graphs into Retrieval-Augmented Generation</v>
      </c>
      <c r="C1252" s="7" t="str">
        <f>IFERROR(__xludf.DUMMYFUNCTION("""COMPUTED_VALUE"""),"Large language models (LLMs) have revolutionized natural language processing (NLP), particularly through Retrieval-Augmented Generation (RAG), which enhances LLM capabilities by integrating external knowledge. However, traditional RAG systems face critica"&amp;"l limitations, including disrupted contextual integrity due to text chunking, and over-reliance on semantic similarity for retrieval. To address these issues, we propose CausalRAG, a novel framework that incorporates causal graphs into the retrieval proce"&amp;"ss. By constructing and tracing causal relationships, CausalRAG preserves contextual continuity and improves retrieval precision, leading to more accurate and interpretable responses. We evaluate CausalRAG against regular RAG and graph-based RAG approache"&amp;"s, demonstrating its superiority across multiple metrics. Our findings suggest that grounding retrieval in causal reasoning provides a promising approach to knowledge-intensive tasks.")</f>
        <v>Large language models (LLMs) have revolutionized natural language processing (NLP), particularly through Retrieval-Augmented Generation (RAG), which enhances LLM capabilities by integrating external knowledge. However, traditional RAG systems face critical limitations, including disrupted contextual integrity due to text chunking, and over-reliance on semantic similarity for retrieval. To address these issues, we propose CausalRAG, a novel framework that incorporates causal graphs into the retrieval process. By constructing and tracing causal relationships, CausalRAG preserves contextual continuity and improves retrieval precision, leading to more accurate and interpretable responses. We evaluate CausalRAG against regular RAG and graph-based RAG approaches, demonstrating its superiority across multiple metrics. Our findings suggest that grounding retrieval in causal reasoning provides a promising approach to knowledge-intensive tasks.</v>
      </c>
      <c r="D1252" s="7" t="str">
        <f>IFERROR(__xludf.DUMMYFUNCTION("""COMPUTED_VALUE"""),"I do not plan to present.")</f>
        <v>I do not plan to present.</v>
      </c>
      <c r="E1252" s="7" t="str">
        <f>IFERROR(__xludf.DUMMYFUNCTION("""COMPUTED_VALUE"""),"#N/A")</f>
        <v>#N/A</v>
      </c>
      <c r="F1252" s="7" t="str">
        <f>IFERROR(__xludf.DUMMYFUNCTION("""COMPUTED_VALUE"""),"Not Pres. ")</f>
        <v>Not Pres. </v>
      </c>
      <c r="G1252" s="7" t="str">
        <f>IFERROR(__xludf.DUMMYFUNCTION("""COMPUTED_VALUE"""),"NP Findings Not Presenting ")</f>
        <v>NP Findings Not Presenting </v>
      </c>
      <c r="H1252" s="7"/>
      <c r="I1252" s="7" t="str">
        <f>IFERROR(__xludf.DUMMYFUNCTION("""COMPUTED_VALUE"""),"NP-Find")</f>
        <v>NP-Find</v>
      </c>
      <c r="J1252" s="7"/>
      <c r="K1252" s="7"/>
      <c r="L1252" s="8"/>
      <c r="M1252" s="7"/>
      <c r="N1252" s="7"/>
    </row>
    <row r="1253">
      <c r="A1253" s="7" t="str">
        <f>IFERROR(__xludf.DUMMYFUNCTION("""COMPUTED_VALUE"""),"4476-FIND")</f>
        <v>4476-FIND</v>
      </c>
      <c r="B1253" s="7" t="str">
        <f>IFERROR(__xludf.DUMMYFUNCTION("""COMPUTED_VALUE"""),"Towards Safety Reasoning in LLMs: AI-agentic Deliberation for Policy-embedded CoT Data Creation")</f>
        <v>Towards Safety Reasoning in LLMs: AI-agentic Deliberation for Policy-embedded CoT Data Creation</v>
      </c>
      <c r="C1253" s="7" t="str">
        <f>IFERROR(__xludf.DUMMYFUNCTION("""COMPUTED_VALUE"""),"Safety reasoning is a recent paradigm where LLMs reason over safety policies before generating responses, thereby mitigating limitations in existing safety measures such as over-refusal and jailbreak vulnerabilities. However, implementing this paradigm is"&amp;" challenging due to the resource-intensive process of creating high-quality policy-embedded chain-of-thought (CoT) datasets while ensuring reasoning remains accurate and free from hallucinations or policy conflicts. To tackle this, we propose AIDSAFE: Age"&amp;"ntic Iterative Deliberation for Safety Reasoning, a novel data generation recipe that leverages multi-agent deliberation to iteratively expand reasoning on safety policies. A data refiner stage in AIDSAFE ensures high-quality outputs by eliminating repeti"&amp;"tive, redundant, and deceptive thoughts. AIDSAFE-generated CoTs provide a strong foundation for supervised fine-tuning (SFT)-based safety training. Additionally, to address the need of preference data in alignment stages, such as DPO training, we introduc"&amp;"e a supplemental recipe that uses belief augmentation to create distinct selected and rejected CoT samples. Our evaluations demonstrate that AIDSAFE-generated CoTs achieve superior policy adherence and reasoning quality. Consequently, we show that fine-tu"&amp;"ning open-source LLMs on these CoTs can significantly improve safety generalization and jailbreak robustness while maintaining acceptable utility and over-refusal accuracy.")</f>
        <v>Safety reasoning is a recent paradigm where LLMs reason over safety policies before generating responses, thereby mitigating limitations in existing safety measures such as over-refusal and jailbreak vulnerabilities. However, implementing this paradigm is challenging due to the resource-intensive process of creating high-quality policy-embedded chain-of-thought (CoT) datasets while ensuring reasoning remains accurate and free from hallucinations or policy conflicts. To tackle this, we propose AIDSAFE: Agentic Iterative Deliberation for Safety Reasoning, a novel data generation recipe that leverages multi-agent deliberation to iteratively expand reasoning on safety policies. A data refiner stage in AIDSAFE ensures high-quality outputs by eliminating repetitive, redundant, and deceptive thoughts. AIDSAFE-generated CoTs provide a strong foundation for supervised fine-tuning (SFT)-based safety training. Additionally, to address the need of preference data in alignment stages, such as DPO training, we introduce a supplemental recipe that uses belief augmentation to create distinct selected and rejected CoT samples. Our evaluations demonstrate that AIDSAFE-generated CoTs achieve superior policy adherence and reasoning quality. Consequently, we show that fine-tuning open-source LLMs on these CoTs can significantly improve safety generalization and jailbreak robustness while maintaining acceptable utility and over-refusal accuracy.</v>
      </c>
      <c r="D1253" s="7" t="str">
        <f>IFERROR(__xludf.DUMMYFUNCTION("""COMPUTED_VALUE"""),"Charith Peris")</f>
        <v>Charith Peris</v>
      </c>
      <c r="E1253" s="7" t="str">
        <f>IFERROR(__xludf.DUMMYFUNCTION("""COMPUTED_VALUE"""),"Yes")</f>
        <v>Yes</v>
      </c>
      <c r="F1253" s="7" t="str">
        <f>IFERROR(__xludf.DUMMYFUNCTION("""COMPUTED_VALUE"""),"IP-Poster")</f>
        <v>IP-Poster</v>
      </c>
      <c r="G1253" s="7" t="str">
        <f>IFERROR(__xludf.DUMMYFUNCTION("""COMPUTED_VALUE"""),"In-Person")</f>
        <v>In-Person</v>
      </c>
      <c r="H1253" s="7" t="str">
        <f>IFERROR(__xludf.DUMMYFUNCTION("""COMPUTED_VALUE"""),"Hall 4/5")</f>
        <v>Hall 4/5</v>
      </c>
      <c r="I1253" s="7" t="str">
        <f>IFERROR(__xludf.DUMMYFUNCTION("""COMPUTED_VALUE"""),"Session 12: IP-Posters")</f>
        <v>Session 12: IP-Posters</v>
      </c>
      <c r="J1253" s="7" t="str">
        <f>IFERROR(__xludf.DUMMYFUNCTION("""COMPUTED_VALUE"""),"Findings Posters - In-Person 4")</f>
        <v>Findings Posters - In-Person 4</v>
      </c>
      <c r="K1253" s="7"/>
      <c r="L1253" s="8">
        <f>IFERROR(__xludf.DUMMYFUNCTION("""COMPUTED_VALUE"""),45868.0)</f>
        <v>45868</v>
      </c>
      <c r="M1253" s="7" t="str">
        <f>IFERROR(__xludf.DUMMYFUNCTION("""COMPUTED_VALUE"""),"11:00-12:30")</f>
        <v>11:00-12:30</v>
      </c>
      <c r="N1253" s="7"/>
    </row>
    <row r="1254">
      <c r="A1254" s="7" t="str">
        <f>IFERROR(__xludf.DUMMYFUNCTION("""COMPUTED_VALUE"""),"4480-FIND")</f>
        <v>4480-FIND</v>
      </c>
      <c r="B1254" s="7" t="str">
        <f>IFERROR(__xludf.DUMMYFUNCTION("""COMPUTED_VALUE"""),"Explain then Rank: Scale Calibration of Neural Rankers Using Natural Language Explanations from LLMs")</f>
        <v>Explain then Rank: Scale Calibration of Neural Rankers Using Natural Language Explanations from LLMs</v>
      </c>
      <c r="C1254" s="7" t="str">
        <f>IFERROR(__xludf.DUMMYFUNCTION("""COMPUTED_VALUE"""),"In search settings, calibrating the scores during the ranking process to quantities such as click-through rates or relevance levels enhances a system's usefulness and trustworthiness for downstream users. While previous research has improved this notion o"&amp;"f calibration for low complexity learning-to-rank models, the larger data demands and parameter count specific to modern neural text rankers produce unique obstacles that hamper the efficacy of methods intended for the learning-to-rank setting.
This pape"&amp;"r proposes exploiting large language models (LLMs) to provide relevance and uncertainty signals for these neural text rankers to produce scale-calibrated scores through Monte Carlo sampling of natural language explanations (NLEs). Our approach transforms "&amp;"the neural ranking task from ranking textual query-document pairs to ranking corresponding synthesized NLEs. Comprehensive experiments on two popular document ranking datasets show that the NLE-based calibration approach consistently outperforms past cali"&amp;"bration methods and LLM-based methods for ranking, calibration, and query performance prediction tasks.")</f>
        <v>In search settings, calibrating the scores during the ranking process to quantities such as click-through rates or relevance levels enhances a system's usefulness and trustworthiness for downstream users. While previous research has improved this notion of calibration for low complexity learning-to-rank models, the larger data demands and parameter count specific to modern neural text rankers produce unique obstacles that hamper the efficacy of methods intended for the learning-to-rank setting.
This paper proposes exploiting large language models (LLMs) to provide relevance and uncertainty signals for these neural text rankers to produce scale-calibrated scores through Monte Carlo sampling of natural language explanations (NLEs). Our approach transforms the neural ranking task from ranking textual query-document pairs to ranking corresponding synthesized NLEs. Comprehensive experiments on two popular document ranking datasets show that the NLE-based calibration approach consistently outperforms past calibration methods and LLM-based methods for ranking, calibration, and query performance prediction tasks.</v>
      </c>
      <c r="D1254" s="7" t="str">
        <f>IFERROR(__xludf.DUMMYFUNCTION("""COMPUTED_VALUE"""),"Joel Tetreault")</f>
        <v>Joel Tetreault</v>
      </c>
      <c r="E1254" s="7" t="str">
        <f>IFERROR(__xludf.DUMMYFUNCTION("""COMPUTED_VALUE"""),"Yes")</f>
        <v>Yes</v>
      </c>
      <c r="F1254" s="7" t="str">
        <f>IFERROR(__xludf.DUMMYFUNCTION("""COMPUTED_VALUE"""),"IP-Poster")</f>
        <v>IP-Poster</v>
      </c>
      <c r="G1254" s="7" t="str">
        <f>IFERROR(__xludf.DUMMYFUNCTION("""COMPUTED_VALUE"""),"In-Person")</f>
        <v>In-Person</v>
      </c>
      <c r="H1254" s="7" t="str">
        <f>IFERROR(__xludf.DUMMYFUNCTION("""COMPUTED_VALUE"""),"Hall 4/5")</f>
        <v>Hall 4/5</v>
      </c>
      <c r="I1254" s="7" t="str">
        <f>IFERROR(__xludf.DUMMYFUNCTION("""COMPUTED_VALUE"""),"Session 5 :IP-Posters Find ")</f>
        <v>Session 5 :IP-Posters Find </v>
      </c>
      <c r="J1254" s="7" t="str">
        <f>IFERROR(__xludf.DUMMYFUNCTION("""COMPUTED_VALUE"""),"Findings Posters - In-Person 1")</f>
        <v>Findings Posters - In-Person 1</v>
      </c>
      <c r="K1254" s="7"/>
      <c r="L1254" s="8">
        <f>IFERROR(__xludf.DUMMYFUNCTION("""COMPUTED_VALUE"""),45866.0)</f>
        <v>45866</v>
      </c>
      <c r="M1254" s="7" t="str">
        <f>IFERROR(__xludf.DUMMYFUNCTION("""COMPUTED_VALUE"""),"18:00-19:30")</f>
        <v>18:00-19:30</v>
      </c>
      <c r="N1254" s="7"/>
    </row>
    <row r="1255">
      <c r="A1255" s="7" t="str">
        <f>IFERROR(__xludf.DUMMYFUNCTION("""COMPUTED_VALUE"""),"4485-FIND")</f>
        <v>4485-FIND</v>
      </c>
      <c r="B1255" s="7" t="str">
        <f>IFERROR(__xludf.DUMMYFUNCTION("""COMPUTED_VALUE"""),"Beyond instruction-conditioning, MoTE: Mixture of Task Experts for Multi-task Embedding Models")</f>
        <v>Beyond instruction-conditioning, MoTE: Mixture of Task Experts for Multi-task Embedding Models</v>
      </c>
      <c r="C1255" s="7" t="str">
        <f>IFERROR(__xludf.DUMMYFUNCTION("""COMPUTED_VALUE"""),"Dense embeddings are fundamental to modern machine learning systems, powering Retrieval-Augmented Generation (RAG), information retrieval, and representation learning. While instruction-conditioning has become the dominant approach for embedding specializ"&amp;"ation, its direct application to low-capacity models imposes fundamental representational constraints that limit the performance gains derived from specialization. In this paper, we analyze these limitations and introduce the Mixture of Task Experts (MoTE"&amp;") transformer block, which leverages task-specialized parameters trained with Task-Aware Contrastive Learning (TACL) to enhance the model's ability to generate specialized embeddings. Empirical results show that MoTE achieves 64% higher performance gains "&amp;"in retrieval datasets (+3.27 -&gt; +5.21) and 43% higher performance gains across all datasets (+1.81 -&gt; 2.60). Critically, these gains are achieved without altering instructions, training data, inference time, or number of active parameters.")</f>
        <v>Dense embeddings are fundamental to modern machine learning systems, powering Retrieval-Augmented Generation (RAG), information retrieval, and representation learning. While instruction-conditioning has become the dominant approach for embedding specialization, its direct application to low-capacity models imposes fundamental representational constraints that limit the performance gains derived from specialization. In this paper, we analyze these limitations and introduce the Mixture of Task Experts (MoTE) transformer block, which leverages task-specialized parameters trained with Task-Aware Contrastive Learning (TACL) to enhance the model's ability to generate specialized embeddings. Empirical results show that MoTE achieves 64% higher performance gains in retrieval datasets (+3.27 -&gt; +5.21) and 43% higher performance gains across all datasets (+1.81 -&gt; 2.60). Critically, these gains are achieved without altering instructions, training data, inference time, or number of active parameters.</v>
      </c>
      <c r="D1255" s="7" t="str">
        <f>IFERROR(__xludf.DUMMYFUNCTION("""COMPUTED_VALUE"""),"Miguel Romero")</f>
        <v>Miguel Romero</v>
      </c>
      <c r="E1255" s="7" t="str">
        <f>IFERROR(__xludf.DUMMYFUNCTION("""COMPUTED_VALUE"""),"Yes")</f>
        <v>Yes</v>
      </c>
      <c r="F1255" s="7" t="str">
        <f>IFERROR(__xludf.DUMMYFUNCTION("""COMPUTED_VALUE"""),"IP-Poster")</f>
        <v>IP-Poster</v>
      </c>
      <c r="G1255" s="7" t="str">
        <f>IFERROR(__xludf.DUMMYFUNCTION("""COMPUTED_VALUE"""),"In-Person")</f>
        <v>In-Person</v>
      </c>
      <c r="H1255" s="7" t="str">
        <f>IFERROR(__xludf.DUMMYFUNCTION("""COMPUTED_VALUE"""),"Hall 4/5")</f>
        <v>Hall 4/5</v>
      </c>
      <c r="I1255" s="7" t="str">
        <f>IFERROR(__xludf.DUMMYFUNCTION("""COMPUTED_VALUE"""),"Session 5 :IP-Posters Find ")</f>
        <v>Session 5 :IP-Posters Find </v>
      </c>
      <c r="J1255" s="7" t="str">
        <f>IFERROR(__xludf.DUMMYFUNCTION("""COMPUTED_VALUE"""),"Findings Posters - In-Person 1")</f>
        <v>Findings Posters - In-Person 1</v>
      </c>
      <c r="K1255" s="7"/>
      <c r="L1255" s="8">
        <f>IFERROR(__xludf.DUMMYFUNCTION("""COMPUTED_VALUE"""),45866.0)</f>
        <v>45866</v>
      </c>
      <c r="M1255" s="7" t="str">
        <f>IFERROR(__xludf.DUMMYFUNCTION("""COMPUTED_VALUE"""),"18:00-19:30")</f>
        <v>18:00-19:30</v>
      </c>
      <c r="N1255" s="7"/>
    </row>
    <row r="1256">
      <c r="A1256" s="7" t="str">
        <f>IFERROR(__xludf.DUMMYFUNCTION("""COMPUTED_VALUE"""),"4486-FIND")</f>
        <v>4486-FIND</v>
      </c>
      <c r="B1256" s="7" t="str">
        <f>IFERROR(__xludf.DUMMYFUNCTION("""COMPUTED_VALUE"""),"Metagent-P: A Neuro-Symbolic Planning Agent with Metacognition for Open Worlds")</f>
        <v>Metagent-P: A Neuro-Symbolic Planning Agent with Metacognition for Open Worlds</v>
      </c>
      <c r="C1256" s="7" t="str">
        <f>IFERROR(__xludf.DUMMYFUNCTION("""COMPUTED_VALUE"""),"The challenge of developing agents capable of open-world planning remains fundamental to artificial general intelligence (AGI). While large language models (LLMs) have made progress with their vast world knowledge, their limitations in perception, memory,"&amp;" and reliable reasoning still hinder LLM-based agents from achieving human-level performance in long-term tasks. Drawing inspiration from human cognitive-metacognitive collaboration, we propose \textbf{Metagent-P}, integrating the world knowledge of LLMs,"&amp;" the symbolic reasoning capabilities of cognitive architectures, and the self-reflection characteristic of metacognition to construct a “planning-verification-execution-reflection” framework. Metagent-P improves experience utilization through multimodal m"&amp;"emory integration. It uses a neural-symbolic hierarchical representation structure to ensure the plan's reasoning correctness in advance. Finally, it actively adapts the agent to dynamic environments through monitoring, evaluation, and regulation mechanis"&amp;"ms. Experimental results show Metagent-P significantly outperforms current state-of-the-art methods in Minecraft. In long-term tasks, Metagent-P reduces the average replanning counts by \textbf{34%} and exceeds the average human success rate by \textbf{18"&amp;".96%}. Additionally, Metagent-P also demonstrates self-evolution through step-by-step open-world exploration.")</f>
        <v>The challenge of developing agents capable of open-world planning remains fundamental to artificial general intelligence (AGI). While large language models (LLMs) have made progress with their vast world knowledge, their limitations in perception, memory, and reliable reasoning still hinder LLM-based agents from achieving human-level performance in long-term tasks. Drawing inspiration from human cognitive-metacognitive collaboration, we propose \textbf{Metagent-P}, integrating the world knowledge of LLMs, the symbolic reasoning capabilities of cognitive architectures, and the self-reflection characteristic of metacognition to construct a “planning-verification-execution-reflection” framework. Metagent-P improves experience utilization through multimodal memory integration. It uses a neural-symbolic hierarchical representation structure to ensure the plan's reasoning correctness in advance. Finally, it actively adapts the agent to dynamic environments through monitoring, evaluation, and regulation mechanisms. Experimental results show Metagent-P significantly outperforms current state-of-the-art methods in Minecraft. In long-term tasks, Metagent-P reduces the average replanning counts by \textbf{34%} and exceeds the average human success rate by \textbf{18.96%}. Additionally, Metagent-P also demonstrates self-evolution through step-by-step open-world exploration.</v>
      </c>
      <c r="D1256" s="7" t="str">
        <f>IFERROR(__xludf.DUMMYFUNCTION("""COMPUTED_VALUE"""),"Xintong Wang")</f>
        <v>Xintong Wang</v>
      </c>
      <c r="E1256" s="7" t="str">
        <f>IFERROR(__xludf.DUMMYFUNCTION("""COMPUTED_VALUE"""),"Yes")</f>
        <v>Yes</v>
      </c>
      <c r="F1256" s="7" t="str">
        <f>IFERROR(__xludf.DUMMYFUNCTION("""COMPUTED_VALUE"""),"IP-Poster")</f>
        <v>IP-Poster</v>
      </c>
      <c r="G1256" s="7" t="str">
        <f>IFERROR(__xludf.DUMMYFUNCTION("""COMPUTED_VALUE"""),"In-Person")</f>
        <v>In-Person</v>
      </c>
      <c r="H1256" s="7" t="str">
        <f>IFERROR(__xludf.DUMMYFUNCTION("""COMPUTED_VALUE"""),"Hall 4/5")</f>
        <v>Hall 4/5</v>
      </c>
      <c r="I1256" s="7" t="str">
        <f>IFERROR(__xludf.DUMMYFUNCTION("""COMPUTED_VALUE"""),"Session 5 :IP-Posters Find ")</f>
        <v>Session 5 :IP-Posters Find </v>
      </c>
      <c r="J1256" s="7" t="str">
        <f>IFERROR(__xludf.DUMMYFUNCTION("""COMPUTED_VALUE"""),"Findings Posters - In-Person 1")</f>
        <v>Findings Posters - In-Person 1</v>
      </c>
      <c r="K1256" s="7"/>
      <c r="L1256" s="8">
        <f>IFERROR(__xludf.DUMMYFUNCTION("""COMPUTED_VALUE"""),45866.0)</f>
        <v>45866</v>
      </c>
      <c r="M1256" s="7" t="str">
        <f>IFERROR(__xludf.DUMMYFUNCTION("""COMPUTED_VALUE"""),"18:00-19:30")</f>
        <v>18:00-19:30</v>
      </c>
      <c r="N1256" s="7"/>
    </row>
    <row r="1257">
      <c r="A1257" s="7" t="str">
        <f>IFERROR(__xludf.DUMMYFUNCTION("""COMPUTED_VALUE"""),"4489-FIND")</f>
        <v>4489-FIND</v>
      </c>
      <c r="B1257" s="7" t="str">
        <f>IFERROR(__xludf.DUMMYFUNCTION("""COMPUTED_VALUE"""),"Q-STRUM Debate: Query-Driven Contrastive Summarization for Recommendation Comparison")</f>
        <v>Q-STRUM Debate: Query-Driven Contrastive Summarization for Recommendation Comparison</v>
      </c>
      <c r="C1257" s="7" t="str">
        <f>IFERROR(__xludf.DUMMYFUNCTION("""COMPUTED_VALUE"""),"Query-driven recommendation with unknown items poses a challenge for users to understand why certain items are appropriate for their needs. Query-driven Contrastive Summarization (QCS) is a methodology designed to address this issue by leveraging language"&amp;"-based item descriptions to clarify contrasts between them. However, existing state-of-the-art contrastive summarization methods such as STRUM-LLM fall short of this goal. To overcome these limitations, we introduce Q-STRUM Debate, a novel extension of ST"&amp;"RUM-LLM that employs debate-style prompting to generate focused and contrastive summarizations of item aspects relevant to a query. Leveraging modern large language models (LLMs) as powerful tools for generating debates, Q-STRUM Debate provides enhanced c"&amp;"ontrastive summaries. Experiments across three datasets demonstrate that Q-STRUM Debate yields significant performance improvements over existing methods on key contrastive summarization criteria, thus introducing a novel and performant debate prompting m"&amp;"ethodology for QCS.")</f>
        <v>Query-driven recommendation with unknown items poses a challenge for users to understand why certain items are appropriate for their needs. Query-driven Contrastive Summarization (QCS) is a methodology designed to address this issue by leveraging language-based item descriptions to clarify contrasts between them. However, existing state-of-the-art contrastive summarization methods such as STRUM-LLM fall short of this goal. To overcome these limitations, we introduce Q-STRUM Debate, a novel extension of STRUM-LLM that employs debate-style prompting to generate focused and contrastive summarizations of item aspects relevant to a query. Leveraging modern large language models (LLMs) as powerful tools for generating debates, Q-STRUM Debate provides enhanced contrastive summaries. Experiments across three datasets demonstrate that Q-STRUM Debate yields significant performance improvements over existing methods on key contrastive summarization criteria, thus introducing a novel and performant debate prompting methodology for QCS.</v>
      </c>
      <c r="D1257" s="7" t="str">
        <f>IFERROR(__xludf.DUMMYFUNCTION("""COMPUTED_VALUE"""),"George-Kirollos Saad")</f>
        <v>George-Kirollos Saad</v>
      </c>
      <c r="E1257" s="7" t="str">
        <f>IFERROR(__xludf.DUMMYFUNCTION("""COMPUTED_VALUE"""),"Yes")</f>
        <v>Yes</v>
      </c>
      <c r="F1257" s="7" t="str">
        <f>IFERROR(__xludf.DUMMYFUNCTION("""COMPUTED_VALUE"""),"IP-Poster")</f>
        <v>IP-Poster</v>
      </c>
      <c r="G1257" s="7" t="str">
        <f>IFERROR(__xludf.DUMMYFUNCTION("""COMPUTED_VALUE"""),"In-Person")</f>
        <v>In-Person</v>
      </c>
      <c r="H1257" s="7" t="str">
        <f>IFERROR(__xludf.DUMMYFUNCTION("""COMPUTED_VALUE"""),"Hall 4/5")</f>
        <v>Hall 4/5</v>
      </c>
      <c r="I1257" s="7" t="str">
        <f>IFERROR(__xludf.DUMMYFUNCTION("""COMPUTED_VALUE"""),"Session 5 :IP-Posters Find ")</f>
        <v>Session 5 :IP-Posters Find </v>
      </c>
      <c r="J1257" s="7" t="str">
        <f>IFERROR(__xludf.DUMMYFUNCTION("""COMPUTED_VALUE"""),"Findings Posters - In-Person 1")</f>
        <v>Findings Posters - In-Person 1</v>
      </c>
      <c r="K1257" s="7"/>
      <c r="L1257" s="8">
        <f>IFERROR(__xludf.DUMMYFUNCTION("""COMPUTED_VALUE"""),45866.0)</f>
        <v>45866</v>
      </c>
      <c r="M1257" s="7" t="str">
        <f>IFERROR(__xludf.DUMMYFUNCTION("""COMPUTED_VALUE"""),"18:00-19:30")</f>
        <v>18:00-19:30</v>
      </c>
      <c r="N1257" s="7"/>
    </row>
    <row r="1258">
      <c r="A1258" s="7" t="str">
        <f>IFERROR(__xludf.DUMMYFUNCTION("""COMPUTED_VALUE"""),"4496-FIND")</f>
        <v>4496-FIND</v>
      </c>
      <c r="B1258" s="7" t="str">
        <f>IFERROR(__xludf.DUMMYFUNCTION("""COMPUTED_VALUE"""),"Inductive Linguistic Reasoning with Large Language Models")</f>
        <v>Inductive Linguistic Reasoning with Large Language Models</v>
      </c>
      <c r="C1258" s="7" t="str">
        <f>IFERROR(__xludf.DUMMYFUNCTION("""COMPUTED_VALUE"""),"Evaluating large language models (LLMs) on their linguistic reasoning capabilities is an important task to understand the gaps in their skills that may surface during large-scale adoption. In this work, we investigate the abilities of such models to perfo"&amp;"rm abstract multilingual reasoning through the lens of linguistic puzzles on extremely low-resource languages. As these translation tasks involve inductive and deductive reasoning from reference instances, we examine whether diverse auxiliary demonstratio"&amp;"ns can be automatically induced from seed exemplars, through analogical prompting. We employ a two-stage procedure, first generating analogical exemplars with a language model, and then applying them in-context along with provided target language exemplar"&amp;"s. Our results on the modeLing dataset show that analogical prompting is effective in eliciting models' knowledge of language grammar similarities, boosting the performance of GPT-4o by as much as 8.1% and Llama-3.1-405B-Instruct by 5.9% over chain-of-tho"&amp;"ught approaches. Furthermore, we demonstrate that our method generalizes to other tasks present in Linguistics Olympiad competitions, achieving state-of-the-art results across nearly all problem types and difficulty levels in the LINGOLY dataset.")</f>
        <v>Evaluating large language models (LLMs) on their linguistic reasoning capabilities is an important task to understand the gaps in their skills that may surface during large-scale adoption. In this work, we investigate the abilities of such models to perform abstract multilingual reasoning through the lens of linguistic puzzles on extremely low-resource languages. As these translation tasks involve inductive and deductive reasoning from reference instances, we examine whether diverse auxiliary demonstrations can be automatically induced from seed exemplars, through analogical prompting. We employ a two-stage procedure, first generating analogical exemplars with a language model, and then applying them in-context along with provided target language exemplars. Our results on the modeLing dataset show that analogical prompting is effective in eliciting models' knowledge of language grammar similarities, boosting the performance of GPT-4o by as much as 8.1% and Llama-3.1-405B-Instruct by 5.9% over chain-of-thought approaches. Furthermore, we demonstrate that our method generalizes to other tasks present in Linguistics Olympiad competitions, achieving state-of-the-art results across nearly all problem types and difficulty levels in the LINGOLY dataset.</v>
      </c>
      <c r="D1258" s="7" t="str">
        <f>IFERROR(__xludf.DUMMYFUNCTION("""COMPUTED_VALUE"""),"N/A")</f>
        <v>N/A</v>
      </c>
      <c r="E1258" s="7" t="str">
        <f>IFERROR(__xludf.DUMMYFUNCTION("""COMPUTED_VALUE"""),"#N/A")</f>
        <v>#N/A</v>
      </c>
      <c r="F1258" s="7" t="str">
        <f>IFERROR(__xludf.DUMMYFUNCTION("""COMPUTED_VALUE"""),"Not Pres. ")</f>
        <v>Not Pres. </v>
      </c>
      <c r="G1258" s="7" t="str">
        <f>IFERROR(__xludf.DUMMYFUNCTION("""COMPUTED_VALUE"""),"NP Findings Not Presenting ")</f>
        <v>NP Findings Not Presenting </v>
      </c>
      <c r="H1258" s="7"/>
      <c r="I1258" s="7" t="str">
        <f>IFERROR(__xludf.DUMMYFUNCTION("""COMPUTED_VALUE"""),"NP-Find")</f>
        <v>NP-Find</v>
      </c>
      <c r="J1258" s="7"/>
      <c r="K1258" s="7"/>
      <c r="L1258" s="8"/>
      <c r="M1258" s="7"/>
      <c r="N1258" s="7"/>
    </row>
    <row r="1259">
      <c r="A1259" s="7" t="str">
        <f>IFERROR(__xludf.DUMMYFUNCTION("""COMPUTED_VALUE"""),"4498-FIND")</f>
        <v>4498-FIND</v>
      </c>
      <c r="B1259" s="7" t="str">
        <f>IFERROR(__xludf.DUMMYFUNCTION("""COMPUTED_VALUE"""),"Evaluating LLMs' Mathematical and Coding Competency through Ontology-guided Interventions")</f>
        <v>Evaluating LLMs' Mathematical and Coding Competency through Ontology-guided Interventions</v>
      </c>
      <c r="C1259" s="7" t="str">
        <f>IFERROR(__xludf.DUMMYFUNCTION("""COMPUTED_VALUE"""),"Recent advancements in Large Language Models (LLMs) have showcased striking results on existing logical reasoning benchmarks, with some models even surpassing human performance. However, the true depth of their competencies and robustness in reasoning tas"&amp;"ks remains an open question. To this end, in this paper, we focus on two popular reasoning tasks: arithmetic reasoning and code generation. Particularly, we introduce (i) a general ontology of perturbations for math and coding questions, (ii) a semi-autom"&amp;"atic method to apply these perturbations, and (iii) two datasets, GSMore and HumanEval-Core, respectively, of perturbed math and coding problems to probe LLM capabilities in numeric reasoning and coding tasks. Through comprehensive evaluations of both clo"&amp;"sed-source and open-source LLMs, we show a significant performance drop across all the models against the perturbed questions, suggesting that the current LLMs lack robust problem solving skills and structured reasoning abilities in many areas, as defined"&amp;" by our ontology. We open-source the datasets and source code at: https://github.com/.")</f>
        <v>Recent advancements in Large Language Models (LLMs) have showcased striking results on existing logical reasoning benchmarks, with some models even surpassing human performance. However, the true depth of their competencies and robustness in reasoning tasks remains an open question. To this end, in this paper, we focus on two popular reasoning tasks: arithmetic reasoning and code generation. Particularly, we introduce (i) a general ontology of perturbations for math and coding questions, (ii) a semi-automatic method to apply these perturbations, and (iii) two datasets, GSMore and HumanEval-Core, respectively, of perturbed math and coding problems to probe LLM capabilities in numeric reasoning and coding tasks. Through comprehensive evaluations of both closed-source and open-source LLMs, we show a significant performance drop across all the models against the perturbed questions, suggesting that the current LLMs lack robust problem solving skills and structured reasoning abilities in many areas, as defined by our ontology. We open-source the datasets and source code at: https://github.com/.</v>
      </c>
      <c r="D1259" s="7" t="str">
        <f>IFERROR(__xludf.DUMMYFUNCTION("""COMPUTED_VALUE"""),"Pengfei Hong")</f>
        <v>Pengfei Hong</v>
      </c>
      <c r="E1259" s="7" t="str">
        <f>IFERROR(__xludf.DUMMYFUNCTION("""COMPUTED_VALUE"""),"#N/A")</f>
        <v>#N/A</v>
      </c>
      <c r="F1259" s="7" t="str">
        <f>IFERROR(__xludf.DUMMYFUNCTION("""COMPUTED_VALUE"""),"Not Pres. ")</f>
        <v>Not Pres. </v>
      </c>
      <c r="G1259" s="7" t="str">
        <f>IFERROR(__xludf.DUMMYFUNCTION("""COMPUTED_VALUE"""),"NP Findings Not Presenting ")</f>
        <v>NP Findings Not Presenting </v>
      </c>
      <c r="H1259" s="7"/>
      <c r="I1259" s="7" t="str">
        <f>IFERROR(__xludf.DUMMYFUNCTION("""COMPUTED_VALUE"""),"NP-Find")</f>
        <v>NP-Find</v>
      </c>
      <c r="J1259" s="7"/>
      <c r="K1259" s="7"/>
      <c r="L1259" s="8"/>
      <c r="M1259" s="7"/>
      <c r="N1259" s="7"/>
    </row>
    <row r="1260">
      <c r="A1260" s="7" t="str">
        <f>IFERROR(__xludf.DUMMYFUNCTION("""COMPUTED_VALUE"""),"4504-FIND")</f>
        <v>4504-FIND</v>
      </c>
      <c r="B1260" s="7" t="str">
        <f>IFERROR(__xludf.DUMMYFUNCTION("""COMPUTED_VALUE"""),"Exploiting Phonetics and Glyph Representation at Radical-level for  Classical Chinese Understanding")</f>
        <v>Exploiting Phonetics and Glyph Representation at Radical-level for  Classical Chinese Understanding</v>
      </c>
      <c r="C1260" s="7" t="str">
        <f>IFERROR(__xludf.DUMMYFUNCTION("""COMPUTED_VALUE"""),"The diachronic gap between classical and modern Chinese arises from century-scale language evolution through cumulative changes in phonological, syntactic, and lexical systems, resulting in substantial semantic variation that poses significant challenges "&amp;"for the computational modeling of historical texts. Current methods always enhance classical Chinese understanding of pre-trained language models through corpus pre-training or semantic integration. However, they overlook the synergistic relationship betw"&amp;"een phonetic and glyph features within Chinese characters, which is a critical factor in deciphering characters' semantics. In this paper, we propose RPGCM, a radical-level phonetics and glyph representation enhanced Chinese model, with powerful fine-grai"&amp;"ned semantic modeling capabilities. Our model establishes robust contextualized representations through: (1) rules-based radical decomposition and bype pair encoder (BPE) based radical aggregated for structural pattern recognition, (2) phonetic-glyph sema"&amp;"ntic mapping, and (3) dynamic semantic fusion. Experimental results on CCMRC, WYWEB, and C³Bench benchmarks demonstrate the RPGCM's superiority and validate that explicit radical-level modeling effectively mitigates semantic variations.")</f>
        <v>The diachronic gap between classical and modern Chinese arises from century-scale language evolution through cumulative changes in phonological, syntactic, and lexical systems, resulting in substantial semantic variation that poses significant challenges for the computational modeling of historical texts. Current methods always enhance classical Chinese understanding of pre-trained language models through corpus pre-training or semantic integration. However, they overlook the synergistic relationship between phonetic and glyph features within Chinese characters, which is a critical factor in deciphering characters' semantics. In this paper, we propose RPGCM, a radical-level phonetics and glyph representation enhanced Chinese model, with powerful fine-grained semantic modeling capabilities. Our model establishes robust contextualized representations through: (1) rules-based radical decomposition and bype pair encoder (BPE) based radical aggregated for structural pattern recognition, (2) phonetic-glyph semantic mapping, and (3) dynamic semantic fusion. Experimental results on CCMRC, WYWEB, and C³Bench benchmarks demonstrate the RPGCM's superiority and validate that explicit radical-level modeling effectively mitigates semantic variations.</v>
      </c>
      <c r="D1260" s="7" t="str">
        <f>IFERROR(__xludf.DUMMYFUNCTION("""COMPUTED_VALUE"""),"Junyi Xiang")</f>
        <v>Junyi Xiang</v>
      </c>
      <c r="E1260" s="7" t="str">
        <f>IFERROR(__xludf.DUMMYFUNCTION("""COMPUTED_VALUE"""),"#N/A")</f>
        <v>#N/A</v>
      </c>
      <c r="F1260" s="7" t="str">
        <f>IFERROR(__xludf.DUMMYFUNCTION("""COMPUTED_VALUE"""),"Not Pres. ")</f>
        <v>Not Pres. </v>
      </c>
      <c r="G1260" s="7" t="str">
        <f>IFERROR(__xludf.DUMMYFUNCTION("""COMPUTED_VALUE"""),"NP Findings Not Presenting ")</f>
        <v>NP Findings Not Presenting </v>
      </c>
      <c r="H1260" s="7"/>
      <c r="I1260" s="7" t="str">
        <f>IFERROR(__xludf.DUMMYFUNCTION("""COMPUTED_VALUE"""),"NP-Find")</f>
        <v>NP-Find</v>
      </c>
      <c r="J1260" s="7"/>
      <c r="K1260" s="7"/>
      <c r="L1260" s="8"/>
      <c r="M1260" s="7"/>
      <c r="N1260" s="7"/>
    </row>
    <row r="1261">
      <c r="A1261" s="7" t="str">
        <f>IFERROR(__xludf.DUMMYFUNCTION("""COMPUTED_VALUE"""),"4510-FIND")</f>
        <v>4510-FIND</v>
      </c>
      <c r="B1261" s="7" t="str">
        <f>IFERROR(__xludf.DUMMYFUNCTION("""COMPUTED_VALUE"""),"Tokens for Learning, Tokens for Unlearning: Mitigating Membership Inference Attacks in Large Language Models via Dual-Purpose Training")</f>
        <v>Tokens for Learning, Tokens for Unlearning: Mitigating Membership Inference Attacks in Large Language Models via Dual-Purpose Training</v>
      </c>
      <c r="C1261" s="7" t="str">
        <f>IFERROR(__xludf.DUMMYFUNCTION("""COMPUTED_VALUE"""),"Large language models (LLMs) have become the backbone of modern natural language processing but pose privacy concerns on leaking sensitive training data. Membership inference attacks (MIAs), which aim to infer whether a sample is included in a model's tra"&amp;"ining dataset, can serve as a foundation for broader privacy threats. Existing defenses designed for traditional classification models do not account for the sequential nature of text data. As a result, they either require significant computational resour"&amp;"ces or fail to effectively mitigate privacy risks in LLMs. In this work, we propose a lightweight yet effective empirical privacy defense for protecting training data of language modeling by leveraging the token-specific characteristics. By analyzing toke"&amp;"n dynamics during training, we propose a token selection strategy that categorizes tokens into hard tokens for learning and memorized tokens for unlearning. Subsequently, our training-phase defense optimizes a novel dual-purpose token-level loss to achiev"&amp;"e a Pareto-optimal balance between utility and privacy. Extensive experiments demonstrate that our approach not only provides strong protection against MIAs but also improves language modeling performance by around 10% across various LLM architectures and"&amp;" datasets compared to the baselines.")</f>
        <v>Large language models (LLMs) have become the backbone of modern natural language processing but pose privacy concerns on leaking sensitive training data. Membership inference attacks (MIAs), which aim to infer whether a sample is included in a model's training dataset, can serve as a foundation for broader privacy threats. Existing defenses designed for traditional classification models do not account for the sequential nature of text data. As a result, they either require significant computational resources or fail to effectively mitigate privacy risks in LLMs. In this work, we propose a lightweight yet effective empirical privacy defense for protecting training data of language modeling by leveraging the token-specific characteristics. By analyzing token dynamics during training, we propose a token selection strategy that categorizes tokens into hard tokens for learning and memorized tokens for unlearning. Subsequently, our training-phase defense optimizes a novel dual-purpose token-level loss to achieve a Pareto-optimal balance between utility and privacy. Extensive experiments demonstrate that our approach not only provides strong protection against MIAs but also improves language modeling performance by around 10% across various LLM architectures and datasets compared to the baselines.</v>
      </c>
      <c r="D1261" s="7" t="str">
        <f>IFERROR(__xludf.DUMMYFUNCTION("""COMPUTED_VALUE"""),"N/A")</f>
        <v>N/A</v>
      </c>
      <c r="E1261" s="7" t="str">
        <f>IFERROR(__xludf.DUMMYFUNCTION("""COMPUTED_VALUE"""),"#N/A")</f>
        <v>#N/A</v>
      </c>
      <c r="F1261" s="7" t="str">
        <f>IFERROR(__xludf.DUMMYFUNCTION("""COMPUTED_VALUE"""),"Not Pres. ")</f>
        <v>Not Pres. </v>
      </c>
      <c r="G1261" s="7" t="str">
        <f>IFERROR(__xludf.DUMMYFUNCTION("""COMPUTED_VALUE"""),"NP Findings Not Presenting ")</f>
        <v>NP Findings Not Presenting </v>
      </c>
      <c r="H1261" s="7"/>
      <c r="I1261" s="7" t="str">
        <f>IFERROR(__xludf.DUMMYFUNCTION("""COMPUTED_VALUE"""),"NP-Find")</f>
        <v>NP-Find</v>
      </c>
      <c r="J1261" s="7"/>
      <c r="K1261" s="7"/>
      <c r="L1261" s="8"/>
      <c r="M1261" s="7"/>
      <c r="N1261" s="7"/>
    </row>
    <row r="1262">
      <c r="A1262" s="7" t="str">
        <f>IFERROR(__xludf.DUMMYFUNCTION("""COMPUTED_VALUE"""),"4512-FIND")</f>
        <v>4512-FIND</v>
      </c>
      <c r="B1262" s="7" t="str">
        <f>IFERROR(__xludf.DUMMYFUNCTION("""COMPUTED_VALUE"""),"Verify with Caution: The Pitfalls of Relying on Imperfect Factuality Metrics")</f>
        <v>Verify with Caution: The Pitfalls of Relying on Imperfect Factuality Metrics</v>
      </c>
      <c r="C1262" s="7" t="str">
        <f>IFERROR(__xludf.DUMMYFUNCTION("""COMPUTED_VALUE"""),"Improvements in large language models have led to increasing optimism that they can serve as reliable evaluators of natural language generation outputs. In this paper, we challenge this optimism by thoroughly re-evaluating five state-of-the-art factuality"&amp;" metrics on a collection of 11 datasets for summarization, retrieval-augmented generation, and question answering. We find that these evaluators are inconsistent with each other and often misestimate system-level performance, both of which can lead to a v"&amp;"ariety of pitfalls. We further show that these metrics exhibit biases against highly paraphrased outputs and outputs that draw upon faraway parts of the source documents. We urge users of these factuality metrics to proceed with caution and manually valid"&amp;"ate the reliability of these metrics in their domain of interest before proceeding.")</f>
        <v>Improvements in large language models have led to increasing optimism that they can serve as reliable evaluators of natural language generation outputs. In this paper, we challenge this optimism by thoroughly re-evaluating five state-of-the-art factuality metrics on a collection of 11 datasets for summarization, retrieval-augmented generation, and question answering. We find that these evaluators are inconsistent with each other and often misestimate system-level performance, both of which can lead to a variety of pitfalls. We further show that these metrics exhibit biases against highly paraphrased outputs and outputs that draw upon faraway parts of the source documents. We urge users of these factuality metrics to proceed with caution and manually validate the reliability of these metrics in their domain of interest before proceeding.</v>
      </c>
      <c r="D1262" s="7" t="str">
        <f>IFERROR(__xludf.DUMMYFUNCTION("""COMPUTED_VALUE"""),"Ameya Godbole")</f>
        <v>Ameya Godbole</v>
      </c>
      <c r="E1262" s="7" t="str">
        <f>IFERROR(__xludf.DUMMYFUNCTION("""COMPUTED_VALUE"""),"Yes")</f>
        <v>Yes</v>
      </c>
      <c r="F1262" s="7" t="str">
        <f>IFERROR(__xludf.DUMMYFUNCTION("""COMPUTED_VALUE"""),"IP-Poster")</f>
        <v>IP-Poster</v>
      </c>
      <c r="G1262" s="7" t="str">
        <f>IFERROR(__xludf.DUMMYFUNCTION("""COMPUTED_VALUE"""),"In-Person")</f>
        <v>In-Person</v>
      </c>
      <c r="H1262" s="7" t="str">
        <f>IFERROR(__xludf.DUMMYFUNCTION("""COMPUTED_VALUE"""),"Hall 4/5")</f>
        <v>Hall 4/5</v>
      </c>
      <c r="I1262" s="7" t="str">
        <f>IFERROR(__xludf.DUMMYFUNCTION("""COMPUTED_VALUE"""),"Session 12: IP-Posters")</f>
        <v>Session 12: IP-Posters</v>
      </c>
      <c r="J1262" s="7" t="str">
        <f>IFERROR(__xludf.DUMMYFUNCTION("""COMPUTED_VALUE"""),"Findings Posters - In-Person 4")</f>
        <v>Findings Posters - In-Person 4</v>
      </c>
      <c r="K1262" s="7"/>
      <c r="L1262" s="8">
        <f>IFERROR(__xludf.DUMMYFUNCTION("""COMPUTED_VALUE"""),45868.0)</f>
        <v>45868</v>
      </c>
      <c r="M1262" s="7" t="str">
        <f>IFERROR(__xludf.DUMMYFUNCTION("""COMPUTED_VALUE"""),"11:00-12:30")</f>
        <v>11:00-12:30</v>
      </c>
      <c r="N1262" s="7"/>
    </row>
    <row r="1263">
      <c r="A1263" s="7" t="str">
        <f>IFERROR(__xludf.DUMMYFUNCTION("""COMPUTED_VALUE"""),"4523-FIND")</f>
        <v>4523-FIND</v>
      </c>
      <c r="B1263" s="7" t="str">
        <f>IFERROR(__xludf.DUMMYFUNCTION("""COMPUTED_VALUE"""),"TabXEval: Why this is a Bad Table? An eXhaustive Rubric for Table Evaluation")</f>
        <v>TabXEval: Why this is a Bad Table? An eXhaustive Rubric for Table Evaluation</v>
      </c>
      <c r="C1263" s="7" t="str">
        <f>IFERROR(__xludf.DUMMYFUNCTION("""COMPUTED_VALUE"""),"Evaluating reference tables qualitatively and quantitatively is a challenging problem, as traditional metrics often fail to capture the nuanced discrepancies in both structure and content. To mitigate this, we first introduce a methodical rubric that comb"&amp;"ines multi-level structural descriptors with fine-grained contextual quantification, laying a robust foundation for comprehensive table comparisons. Building on this, we propose **TabXEval**, an eXhaustive and eXplainable two-phase evaluation framework th"&amp;"at initially aligns reference tables structurally via TabAlign and subsequently conducts a systematic semantic and syntactic comparison using TabCompare. This approach not only clarifies the evaluation process but also pinpoints subtle discrepancies that "&amp;"conventional methods overlook. To validate our framework, we present **TabXBench**, a diverse, multi-domain benchmark featuring realistic table perturbations and human-annotated assessments. Finally, we provide a systematic analysis of existing evaluation"&amp;" methods through sensitivity-specificity trade-offs and demonstrate the qualitative and quantitative effectiveness of **TabXEval** on text-to-table generation tasks, paving the way for future innovations in explainable table evaluation.")</f>
        <v>Evaluating reference tables qualitatively and quantitatively is a challenging problem, as traditional metrics often fail to capture the nuanced discrepancies in both structure and content. To mitigate this, we first introduce a methodical rubric that combines multi-level structural descriptors with fine-grained contextual quantification, laying a robust foundation for comprehensive table comparisons. Building on this, we propose **TabXEval**, an eXhaustive and eXplainable two-phase evaluation framework that initially aligns reference tables structurally via TabAlign and subsequently conducts a systematic semantic and syntactic comparison using TabCompare. This approach not only clarifies the evaluation process but also pinpoints subtle discrepancies that conventional methods overlook. To validate our framework, we present **TabXBench**, a diverse, multi-domain benchmark featuring realistic table perturbations and human-annotated assessments. Finally, we provide a systematic analysis of existing evaluation methods through sensitivity-specificity trade-offs and demonstrate the qualitative and quantitative effectiveness of **TabXEval** on text-to-table generation tasks, paving the way for future innovations in explainable table evaluation.</v>
      </c>
      <c r="D1263" s="7" t="str">
        <f>IFERROR(__xludf.DUMMYFUNCTION("""COMPUTED_VALUE"""),"Naman Ahuja")</f>
        <v>Naman Ahuja</v>
      </c>
      <c r="E1263" s="7" t="str">
        <f>IFERROR(__xludf.DUMMYFUNCTION("""COMPUTED_VALUE"""),"Yes")</f>
        <v>Yes</v>
      </c>
      <c r="F1263" s="7" t="str">
        <f>IFERROR(__xludf.DUMMYFUNCTION("""COMPUTED_VALUE"""),"IP-Poster")</f>
        <v>IP-Poster</v>
      </c>
      <c r="G1263" s="7" t="str">
        <f>IFERROR(__xludf.DUMMYFUNCTION("""COMPUTED_VALUE"""),"In-Person")</f>
        <v>In-Person</v>
      </c>
      <c r="H1263" s="7" t="str">
        <f>IFERROR(__xludf.DUMMYFUNCTION("""COMPUTED_VALUE"""),"Hall 4/5")</f>
        <v>Hall 4/5</v>
      </c>
      <c r="I1263" s="7" t="str">
        <f>IFERROR(__xludf.DUMMYFUNCTION("""COMPUTED_VALUE"""),"Session 12: IP-Posters")</f>
        <v>Session 12: IP-Posters</v>
      </c>
      <c r="J1263" s="7" t="str">
        <f>IFERROR(__xludf.DUMMYFUNCTION("""COMPUTED_VALUE"""),"Findings Posters - In-Person 4")</f>
        <v>Findings Posters - In-Person 4</v>
      </c>
      <c r="K1263" s="7"/>
      <c r="L1263" s="8">
        <f>IFERROR(__xludf.DUMMYFUNCTION("""COMPUTED_VALUE"""),45868.0)</f>
        <v>45868</v>
      </c>
      <c r="M1263" s="7" t="str">
        <f>IFERROR(__xludf.DUMMYFUNCTION("""COMPUTED_VALUE"""),"11:00-12:30")</f>
        <v>11:00-12:30</v>
      </c>
      <c r="N1263" s="7"/>
    </row>
    <row r="1264">
      <c r="A1264" s="7" t="str">
        <f>IFERROR(__xludf.DUMMYFUNCTION("""COMPUTED_VALUE"""),"4525-FIND")</f>
        <v>4525-FIND</v>
      </c>
      <c r="B1264" s="7" t="str">
        <f>IFERROR(__xludf.DUMMYFUNCTION("""COMPUTED_VALUE"""),"LADDER: Language-Driven Slice Discovery and Error Rectification in Vision Classifiers")</f>
        <v>LADDER: Language-Driven Slice Discovery and Error Rectification in Vision Classifiers</v>
      </c>
      <c r="C1264" s="7" t="str">
        <f>IFERROR(__xludf.DUMMYFUNCTION("""COMPUTED_VALUE"""),"Slice discovery refers to identifying systematic biases in the mistakes of pre-trained vision models. Current slice discovery methods in computer vision rely on converting input images into sets of attributes and then testing hypotheses about configuratio"&amp;"ns of these pre-computed attributes associated with elevated error patterns. However, such methods face several limitations: 1) they are restricted by the predefined attribute bank; 2) they lack the common sense reasoning and domain-specific knowledge oft"&amp;"en required for specialized fields e.g., radiology; 3) at best, they can only identify biases in image attributes while overlooking those introduced during preprocessing or data preparation. We hypothesize that bias-inducing variables leave traces in the "&amp;"form of language (e.g., logs), which can be captured as unstructured text. Thus, we introduce ladder, which leverages the reasoning capabilities and latent domain knowledge of Large Language Models (LLMs) to generate hypotheses about these mistakes. Speci"&amp;"fically, we project the internal activations of a pre-trained model into text using a retrieval approach and prompt the LLM to propose potential bias hypotheses. To detect biases from preprocessing pipelines, we convert the preprocessing data into text an"&amp;"d prompt the LLM. Finally, ladder generates pseudo-labels for each identified bias, thereby mitigating all biases without requiring expensive attribute annotations. Rigorous evaluations on 3 natural and 3 medical imaging datasets, 200+ classifiers, and 4 "&amp;"LLMs with varied architectures and pretraining strategies - demonstrate that\ladder consistently outperforms current methods. Code is available: \url{https://github.com/annonymous-vision/ACL}.")</f>
        <v>Slice discovery refers to identifying systematic biases in the mistakes of pre-trained vision models. Current slice discovery methods in computer vision rely on converting input images into sets of attributes and then testing hypotheses about configurations of these pre-computed attributes associated with elevated error patterns. However, such methods face several limitations: 1) they are restricted by the predefined attribute bank; 2) they lack the common sense reasoning and domain-specific knowledge often required for specialized fields e.g., radiology; 3) at best, they can only identify biases in image attributes while overlooking those introduced during preprocessing or data preparation. We hypothesize that bias-inducing variables leave traces in the form of language (e.g., logs), which can be captured as unstructured text. Thus, we introduce ladder, which leverages the reasoning capabilities and latent domain knowledge of Large Language Models (LLMs) to generate hypotheses about these mistakes. Specifically, we project the internal activations of a pre-trained model into text using a retrieval approach and prompt the LLM to propose potential bias hypotheses. To detect biases from preprocessing pipelines, we convert the preprocessing data into text and prompt the LLM. Finally, ladder generates pseudo-labels for each identified bias, thereby mitigating all biases without requiring expensive attribute annotations. Rigorous evaluations on 3 natural and 3 medical imaging datasets, 200+ classifiers, and 4 LLMs with varied architectures and pretraining strategies - demonstrate that\ladder consistently outperforms current methods. Code is available: \url{https://github.com/annonymous-vision/ACL}.</v>
      </c>
      <c r="D1264" s="7" t="str">
        <f>IFERROR(__xludf.DUMMYFUNCTION("""COMPUTED_VALUE"""),"Kayhan Batmanghelich")</f>
        <v>Kayhan Batmanghelich</v>
      </c>
      <c r="E1264" s="7" t="str">
        <f>IFERROR(__xludf.DUMMYFUNCTION("""COMPUTED_VALUE"""),"Yes")</f>
        <v>Yes</v>
      </c>
      <c r="F1264" s="7" t="str">
        <f>IFERROR(__xludf.DUMMYFUNCTION("""COMPUTED_VALUE"""),"IP-Poster")</f>
        <v>IP-Poster</v>
      </c>
      <c r="G1264" s="7" t="str">
        <f>IFERROR(__xludf.DUMMYFUNCTION("""COMPUTED_VALUE"""),"In-Person")</f>
        <v>In-Person</v>
      </c>
      <c r="H1264" s="7" t="str">
        <f>IFERROR(__xludf.DUMMYFUNCTION("""COMPUTED_VALUE"""),"Hall 4/5")</f>
        <v>Hall 4/5</v>
      </c>
      <c r="I1264" s="7" t="str">
        <f>IFERROR(__xludf.DUMMYFUNCTION("""COMPUTED_VALUE"""),"Session 10: IP-Posters")</f>
        <v>Session 10: IP-Posters</v>
      </c>
      <c r="J1264" s="7" t="str">
        <f>IFERROR(__xludf.DUMMYFUNCTION("""COMPUTED_VALUE"""),"Findings Posters - In-Person 3")</f>
        <v>Findings Posters - In-Person 3</v>
      </c>
      <c r="K1264" s="7"/>
      <c r="L1264" s="8">
        <f>IFERROR(__xludf.DUMMYFUNCTION("""COMPUTED_VALUE"""),45867.0)</f>
        <v>45867</v>
      </c>
      <c r="M1264" s="7" t="str">
        <f>IFERROR(__xludf.DUMMYFUNCTION("""COMPUTED_VALUE"""),"16:00-17:30")</f>
        <v>16:00-17:30</v>
      </c>
      <c r="N1264" s="7"/>
    </row>
    <row r="1265">
      <c r="A1265" s="7" t="str">
        <f>IFERROR(__xludf.DUMMYFUNCTION("""COMPUTED_VALUE"""),"4529-FIND")</f>
        <v>4529-FIND</v>
      </c>
      <c r="B1265" s="7" t="str">
        <f>IFERROR(__xludf.DUMMYFUNCTION("""COMPUTED_VALUE"""),"GSQ-Tuning: Group-Shared Exponents Integer in Fully Quantized Training for LLMs On-Device Fine-tuning")</f>
        <v>GSQ-Tuning: Group-Shared Exponents Integer in Fully Quantized Training for LLMs On-Device Fine-tuning</v>
      </c>
      <c r="C1265" s="7" t="str">
        <f>IFERROR(__xludf.DUMMYFUNCTION("""COMPUTED_VALUE"""),"Large Language Models (LLMs) fine-tuning technologies have achieved remarkable results. However, traditional LLM fine-tuning approaches face significant challenges: they require large Floating Point(FP) computation, raising privacy concerns when handling "&amp;"sensitive data, and are impractical for resource-constrained edge devices. While Parameter-Efficient Fine-Tuning (PEFT) techniques reduce trainable parameters, their reliance on floating-point arithmetic creates fundamental incompatibilities with edge har"&amp;"dware. In this work, we introduce a novel framework for on-device LLM fine-tuning that eliminates the need for floating-point operations in both inference and training, named GSQ-Tuning. At its core is the Group-Shared Exponents Integer format, which effi"&amp;"ciently represents model parameters in integer format using shared exponents among parameter groups. When combined with LoRA-like adapters, this enables fully integer-based fine-tuning that is both memory and compute efficient. We demonstrate that our app"&amp;"roach achieves accuracy comparable to FP16-based fine-tuning while significantly reducing memory usage (~ 50%). Moreover, compared to FP8, at comparable performance levels, our method can reduce ~ 5x power consumption and ~ 11x chip area, making large-sca"&amp;"le model adaptation feasible on edge devices.")</f>
        <v>Large Language Models (LLMs) fine-tuning technologies have achieved remarkable results. However, traditional LLM fine-tuning approaches face significant challenges: they require large Floating Point(FP) computation, raising privacy concerns when handling sensitive data, and are impractical for resource-constrained edge devices. While Parameter-Efficient Fine-Tuning (PEFT) techniques reduce trainable parameters, their reliance on floating-point arithmetic creates fundamental incompatibilities with edge hardware. In this work, we introduce a novel framework for on-device LLM fine-tuning that eliminates the need for floating-point operations in both inference and training, named GSQ-Tuning. At its core is the Group-Shared Exponents Integer format, which efficiently represents model parameters in integer format using shared exponents among parameter groups. When combined with LoRA-like adapters, this enables fully integer-based fine-tuning that is both memory and compute efficient. We demonstrate that our approach achieves accuracy comparable to FP16-based fine-tuning while significantly reducing memory usage (~ 50%). Moreover, compared to FP8, at comparable performance levels, our method can reduce ~ 5x power consumption and ~ 11x chip area, making large-scale model adaptation feasible on edge devices.</v>
      </c>
      <c r="D1265" s="7" t="str">
        <f>IFERROR(__xludf.DUMMYFUNCTION("""COMPUTED_VALUE"""),"N/A")</f>
        <v>N/A</v>
      </c>
      <c r="E1265" s="7" t="str">
        <f>IFERROR(__xludf.DUMMYFUNCTION("""COMPUTED_VALUE"""),"#N/A")</f>
        <v>#N/A</v>
      </c>
      <c r="F1265" s="7" t="str">
        <f>IFERROR(__xludf.DUMMYFUNCTION("""COMPUTED_VALUE"""),"Not Pres. ")</f>
        <v>Not Pres. </v>
      </c>
      <c r="G1265" s="7" t="str">
        <f>IFERROR(__xludf.DUMMYFUNCTION("""COMPUTED_VALUE"""),"NP Findings Not Presenting ")</f>
        <v>NP Findings Not Presenting </v>
      </c>
      <c r="H1265" s="7"/>
      <c r="I1265" s="7" t="str">
        <f>IFERROR(__xludf.DUMMYFUNCTION("""COMPUTED_VALUE"""),"NP-Find")</f>
        <v>NP-Find</v>
      </c>
      <c r="J1265" s="7"/>
      <c r="K1265" s="7"/>
      <c r="L1265" s="8"/>
      <c r="M1265" s="7"/>
      <c r="N1265" s="7"/>
    </row>
    <row r="1266">
      <c r="A1266" s="7" t="str">
        <f>IFERROR(__xludf.DUMMYFUNCTION("""COMPUTED_VALUE"""),"4532-FIND")</f>
        <v>4532-FIND</v>
      </c>
      <c r="B1266" s="7" t="str">
        <f>IFERROR(__xludf.DUMMYFUNCTION("""COMPUTED_VALUE"""),"Evaluation of LLMs in Medical Text Summarization: The Role of Vocabulary Adaptation in High OOV Settings")</f>
        <v>Evaluation of LLMs in Medical Text Summarization: The Role of Vocabulary Adaptation in High OOV Settings</v>
      </c>
      <c r="C1266" s="7" t="str">
        <f>IFERROR(__xludf.DUMMYFUNCTION("""COMPUTED_VALUE"""),"Large Language Models (LLMs) recently achieved great success in medical text summarization by simply using in-context learning. However, these recent efforts do not perform fine-grained evaluations under difficult settings where LLMs might fail. They typi"&amp;"cally report performance scores over the entire dataset. Through our benchmarking study, we show that LLMs show a significant performance drop for data points with high concentration of out-of-vocabulary (OOV) words or with high novelty. Vocabulary adapta"&amp;"tion is an intuitive solution to this vocabulary mismatch issue where the LLM vocabulary gets updated with certain expert domain (here, medical) words or subwords. An interesting finding from our study is that Llama-3.1, even with a vocabulary size of aro"&amp;"und 128K tokens, still faces _over-fragmentation_ issue with medical words. To that end, we show vocabulary adaptation helps improve the LLM summarization performance even in difficult settings. Through extensive experimentation of multiple vocabulary ada"&amp;"ptation strategies, two continual pretraining strategies, and three benchmark medical summarization datasets, we gain valuable insights into the role of vocabulary adaptation strategies for customizing LLMs to the medical domain. We also performed a human"&amp;" evaluation study with medical experts where they found that vocabulary adaptation results in more relevant and faithful summaries. Our codebase is made publicly available at https://github.com/gb-kgp/LLM-MedicalSummarization-Benchmark.")</f>
        <v>Large Language Models (LLMs) recently achieved great success in medical text summarization by simply using in-context learning. However, these recent efforts do not perform fine-grained evaluations under difficult settings where LLMs might fail. They typically report performance scores over the entire dataset. Through our benchmarking study, we show that LLMs show a significant performance drop for data points with high concentration of out-of-vocabulary (OOV) words or with high novelty. Vocabulary adaptation is an intuitive solution to this vocabulary mismatch issue where the LLM vocabulary gets updated with certain expert domain (here, medical) words or subwords. An interesting finding from our study is that Llama-3.1, even with a vocabulary size of around 128K tokens, still faces _over-fragmentation_ issue with medical words. To that end, we show vocabulary adaptation helps improve the LLM summarization performance even in difficult settings. Through extensive experimentation of multiple vocabulary adaptation strategies, two continual pretraining strategies, and three benchmark medical summarization datasets, we gain valuable insights into the role of vocabulary adaptation strategies for customizing LLMs to the medical domain. We also performed a human evaluation study with medical experts where they found that vocabulary adaptation results in more relevant and faithful summaries. Our codebase is made publicly available at https://github.com/gb-kgp/LLM-MedicalSummarization-Benchmark.</v>
      </c>
      <c r="D1266" s="7" t="str">
        <f>IFERROR(__xludf.DUMMYFUNCTION("""COMPUTED_VALUE"""),"Gunjan Balde")</f>
        <v>Gunjan Balde</v>
      </c>
      <c r="E1266" s="7" t="str">
        <f>IFERROR(__xludf.DUMMYFUNCTION("""COMPUTED_VALUE"""),"Yes")</f>
        <v>Yes</v>
      </c>
      <c r="F1266" s="7" t="str">
        <f>IFERROR(__xludf.DUMMYFUNCTION("""COMPUTED_VALUE"""),"IP-Poster")</f>
        <v>IP-Poster</v>
      </c>
      <c r="G1266" s="7" t="str">
        <f>IFERROR(__xludf.DUMMYFUNCTION("""COMPUTED_VALUE"""),"In-Person")</f>
        <v>In-Person</v>
      </c>
      <c r="H1266" s="7" t="str">
        <f>IFERROR(__xludf.DUMMYFUNCTION("""COMPUTED_VALUE"""),"Hall 4/5")</f>
        <v>Hall 4/5</v>
      </c>
      <c r="I1266" s="7" t="str">
        <f>IFERROR(__xludf.DUMMYFUNCTION("""COMPUTED_VALUE"""),"Session 12: IP-Posters")</f>
        <v>Session 12: IP-Posters</v>
      </c>
      <c r="J1266" s="7" t="str">
        <f>IFERROR(__xludf.DUMMYFUNCTION("""COMPUTED_VALUE"""),"Findings Posters - In-Person 4")</f>
        <v>Findings Posters - In-Person 4</v>
      </c>
      <c r="K1266" s="7"/>
      <c r="L1266" s="8">
        <f>IFERROR(__xludf.DUMMYFUNCTION("""COMPUTED_VALUE"""),45868.0)</f>
        <v>45868</v>
      </c>
      <c r="M1266" s="7" t="str">
        <f>IFERROR(__xludf.DUMMYFUNCTION("""COMPUTED_VALUE"""),"11:00-12:30")</f>
        <v>11:00-12:30</v>
      </c>
      <c r="N1266" s="7"/>
    </row>
    <row r="1267">
      <c r="A1267" s="7" t="str">
        <f>IFERROR(__xludf.DUMMYFUNCTION("""COMPUTED_VALUE"""),"4540-FIND")</f>
        <v>4540-FIND</v>
      </c>
      <c r="B1267" s="7" t="str">
        <f>IFERROR(__xludf.DUMMYFUNCTION("""COMPUTED_VALUE"""),"UniT: One Document, Many Revisions, Too Many Edit Intention Taxonomies")</f>
        <v>UniT: One Document, Many Revisions, Too Many Edit Intention Taxonomies</v>
      </c>
      <c r="C1267" s="7" t="str">
        <f>IFERROR(__xludf.DUMMYFUNCTION("""COMPUTED_VALUE"""),"Writing is inherently iterative, each revision enhancing information representation. One revision may contain many edits. Examination of the intentions behind edits provides valuable insights into an editor’s expertise, the dynamics of collaborative writi"&amp;"ng, and the evolution of a document. Current research on edit intentions lacks a comprehensive edit intention taxonomy (EIT) that spans multiple application domains. As a result, researchers often create new EITs tailored to specific needs, a process that"&amp;" is both time-consuming and costly. To address this gap, we propose UniT, a Unified edit intention Taxonomy that integrates existing EITs encompassing a wide range of edit intentions. We examine the lineage relationship and the construction of 24 EITs. Th"&amp;"ey together have 232 categories across various domains. During the literature survey and integration process, we identify challenges such as one-to-many category matches, incomplete definitions, and varying hierarchical structures. We propose solutions fo"&amp;"r resolving these issues. Finally, our evaluation shows that our UniT achieves higher inter-annotator agreement scores compared to existing EITs and is applicable to a large set of application domains.")</f>
        <v>Writing is inherently iterative, each revision enhancing information representation. One revision may contain many edits. Examination of the intentions behind edits provides valuable insights into an editor’s expertise, the dynamics of collaborative writing, and the evolution of a document. Current research on edit intentions lacks a comprehensive edit intention taxonomy (EIT) that spans multiple application domains. As a result, researchers often create new EITs tailored to specific needs, a process that is both time-consuming and costly. To address this gap, we propose UniT, a Unified edit intention Taxonomy that integrates existing EITs encompassing a wide range of edit intentions. We examine the lineage relationship and the construction of 24 EITs. They together have 232 categories across various domains. During the literature survey and integration process, we identify challenges such as one-to-many category matches, incomplete definitions, and varying hierarchical structures. We propose solutions for resolving these issues. Finally, our evaluation shows that our UniT achieves higher inter-annotator agreement scores compared to existing EITs and is applicable to a large set of application domains.</v>
      </c>
      <c r="D1267" s="7" t="str">
        <f>IFERROR(__xludf.DUMMYFUNCTION("""COMPUTED_VALUE"""),"Eduard Dragut")</f>
        <v>Eduard Dragut</v>
      </c>
      <c r="E1267" s="7" t="str">
        <f>IFERROR(__xludf.DUMMYFUNCTION("""COMPUTED_VALUE"""),"Yes")</f>
        <v>Yes</v>
      </c>
      <c r="F1267" s="7" t="str">
        <f>IFERROR(__xludf.DUMMYFUNCTION("""COMPUTED_VALUE"""),"IP-Poster")</f>
        <v>IP-Poster</v>
      </c>
      <c r="G1267" s="7" t="str">
        <f>IFERROR(__xludf.DUMMYFUNCTION("""COMPUTED_VALUE"""),"In-Person")</f>
        <v>In-Person</v>
      </c>
      <c r="H1267" s="7" t="str">
        <f>IFERROR(__xludf.DUMMYFUNCTION("""COMPUTED_VALUE"""),"Hall 4/5")</f>
        <v>Hall 4/5</v>
      </c>
      <c r="I1267" s="7" t="str">
        <f>IFERROR(__xludf.DUMMYFUNCTION("""COMPUTED_VALUE"""),"Session 12: IP-Posters")</f>
        <v>Session 12: IP-Posters</v>
      </c>
      <c r="J1267" s="7" t="str">
        <f>IFERROR(__xludf.DUMMYFUNCTION("""COMPUTED_VALUE"""),"Findings Posters - In-Person 4")</f>
        <v>Findings Posters - In-Person 4</v>
      </c>
      <c r="K1267" s="7"/>
      <c r="L1267" s="8">
        <f>IFERROR(__xludf.DUMMYFUNCTION("""COMPUTED_VALUE"""),45868.0)</f>
        <v>45868</v>
      </c>
      <c r="M1267" s="7" t="str">
        <f>IFERROR(__xludf.DUMMYFUNCTION("""COMPUTED_VALUE"""),"11:00-12:30")</f>
        <v>11:00-12:30</v>
      </c>
      <c r="N1267" s="7"/>
    </row>
    <row r="1268">
      <c r="A1268" s="7" t="str">
        <f>IFERROR(__xludf.DUMMYFUNCTION("""COMPUTED_VALUE"""),"4554-FIND")</f>
        <v>4554-FIND</v>
      </c>
      <c r="B1268" s="7" t="str">
        <f>IFERROR(__xludf.DUMMYFUNCTION("""COMPUTED_VALUE"""),"Predicting Depression in Screening Interviews from Interactive Multi-Theme Collaboration")</f>
        <v>Predicting Depression in Screening Interviews from Interactive Multi-Theme Collaboration</v>
      </c>
      <c r="C1268" s="7" t="str">
        <f>IFERROR(__xludf.DUMMYFUNCTION("""COMPUTED_VALUE"""),"Automatic depression detection provides cues for early clinical intervention by clinicians. Clinical interviews for depression detection involve dialogues centered around multiple themes. Existing studies primarily design end-to-end neural network models "&amp;"to capture the hierarchical structure of clinical interview dialogues. However, these methods exhibit defects in modeling the thematic content of clinical interviews: 1) they fail to explicitly capture intra-theme and inter-theme correlation, and 2) they "&amp;"do not allow clinicians to intervene and focus on themes of interest. To address these issues, this paper introduces an interactive depression detection framework, namely Predicting Depression in Screening Interviews from Interactive Multi-Theme Collabora"&amp;"tion (PDIMC). PDIMC leverages in-context learning techniques to identify themes in clinical interviews and then models both intra-theme and inter-theme correlation. Additionally, it employs AI-driven feedback to simulate the interests of clinicians, enabl"&amp;"ing interactive adjustment of theme importance. PDIMC achieves absolute improvements of 12% on Recall and 35% on F1-dep. metrics, compared to the previous state-of-the-art model on the depression detection dataset DAIC-WOZ, which demonstrates the effectiv"&amp;"eness of capturing theme correlation and incorporating interactive external feedback.")</f>
        <v>Automatic depression detection provides cues for early clinical intervention by clinicians. Clinical interviews for depression detection involve dialogues centered around multiple themes. Existing studies primarily design end-to-end neural network models to capture the hierarchical structure of clinical interview dialogues. However, these methods exhibit defects in modeling the thematic content of clinical interviews: 1) they fail to explicitly capture intra-theme and inter-theme correlation, and 2) they do not allow clinicians to intervene and focus on themes of interest. To address these issues, this paper introduces an interactive depression detection framework, namely Predicting Depression in Screening Interviews from Interactive Multi-Theme Collaboration (PDIMC). PDIMC leverages in-context learning techniques to identify themes in clinical interviews and then models both intra-theme and inter-theme correlation. Additionally, it employs AI-driven feedback to simulate the interests of clinicians, enabling interactive adjustment of theme importance. PDIMC achieves absolute improvements of 12% on Recall and 35% on F1-dep. metrics, compared to the previous state-of-the-art model on the depression detection dataset DAIC-WOZ, which demonstrates the effectiveness of capturing theme correlation and incorporating interactive external feedback.</v>
      </c>
      <c r="D1268" s="7" t="str">
        <f>IFERROR(__xludf.DUMMYFUNCTION("""COMPUTED_VALUE"""),"Yiqing Lyu")</f>
        <v>Yiqing Lyu</v>
      </c>
      <c r="E1268" s="7" t="str">
        <f>IFERROR(__xludf.DUMMYFUNCTION("""COMPUTED_VALUE"""),"Yes")</f>
        <v>Yes</v>
      </c>
      <c r="F1268" s="7" t="str">
        <f>IFERROR(__xludf.DUMMYFUNCTION("""COMPUTED_VALUE"""),"IP-Poster")</f>
        <v>IP-Poster</v>
      </c>
      <c r="G1268" s="7" t="str">
        <f>IFERROR(__xludf.DUMMYFUNCTION("""COMPUTED_VALUE"""),"In-Person")</f>
        <v>In-Person</v>
      </c>
      <c r="H1268" s="7" t="str">
        <f>IFERROR(__xludf.DUMMYFUNCTION("""COMPUTED_VALUE"""),"Hall 4/5")</f>
        <v>Hall 4/5</v>
      </c>
      <c r="I1268" s="7" t="str">
        <f>IFERROR(__xludf.DUMMYFUNCTION("""COMPUTED_VALUE"""),"Session 5 :IP-Posters Find ")</f>
        <v>Session 5 :IP-Posters Find </v>
      </c>
      <c r="J1268" s="7" t="str">
        <f>IFERROR(__xludf.DUMMYFUNCTION("""COMPUTED_VALUE"""),"Findings Posters - In-Person 1")</f>
        <v>Findings Posters - In-Person 1</v>
      </c>
      <c r="K1268" s="7"/>
      <c r="L1268" s="8">
        <f>IFERROR(__xludf.DUMMYFUNCTION("""COMPUTED_VALUE"""),45866.0)</f>
        <v>45866</v>
      </c>
      <c r="M1268" s="7" t="str">
        <f>IFERROR(__xludf.DUMMYFUNCTION("""COMPUTED_VALUE"""),"18:00-19:30")</f>
        <v>18:00-19:30</v>
      </c>
      <c r="N1268" s="7"/>
    </row>
    <row r="1269">
      <c r="A1269" s="7" t="str">
        <f>IFERROR(__xludf.DUMMYFUNCTION("""COMPUTED_VALUE"""),"4558-FIND")</f>
        <v>4558-FIND</v>
      </c>
      <c r="B1269" s="7" t="str">
        <f>IFERROR(__xludf.DUMMYFUNCTION("""COMPUTED_VALUE"""),"Your Language Model May Think Too Rigidly: Achieving Reasoning Consistency with Symmetry-Enhanced Training")</f>
        <v>Your Language Model May Think Too Rigidly: Achieving Reasoning Consistency with Symmetry-Enhanced Training</v>
      </c>
      <c r="C1269" s="7" t="str">
        <f>IFERROR(__xludf.DUMMYFUNCTION("""COMPUTED_VALUE"""),"Large Language Models (LLMs) have demonstrated strong reasoning capabilities across various tasks. However, even minor variations in query phrasing, despite preserving the underlying semantic meaning, can significantly affect their performance. To address"&amp;" this, we focus on enhancing LLMs' awareness of symmetry in query variations and propose syMmetry-ENhanceD (MEND) data augmentation, a data-centric approach that improves the model's ability to extract useful information from context. Unlike existing meth"&amp;"ods that emphasize reasoning chain augmentation, our approach improves model robustness at the knowledge extraction stage through query augmentation, enabling more data-efficient training and stronger generalization to Out-of-Distribution (OOD) settings. "&amp;"Extensive experiments on both logical and arithmetic reasoning tasks show that MEND enhances reasoning performance across diverse query variations, providing new insights into improving LLM robustness through structured dataset curation.")</f>
        <v>Large Language Models (LLMs) have demonstrated strong reasoning capabilities across various tasks. However, even minor variations in query phrasing, despite preserving the underlying semantic meaning, can significantly affect their performance. To address this, we focus on enhancing LLMs' awareness of symmetry in query variations and propose syMmetry-ENhanceD (MEND) data augmentation, a data-centric approach that improves the model's ability to extract useful information from context. Unlike existing methods that emphasize reasoning chain augmentation, our approach improves model robustness at the knowledge extraction stage through query augmentation, enabling more data-efficient training and stronger generalization to Out-of-Distribution (OOD) settings. Extensive experiments on both logical and arithmetic reasoning tasks show that MEND enhances reasoning performance across diverse query variations, providing new insights into improving LLM robustness through structured dataset curation.</v>
      </c>
      <c r="D1269" s="7" t="str">
        <f>IFERROR(__xludf.DUMMYFUNCTION("""COMPUTED_VALUE"""),"Yihang Yao")</f>
        <v>Yihang Yao</v>
      </c>
      <c r="E1269" s="7" t="str">
        <f>IFERROR(__xludf.DUMMYFUNCTION("""COMPUTED_VALUE"""),"Yes")</f>
        <v>Yes</v>
      </c>
      <c r="F1269" s="7" t="str">
        <f>IFERROR(__xludf.DUMMYFUNCTION("""COMPUTED_VALUE"""),"Not Pres. ")</f>
        <v>Not Pres. </v>
      </c>
      <c r="G1269" s="7" t="str">
        <f>IFERROR(__xludf.DUMMYFUNCTION("""COMPUTED_VALUE"""),"NP Findings Not Presenting ")</f>
        <v>NP Findings Not Presenting </v>
      </c>
      <c r="H1269" s="7"/>
      <c r="I1269" s="7"/>
      <c r="J1269" s="7"/>
      <c r="K1269" s="7"/>
      <c r="L1269" s="8"/>
      <c r="M1269" s="7"/>
      <c r="N1269" s="7"/>
    </row>
    <row r="1270">
      <c r="A1270" s="7" t="str">
        <f>IFERROR(__xludf.DUMMYFUNCTION("""COMPUTED_VALUE"""),"4560-FIND")</f>
        <v>4560-FIND</v>
      </c>
      <c r="B1270" s="7" t="str">
        <f>IFERROR(__xludf.DUMMYFUNCTION("""COMPUTED_VALUE"""),"TritonBench: Benchmarking Large Language Model Capabilities for Generating Triton Operators")</f>
        <v>TritonBench: Benchmarking Large Language Model Capabilities for Generating Triton Operators</v>
      </c>
      <c r="C1270" s="7" t="str">
        <f>IFERROR(__xludf.DUMMYFUNCTION("""COMPUTED_VALUE"""),"Triton, a high-level Python-like language designed for building efficient GPU kernels, is widely adopted in deep learning frameworks due to its portability, flexibility, and accessibility. However, programming and parallel optimization still require consi"&amp;"derable trial and error from Triton developers. Despite advances in large language models (LLMs) for conventional code generation, these models struggle to generate accurate, performance-optimized Triton code, as they lack awareness of its specifications "&amp;"and the complexities of GPU programming. More critically, there is an urgent need for systematic evaluations tailored to Triton. In this work, we introduce TritonBench, the first comprehensive benchmark for Triton operator generation. TritonBench features"&amp;" two evaluation channels: a curated set of 184 real-world operators from GitHub and a collection of operators aligned with PyTorch interfaces. Unlike conventional code benchmarks prioritizing functional correctness, TritonBench also profiles efficiency pe"&amp;"rformance on widely deployed GPUs aligned with industry applications. Our study reveals that current state-of-the-art code LLMs struggle to generate efficient Triton operators, highlighting a significant gap in high-performance code generation.")</f>
        <v>Triton, a high-level Python-like language designed for building efficient GPU kernels, is widely adopted in deep learning frameworks due to its portability, flexibility, and accessibility. However, programming and parallel optimization still require considerable trial and error from Triton developers. Despite advances in large language models (LLMs) for conventional code generation, these models struggle to generate accurate, performance-optimized Triton code, as they lack awareness of its specifications and the complexities of GPU programming. More critically, there is an urgent need for systematic evaluations tailored to Triton. In this work, we introduce TritonBench, the first comprehensive benchmark for Triton operator generation. TritonBench features two evaluation channels: a curated set of 184 real-world operators from GitHub and a collection of operators aligned with PyTorch interfaces. Unlike conventional code benchmarks prioritizing functional correctness, TritonBench also profiles efficiency performance on widely deployed GPUs aligned with industry applications. Our study reveals that current state-of-the-art code LLMs struggle to generate efficient Triton operators, highlighting a significant gap in high-performance code generation.</v>
      </c>
      <c r="D1270" s="7" t="str">
        <f>IFERROR(__xludf.DUMMYFUNCTION("""COMPUTED_VALUE"""),"Qi Shi")</f>
        <v>Qi Shi</v>
      </c>
      <c r="E1270" s="7" t="str">
        <f>IFERROR(__xludf.DUMMYFUNCTION("""COMPUTED_VALUE"""),"#N/A")</f>
        <v>#N/A</v>
      </c>
      <c r="F1270" s="7" t="str">
        <f>IFERROR(__xludf.DUMMYFUNCTION("""COMPUTED_VALUE"""),"Not Pres. ")</f>
        <v>Not Pres. </v>
      </c>
      <c r="G1270" s="7" t="str">
        <f>IFERROR(__xludf.DUMMYFUNCTION("""COMPUTED_VALUE"""),"NP Findings Not Presenting ")</f>
        <v>NP Findings Not Presenting </v>
      </c>
      <c r="H1270" s="7"/>
      <c r="I1270" s="7" t="str">
        <f>IFERROR(__xludf.DUMMYFUNCTION("""COMPUTED_VALUE"""),"NP-Find")</f>
        <v>NP-Find</v>
      </c>
      <c r="J1270" s="7"/>
      <c r="K1270" s="7"/>
      <c r="L1270" s="8"/>
      <c r="M1270" s="7"/>
      <c r="N1270" s="7"/>
    </row>
    <row r="1271">
      <c r="A1271" s="7" t="str">
        <f>IFERROR(__xludf.DUMMYFUNCTION("""COMPUTED_VALUE"""),"4563-FIND")</f>
        <v>4563-FIND</v>
      </c>
      <c r="B1271" s="7" t="str">
        <f>IFERROR(__xludf.DUMMYFUNCTION("""COMPUTED_VALUE"""),"Just KIDDIN’ : Knowledge Infusion and Distillation for Detection of INdecent Memes")</f>
        <v>Just KIDDIN’ : Knowledge Infusion and Distillation for Detection of INdecent Memes</v>
      </c>
      <c r="C1271" s="7" t="str">
        <f>IFERROR(__xludf.DUMMYFUNCTION("""COMPUTED_VALUE"""),"Detecting toxicity in online multimodal environments such as memes remains a challenging task due to the complex contextual connections across modalities (e.g., text and visual), demanding both common sense reasoning and contextual awareness. To bridge th"&amp;"is gap, we propose a hybrid neurosymbolic framework that unifies (1) distillation of implicit contextual knowledge (e.g., sarcasm, cultural references) from Large Vision-Language Models (LVLMs) and (2) infusion of explicit relational semantics through sub"&amp;"-graphs from Knowledge Graphs (KGs). Experimental results on two benchmark datasets show the superior performance of our approach, Knowledge-Infused Distilled Vision-Language Model (KID-VLM), over the state-of-the-art baselines across AUC, and F1, with im"&amp;"provements of 0.5%, and 10.6%, respectively in HatefulMemes Benchmark across variants. Further, KID-VLM demonstrates better generalizability and achieves best performance across all baselines in HarMeme Dataset with an 6.3% and 3.2% in F1 and AUC. Given t"&amp;"he contextual complexity of the toxicity detection task, KID-VLM showcases the significance of learning compact models (~500M parameters) from both explicit (i.e., KG) and implicit (i.e., LVLMs) contextual cues incorporated through a hybrid neurosymbolic "&amp;"approach. KID-VLM provides an accurate and scalable approach to recognize toxic content for safer online environments in real-world applications. Our code is available at Anonymous Github at: https://anonymous.4open.science/r/MultimodalToxicity-124F/READM"&amp;"E.md.")</f>
        <v>Detecting toxicity in online multimodal environments such as memes remains a challenging task due to the complex contextual connections across modalities (e.g., text and visual), demanding both common sense reasoning and contextual awareness. To bridge this gap, we propose a hybrid neurosymbolic framework that unifies (1) distillation of implicit contextual knowledge (e.g., sarcasm, cultural references) from Large Vision-Language Models (LVLMs) and (2) infusion of explicit relational semantics through sub-graphs from Knowledge Graphs (KGs). Experimental results on two benchmark datasets show the superior performance of our approach, Knowledge-Infused Distilled Vision-Language Model (KID-VLM), over the state-of-the-art baselines across AUC, and F1, with improvements of 0.5%, and 10.6%, respectively in HatefulMemes Benchmark across variants. Further, KID-VLM demonstrates better generalizability and achieves best performance across all baselines in HarMeme Dataset with an 6.3% and 3.2% in F1 and AUC. Given the contextual complexity of the toxicity detection task, KID-VLM showcases the significance of learning compact models (~500M parameters) from both explicit (i.e., KG) and implicit (i.e., LVLMs) contextual cues incorporated through a hybrid neurosymbolic approach. KID-VLM provides an accurate and scalable approach to recognize toxic content for safer online environments in real-world applications. Our code is available at Anonymous Github at: https://anonymous.4open.science/r/MultimodalToxicity-124F/README.md.</v>
      </c>
      <c r="D1271" s="7" t="str">
        <f>IFERROR(__xludf.DUMMYFUNCTION("""COMPUTED_VALUE"""),"Trilok Padhi")</f>
        <v>Trilok Padhi</v>
      </c>
      <c r="E1271" s="7" t="str">
        <f>IFERROR(__xludf.DUMMYFUNCTION("""COMPUTED_VALUE"""),"Yes")</f>
        <v>Yes</v>
      </c>
      <c r="F1271" s="7" t="str">
        <f>IFERROR(__xludf.DUMMYFUNCTION("""COMPUTED_VALUE"""),"IP-Poster")</f>
        <v>IP-Poster</v>
      </c>
      <c r="G1271" s="7" t="str">
        <f>IFERROR(__xludf.DUMMYFUNCTION("""COMPUTED_VALUE"""),"In-Person")</f>
        <v>In-Person</v>
      </c>
      <c r="H1271" s="7" t="str">
        <f>IFERROR(__xludf.DUMMYFUNCTION("""COMPUTED_VALUE"""),"Hall 4/5")</f>
        <v>Hall 4/5</v>
      </c>
      <c r="I1271" s="7" t="str">
        <f>IFERROR(__xludf.DUMMYFUNCTION("""COMPUTED_VALUE"""),"Session 12: IP-Posters")</f>
        <v>Session 12: IP-Posters</v>
      </c>
      <c r="J1271" s="7" t="str">
        <f>IFERROR(__xludf.DUMMYFUNCTION("""COMPUTED_VALUE"""),"Findings Posters - In-Person 4")</f>
        <v>Findings Posters - In-Person 4</v>
      </c>
      <c r="K1271" s="7"/>
      <c r="L1271" s="8">
        <f>IFERROR(__xludf.DUMMYFUNCTION("""COMPUTED_VALUE"""),45868.0)</f>
        <v>45868</v>
      </c>
      <c r="M1271" s="7" t="str">
        <f>IFERROR(__xludf.DUMMYFUNCTION("""COMPUTED_VALUE"""),"11:00-12:30")</f>
        <v>11:00-12:30</v>
      </c>
      <c r="N1271" s="7"/>
    </row>
    <row r="1272">
      <c r="A1272" s="7" t="str">
        <f>IFERROR(__xludf.DUMMYFUNCTION("""COMPUTED_VALUE"""),"4565-FIND")</f>
        <v>4565-FIND</v>
      </c>
      <c r="B1272" s="7" t="str">
        <f>IFERROR(__xludf.DUMMYFUNCTION("""COMPUTED_VALUE"""),"Dynamic Personality in LLM Agents: A Framework for Evolutionary Modeling and Behavioral Analysis in the Prisoner's Dilemma")</f>
        <v>Dynamic Personality in LLM Agents: A Framework for Evolutionary Modeling and Behavioral Analysis in the Prisoner's Dilemma</v>
      </c>
      <c r="C1272" s="7" t="str">
        <f>IFERROR(__xludf.DUMMYFUNCTION("""COMPUTED_VALUE"""),"Using Large Language Model agents to simulate human game behaviors offers valuable insights for human social psychology in anthropomorphic AI research. While current models rely on static personality traits, real-world evidence shows personality evolves t"&amp;"hrough environmental feedback. Recent work introduced dynamic personality traits but lacked natural selection processes and direct psychological metrics, failing to accurately capture authentic dynamic personality variations. To address these limitations,"&amp;" we propose an enhanced framework within the Prisoner's Dilemma, a socially significant scenario. By using game payoffs as environmental feedback, we drive adaptive personality evolution and analyze correlations between personality metrics and behavior. O"&amp;"ur framework reveals new behavioral patterns of agents and evaluates personality-behavior relationships, advancing agent-based social simulations and human-AI symbiosis research.")</f>
        <v>Using Large Language Model agents to simulate human game behaviors offers valuable insights for human social psychology in anthropomorphic AI research. While current models rely on static personality traits, real-world evidence shows personality evolves through environmental feedback. Recent work introduced dynamic personality traits but lacked natural selection processes and direct psychological metrics, failing to accurately capture authentic dynamic personality variations. To address these limitations, we propose an enhanced framework within the Prisoner's Dilemma, a socially significant scenario. By using game payoffs as environmental feedback, we drive adaptive personality evolution and analyze correlations between personality metrics and behavior. Our framework reveals new behavioral patterns of agents and evaluates personality-behavior relationships, advancing agent-based social simulations and human-AI symbiosis research.</v>
      </c>
      <c r="D1272" s="7" t="str">
        <f>IFERROR(__xludf.DUMMYFUNCTION("""COMPUTED_VALUE"""),"-")</f>
        <v>-</v>
      </c>
      <c r="E1272" s="7" t="str">
        <f>IFERROR(__xludf.DUMMYFUNCTION("""COMPUTED_VALUE"""),"#N/A")</f>
        <v>#N/A</v>
      </c>
      <c r="F1272" s="7" t="str">
        <f>IFERROR(__xludf.DUMMYFUNCTION("""COMPUTED_VALUE"""),"Not Pres. ")</f>
        <v>Not Pres. </v>
      </c>
      <c r="G1272" s="7" t="str">
        <f>IFERROR(__xludf.DUMMYFUNCTION("""COMPUTED_VALUE"""),"NP Findings Not Presenting ")</f>
        <v>NP Findings Not Presenting </v>
      </c>
      <c r="H1272" s="7"/>
      <c r="I1272" s="7" t="str">
        <f>IFERROR(__xludf.DUMMYFUNCTION("""COMPUTED_VALUE"""),"NP-Find")</f>
        <v>NP-Find</v>
      </c>
      <c r="J1272" s="7"/>
      <c r="K1272" s="7"/>
      <c r="L1272" s="8"/>
      <c r="M1272" s="7"/>
      <c r="N1272" s="7"/>
    </row>
    <row r="1273">
      <c r="A1273" s="7" t="str">
        <f>IFERROR(__xludf.DUMMYFUNCTION("""COMPUTED_VALUE"""),"4570-FIND")</f>
        <v>4570-FIND</v>
      </c>
      <c r="B1273" s="7" t="str">
        <f>IFERROR(__xludf.DUMMYFUNCTION("""COMPUTED_VALUE"""),"Building A Proof-Oriented Programmer That Is 64% Better Than GPT-4o Under Data Scarcity")</f>
        <v>Building A Proof-Oriented Programmer That Is 64% Better Than GPT-4o Under Data Scarcity</v>
      </c>
      <c r="C1273" s="7" t="str">
        <f>IFERROR(__xludf.DUMMYFUNCTION("""COMPUTED_VALUE"""),"Existing LMs struggle with proof-oriented programming due to data scarcity, which manifest in two key ways: (1) a lack of sufficient corpora for proof-oriented programming languages such as F*, and (2) the absence of large-scale, project-level proof-orien"&amp;"ted implementations that can teach the model the intricate reasoning process when performing proof-oriented programming. We present the first on synthetic data augmentation for project level proof oriented programming for both generation and repair. Our m"&amp;"ethod addresses data scarcity by synthesizing basic proof-oriented programming problems for proficiency in that language; incorporating diverse coding data for reasoning capability elicitation and creating new proofs and repair data within existing reposi"&amp;"tories. This approach enables language models to both synthesize and repair proofs for function- and repository-level code. We show that our fine-tuned 14B parameter model, PoPilot, can exceed the performance of the models that outperforms GPT-4o in proje"&amp;"ct-level proof-oriented programming by 64% relative margin, and can improve GPT-4o's performance by 54% by repairing its outputs over GPT-4o's self-repair.")</f>
        <v>Existing LMs struggle with proof-oriented programming due to data scarcity, which manifest in two key ways: (1) a lack of sufficient corpora for proof-oriented programming languages such as F*, and (2) the absence of large-scale, project-level proof-oriented implementations that can teach the model the intricate reasoning process when performing proof-oriented programming. We present the first on synthetic data augmentation for project level proof oriented programming for both generation and repair. Our method addresses data scarcity by synthesizing basic proof-oriented programming problems for proficiency in that language; incorporating diverse coding data for reasoning capability elicitation and creating new proofs and repair data within existing repositories. This approach enables language models to both synthesize and repair proofs for function- and repository-level code. We show that our fine-tuned 14B parameter model, PoPilot, can exceed the performance of the models that outperforms GPT-4o in project-level proof-oriented programming by 64% relative margin, and can improve GPT-4o's performance by 54% by repairing its outputs over GPT-4o's self-repair.</v>
      </c>
      <c r="D1273" s="7" t="str">
        <f>IFERROR(__xludf.DUMMYFUNCTION("""COMPUTED_VALUE"""),"Dylan Zhang")</f>
        <v>Dylan Zhang</v>
      </c>
      <c r="E1273" s="7" t="str">
        <f>IFERROR(__xludf.DUMMYFUNCTION("""COMPUTED_VALUE"""),"N/A")</f>
        <v>N/A</v>
      </c>
      <c r="F1273" s="7" t="str">
        <f>IFERROR(__xludf.DUMMYFUNCTION("""COMPUTED_VALUE"""),"Not Pres. ")</f>
        <v>Not Pres. </v>
      </c>
      <c r="G1273" s="7" t="str">
        <f>IFERROR(__xludf.DUMMYFUNCTION("""COMPUTED_VALUE"""),"NP Findings Not Presenting ")</f>
        <v>NP Findings Not Presenting </v>
      </c>
      <c r="H1273" s="7"/>
      <c r="I1273" s="7"/>
      <c r="J1273" s="7"/>
      <c r="K1273" s="7"/>
      <c r="L1273" s="8"/>
      <c r="M1273" s="7"/>
      <c r="N1273" s="7"/>
    </row>
    <row r="1274">
      <c r="A1274" s="7" t="str">
        <f>IFERROR(__xludf.DUMMYFUNCTION("""COMPUTED_VALUE"""),"4574-FIND")</f>
        <v>4574-FIND</v>
      </c>
      <c r="B1274" s="7" t="str">
        <f>IFERROR(__xludf.DUMMYFUNCTION("""COMPUTED_VALUE"""),"On the Robust Approximation of ASR Metrics")</f>
        <v>On the Robust Approximation of ASR Metrics</v>
      </c>
      <c r="C1274" s="7" t="str">
        <f>IFERROR(__xludf.DUMMYFUNCTION("""COMPUTED_VALUE"""),"Recent advances in speech foundation models are largely driven by scaling both model size and data, enabling them to perform a wide range of tasks, including speech recognition. Traditionally, ASR models are evaluated using metrics like Word Error Rate (W"&amp;"ER) and Character Error Rate (CER), which depend on ground truth labels. As a result of limited labeled data from diverse domains and testing conditions, the true generalization capabilities of these models beyond standard benchmarks remain unclear. Moreo"&amp;"ver, labeling data is both costly and time-consuming. To address this, we propose a novel label-free approach for approximating ASR performance metrics, eliminating the need for ground truth labels. Our method utilizes multimodal embeddings in a unified s"&amp;"pace for speech and transcription representations, combined with a high-quality proxy model to compute proxy metrics. These features are used to train a regression model to predict key ASR metrics like Word Error Rate (WER) and Character Error Rate (CER)."&amp;" We experiment with over 40 models across 14 datasets representing both standard and in-the-wild testing conditions. Our results show that we approximate the metrics within a single-digit absolute difference across all experimental configurations, outperf"&amp;"orming the most recent baseline by more than 50%.")</f>
        <v>Recent advances in speech foundation models are largely driven by scaling both model size and data, enabling them to perform a wide range of tasks, including speech recognition. Traditionally, ASR models are evaluated using metrics like Word Error Rate (WER) and Character Error Rate (CER), which depend on ground truth labels. As a result of limited labeled data from diverse domains and testing conditions, the true generalization capabilities of these models beyond standard benchmarks remain unclear. Moreover, labeling data is both costly and time-consuming. To address this, we propose a novel label-free approach for approximating ASR performance metrics, eliminating the need for ground truth labels. Our method utilizes multimodal embeddings in a unified space for speech and transcription representations, combined with a high-quality proxy model to compute proxy metrics. These features are used to train a regression model to predict key ASR metrics like Word Error Rate (WER) and Character Error Rate (CER). We experiment with over 40 models across 14 datasets representing both standard and in-the-wild testing conditions. Our results show that we approximate the metrics within a single-digit absolute difference across all experimental configurations, outperforming the most recent baseline by more than 50%.</v>
      </c>
      <c r="D1274" s="7" t="str">
        <f>IFERROR(__xludf.DUMMYFUNCTION("""COMPUTED_VALUE"""),"NA")</f>
        <v>NA</v>
      </c>
      <c r="E1274" s="7" t="str">
        <f>IFERROR(__xludf.DUMMYFUNCTION("""COMPUTED_VALUE"""),"#N/A")</f>
        <v>#N/A</v>
      </c>
      <c r="F1274" s="7" t="str">
        <f>IFERROR(__xludf.DUMMYFUNCTION("""COMPUTED_VALUE"""),"Not Pres. ")</f>
        <v>Not Pres. </v>
      </c>
      <c r="G1274" s="7" t="str">
        <f>IFERROR(__xludf.DUMMYFUNCTION("""COMPUTED_VALUE"""),"NP Findings Not Presenting ")</f>
        <v>NP Findings Not Presenting </v>
      </c>
      <c r="H1274" s="7"/>
      <c r="I1274" s="7" t="str">
        <f>IFERROR(__xludf.DUMMYFUNCTION("""COMPUTED_VALUE"""),"NP-Find")</f>
        <v>NP-Find</v>
      </c>
      <c r="J1274" s="7"/>
      <c r="K1274" s="7"/>
      <c r="L1274" s="8"/>
      <c r="M1274" s="7"/>
      <c r="N1274" s="7"/>
    </row>
    <row r="1275">
      <c r="A1275" s="7" t="str">
        <f>IFERROR(__xludf.DUMMYFUNCTION("""COMPUTED_VALUE"""),"4576-FIND")</f>
        <v>4576-FIND</v>
      </c>
      <c r="B1275" s="7" t="str">
        <f>IFERROR(__xludf.DUMMYFUNCTION("""COMPUTED_VALUE"""),"Are the Values of LLMs Structurally Aligned with Humans? A Causal Perspective")</f>
        <v>Are the Values of LLMs Structurally Aligned with Humans? A Causal Perspective</v>
      </c>
      <c r="C1275" s="7" t="str">
        <f>IFERROR(__xludf.DUMMYFUNCTION("""COMPUTED_VALUE"""),"As large language models (LLMs) become increasingly integrated into critical applications, aligning their behavior with human values presents significant challenges. Current methods, such as Reinforcement Learning from Human Feedback (RLHF), typically foc"&amp;"us on a limited set of coarse-grained values and are resource-intensive. Moreover, the correlations between these values remain implicit, leading to unclear explanations for value-steering outcomes. Our work argues that a latent causal value graph underli"&amp;"es the value dimensions of LLMs and that, despite alignment training, this structure remains significantly different from human value systems. We leverage these causal value graphs to guide two lightweight value-steering methods: role-based prompting and "&amp;"sparse autoencoder (SAE) steering, effectively mitigating unexpected side effects. Furthermore, SAE provides a more fine-grained approach to value steering. Experiments on Gemma-2B-IT and Llama3-8B-IT demonstrate the effectiveness and controllability of o"&amp;"ur methods.")</f>
        <v>As large language models (LLMs) become increasingly integrated into critical applications, aligning their behavior with human values presents significant challenges. Current methods, such as Reinforcement Learning from Human Feedback (RLHF), typically focus on a limited set of coarse-grained values and are resource-intensive. Moreover, the correlations between these values remain implicit, leading to unclear explanations for value-steering outcomes. Our work argues that a latent causal value graph underlies the value dimensions of LLMs and that, despite alignment training, this structure remains significantly different from human value systems. We leverage these causal value graphs to guide two lightweight value-steering methods: role-based prompting and sparse autoencoder (SAE) steering, effectively mitigating unexpected side effects. Furthermore, SAE provides a more fine-grained approach to value steering. Experiments on Gemma-2B-IT and Llama3-8B-IT demonstrate the effectiveness and controllability of our methods.</v>
      </c>
      <c r="D1275" s="7" t="str">
        <f>IFERROR(__xludf.DUMMYFUNCTION("""COMPUTED_VALUE"""),"Yipeng Kang")</f>
        <v>Yipeng Kang</v>
      </c>
      <c r="E1275" s="7" t="str">
        <f>IFERROR(__xludf.DUMMYFUNCTION("""COMPUTED_VALUE"""),"Yes")</f>
        <v>Yes</v>
      </c>
      <c r="F1275" s="7" t="str">
        <f>IFERROR(__xludf.DUMMYFUNCTION("""COMPUTED_VALUE"""),"IP-Poster")</f>
        <v>IP-Poster</v>
      </c>
      <c r="G1275" s="7" t="str">
        <f>IFERROR(__xludf.DUMMYFUNCTION("""COMPUTED_VALUE"""),"In-Person")</f>
        <v>In-Person</v>
      </c>
      <c r="H1275" s="7" t="str">
        <f>IFERROR(__xludf.DUMMYFUNCTION("""COMPUTED_VALUE"""),"Hall 4/5")</f>
        <v>Hall 4/5</v>
      </c>
      <c r="I1275" s="7" t="str">
        <f>IFERROR(__xludf.DUMMYFUNCTION("""COMPUTED_VALUE"""),"Session 5 :IP-Posters Find ")</f>
        <v>Session 5 :IP-Posters Find </v>
      </c>
      <c r="J1275" s="7" t="str">
        <f>IFERROR(__xludf.DUMMYFUNCTION("""COMPUTED_VALUE"""),"Findings Posters - In-Person 1")</f>
        <v>Findings Posters - In-Person 1</v>
      </c>
      <c r="K1275" s="7"/>
      <c r="L1275" s="8">
        <f>IFERROR(__xludf.DUMMYFUNCTION("""COMPUTED_VALUE"""),45866.0)</f>
        <v>45866</v>
      </c>
      <c r="M1275" s="7" t="str">
        <f>IFERROR(__xludf.DUMMYFUNCTION("""COMPUTED_VALUE"""),"18:00-19:30")</f>
        <v>18:00-19:30</v>
      </c>
      <c r="N1275" s="7"/>
    </row>
    <row r="1276">
      <c r="A1276" s="7" t="str">
        <f>IFERROR(__xludf.DUMMYFUNCTION("""COMPUTED_VALUE"""),"4578-FIND")</f>
        <v>4578-FIND</v>
      </c>
      <c r="B1276" s="7" t="str">
        <f>IFERROR(__xludf.DUMMYFUNCTION("""COMPUTED_VALUE"""),"LLMs Can Also Do Well! Breaking Barriers in Semantic Role Labeling via Large Language Models")</f>
        <v>LLMs Can Also Do Well! Breaking Barriers in Semantic Role Labeling via Large Language Models</v>
      </c>
      <c r="C1276" s="7" t="str">
        <f>IFERROR(__xludf.DUMMYFUNCTION("""COMPUTED_VALUE"""),"Semantic role labeling (SRL) is a crucial task of natural language processing (NLP). Although generative decoder-based large language models (LLMs) have achieved remarkable success across various NLP tasks, they still lag behind state-of-the-art encoder-d"&amp;"ecoder (BERT-like) models in SRL. In this work, we seek to bridge this gap by equipping LLMs for SRL with two mechanisms: (a) retrieval-augmented generation and (b) self-correction. The first mechanism enables LLMs to leverage external linguistic knowledg"&amp;"e such as predicate and argument structure descriptions, while the second allows LLMs to identify and correct inconsistent SRL outputs. We conduct extensive experiments on three widely-used benchmarks of SRL (CPB1.0, CoNLL-2009, and CoNLL-2012). Results d"&amp;"emonstrate that our method achieves state-of-the-art performance in both Chinese and English, marking the first successful application of LLMs to surpass encoder-decoder approaches in SRL.")</f>
        <v>Semantic role labeling (SRL) is a crucial task of natural language processing (NLP). Although generative decoder-based large language models (LLMs) have achieved remarkable success across various NLP tasks, they still lag behind state-of-the-art encoder-decoder (BERT-like) models in SRL. In this work, we seek to bridge this gap by equipping LLMs for SRL with two mechanisms: (a) retrieval-augmented generation and (b) self-correction. The first mechanism enables LLMs to leverage external linguistic knowledge such as predicate and argument structure descriptions, while the second allows LLMs to identify and correct inconsistent SRL outputs. We conduct extensive experiments on three widely-used benchmarks of SRL (CPB1.0, CoNLL-2009, and CoNLL-2012). Results demonstrate that our method achieves state-of-the-art performance in both Chinese and English, marking the first successful application of LLMs to surpass encoder-decoder approaches in SRL.</v>
      </c>
      <c r="D1276" s="7" t="str">
        <f>IFERROR(__xludf.DUMMYFUNCTION("""COMPUTED_VALUE"""),"HuiYao Chen")</f>
        <v>HuiYao Chen</v>
      </c>
      <c r="E1276" s="7" t="str">
        <f>IFERROR(__xludf.DUMMYFUNCTION("""COMPUTED_VALUE"""),"Yes")</f>
        <v>Yes</v>
      </c>
      <c r="F1276" s="7" t="str">
        <f>IFERROR(__xludf.DUMMYFUNCTION("""COMPUTED_VALUE"""),"IP-Poster")</f>
        <v>IP-Poster</v>
      </c>
      <c r="G1276" s="7" t="str">
        <f>IFERROR(__xludf.DUMMYFUNCTION("""COMPUTED_VALUE"""),"In-Person")</f>
        <v>In-Person</v>
      </c>
      <c r="H1276" s="7" t="str">
        <f>IFERROR(__xludf.DUMMYFUNCTION("""COMPUTED_VALUE"""),"Hall 4/5")</f>
        <v>Hall 4/5</v>
      </c>
      <c r="I1276" s="7" t="str">
        <f>IFERROR(__xludf.DUMMYFUNCTION("""COMPUTED_VALUE"""),"Session 5 :IP-Posters Find ")</f>
        <v>Session 5 :IP-Posters Find </v>
      </c>
      <c r="J1276" s="7" t="str">
        <f>IFERROR(__xludf.DUMMYFUNCTION("""COMPUTED_VALUE"""),"Findings Posters - In-Person 1")</f>
        <v>Findings Posters - In-Person 1</v>
      </c>
      <c r="K1276" s="7"/>
      <c r="L1276" s="8">
        <f>IFERROR(__xludf.DUMMYFUNCTION("""COMPUTED_VALUE"""),45866.0)</f>
        <v>45866</v>
      </c>
      <c r="M1276" s="7" t="str">
        <f>IFERROR(__xludf.DUMMYFUNCTION("""COMPUTED_VALUE"""),"18:00-19:30")</f>
        <v>18:00-19:30</v>
      </c>
      <c r="N1276" s="7"/>
    </row>
    <row r="1277">
      <c r="A1277" s="7" t="str">
        <f>IFERROR(__xludf.DUMMYFUNCTION("""COMPUTED_VALUE"""),"4579-FIND")</f>
        <v>4579-FIND</v>
      </c>
      <c r="B1277" s="7" t="str">
        <f>IFERROR(__xludf.DUMMYFUNCTION("""COMPUTED_VALUE"""),"Lost in Transcription, Found in Distribution Shift: Demystifying Hallucination in Speech Foundation Models")</f>
        <v>Lost in Transcription, Found in Distribution Shift: Demystifying Hallucination in Speech Foundation Models</v>
      </c>
      <c r="C1277" s="7" t="str">
        <f>IFERROR(__xludf.DUMMYFUNCTION("""COMPUTED_VALUE"""),"Speech foundation models trained at a massive scale, both in terms of model and data size, result in robust systems capable of performing multiple speech tasks, including automatic speech recognition (ASR). These models transcend language and domain barri"&amp;"ers, yet effectively measuring their performance remains a challenge. Traditional metrics like word error rate (WER) and character error rate (CER) are commonly used to evaluate ASR performance but often fail to reflect transcription quality in critical c"&amp;"ontexts, particularly when detecting fabricated outputs. This phenomenon, known as hallucination, is especially concerning in high-stakes domains such as healthcare, legal, and aviation, where errors can have severe consequences. In our work, we address t"&amp;"his gap by investigating hallucination in ASR models. We examine how factors such as distribution shifts, model size, and model architecture influence the hallucination error rate (HER), a metric we introduce to quantify hallucinations. Our analysis of 20"&amp;" ASR models reveals 3 key insights: (1) High WERs can mask low hallucination rates, while low WERs may conceal dangerous hallucinations. (2) Synthetic noise, both adversarial and common perturbations like white noise, pitch shift, and time stretching, inc"&amp;"rease HER. (3) Distribution shift correlates strongly with HER ( (α = 0.91)
). Our findings highlight the importance of incorporating HER alongside traditional metrics like WER to better assess ASR model performance, particularly in high-stakes domains.")</f>
        <v>Speech foundation models trained at a massive scale, both in terms of model and data size, result in robust systems capable of performing multiple speech tasks, including automatic speech recognition (ASR). These models transcend language and domain barriers, yet effectively measuring their performance remains a challenge. Traditional metrics like word error rate (WER) and character error rate (CER) are commonly used to evaluate ASR performance but often fail to reflect transcription quality in critical contexts, particularly when detecting fabricated outputs. This phenomenon, known as hallucination, is especially concerning in high-stakes domains such as healthcare, legal, and aviation, where errors can have severe consequences. In our work, we address this gap by investigating hallucination in ASR models. We examine how factors such as distribution shifts, model size, and model architecture influence the hallucination error rate (HER), a metric we introduce to quantify hallucinations. Our analysis of 20 ASR models reveals 3 key insights: (1) High WERs can mask low hallucination rates, while low WERs may conceal dangerous hallucinations. (2) Synthetic noise, both adversarial and common perturbations like white noise, pitch shift, and time stretching, increase HER. (3) Distribution shift correlates strongly with HER ( (α = 0.91)
). Our findings highlight the importance of incorporating HER alongside traditional metrics like WER to better assess ASR model performance, particularly in high-stakes domains.</v>
      </c>
      <c r="D1277" s="7" t="str">
        <f>IFERROR(__xludf.DUMMYFUNCTION("""COMPUTED_VALUE"""),"Hanin or Monojit will attend.")</f>
        <v>Hanin or Monojit will attend.</v>
      </c>
      <c r="E1277" s="7" t="str">
        <f>IFERROR(__xludf.DUMMYFUNCTION("""COMPUTED_VALUE"""),"N/A")</f>
        <v>N/A</v>
      </c>
      <c r="F1277" s="7" t="str">
        <f>IFERROR(__xludf.DUMMYFUNCTION("""COMPUTED_VALUE"""),"Not Pres. ")</f>
        <v>Not Pres. </v>
      </c>
      <c r="G1277" s="7" t="str">
        <f>IFERROR(__xludf.DUMMYFUNCTION("""COMPUTED_VALUE"""),"NP Findings Not Presenting ")</f>
        <v>NP Findings Not Presenting </v>
      </c>
      <c r="H1277" s="7"/>
      <c r="I1277" s="7"/>
      <c r="J1277" s="7"/>
      <c r="K1277" s="7"/>
      <c r="L1277" s="8"/>
      <c r="M1277" s="7"/>
      <c r="N1277" s="7"/>
    </row>
    <row r="1278">
      <c r="A1278" s="7" t="str">
        <f>IFERROR(__xludf.DUMMYFUNCTION("""COMPUTED_VALUE"""),"4580-FIND")</f>
        <v>4580-FIND</v>
      </c>
      <c r="B1278" s="7" t="str">
        <f>IFERROR(__xludf.DUMMYFUNCTION("""COMPUTED_VALUE"""),"M2PA: A Multi-Memory Planning Agent for Open Worlds Inspired by Cognitive Theory")</f>
        <v>M2PA: A Multi-Memory Planning Agent for Open Worlds Inspired by Cognitive Theory</v>
      </c>
      <c r="C1278" s="7" t="str">
        <f>IFERROR(__xludf.DUMMYFUNCTION("""COMPUTED_VALUE"""),"Open-world planning poses a significant challenge for general artificial intelligence due to environmental complexity and task diversity, especially in long-term tasks and lifelong learning. Inspired by cognitive theories, we propose M2PA, an open-world m"&amp;"ulti-memory planning agent. M2PA innovates by combining Large Language Models (LLMs) with human-like multi-memory systems, aiming to fully leverage the strengths of both while mitigating their respective limitations. By integrating the expansive world kno"&amp;"wledge and language processing capabilities of LLMs with the perception and experience accumulation abilities of the human memory system, M2PA exhibits situation awareness, and experience generalization capabilities, as well as the potential for lifelong "&amp;"learning. In experiments, M2PA significantly outperforms current state-of-the-art agents across 50 Minecraft tasks in zero-shot learning. In exploratory lifelong learning experiments, M2PA demonstrates its continuous learning ability, achieving a \textbf{"&amp;"38.33%} success rate in the “ObtainDiamond” task. Our findings provide a novel paradigm for constructing more effective agents in open-world environments.")</f>
        <v>Open-world planning poses a significant challenge for general artificial intelligence due to environmental complexity and task diversity, especially in long-term tasks and lifelong learning. Inspired by cognitive theories, we propose M2PA, an open-world multi-memory planning agent. M2PA innovates by combining Large Language Models (LLMs) with human-like multi-memory systems, aiming to fully leverage the strengths of both while mitigating their respective limitations. By integrating the expansive world knowledge and language processing capabilities of LLMs with the perception and experience accumulation abilities of the human memory system, M2PA exhibits situation awareness, and experience generalization capabilities, as well as the potential for lifelong learning. In experiments, M2PA significantly outperforms current state-of-the-art agents across 50 Minecraft tasks in zero-shot learning. In exploratory lifelong learning experiments, M2PA demonstrates its continuous learning ability, achieving a \textbf{38.33%} success rate in the “ObtainDiamond” task. Our findings provide a novel paradigm for constructing more effective agents in open-world environments.</v>
      </c>
      <c r="D1278" s="7" t="str">
        <f>IFERROR(__xludf.DUMMYFUNCTION("""COMPUTED_VALUE"""),"Xintong Wang")</f>
        <v>Xintong Wang</v>
      </c>
      <c r="E1278" s="7" t="str">
        <f>IFERROR(__xludf.DUMMYFUNCTION("""COMPUTED_VALUE"""),"Yes")</f>
        <v>Yes</v>
      </c>
      <c r="F1278" s="7" t="str">
        <f>IFERROR(__xludf.DUMMYFUNCTION("""COMPUTED_VALUE"""),"IP-Poster")</f>
        <v>IP-Poster</v>
      </c>
      <c r="G1278" s="7" t="str">
        <f>IFERROR(__xludf.DUMMYFUNCTION("""COMPUTED_VALUE"""),"In-Person")</f>
        <v>In-Person</v>
      </c>
      <c r="H1278" s="7" t="str">
        <f>IFERROR(__xludf.DUMMYFUNCTION("""COMPUTED_VALUE"""),"Hall 4/5")</f>
        <v>Hall 4/5</v>
      </c>
      <c r="I1278" s="7" t="str">
        <f>IFERROR(__xludf.DUMMYFUNCTION("""COMPUTED_VALUE"""),"Session 12: IP-Posters")</f>
        <v>Session 12: IP-Posters</v>
      </c>
      <c r="J1278" s="7" t="str">
        <f>IFERROR(__xludf.DUMMYFUNCTION("""COMPUTED_VALUE"""),"Findings Posters - In-Person 4")</f>
        <v>Findings Posters - In-Person 4</v>
      </c>
      <c r="K1278" s="7"/>
      <c r="L1278" s="8">
        <f>IFERROR(__xludf.DUMMYFUNCTION("""COMPUTED_VALUE"""),45868.0)</f>
        <v>45868</v>
      </c>
      <c r="M1278" s="7" t="str">
        <f>IFERROR(__xludf.DUMMYFUNCTION("""COMPUTED_VALUE"""),"11:00-12:30")</f>
        <v>11:00-12:30</v>
      </c>
      <c r="N1278" s="7"/>
    </row>
    <row r="1279">
      <c r="A1279" s="7" t="str">
        <f>IFERROR(__xludf.DUMMYFUNCTION("""COMPUTED_VALUE"""),"4581-FIND")</f>
        <v>4581-FIND</v>
      </c>
      <c r="B1279" s="7" t="str">
        <f>IFERROR(__xludf.DUMMYFUNCTION("""COMPUTED_VALUE"""),"AnnaAgent: Dynamic Evolution Agent Systerm with Multi-Session Memory for Realistic Seeker Simulation")</f>
        <v>AnnaAgent: Dynamic Evolution Agent Systerm with Multi-Session Memory for Realistic Seeker Simulation</v>
      </c>
      <c r="C1279" s="7" t="str">
        <f>IFERROR(__xludf.DUMMYFUNCTION("""COMPUTED_VALUE"""),"Constrained by the cost and ethical concerns of involving real seekers in AI-driven mental health, researchers develop LLM-based conversational agents (CAs) with tailored configurations, such as profiles, symptoms, and scenarios, to simulate seekers. Whil"&amp;"e these efforts advance AI in mental health, achieving more realistic seeker simulation remains hindered by two key challenges: dynamic evolution and multi-session memory. Seekers' mental states often fluctuate during counseling, which typically spans mul"&amp;"tiple sessions. To address this, we propose **AnnaAgent**, an emotional and cognitive dynamic agent system equipped with tertiary memory. AnnaAgent incorporates an emotion modulator and a complaint elicitor trained on real counseling dialogues, enabling d"&amp;"ynamic control of the simulator's configurations. Additionally, its tertiary memory mechanism effectively integrates short-term and long-term memory across sessions. Evaluation results, both automated and manual, demonstrate that AnnaAgent achieves more r"&amp;"ealistic seeker simulation in psychological counseling compared to existing baselines. The ethically reviewed and screened code can be found on [Anonymous Github](https://anonymous.4open.science/r/AnnaAgent-9041).")</f>
        <v>Constrained by the cost and ethical concerns of involving real seekers in AI-driven mental health, researchers develop LLM-based conversational agents (CAs) with tailored configurations, such as profiles, symptoms, and scenarios, to simulate seekers. While these efforts advance AI in mental health, achieving more realistic seeker simulation remains hindered by two key challenges: dynamic evolution and multi-session memory. Seekers' mental states often fluctuate during counseling, which typically spans multiple sessions. To address this, we propose **AnnaAgent**, an emotional and cognitive dynamic agent system equipped with tertiary memory. AnnaAgent incorporates an emotion modulator and a complaint elicitor trained on real counseling dialogues, enabling dynamic control of the simulator's configurations. Additionally, its tertiary memory mechanism effectively integrates short-term and long-term memory across sessions. Evaluation results, both automated and manual, demonstrate that AnnaAgent achieves more realistic seeker simulation in psychological counseling compared to existing baselines. The ethically reviewed and screened code can be found on [Anonymous Github](https://anonymous.4open.science/r/AnnaAgent-9041).</v>
      </c>
      <c r="D1279" s="7" t="str">
        <f>IFERROR(__xludf.DUMMYFUNCTION("""COMPUTED_VALUE"""),"Xiaocui Yang")</f>
        <v>Xiaocui Yang</v>
      </c>
      <c r="E1279" s="7" t="str">
        <f>IFERROR(__xludf.DUMMYFUNCTION("""COMPUTED_VALUE"""),"Yes")</f>
        <v>Yes</v>
      </c>
      <c r="F1279" s="7" t="str">
        <f>IFERROR(__xludf.DUMMYFUNCTION("""COMPUTED_VALUE"""),"IP-Poster")</f>
        <v>IP-Poster</v>
      </c>
      <c r="G1279" s="7" t="str">
        <f>IFERROR(__xludf.DUMMYFUNCTION("""COMPUTED_VALUE"""),"In-Person")</f>
        <v>In-Person</v>
      </c>
      <c r="H1279" s="7" t="str">
        <f>IFERROR(__xludf.DUMMYFUNCTION("""COMPUTED_VALUE"""),"Hall 4/5")</f>
        <v>Hall 4/5</v>
      </c>
      <c r="I1279" s="7" t="str">
        <f>IFERROR(__xludf.DUMMYFUNCTION("""COMPUTED_VALUE"""),"Session 5 :IP-Posters Find ")</f>
        <v>Session 5 :IP-Posters Find </v>
      </c>
      <c r="J1279" s="7" t="str">
        <f>IFERROR(__xludf.DUMMYFUNCTION("""COMPUTED_VALUE"""),"Findings Posters - In-Person 1")</f>
        <v>Findings Posters - In-Person 1</v>
      </c>
      <c r="K1279" s="7"/>
      <c r="L1279" s="8">
        <f>IFERROR(__xludf.DUMMYFUNCTION("""COMPUTED_VALUE"""),45866.0)</f>
        <v>45866</v>
      </c>
      <c r="M1279" s="7" t="str">
        <f>IFERROR(__xludf.DUMMYFUNCTION("""COMPUTED_VALUE"""),"18:00-19:30")</f>
        <v>18:00-19:30</v>
      </c>
      <c r="N1279" s="7"/>
    </row>
    <row r="1280">
      <c r="A1280" s="7" t="str">
        <f>IFERROR(__xludf.DUMMYFUNCTION("""COMPUTED_VALUE"""),"4584-FIND")</f>
        <v>4584-FIND</v>
      </c>
      <c r="B1280" s="7" t="str">
        <f>IFERROR(__xludf.DUMMYFUNCTION("""COMPUTED_VALUE"""),"Diversification Catalyzes Language Models’ Instruction Generalization To Unseen Semantics")</f>
        <v>Diversification Catalyzes Language Models’ Instruction Generalization To Unseen Semantics</v>
      </c>
      <c r="C1280" s="7" t="str">
        <f>IFERROR(__xludf.DUMMYFUNCTION("""COMPUTED_VALUE"""),"Instruction-tuned language models excel in knowledge, reasoning, and instruction-following. While knowledge and reasoning are well-explored, the factors enabling generalization to unseen instructions remain underexplored due to challenges in isolating ins"&amp;"truction-following dynamics.
In this work, we model instruction-following as a computational process and design controlled experiments inspired by the Turing-complete Markov algorithm to disentangle its dynamics. Our findings reveal that the ability to g"&amp;"eneralize to instructions with unseen semantics emerges only when training data is strategically diversified across rich semantics. This finding gives us the hammer that breaks down the wall separating training instructions from unseen ones encountered in"&amp;" the wild. For specialist models, a balanced mix of in-domain and diverse out-of-domain tasks enhances performance more effectively than simply increasing in-domain data. For generalist models, domain diversification consistently outweighs the costs of re"&amp;"duced task-specific data, regardless of data budgets. Furthermore, we show that proper diversification with a lower data budget can outperform simply scaling up data volume. These findings highlight strategic data diversification as key to optimizing inst"&amp;"ruction-following and improving model performance across applications.")</f>
        <v>Instruction-tuned language models excel in knowledge, reasoning, and instruction-following. While knowledge and reasoning are well-explored, the factors enabling generalization to unseen instructions remain underexplored due to challenges in isolating instruction-following dynamics.
In this work, we model instruction-following as a computational process and design controlled experiments inspired by the Turing-complete Markov algorithm to disentangle its dynamics. Our findings reveal that the ability to generalize to instructions with unseen semantics emerges only when training data is strategically diversified across rich semantics. This finding gives us the hammer that breaks down the wall separating training instructions from unseen ones encountered in the wild. For specialist models, a balanced mix of in-domain and diverse out-of-domain tasks enhances performance more effectively than simply increasing in-domain data. For generalist models, domain diversification consistently outweighs the costs of reduced task-specific data, regardless of data budgets. Furthermore, we show that proper diversification with a lower data budget can outperform simply scaling up data volume. These findings highlight strategic data diversification as key to optimizing instruction-following and improving model performance across applications.</v>
      </c>
      <c r="D1280" s="7" t="str">
        <f>IFERROR(__xludf.DUMMYFUNCTION("""COMPUTED_VALUE"""),"Dylan Zhang")</f>
        <v>Dylan Zhang</v>
      </c>
      <c r="E1280" s="7" t="str">
        <f>IFERROR(__xludf.DUMMYFUNCTION("""COMPUTED_VALUE"""),"N/A")</f>
        <v>N/A</v>
      </c>
      <c r="F1280" s="7" t="str">
        <f>IFERROR(__xludf.DUMMYFUNCTION("""COMPUTED_VALUE"""),"Not Pres. ")</f>
        <v>Not Pres. </v>
      </c>
      <c r="G1280" s="7" t="str">
        <f>IFERROR(__xludf.DUMMYFUNCTION("""COMPUTED_VALUE"""),"NP Findings Not Presenting ")</f>
        <v>NP Findings Not Presenting </v>
      </c>
      <c r="H1280" s="7"/>
      <c r="I1280" s="7"/>
      <c r="J1280" s="7"/>
      <c r="K1280" s="7"/>
      <c r="L1280" s="8"/>
      <c r="M1280" s="7"/>
      <c r="N1280" s="7"/>
    </row>
    <row r="1281">
      <c r="A1281" s="7" t="str">
        <f>IFERROR(__xludf.DUMMYFUNCTION("""COMPUTED_VALUE"""),"4590-FIND")</f>
        <v>4590-FIND</v>
      </c>
      <c r="B1281" s="7" t="str">
        <f>IFERROR(__xludf.DUMMYFUNCTION("""COMPUTED_VALUE"""),"DecompileBench: A Comprehensive Benchmark for Evaluating Decompilers in Real-World Scenarios")</f>
        <v>DecompileBench: A Comprehensive Benchmark for Evaluating Decompilers in Real-World Scenarios</v>
      </c>
      <c r="C1281" s="7" t="str">
        <f>IFERROR(__xludf.DUMMYFUNCTION("""COMPUTED_VALUE"""),"Decompilers are fundamental tools for critical security tasks, from vulnerability discovery to malware analysis, yet their evaluation remains fragmented. Existing approaches primarily focus on syntactic correctness through synthetic micro-benchmarks or su"&amp;"bjective human ratings, failing to address real-world requirements for semantic fidelity and analyst usability. We present **DecompileBench**, the first comprehensive framework that enables effective evaluation of decompilers in reverse engineering workfl"&amp;"ows through three key components: real-world function extraction (comprising 23,400 functions from 130 real-world programs), runtime-aware validation, and automated human-centric assessment using LLM-as-Judge to quantify the effectiveness of decompilers i"&amp;"n reverse engineering workflows. Through a systematic comparison between six industrial-strength decompilers and six recent LLM-powered approaches, we demonstrate that LLM-based methods surpass commercial tools in code understandability despite 52.2% lowe"&amp;"r functionality correctness. These findings highlight the potential of LLM-based approaches to transform human-centric reverse engineering. We open source **DecompileBench** to provide a framework to advance research on decompilers and assist security exp"&amp;"erts in making informed tool selections based on their specific requirements.")</f>
        <v>Decompilers are fundamental tools for critical security tasks, from vulnerability discovery to malware analysis, yet their evaluation remains fragmented. Existing approaches primarily focus on syntactic correctness through synthetic micro-benchmarks or subjective human ratings, failing to address real-world requirements for semantic fidelity and analyst usability. We present **DecompileBench**, the first comprehensive framework that enables effective evaluation of decompilers in reverse engineering workflows through three key components: real-world function extraction (comprising 23,400 functions from 130 real-world programs), runtime-aware validation, and automated human-centric assessment using LLM-as-Judge to quantify the effectiveness of decompilers in reverse engineering workflows. Through a systematic comparison between six industrial-strength decompilers and six recent LLM-powered approaches, we demonstrate that LLM-based methods surpass commercial tools in code understandability despite 52.2% lower functionality correctness. These findings highlight the potential of LLM-based approaches to transform human-centric reverse engineering. We open source **DecompileBench** to provide a framework to advance research on decompilers and assist security experts in making informed tool selections based on their specific requirements.</v>
      </c>
      <c r="D1281" s="7" t="str">
        <f>IFERROR(__xludf.DUMMYFUNCTION("""COMPUTED_VALUE"""),"Yuxin Cui")</f>
        <v>Yuxin Cui</v>
      </c>
      <c r="E1281" s="7" t="str">
        <f>IFERROR(__xludf.DUMMYFUNCTION("""COMPUTED_VALUE"""),"Yes")</f>
        <v>Yes</v>
      </c>
      <c r="F1281" s="7" t="str">
        <f>IFERROR(__xludf.DUMMYFUNCTION("""COMPUTED_VALUE"""),"IP-Poster")</f>
        <v>IP-Poster</v>
      </c>
      <c r="G1281" s="7" t="str">
        <f>IFERROR(__xludf.DUMMYFUNCTION("""COMPUTED_VALUE"""),"In-Person")</f>
        <v>In-Person</v>
      </c>
      <c r="H1281" s="7" t="str">
        <f>IFERROR(__xludf.DUMMYFUNCTION("""COMPUTED_VALUE"""),"Hall 4/5")</f>
        <v>Hall 4/5</v>
      </c>
      <c r="I1281" s="7" t="str">
        <f>IFERROR(__xludf.DUMMYFUNCTION("""COMPUTED_VALUE"""),"Session 12: IP-Posters")</f>
        <v>Session 12: IP-Posters</v>
      </c>
      <c r="J1281" s="7" t="str">
        <f>IFERROR(__xludf.DUMMYFUNCTION("""COMPUTED_VALUE"""),"Findings Posters - In-Person 4")</f>
        <v>Findings Posters - In-Person 4</v>
      </c>
      <c r="K1281" s="7"/>
      <c r="L1281" s="8">
        <f>IFERROR(__xludf.DUMMYFUNCTION("""COMPUTED_VALUE"""),45868.0)</f>
        <v>45868</v>
      </c>
      <c r="M1281" s="7" t="str">
        <f>IFERROR(__xludf.DUMMYFUNCTION("""COMPUTED_VALUE"""),"11:00-12:30")</f>
        <v>11:00-12:30</v>
      </c>
      <c r="N1281" s="7"/>
    </row>
    <row r="1282">
      <c r="A1282" s="7" t="str">
        <f>IFERROR(__xludf.DUMMYFUNCTION("""COMPUTED_VALUE"""),"4592-FIND")</f>
        <v>4592-FIND</v>
      </c>
      <c r="B1282" s="7" t="str">
        <f>IFERROR(__xludf.DUMMYFUNCTION("""COMPUTED_VALUE"""),"Thinking Before Running! Efficient Code Generation with Thorough Exploration and Optimal Refinement")</f>
        <v>Thinking Before Running! Efficient Code Generation with Thorough Exploration and Optimal Refinement</v>
      </c>
      <c r="C1282" s="7" t="str">
        <f>IFERROR(__xludf.DUMMYFUNCTION("""COMPUTED_VALUE"""),"Code generation is crucial in software engineering for automating the coding process efficiently. 
While test-time computation methods show promise, they suffer from high latency due to multiple computation rounds.
To overcome this, we introduce \textbf{T"&amp;"hinkCoder}, a framework that combines thorough exploration with optimal refinement.
The exploration phase diversifies the solution space by searching for potential solutions, followed by a refinement phase that enhances precision.
This approach allows us "&amp;"to select the best solution through careful consideration before taking action, avoiding excessive trial and error.
To further minimize test-time computation overhead, we introduce preference-driven optimization with Reinforced Self-Training (ReST), which"&amp;" uses exploration trajectories from ThinkCoder to guide LLM's evolution.
This approach enhances LLM's exploration efficiency via preference learning, cutting costs while maintaining accuracy.
ThinkCoder boosts the performance with a single LLM, excelling "&amp;"on benchmarks like HumanEval and MBPP. 
Compared to SOTA models, it improves Pass@1 by 3.0\% over MapCoder with just 6.4\% of the computation cost.
Against AgentCoder, ThinkCoder achieves a 0.5\% higher Pass@1 after 2 rounds, outperforming AgentCoder's 5 "&amp;"rounds.
Additionally, ReST with success trajectories enhances efficiency, allowing models like LLaMA2-7B to achieve competitive results using only 20\% of the computational resources. 
These results highlight the framework's effectiveness and scalability."&amp;" 
\footnote{The code is available at \url{https://github.com/xiaoqzhwhu/ThinkCoder}}")</f>
        <v>Code generation is crucial in software engineering for automating the coding process efficiently. 
While test-time computation methods show promise, they suffer from high latency due to multiple computation rounds.
To overcome this, we introduce \textbf{ThinkCoder}, a framework that combines thorough exploration with optimal refinement.
The exploration phase diversifies the solution space by searching for potential solutions, followed by a refinement phase that enhances precision.
This approach allows us to select the best solution through careful consideration before taking action, avoiding excessive trial and error.
To further minimize test-time computation overhead, we introduce preference-driven optimization with Reinforced Self-Training (ReST), which uses exploration trajectories from ThinkCoder to guide LLM's evolution.
This approach enhances LLM's exploration efficiency via preference learning, cutting costs while maintaining accuracy.
ThinkCoder boosts the performance with a single LLM, excelling on benchmarks like HumanEval and MBPP. 
Compared to SOTA models, it improves Pass@1 by 3.0\% over MapCoder with just 6.4\% of the computation cost.
Against AgentCoder, ThinkCoder achieves a 0.5\% higher Pass@1 after 2 rounds, outperforming AgentCoder's 5 rounds.
Additionally, ReST with success trajectories enhances efficiency, allowing models like LLaMA2-7B to achieve competitive results using only 20\% of the computational resources. 
These results highlight the framework's effectiveness and scalability. 
\footnote{The code is available at \url{https://github.com/xiaoqzhwhu/ThinkCoder}}</v>
      </c>
      <c r="D1282" s="7" t="str">
        <f>IFERROR(__xludf.DUMMYFUNCTION("""COMPUTED_VALUE"""),"Yuhan Liu")</f>
        <v>Yuhan Liu</v>
      </c>
      <c r="E1282" s="7" t="str">
        <f>IFERROR(__xludf.DUMMYFUNCTION("""COMPUTED_VALUE"""),"Yes")</f>
        <v>Yes</v>
      </c>
      <c r="F1282" s="7" t="str">
        <f>IFERROR(__xludf.DUMMYFUNCTION("""COMPUTED_VALUE"""),"IP-Poster")</f>
        <v>IP-Poster</v>
      </c>
      <c r="G1282" s="7" t="str">
        <f>IFERROR(__xludf.DUMMYFUNCTION("""COMPUTED_VALUE"""),"In-Person")</f>
        <v>In-Person</v>
      </c>
      <c r="H1282" s="7" t="str">
        <f>IFERROR(__xludf.DUMMYFUNCTION("""COMPUTED_VALUE"""),"Hall 4/5")</f>
        <v>Hall 4/5</v>
      </c>
      <c r="I1282" s="7" t="str">
        <f>IFERROR(__xludf.DUMMYFUNCTION("""COMPUTED_VALUE"""),"Session 12: IP-Posters")</f>
        <v>Session 12: IP-Posters</v>
      </c>
      <c r="J1282" s="7" t="str">
        <f>IFERROR(__xludf.DUMMYFUNCTION("""COMPUTED_VALUE"""),"Findings Posters - In-Person 4")</f>
        <v>Findings Posters - In-Person 4</v>
      </c>
      <c r="K1282" s="7"/>
      <c r="L1282" s="8">
        <f>IFERROR(__xludf.DUMMYFUNCTION("""COMPUTED_VALUE"""),45868.0)</f>
        <v>45868</v>
      </c>
      <c r="M1282" s="7" t="str">
        <f>IFERROR(__xludf.DUMMYFUNCTION("""COMPUTED_VALUE"""),"11:00-12:30")</f>
        <v>11:00-12:30</v>
      </c>
      <c r="N1282" s="7"/>
    </row>
    <row r="1283">
      <c r="A1283" s="7" t="str">
        <f>IFERROR(__xludf.DUMMYFUNCTION("""COMPUTED_VALUE"""),"4604-FIND")</f>
        <v>4604-FIND</v>
      </c>
      <c r="B1283" s="7" t="str">
        <f>IFERROR(__xludf.DUMMYFUNCTION("""COMPUTED_VALUE"""),"Edit Once, Update Everywhere: A Simple Framework for Cross-Lingual Knowledge Synchronization in LLMs")</f>
        <v>Edit Once, Update Everywhere: A Simple Framework for Cross-Lingual Knowledge Synchronization in LLMs</v>
      </c>
      <c r="C1283" s="7" t="str">
        <f>IFERROR(__xludf.DUMMYFUNCTION("""COMPUTED_VALUE"""),"Knowledge editing allows for efficient adaptation of large language models (LLMs) to new information or corrections without requiring full retraining. However, prior methods typically focus on either single-language editing or basic multilingual editing, "&amp;"failing to achieve true cross-linguistic knowledge synchronization. To address this, we present a simple and practical state-of-the-art (SOTA) recipe Cross-Lingual Knowledge Democracy Edit (X-KDE), designed to propagate knowledge from a dominant language "&amp;"to other languages effectively. Our X-KDE comprises two stages: (i) Cross-lingual Edition Instruction Tuning (XE-IT), which fine-tunes the model on a curated parallel dataset to modify in-scope knowledge while preserving unrelated information, and (ii) Ta"&amp;"rget-language Preference Optimization (TL-PO), which applies advanced optimization techniques to ensure consistency across languages, fostering the transfer of updates. Additionally, we contribute a high-quality, cross-lingual dataset, specifically design"&amp;"ed to enhance knowledge transfer across languages. Extensive experiments on the Bi-ZsRE and MzsRE benchmarks show that X-KDE significantly enhances cross-lingual performance, achieving an average improvement of +8.19%, while maintaining high accuracy in m"&amp;"onolingual settings.")</f>
        <v>Knowledge editing allows for efficient adaptation of large language models (LLMs) to new information or corrections without requiring full retraining. However, prior methods typically focus on either single-language editing or basic multilingual editing, failing to achieve true cross-linguistic knowledge synchronization. To address this, we present a simple and practical state-of-the-art (SOTA) recipe Cross-Lingual Knowledge Democracy Edit (X-KDE), designed to propagate knowledge from a dominant language to other languages effectively. Our X-KDE comprises two stages: (i) Cross-lingual Edition Instruction Tuning (XE-IT), which fine-tunes the model on a curated parallel dataset to modify in-scope knowledge while preserving unrelated information, and (ii) Target-language Preference Optimization (TL-PO), which applies advanced optimization techniques to ensure consistency across languages, fostering the transfer of updates. Additionally, we contribute a high-quality, cross-lingual dataset, specifically designed to enhance knowledge transfer across languages. Extensive experiments on the Bi-ZsRE and MzsRE benchmarks show that X-KDE significantly enhances cross-lingual performance, achieving an average improvement of +8.19%, while maintaining high accuracy in monolingual settings.</v>
      </c>
      <c r="D1283" s="7" t="str">
        <f>IFERROR(__xludf.DUMMYFUNCTION("""COMPUTED_VALUE"""),"Yuchen Wu")</f>
        <v>Yuchen Wu</v>
      </c>
      <c r="E1283" s="7" t="str">
        <f>IFERROR(__xludf.DUMMYFUNCTION("""COMPUTED_VALUE"""),"#N/A")</f>
        <v>#N/A</v>
      </c>
      <c r="F1283" s="7" t="str">
        <f>IFERROR(__xludf.DUMMYFUNCTION("""COMPUTED_VALUE"""),"Not Pres. ")</f>
        <v>Not Pres. </v>
      </c>
      <c r="G1283" s="7" t="str">
        <f>IFERROR(__xludf.DUMMYFUNCTION("""COMPUTED_VALUE"""),"NP Findings Not Presenting ")</f>
        <v>NP Findings Not Presenting </v>
      </c>
      <c r="H1283" s="7"/>
      <c r="I1283" s="7" t="str">
        <f>IFERROR(__xludf.DUMMYFUNCTION("""COMPUTED_VALUE"""),"NP-Find")</f>
        <v>NP-Find</v>
      </c>
      <c r="J1283" s="7"/>
      <c r="K1283" s="7"/>
      <c r="L1283" s="8"/>
      <c r="M1283" s="7"/>
      <c r="N1283" s="7"/>
    </row>
    <row r="1284">
      <c r="A1284" s="7" t="str">
        <f>IFERROR(__xludf.DUMMYFUNCTION("""COMPUTED_VALUE"""),"4606-FIND")</f>
        <v>4606-FIND</v>
      </c>
      <c r="B1284" s="7" t="str">
        <f>IFERROR(__xludf.DUMMYFUNCTION("""COMPUTED_VALUE"""),"SafeChain: Safety of Language Models with Long Chain-of-Thought Reasoning Capabilities")</f>
        <v>SafeChain: Safety of Language Models with Long Chain-of-Thought Reasoning Capabilities</v>
      </c>
      <c r="C1284" s="7" t="str">
        <f>IFERROR(__xludf.DUMMYFUNCTION("""COMPUTED_VALUE"""),"Emerging large reasoning models (LRMs), such as DeepSeek-R1 models, leverage long chain-of-thought (CoT) reasoning to generate structured intermediate steps, enhancing their reasoning capabilities. However, long CoT does not inherently guarantee safe outp"&amp;"uts, potentially leading to harmful consequences such as the introduction of security vulnerabilities in code or the spread of misinformation. Current research on large language model (LLM) safety usually focuses on short-answer responses, overlooking the"&amp;" long CoT style outputs of LRMs. To bridge this gap, we conduct a systematic study of LRM safety. First, we investigate safety evaluators calibrated against human annotations. Using our newly developed metrics, we thoroughly assess the safety of 12 state-"&amp;"of-the-art LRMs on StrongReject and WildJailbreak datasets. Our results show that LRMs are not safe compared to their reasoning advance. Further, we perform a fine-grained analysis of the reasoning trace and final answer. We find that three decoding strat"&amp;"egies-ZeroThink, LessThink, and MoreThink-can improve model safety without additional training. However, these strategies either use constrained reasoning traces or incur high inference costs. To better strengthen LRM safety, we introduce SafeChain, the f"&amp;"irst-of-its-kind safety training dataset in CoT style. We fine-tune two LRMs with SafeChain, showing that it not only enhances model safety but also preserves performance across 6 reasoning benchmarks.")</f>
        <v>Emerging large reasoning models (LRMs), such as DeepSeek-R1 models, leverage long chain-of-thought (CoT) reasoning to generate structured intermediate steps, enhancing their reasoning capabilities. However, long CoT does not inherently guarantee safe outputs, potentially leading to harmful consequences such as the introduction of security vulnerabilities in code or the spread of misinformation. Current research on large language model (LLM) safety usually focuses on short-answer responses, overlooking the long CoT style outputs of LRMs. To bridge this gap, we conduct a systematic study of LRM safety. First, we investigate safety evaluators calibrated against human annotations. Using our newly developed metrics, we thoroughly assess the safety of 12 state-of-the-art LRMs on StrongReject and WildJailbreak datasets. Our results show that LRMs are not safe compared to their reasoning advance. Further, we perform a fine-grained analysis of the reasoning trace and final answer. We find that three decoding strategies-ZeroThink, LessThink, and MoreThink-can improve model safety without additional training. However, these strategies either use constrained reasoning traces or incur high inference costs. To better strengthen LRM safety, we introduce SafeChain, the first-of-its-kind safety training dataset in CoT style. We fine-tune two LRMs with SafeChain, showing that it not only enhances model safety but also preserves performance across 6 reasoning benchmarks.</v>
      </c>
      <c r="D1284" s="7" t="str">
        <f>IFERROR(__xludf.DUMMYFUNCTION("""COMPUTED_VALUE"""),"Fengqing Jiang")</f>
        <v>Fengqing Jiang</v>
      </c>
      <c r="E1284" s="7" t="str">
        <f>IFERROR(__xludf.DUMMYFUNCTION("""COMPUTED_VALUE"""),"Yes")</f>
        <v>Yes</v>
      </c>
      <c r="F1284" s="7" t="str">
        <f>IFERROR(__xludf.DUMMYFUNCTION("""COMPUTED_VALUE"""),"Not Pres. ")</f>
        <v>Not Pres. </v>
      </c>
      <c r="G1284" s="7" t="str">
        <f>IFERROR(__xludf.DUMMYFUNCTION("""COMPUTED_VALUE"""),"NP Findings Not Presenting ")</f>
        <v>NP Findings Not Presenting </v>
      </c>
      <c r="H1284" s="7"/>
      <c r="I1284" s="7"/>
      <c r="J1284" s="7"/>
      <c r="K1284" s="7"/>
      <c r="L1284" s="8"/>
      <c r="M1284" s="7"/>
      <c r="N1284" s="7"/>
    </row>
    <row r="1285">
      <c r="A1285" s="7" t="str">
        <f>IFERROR(__xludf.DUMMYFUNCTION("""COMPUTED_VALUE"""),"4610-FIND")</f>
        <v>4610-FIND</v>
      </c>
      <c r="B1285" s="7" t="str">
        <f>IFERROR(__xludf.DUMMYFUNCTION("""COMPUTED_VALUE"""),"ETRQA: A Comprehensive Benchmark for Evaluating Event Temporal Reasoning Abilities of Large Language Models")</f>
        <v>ETRQA: A Comprehensive Benchmark for Evaluating Event Temporal Reasoning Abilities of Large Language Models</v>
      </c>
      <c r="C1285" s="7" t="str">
        <f>IFERROR(__xludf.DUMMYFUNCTION("""COMPUTED_VALUE"""),"Event temporal reasoning (ETR) aims to model and reason about the relationships between events and time, as well as between events in the real world. The proficient ETR ability is a significant indicator that a large language model (LLM) truly understands"&amp;" the physical world. Previous question-answering datasets available for evaluating the ETR ability lack a systematic taxonomy and have paid limited attention to compound questions. In this paper, we propose a unified taxonomy for event temporal questions "&amp;"and construct a comprehensive benchmark, named ETRQA, to evaluate the ETR abilities of LLMs based on this taxonomy. ETRQA not only inherits and expands the evaluation content of existing datasets but also contains multiple categories of compound questions"&amp;". We evaluate two leading LLM series, Llama and Qwen, on ETRQA across various settings. Our experimental results indicate that large-scale LLMs exhibit certain ETR abilities. However, they still do not perform well in solving specific types of reasoning t"&amp;"asks, such as reasoning involving time spans, reasoning for compound questions, and reasoning with fine temporal granularity. In addition, we hope ETRQA can benefit the temporal reasoning research community for future studies. Code and data will be releas"&amp;"ed.")</f>
        <v>Event temporal reasoning (ETR) aims to model and reason about the relationships between events and time, as well as between events in the real world. The proficient ETR ability is a significant indicator that a large language model (LLM) truly understands the physical world. Previous question-answering datasets available for evaluating the ETR ability lack a systematic taxonomy and have paid limited attention to compound questions. In this paper, we propose a unified taxonomy for event temporal questions and construct a comprehensive benchmark, named ETRQA, to evaluate the ETR abilities of LLMs based on this taxonomy. ETRQA not only inherits and expands the evaluation content of existing datasets but also contains multiple categories of compound questions. We evaluate two leading LLM series, Llama and Qwen, on ETRQA across various settings. Our experimental results indicate that large-scale LLMs exhibit certain ETR abilities. However, they still do not perform well in solving specific types of reasoning tasks, such as reasoning involving time spans, reasoning for compound questions, and reasoning with fine temporal granularity. In addition, we hope ETRQA can benefit the temporal reasoning research community for future studies. Code and data will be released.</v>
      </c>
      <c r="D1285" s="7" t="str">
        <f>IFERROR(__xludf.DUMMYFUNCTION("""COMPUTED_VALUE"""),"Sigang Luo")</f>
        <v>Sigang Luo</v>
      </c>
      <c r="E1285" s="7" t="str">
        <f>IFERROR(__xludf.DUMMYFUNCTION("""COMPUTED_VALUE"""),"#N/A")</f>
        <v>#N/A</v>
      </c>
      <c r="F1285" s="7" t="str">
        <f>IFERROR(__xludf.DUMMYFUNCTION("""COMPUTED_VALUE"""),"Not Pres. ")</f>
        <v>Not Pres. </v>
      </c>
      <c r="G1285" s="7" t="str">
        <f>IFERROR(__xludf.DUMMYFUNCTION("""COMPUTED_VALUE"""),"NP Findings Not Presenting ")</f>
        <v>NP Findings Not Presenting </v>
      </c>
      <c r="H1285" s="7"/>
      <c r="I1285" s="7" t="str">
        <f>IFERROR(__xludf.DUMMYFUNCTION("""COMPUTED_VALUE"""),"NP-Find")</f>
        <v>NP-Find</v>
      </c>
      <c r="J1285" s="7"/>
      <c r="K1285" s="7"/>
      <c r="L1285" s="8"/>
      <c r="M1285" s="7"/>
      <c r="N1285" s="7"/>
    </row>
    <row r="1286">
      <c r="A1286" s="7" t="str">
        <f>IFERROR(__xludf.DUMMYFUNCTION("""COMPUTED_VALUE"""),"4611-FIND")</f>
        <v>4611-FIND</v>
      </c>
      <c r="B1286" s="7" t="str">
        <f>IFERROR(__xludf.DUMMYFUNCTION("""COMPUTED_VALUE"""),"The Law of Knowledge Overshadowing: Towards Understanding, Predicting and Preventing LLM Hallucination")</f>
        <v>The Law of Knowledge Overshadowing: Towards Understanding, Predicting and Preventing LLM Hallucination</v>
      </c>
      <c r="C1286" s="7" t="str">
        <f>IFERROR(__xludf.DUMMYFUNCTION("""COMPUTED_VALUE"""),"Hallucination is a persistent challenge in large language models (LLMs), where even with rigorous quality control, models often generate distorted facts. This paradox, in which error generation continues despite high-quality training data, calls for a dee"&amp;"per understanding of the underlying LLM mechanisms. To address it, we propose a novel concept: knowledge overshadowing, where model’s dominant knowledge can obscure less prominent knowledge during text generation, causing the model to fabricate inaccurate"&amp;" details. Building on this idea, we introduce a novel framework to quantify factual hallucinations by modeling knowledge overshadowing. Central to our approach is the log-linear law, which predicts that the rate of factual hallucination increases linearly"&amp;" with the logarithmic scale of (1) Knowledge Popularity, (2) Knowledge Length, and (3) Model Size. The law provides a means to preemptively quantify hallucinations, offering foresight into their occurrence even before model training or inference. Built on"&amp;" overshadowing effect, we propose a new decoding strategy CoDa, to mitigate hallucinations, which notably enhance model factuality on Overshadow (27.9%), MemoTrap (13.1%) and NQ-Swap (18.3%). Our findings not only deepen understandings of the underlying m"&amp;"echanisms behind hallucinations but also provide actionable insights for developing more predictable and controllable language models.")</f>
        <v>Hallucination is a persistent challenge in large language models (LLMs), where even with rigorous quality control, models often generate distorted facts. This paradox, in which error generation continues despite high-quality training data, calls for a deeper understanding of the underlying LLM mechanisms. To address it, we propose a novel concept: knowledge overshadowing, where model’s dominant knowledge can obscure less prominent knowledge during text generation, causing the model to fabricate inaccurate details. Building on this idea, we introduce a novel framework to quantify factual hallucinations by modeling knowledge overshadowing. Central to our approach is the log-linear law, which predicts that the rate of factual hallucination increases linearly with the logarithmic scale of (1) Knowledge Popularity, (2) Knowledge Length, and (3) Model Size. The law provides a means to preemptively quantify hallucinations, offering foresight into their occurrence even before model training or inference. Built on overshadowing effect, we propose a new decoding strategy CoDa, to mitigate hallucinations, which notably enhance model factuality on Overshadow (27.9%), MemoTrap (13.1%) and NQ-Swap (18.3%). Our findings not only deepen understandings of the underlying mechanisms behind hallucinations but also provide actionable insights for developing more predictable and controllable language models.</v>
      </c>
      <c r="D1286" s="7" t="str">
        <f>IFERROR(__xludf.DUMMYFUNCTION("""COMPUTED_VALUE"""),"Yuji Zhang")</f>
        <v>Yuji Zhang</v>
      </c>
      <c r="E1286" s="7" t="str">
        <f>IFERROR(__xludf.DUMMYFUNCTION("""COMPUTED_VALUE"""),"Yes")</f>
        <v>Yes</v>
      </c>
      <c r="F1286" s="7" t="str">
        <f>IFERROR(__xludf.DUMMYFUNCTION("""COMPUTED_VALUE"""),"IP-Poster")</f>
        <v>IP-Poster</v>
      </c>
      <c r="G1286" s="7" t="str">
        <f>IFERROR(__xludf.DUMMYFUNCTION("""COMPUTED_VALUE"""),"In-Person")</f>
        <v>In-Person</v>
      </c>
      <c r="H1286" s="7" t="str">
        <f>IFERROR(__xludf.DUMMYFUNCTION("""COMPUTED_VALUE"""),"Hall 4/5")</f>
        <v>Hall 4/5</v>
      </c>
      <c r="I1286" s="7" t="str">
        <f>IFERROR(__xludf.DUMMYFUNCTION("""COMPUTED_VALUE"""),"Session 12: IP-Posters")</f>
        <v>Session 12: IP-Posters</v>
      </c>
      <c r="J1286" s="7" t="str">
        <f>IFERROR(__xludf.DUMMYFUNCTION("""COMPUTED_VALUE"""),"Findings Posters - In-Person 4")</f>
        <v>Findings Posters - In-Person 4</v>
      </c>
      <c r="K1286" s="7"/>
      <c r="L1286" s="8">
        <f>IFERROR(__xludf.DUMMYFUNCTION("""COMPUTED_VALUE"""),45868.0)</f>
        <v>45868</v>
      </c>
      <c r="M1286" s="7" t="str">
        <f>IFERROR(__xludf.DUMMYFUNCTION("""COMPUTED_VALUE"""),"11:00-12:30")</f>
        <v>11:00-12:30</v>
      </c>
      <c r="N1286" s="7"/>
    </row>
    <row r="1287">
      <c r="A1287" s="7" t="str">
        <f>IFERROR(__xludf.DUMMYFUNCTION("""COMPUTED_VALUE"""),"4621-FIND")</f>
        <v>4621-FIND</v>
      </c>
      <c r="B1287" s="7" t="str">
        <f>IFERROR(__xludf.DUMMYFUNCTION("""COMPUTED_VALUE"""),"EQS: Unified Entity-Query-Sentence Contrastive Learning for Multimodal Temporal Knowledge Graph Completion")</f>
        <v>EQS: Unified Entity-Query-Sentence Contrastive Learning for Multimodal Temporal Knowledge Graph Completion</v>
      </c>
      <c r="C1287" s="7" t="str">
        <f>IFERROR(__xludf.DUMMYFUNCTION("""COMPUTED_VALUE"""),"Temporal Knowledge Graph Completion (TKGC) aims to infer missing entities based on known historical events. Recent researches focus on utilizing structural and textual information for inference while overlooking the potential of multimodal information to "&amp;"provide semantic cues. Considering the potential of multimodal information to provide insights into temporal knowledge, we propose the Multimodal Temporal Knowledge Graph Completion (MTKGC) and few-shot MTKGC tasks. We also propose EQS, a unified Entity-Q"&amp;"uery-Sentence contrastive learning framework of multimodal historical sequence for MTKGC. Specifically, we treat temporal facts as multimodal historical event sequences, which are fed to a pre-trained language model. We propose a unified Entity-Query-Sent"&amp;"ence contrastive learning objective by combining them in a common semantic similarity space. By enlarging the query-entity similarity of positive pairs and minimizing the sentence-entity similarity of negative ones, EQS better distinguishes similar multim"&amp;"odal temporal sequences with different target entities. We construct the multimodal information for both existing TKGC datasets and few-shot ones. Experiments show that our framework achieves promising performances compared to baselines in both settings, "&amp;"demonstrating that our method effectively leverages multimodal information for temporal inference.")</f>
        <v>Temporal Knowledge Graph Completion (TKGC) aims to infer missing entities based on known historical events. Recent researches focus on utilizing structural and textual information for inference while overlooking the potential of multimodal information to provide semantic cues. Considering the potential of multimodal information to provide insights into temporal knowledge, we propose the Multimodal Temporal Knowledge Graph Completion (MTKGC) and few-shot MTKGC tasks. We also propose EQS, a unified Entity-Query-Sentence contrastive learning framework of multimodal historical sequence for MTKGC. Specifically, we treat temporal facts as multimodal historical event sequences, which are fed to a pre-trained language model. We propose a unified Entity-Query-Sentence contrastive learning objective by combining them in a common semantic similarity space. By enlarging the query-entity similarity of positive pairs and minimizing the sentence-entity similarity of negative ones, EQS better distinguishes similar multimodal temporal sequences with different target entities. We construct the multimodal information for both existing TKGC datasets and few-shot ones. Experiments show that our framework achieves promising performances compared to baselines in both settings, demonstrating that our method effectively leverages multimodal information for temporal inference.</v>
      </c>
      <c r="D1287" s="7" t="str">
        <f>IFERROR(__xludf.DUMMYFUNCTION("""COMPUTED_VALUE"""),"-")</f>
        <v>-</v>
      </c>
      <c r="E1287" s="7" t="str">
        <f>IFERROR(__xludf.DUMMYFUNCTION("""COMPUTED_VALUE"""),"#N/A")</f>
        <v>#N/A</v>
      </c>
      <c r="F1287" s="7" t="str">
        <f>IFERROR(__xludf.DUMMYFUNCTION("""COMPUTED_VALUE"""),"Not Pres. ")</f>
        <v>Not Pres. </v>
      </c>
      <c r="G1287" s="7" t="str">
        <f>IFERROR(__xludf.DUMMYFUNCTION("""COMPUTED_VALUE"""),"NP Findings Not Presenting ")</f>
        <v>NP Findings Not Presenting </v>
      </c>
      <c r="H1287" s="7"/>
      <c r="I1287" s="7" t="str">
        <f>IFERROR(__xludf.DUMMYFUNCTION("""COMPUTED_VALUE"""),"NP-Find")</f>
        <v>NP-Find</v>
      </c>
      <c r="J1287" s="7"/>
      <c r="K1287" s="7"/>
      <c r="L1287" s="8"/>
      <c r="M1287" s="7"/>
      <c r="N1287" s="7"/>
    </row>
    <row r="1288">
      <c r="A1288" s="7" t="str">
        <f>IFERROR(__xludf.DUMMYFUNCTION("""COMPUTED_VALUE"""),"4623-FIND")</f>
        <v>4623-FIND</v>
      </c>
      <c r="B1288" s="7" t="str">
        <f>IFERROR(__xludf.DUMMYFUNCTION("""COMPUTED_VALUE"""),"LegoMT2: Selective Asynchronous Sharded Data Parallel Training for Massive Neural Machine Translation")</f>
        <v>LegoMT2: Selective Asynchronous Sharded Data Parallel Training for Massive Neural Machine Translation</v>
      </c>
      <c r="C1288" s="7" t="str">
        <f>IFERROR(__xludf.DUMMYFUNCTION("""COMPUTED_VALUE"""),"It is a critical challenge to learn a single model for massive languages. Prior methods focus on increasing the model size and training data size. However, large models are difficult to optimize efficiently even with distributed parallel training and tran"&amp;"slation capacity can interfere among languages. To address the challenge, we propose LegoMT2, an efficient training approach with an asymmetric multi-way model architecture for massive multilingual neural machine translation. LegoMT2 shards 435 languages "&amp;"into 8 language-centric groups and attributes one local encoder for each group's languages and a mix encoder-decoder for all languages. LegoMT2 trains the model through local data parallel and asynchronous distributed updating of parameters. LegoMT2 is 16"&amp;".2$\times$ faster than the distributed training method for M2M-100-12B (which only for 100 languages) while improving the translation results by an average of 2.2 BLEU on Flores-101. We will release the model and code to the public.")</f>
        <v>It is a critical challenge to learn a single model for massive languages. Prior methods focus on increasing the model size and training data size. However, large models are difficult to optimize efficiently even with distributed parallel training and translation capacity can interfere among languages. To address the challenge, we propose LegoMT2, an efficient training approach with an asymmetric multi-way model architecture for massive multilingual neural machine translation. LegoMT2 shards 435 languages into 8 language-centric groups and attributes one local encoder for each group's languages and a mix encoder-decoder for all languages. LegoMT2 trains the model through local data parallel and asynchronous distributed updating of parameters. LegoMT2 is 16.2$\times$ faster than the distributed training method for M2M-100-12B (which only for 100 languages) while improving the translation results by an average of 2.2 BLEU on Flores-101. We will release the model and code to the public.</v>
      </c>
      <c r="D1288" s="7" t="str">
        <f>IFERROR(__xludf.DUMMYFUNCTION("""COMPUTED_VALUE"""),"Fei Yuan")</f>
        <v>Fei Yuan</v>
      </c>
      <c r="E1288" s="7" t="str">
        <f>IFERROR(__xludf.DUMMYFUNCTION("""COMPUTED_VALUE"""),"N/A")</f>
        <v>N/A</v>
      </c>
      <c r="F1288" s="7" t="str">
        <f>IFERROR(__xludf.DUMMYFUNCTION("""COMPUTED_VALUE"""),"Not Pres. ")</f>
        <v>Not Pres. </v>
      </c>
      <c r="G1288" s="7" t="str">
        <f>IFERROR(__xludf.DUMMYFUNCTION("""COMPUTED_VALUE"""),"NP Findings Not Presenting ")</f>
        <v>NP Findings Not Presenting </v>
      </c>
      <c r="H1288" s="7"/>
      <c r="I1288" s="7"/>
      <c r="J1288" s="7"/>
      <c r="K1288" s="7"/>
      <c r="L1288" s="8"/>
      <c r="M1288" s="7"/>
      <c r="N1288" s="7"/>
    </row>
    <row r="1289">
      <c r="A1289" s="7" t="str">
        <f>IFERROR(__xludf.DUMMYFUNCTION("""COMPUTED_VALUE"""),"4629-FIND")</f>
        <v>4629-FIND</v>
      </c>
      <c r="B1289" s="7" t="str">
        <f>IFERROR(__xludf.DUMMYFUNCTION("""COMPUTED_VALUE"""),"Pruning General Large Language Models into Customized Expert Models")</f>
        <v>Pruning General Large Language Models into Customized Expert Models</v>
      </c>
      <c r="C1289" s="7" t="str">
        <f>IFERROR(__xludf.DUMMYFUNCTION("""COMPUTED_VALUE"""),"Large Language Models (LLMs) have transformed natural language processing, yet their substantial model sizes often demand significant computational resources. To preserve computing resources and accelerate inference speed, it is crucial to prune redundant"&amp;" parameters, especially for experienced users who often need expert models tailored to specific downstream scenarios. However, current pruning methods primarily focus on maintaining models’ general capabilities, either requiring extensive post-training or"&amp;" performing poorly due to coarse-grained pruning. In this work, we design a  ̲Custom  ̲Pruning method (Cus-Prun) to prune a large general model into a smaller lightweight expert model, which is positioned along the “language”, “domain” and “task” dimensio"&amp;"ns. By identifying and pruning irrelevant neurons of each dimension, Cus-Prun creates expert models without any post-training. Our experiments demonstrate that Cus-Prun consistently outperforms other methods, achieving minimal loss in both expert and gene"&amp;"ral capabilities across various models from different model families and sizes.")</f>
        <v>Large Language Models (LLMs) have transformed natural language processing, yet their substantial model sizes often demand significant computational resources. To preserve computing resources and accelerate inference speed, it is crucial to prune redundant parameters, especially for experienced users who often need expert models tailored to specific downstream scenarios. However, current pruning methods primarily focus on maintaining models’ general capabilities, either requiring extensive post-training or performing poorly due to coarse-grained pruning. In this work, we design a  ̲Custom  ̲Pruning method (Cus-Prun) to prune a large general model into a smaller lightweight expert model, which is positioned along the “language”, “domain” and “task” dimensions. By identifying and pruning irrelevant neurons of each dimension, Cus-Prun creates expert models without any post-training. Our experiments demonstrate that Cus-Prun consistently outperforms other methods, achieving minimal loss in both expert and general capabilities across various models from different model families and sizes.</v>
      </c>
      <c r="D1289" s="7" t="str">
        <f>IFERROR(__xludf.DUMMYFUNCTION("""COMPUTED_VALUE"""),"Yiran Zhao")</f>
        <v>Yiran Zhao</v>
      </c>
      <c r="E1289" s="7" t="str">
        <f>IFERROR(__xludf.DUMMYFUNCTION("""COMPUTED_VALUE"""),"N/A")</f>
        <v>N/A</v>
      </c>
      <c r="F1289" s="7" t="str">
        <f>IFERROR(__xludf.DUMMYFUNCTION("""COMPUTED_VALUE"""),"Not Pres. ")</f>
        <v>Not Pres. </v>
      </c>
      <c r="G1289" s="7" t="str">
        <f>IFERROR(__xludf.DUMMYFUNCTION("""COMPUTED_VALUE"""),"NP Findings Not Presenting ")</f>
        <v>NP Findings Not Presenting </v>
      </c>
      <c r="H1289" s="7"/>
      <c r="I1289" s="7"/>
      <c r="J1289" s="7"/>
      <c r="K1289" s="7"/>
      <c r="L1289" s="8"/>
      <c r="M1289" s="7"/>
      <c r="N1289" s="7"/>
    </row>
    <row r="1290">
      <c r="A1290" s="7" t="str">
        <f>IFERROR(__xludf.DUMMYFUNCTION("""COMPUTED_VALUE"""),"4630-FIND")</f>
        <v>4630-FIND</v>
      </c>
      <c r="B1290" s="7" t="str">
        <f>IFERROR(__xludf.DUMMYFUNCTION("""COMPUTED_VALUE"""),"Enhance Multimodal Consistency and Coherence for Text-Image Plan Generation")</f>
        <v>Enhance Multimodal Consistency and Coherence for Text-Image Plan Generation</v>
      </c>
      <c r="C1290" s="7" t="str">
        <f>IFERROR(__xludf.DUMMYFUNCTION("""COMPUTED_VALUE"""),"People get informed of a daily task plan through diverse media involving both texts and images. However, most prior research only focuses on LLM's capability of textual plan generation. The potential of large-scale models in providing text-image plans rem"&amp;"ains understudied. Generating high-quality text-image plans faces two main challenges: ensuring consistent alignment between two modalities and keeping coherence among visual steps. To address these challenges, we propose a novel framework that generates "&amp;"and refines text-image plans step-by-step. At each iteration, our framework (1) drafts the next textual step based on the prediction history; (2) edits the last visual step to obtain the next one; (3) extracts PDDL-like visual information; and (4) refines"&amp;" the draft with the extracted visual information. The textual and visual step produced in stage (4) and (2) will then serve as inputs for the next iteration. Our approach offers a plug-and-play improvement to various backbone models, such as Mistral-7B, G"&amp;"emini-1.5, and GPT-4o. To evaluate the effectiveness of our approach, we collect a new benchmark consisting of 1,100 tasks and their text-image pair solutions covering 11 daily topics. We also design and validate a new set of metrics to evaluate the multi"&amp;"modal consistency and coherence in text-image plans. Extensive experiment results show the effectiveness of our approach on a range of backbone models against competitive baselines.")</f>
        <v>People get informed of a daily task plan through diverse media involving both texts and images. However, most prior research only focuses on LLM's capability of textual plan generation. The potential of large-scale models in providing text-image plans remains understudied. Generating high-quality text-image plans faces two main challenges: ensuring consistent alignment between two modalities and keeping coherence among visual steps. To address these challenges, we propose a novel framework that generates and refines text-image plans step-by-step. At each iteration, our framework (1) drafts the next textual step based on the prediction history; (2) edits the last visual step to obtain the next one; (3) extracts PDDL-like visual information; and (4) refines the draft with the extracted visual information. The textual and visual step produced in stage (4) and (2) will then serve as inputs for the next iteration. Our approach offers a plug-and-play improvement to various backbone models, such as Mistral-7B, Gemini-1.5, and GPT-4o. To evaluate the effectiveness of our approach, we collect a new benchmark consisting of 1,100 tasks and their text-image pair solutions covering 11 daily topics. We also design and validate a new set of metrics to evaluate the multimodal consistency and coherence in text-image plans. Extensive experiment results show the effectiveness of our approach on a range of backbone models against competitive baselines.</v>
      </c>
      <c r="D1290" s="7" t="str">
        <f>IFERROR(__xludf.DUMMYFUNCTION("""COMPUTED_VALUE"""),"Xiaoxin Lu")</f>
        <v>Xiaoxin Lu</v>
      </c>
      <c r="E1290" s="7" t="str">
        <f>IFERROR(__xludf.DUMMYFUNCTION("""COMPUTED_VALUE"""),"Yes")</f>
        <v>Yes</v>
      </c>
      <c r="F1290" s="7" t="str">
        <f>IFERROR(__xludf.DUMMYFUNCTION("""COMPUTED_VALUE"""),"Not Pres. ")</f>
        <v>Not Pres. </v>
      </c>
      <c r="G1290" s="7" t="str">
        <f>IFERROR(__xludf.DUMMYFUNCTION("""COMPUTED_VALUE"""),"NP Findings Not Presenting ")</f>
        <v>NP Findings Not Presenting </v>
      </c>
      <c r="H1290" s="7"/>
      <c r="I1290" s="7"/>
      <c r="J1290" s="7"/>
      <c r="K1290" s="7"/>
      <c r="L1290" s="8"/>
      <c r="M1290" s="7" t="str">
        <f>IFERROR(__xludf.DUMMYFUNCTION("""COMPUTED_VALUE"""),"18:00-19:30")</f>
        <v>18:00-19:30</v>
      </c>
      <c r="N1290" s="7"/>
    </row>
    <row r="1291">
      <c r="A1291" s="7" t="str">
        <f>IFERROR(__xludf.DUMMYFUNCTION("""COMPUTED_VALUE"""),"4634-FIND")</f>
        <v>4634-FIND</v>
      </c>
      <c r="B1291" s="7" t="str">
        <f>IFERROR(__xludf.DUMMYFUNCTION("""COMPUTED_VALUE"""),"Un-considering Contextual Information: Assessing LLMs’ Understanding of Indexical Elements")</f>
        <v>Un-considering Contextual Information: Assessing LLMs’ Understanding of Indexical Elements</v>
      </c>
      <c r="C1291" s="7" t="str">
        <f>IFERROR(__xludf.DUMMYFUNCTION("""COMPUTED_VALUE"""),"Large Language Models (LLMs) have demonstrated impressive performances in tasks related to coreference resolution. However, previous studies mostly assessed LLM performance on coreference resolution with nouns and third person pronouns. This study evaluat"&amp;"es LLM performance on coreference resolution with indexical like I, you, here and tomorrow} which come with unique challenges due to their linguistic properties. We present the first study examining how LLMs interpret indexicals in English, releasing the "&amp;"English Indexical Dataset with 1600 multiple-choice questions. We evaluate pioneering LLMs, including GPT-4o, Claude 3.5 Sonnet, Gemini 1.5 Pro, and DeepSeek V3. Our results reveal that LLMs exhibit an impressive performance with some indexicals (I), whil"&amp;"e struggling with others (you, here, tomorrow), and that syntactic cues (e.g. quotation) contribute to LLM performance with some indexicals, while they reduce performance with others.")</f>
        <v>Large Language Models (LLMs) have demonstrated impressive performances in tasks related to coreference resolution. However, previous studies mostly assessed LLM performance on coreference resolution with nouns and third person pronouns. This study evaluates LLM performance on coreference resolution with indexical like I, you, here and tomorrow} which come with unique challenges due to their linguistic properties. We present the first study examining how LLMs interpret indexicals in English, releasing the English Indexical Dataset with 1600 multiple-choice questions. We evaluate pioneering LLMs, including GPT-4o, Claude 3.5 Sonnet, Gemini 1.5 Pro, and DeepSeek V3. Our results reveal that LLMs exhibit an impressive performance with some indexicals (I), while struggling with others (you, here, tomorrow), and that syntactic cues (e.g. quotation) contribute to LLM performance with some indexicals, while they reduce performance with others.</v>
      </c>
      <c r="D1291" s="7" t="str">
        <f>IFERROR(__xludf.DUMMYFUNCTION("""COMPUTED_VALUE"""),"Sungmin Kang")</f>
        <v>Sungmin Kang</v>
      </c>
      <c r="E1291" s="7" t="str">
        <f>IFERROR(__xludf.DUMMYFUNCTION("""COMPUTED_VALUE"""),"Yes")</f>
        <v>Yes</v>
      </c>
      <c r="F1291" s="7" t="str">
        <f>IFERROR(__xludf.DUMMYFUNCTION("""COMPUTED_VALUE"""),"IP-Poster")</f>
        <v>IP-Poster</v>
      </c>
      <c r="G1291" s="7" t="str">
        <f>IFERROR(__xludf.DUMMYFUNCTION("""COMPUTED_VALUE"""),"In-Person")</f>
        <v>In-Person</v>
      </c>
      <c r="H1291" s="7" t="str">
        <f>IFERROR(__xludf.DUMMYFUNCTION("""COMPUTED_VALUE"""),"Hall 4/5")</f>
        <v>Hall 4/5</v>
      </c>
      <c r="I1291" s="7" t="str">
        <f>IFERROR(__xludf.DUMMYFUNCTION("""COMPUTED_VALUE"""),"Session 12: IP-Posters")</f>
        <v>Session 12: IP-Posters</v>
      </c>
      <c r="J1291" s="7" t="str">
        <f>IFERROR(__xludf.DUMMYFUNCTION("""COMPUTED_VALUE"""),"Findings Posters - In-Person 4")</f>
        <v>Findings Posters - In-Person 4</v>
      </c>
      <c r="K1291" s="7"/>
      <c r="L1291" s="8">
        <f>IFERROR(__xludf.DUMMYFUNCTION("""COMPUTED_VALUE"""),45868.0)</f>
        <v>45868</v>
      </c>
      <c r="M1291" s="7" t="str">
        <f>IFERROR(__xludf.DUMMYFUNCTION("""COMPUTED_VALUE"""),"11:00-12:30")</f>
        <v>11:00-12:30</v>
      </c>
      <c r="N1291" s="7"/>
    </row>
    <row r="1292">
      <c r="A1292" s="7" t="str">
        <f>IFERROR(__xludf.DUMMYFUNCTION("""COMPUTED_VALUE"""),"4645-FIND")</f>
        <v>4645-FIND</v>
      </c>
      <c r="B1292" s="7" t="str">
        <f>IFERROR(__xludf.DUMMYFUNCTION("""COMPUTED_VALUE"""),"Behavioral Analysis of Information Salience in Large Language Models")</f>
        <v>Behavioral Analysis of Information Salience in Large Language Models</v>
      </c>
      <c r="C1292" s="7" t="str">
        <f>IFERROR(__xludf.DUMMYFUNCTION("""COMPUTED_VALUE"""),"Large Language Models (LLMs) excel at text summarization, a task that requires models to select content based on its importance. However, the exact notion of salience that LLMs have internalized remains unclear. To bridge this gap, we introduce an explain"&amp;"able framework to systematically derive and investigate information salience in LLMs through their summarization behavior. Using length-controlled summarization as a behavioral probe into the content selection process, and tracing the answerability of Que"&amp;"stions Under Discussion throughout, we derive a proxy for how models prioritize information. Our experiments on 13 models across four datasets reveal that LLMs have a nuanced, hierarchical notion of salience, generally consistent across model families and"&amp;" sizes. While models show highly consistent behavior and hence salience patterns, this notion of salience cannot be accessed through introspection, and only weakly correlates with human perceptions of information salience.")</f>
        <v>Large Language Models (LLMs) excel at text summarization, a task that requires models to select content based on its importance. However, the exact notion of salience that LLMs have internalized remains unclear. To bridge this gap, we introduce an explainable framework to systematically derive and investigate information salience in LLMs through their summarization behavior. Using length-controlled summarization as a behavioral probe into the content selection process, and tracing the answerability of Questions Under Discussion throughout, we derive a proxy for how models prioritize information. Our experiments on 13 models across four datasets reveal that LLMs have a nuanced, hierarchical notion of salience, generally consistent across model families and sizes. While models show highly consistent behavior and hence salience patterns, this notion of salience cannot be accessed through introspection, and only weakly correlates with human perceptions of information salience.</v>
      </c>
      <c r="D1292" s="7" t="str">
        <f>IFERROR(__xludf.DUMMYFUNCTION("""COMPUTED_VALUE"""),"Jan Trienes")</f>
        <v>Jan Trienes</v>
      </c>
      <c r="E1292" s="7" t="str">
        <f>IFERROR(__xludf.DUMMYFUNCTION("""COMPUTED_VALUE"""),"Yes")</f>
        <v>Yes</v>
      </c>
      <c r="F1292" s="7" t="str">
        <f>IFERROR(__xludf.DUMMYFUNCTION("""COMPUTED_VALUE"""),"IP-Poster")</f>
        <v>IP-Poster</v>
      </c>
      <c r="G1292" s="7" t="str">
        <f>IFERROR(__xludf.DUMMYFUNCTION("""COMPUTED_VALUE"""),"In-Person")</f>
        <v>In-Person</v>
      </c>
      <c r="H1292" s="7" t="str">
        <f>IFERROR(__xludf.DUMMYFUNCTION("""COMPUTED_VALUE"""),"Hall 4/5")</f>
        <v>Hall 4/5</v>
      </c>
      <c r="I1292" s="7" t="str">
        <f>IFERROR(__xludf.DUMMYFUNCTION("""COMPUTED_VALUE"""),"Session 10: IP-Posters")</f>
        <v>Session 10: IP-Posters</v>
      </c>
      <c r="J1292" s="7" t="str">
        <f>IFERROR(__xludf.DUMMYFUNCTION("""COMPUTED_VALUE"""),"Findings Posters - In-Person 3")</f>
        <v>Findings Posters - In-Person 3</v>
      </c>
      <c r="K1292" s="7"/>
      <c r="L1292" s="8">
        <f>IFERROR(__xludf.DUMMYFUNCTION("""COMPUTED_VALUE"""),45867.0)</f>
        <v>45867</v>
      </c>
      <c r="M1292" s="7" t="str">
        <f>IFERROR(__xludf.DUMMYFUNCTION("""COMPUTED_VALUE"""),"16:00-17:30")</f>
        <v>16:00-17:30</v>
      </c>
      <c r="N1292" s="7"/>
    </row>
    <row r="1293">
      <c r="A1293" s="7" t="str">
        <f>IFERROR(__xludf.DUMMYFUNCTION("""COMPUTED_VALUE"""),"4648-FIND")</f>
        <v>4648-FIND</v>
      </c>
      <c r="B1293" s="7" t="str">
        <f>IFERROR(__xludf.DUMMYFUNCTION("""COMPUTED_VALUE"""),"The Behavior Gap: Evaluating Zero-shot LLM Agents in Complex Task-Oriented Dialogs")</f>
        <v>The Behavior Gap: Evaluating Zero-shot LLM Agents in Complex Task-Oriented Dialogs</v>
      </c>
      <c r="C1293" s="7" t="str">
        <f>IFERROR(__xludf.DUMMYFUNCTION("""COMPUTED_VALUE"""),"Large Language Model (LLM)-based agents have significantly impacted Task-Oriented Dialog Systems (TODS) but continue to face notable performance challenges, especially in zero-shot scenarios. While prior work has noted this performance gap, the behavioral"&amp;" factors driving the performance gap remain under-explored. This study proposes a comprehensive evaluation framework to quantify the behavior gap between AI agents and human experts, focusing on discrepancies in dialog acts, tool usage, and knowledge util"&amp;"ization. Our findings reveal that this behavior gap is a critical factor negatively impacting the performance of LLM agents. Notably, as task complexity increases, the behavior gap widens (correlation: 0.963), leading to a degradation of agent performance"&amp;" on complex task-oriented dialogs. For the most complex task in our study, even the GPT-4o-based agent exhibits low alignment with human behavior, with low F1 scores for dialog acts (0.464), excessive and often misaligned tool usage with a F1 score of 0.1"&amp;"39, and ineffective usage of external knowledge. Reducing such behavior gaps leads to significant performance improvement (22.4% on average). This study highlights the importance of comprehensive behavioral evaluations and improved alignment strategies to"&amp;" enhance the effectiveness of LLM-based TODS in handling complex tasks.")</f>
        <v>Large Language Model (LLM)-based agents have significantly impacted Task-Oriented Dialog Systems (TODS) but continue to face notable performance challenges, especially in zero-shot scenarios. While prior work has noted this performance gap, the behavioral factors driving the performance gap remain under-explored. This study proposes a comprehensive evaluation framework to quantify the behavior gap between AI agents and human experts, focusing on discrepancies in dialog acts, tool usage, and knowledge utilization. Our findings reveal that this behavior gap is a critical factor negatively impacting the performance of LLM agents. Notably, as task complexity increases, the behavior gap widens (correlation: 0.963), leading to a degradation of agent performance on complex task-oriented dialogs. For the most complex task in our study, even the GPT-4o-based agent exhibits low alignment with human behavior, with low F1 scores for dialog acts (0.464), excessive and often misaligned tool usage with a F1 score of 0.139, and ineffective usage of external knowledge. Reducing such behavior gaps leads to significant performance improvement (22.4% on average). This study highlights the importance of comprehensive behavioral evaluations and improved alignment strategies to enhance the effectiveness of LLM-based TODS in handling complex tasks.</v>
      </c>
      <c r="D1293" s="7" t="str">
        <f>IFERROR(__xludf.DUMMYFUNCTION("""COMPUTED_VALUE"""),"Avinash Baidya")</f>
        <v>Avinash Baidya</v>
      </c>
      <c r="E1293" s="7" t="str">
        <f>IFERROR(__xludf.DUMMYFUNCTION("""COMPUTED_VALUE"""),"Yes")</f>
        <v>Yes</v>
      </c>
      <c r="F1293" s="7" t="str">
        <f>IFERROR(__xludf.DUMMYFUNCTION("""COMPUTED_VALUE"""),"IP-Poster")</f>
        <v>IP-Poster</v>
      </c>
      <c r="G1293" s="7" t="str">
        <f>IFERROR(__xludf.DUMMYFUNCTION("""COMPUTED_VALUE"""),"In-Person")</f>
        <v>In-Person</v>
      </c>
      <c r="H1293" s="7" t="str">
        <f>IFERROR(__xludf.DUMMYFUNCTION("""COMPUTED_VALUE"""),"Hall 4/5")</f>
        <v>Hall 4/5</v>
      </c>
      <c r="I1293" s="7" t="str">
        <f>IFERROR(__xludf.DUMMYFUNCTION("""COMPUTED_VALUE"""),"Session 12: IP-Posters")</f>
        <v>Session 12: IP-Posters</v>
      </c>
      <c r="J1293" s="7" t="str">
        <f>IFERROR(__xludf.DUMMYFUNCTION("""COMPUTED_VALUE"""),"Findings Posters - In-Person 4")</f>
        <v>Findings Posters - In-Person 4</v>
      </c>
      <c r="K1293" s="7"/>
      <c r="L1293" s="8">
        <f>IFERROR(__xludf.DUMMYFUNCTION("""COMPUTED_VALUE"""),45868.0)</f>
        <v>45868</v>
      </c>
      <c r="M1293" s="7" t="str">
        <f>IFERROR(__xludf.DUMMYFUNCTION("""COMPUTED_VALUE"""),"11:00-12:30")</f>
        <v>11:00-12:30</v>
      </c>
      <c r="N1293" s="7"/>
    </row>
    <row r="1294">
      <c r="A1294" s="7" t="str">
        <f>IFERROR(__xludf.DUMMYFUNCTION("""COMPUTED_VALUE"""),"4649-FIND")</f>
        <v>4649-FIND</v>
      </c>
      <c r="B1294" s="7" t="str">
        <f>IFERROR(__xludf.DUMMYFUNCTION("""COMPUTED_VALUE"""),"Task Facet Learning: A Structured Approach To Prompt Optimization")</f>
        <v>Task Facet Learning: A Structured Approach To Prompt Optimization</v>
      </c>
      <c r="C1294" s="7" t="str">
        <f>IFERROR(__xludf.DUMMYFUNCTION("""COMPUTED_VALUE"""),"Given a task in the form of a basic description and its training examples, prompt optimization is the problem of synthesizing the given information into a text prompt for a large language model. Humans solve this problem by also considering the different "&amp;"facets that define a task (e.g., counter-examples, explanations, analogies) and including them in the prompt. However, it is unclear whether existing algorithmic approaches, based on iteratively editing a given prompt or automatically selecting a few in-c"&amp;"ontext examples, can cover the multiple facets required to solve a complex task. In this work, we view prompt optimization as that of learning multiple facets of a task from a set of training examples. We exploit structure in the prompt optimization probl"&amp;"em and break down a prompt into loosely coupled semantic sections. The proposed algorithm, UniPrompt, (1) clusters the input space and uses clustered batches so that each batch likely corresponds to a different facet of the task, and (2) utilizes a feedba"&amp;"ck mechanism to propose adding, editing or deleting a section, which in turn is aggregated over a batch to capture generalizable facets. Empirical evaluation on multiple datasets and a real-world task shows that prompts generated using UniPrompt obtain hi"&amp;"gher accuracy than human-tuned prompts and those from state-of-the-art methods. In particular, our algorithm can generate long, complex prompts that existing methods are unable to generate.")</f>
        <v>Given a task in the form of a basic description and its training examples, prompt optimization is the problem of synthesizing the given information into a text prompt for a large language model. Humans solve this problem by also considering the different facets that define a task (e.g., counter-examples, explanations, analogies) and including them in the prompt. However, it is unclear whether existing algorithmic approaches, based on iteratively editing a given prompt or automatically selecting a few in-context examples, can cover the multiple facets required to solve a complex task. In this work, we view prompt optimization as that of learning multiple facets of a task from a set of training examples. We exploit structure in the prompt optimization problem and break down a prompt into loosely coupled semantic sections. The proposed algorithm, UniPrompt, (1) clusters the input space and uses clustered batches so that each batch likely corresponds to a different facet of the task, and (2) utilizes a feedback mechanism to propose adding, editing or deleting a section, which in turn is aggregated over a batch to capture generalizable facets. Empirical evaluation on multiple datasets and a real-world task shows that prompts generated using UniPrompt obtain higher accuracy than human-tuned prompts and those from state-of-the-art methods. In particular, our algorithm can generate long, complex prompts that existing methods are unable to generate.</v>
      </c>
      <c r="D1294" s="7" t="str">
        <f>IFERROR(__xludf.DUMMYFUNCTION("""COMPUTED_VALUE"""),"Hua Li")</f>
        <v>Hua Li</v>
      </c>
      <c r="E1294" s="7" t="str">
        <f>IFERROR(__xludf.DUMMYFUNCTION("""COMPUTED_VALUE"""),"Yes")</f>
        <v>Yes</v>
      </c>
      <c r="F1294" s="7" t="str">
        <f>IFERROR(__xludf.DUMMYFUNCTION("""COMPUTED_VALUE"""),"IP-Poster")</f>
        <v>IP-Poster</v>
      </c>
      <c r="G1294" s="7" t="str">
        <f>IFERROR(__xludf.DUMMYFUNCTION("""COMPUTED_VALUE"""),"In-Person")</f>
        <v>In-Person</v>
      </c>
      <c r="H1294" s="7" t="str">
        <f>IFERROR(__xludf.DUMMYFUNCTION("""COMPUTED_VALUE"""),"Hall 4/5")</f>
        <v>Hall 4/5</v>
      </c>
      <c r="I1294" s="7" t="str">
        <f>IFERROR(__xludf.DUMMYFUNCTION("""COMPUTED_VALUE"""),"Session 7: IP-Posters")</f>
        <v>Session 7: IP-Posters</v>
      </c>
      <c r="J1294" s="7" t="str">
        <f>IFERROR(__xludf.DUMMYFUNCTION("""COMPUTED_VALUE"""),"Findings Posters - In-Person 2")</f>
        <v>Findings Posters - In-Person 2</v>
      </c>
      <c r="K1294" s="7"/>
      <c r="L1294" s="8">
        <f>IFERROR(__xludf.DUMMYFUNCTION("""COMPUTED_VALUE"""),45867.0)</f>
        <v>45867</v>
      </c>
      <c r="M1294" s="7" t="str">
        <f>IFERROR(__xludf.DUMMYFUNCTION("""COMPUTED_VALUE"""),"10:30-12:00")</f>
        <v>10:30-12:00</v>
      </c>
      <c r="N1294" s="7"/>
    </row>
    <row r="1295">
      <c r="A1295" s="7" t="str">
        <f>IFERROR(__xludf.DUMMYFUNCTION("""COMPUTED_VALUE"""),"4652-FIND")</f>
        <v>4652-FIND</v>
      </c>
      <c r="B1295" s="7" t="str">
        <f>IFERROR(__xludf.DUMMYFUNCTION("""COMPUTED_VALUE"""),"LLM as Effective Streaming Processor: Bridging Streaming-Batch Mismatches with Group Position Encoding")</f>
        <v>LLM as Effective Streaming Processor: Bridging Streaming-Batch Mismatches with Group Position Encoding</v>
      </c>
      <c r="C1295" s="7" t="str">
        <f>IFERROR(__xludf.DUMMYFUNCTION("""COMPUTED_VALUE"""),"Large Language Models (LLMs) are primarily designed for batch processing. Existing methods for adapting LLMs to streaming rely either on expensive re-encoding or specialized architectures with limited scalability. This work identifies three key mismatches"&amp;" in adapting batch-oriented LLMs to streaming: (1) input-attention, (2) output-attention, and (3) position-ID mismatches. While it is commonly assumed that the latter two mismatches require frequent re-encoding, our analysis reveals that only the input-at"&amp;"tention mismatch significantly impacts performance, indicating re-encoding outputs is largely unnecessary. To better understand this discrepancy with the common assumption,
we provide the first comprehensive analysis of the impact of position encoding on "&amp;"LLMs in streaming, showing that preserving relative positions within source and target contexts is more critical than maintaining absolute order. Motivated by the above analysis, we introduce a group position encoding paradigm built on batch architectures"&amp;" to enhance consistency between streaming and batch modes. Extensive experiments on cross-lingual and cross-modal tasks demonstrate that our method outperforms existing approaches. Our method requires no architectural modifications, exhibits strong genera"&amp;"lization in both streaming and batch modes.  The code is available at repository https://github.com/EIT-NLP/StreamingLLM.")</f>
        <v>Large Language Models (LLMs) are primarily designed for batch processing. Existing methods for adapting LLMs to streaming rely either on expensive re-encoding or specialized architectures with limited scalability. This work identifies three key mismatches in adapting batch-oriented LLMs to streaming: (1) input-attention, (2) output-attention, and (3) position-ID mismatches. While it is commonly assumed that the latter two mismatches require frequent re-encoding, our analysis reveals that only the input-attention mismatch significantly impacts performance, indicating re-encoding outputs is largely unnecessary. To better understand this discrepancy with the common assumption,
we provide the first comprehensive analysis of the impact of position encoding on LLMs in streaming, showing that preserving relative positions within source and target contexts is more critical than maintaining absolute order. Motivated by the above analysis, we introduce a group position encoding paradigm built on batch architectures to enhance consistency between streaming and batch modes. Extensive experiments on cross-lingual and cross-modal tasks demonstrate that our method outperforms existing approaches. Our method requires no architectural modifications, exhibits strong generalization in both streaming and batch modes.  The code is available at repository https://github.com/EIT-NLP/StreamingLLM.</v>
      </c>
      <c r="D1295" s="7" t="str">
        <f>IFERROR(__xludf.DUMMYFUNCTION("""COMPUTED_VALUE"""),"Junlong Tong")</f>
        <v>Junlong Tong</v>
      </c>
      <c r="E1295" s="7" t="str">
        <f>IFERROR(__xludf.DUMMYFUNCTION("""COMPUTED_VALUE"""),"#N/A")</f>
        <v>#N/A</v>
      </c>
      <c r="F1295" s="7" t="str">
        <f>IFERROR(__xludf.DUMMYFUNCTION("""COMPUTED_VALUE"""),"Not Pres. ")</f>
        <v>Not Pres. </v>
      </c>
      <c r="G1295" s="7" t="str">
        <f>IFERROR(__xludf.DUMMYFUNCTION("""COMPUTED_VALUE"""),"NP Findings Not Presenting ")</f>
        <v>NP Findings Not Presenting </v>
      </c>
      <c r="H1295" s="7"/>
      <c r="I1295" s="7" t="str">
        <f>IFERROR(__xludf.DUMMYFUNCTION("""COMPUTED_VALUE"""),"NP-Find")</f>
        <v>NP-Find</v>
      </c>
      <c r="J1295" s="7"/>
      <c r="K1295" s="7"/>
      <c r="L1295" s="8"/>
      <c r="M1295" s="7"/>
      <c r="N1295" s="7"/>
    </row>
    <row r="1296">
      <c r="A1296" s="7" t="str">
        <f>IFERROR(__xludf.DUMMYFUNCTION("""COMPUTED_VALUE"""),"4653-FIND")</f>
        <v>4653-FIND</v>
      </c>
      <c r="B1296" s="7" t="str">
        <f>IFERROR(__xludf.DUMMYFUNCTION("""COMPUTED_VALUE"""),"YinYang-Align: A new Benchmark for Competing Objectives and Introducing Multi-Objective Preference based Text-to-Image Alignment")</f>
        <v>YinYang-Align: A new Benchmark for Competing Objectives and Introducing Multi-Objective Preference based Text-to-Image Alignment</v>
      </c>
      <c r="C1296" s="7" t="str">
        <f>IFERROR(__xludf.DUMMYFUNCTION("""COMPUTED_VALUE"""),"Precise alignment in Text-to-Image (T2I) systems is crucial for generating visuals that reflect user intent while adhering to ethical and policy standards. Recent controversies, such as the Google Gemini-generated Pope image backlash, highlight the urgent"&amp;" need for robust alignment mechanisms. Building on alignment successes in Large Language Models (LLMs), this paper introduces YinYangAlign, a benchmarking framework designed to evaluate and optimize T2I systems across six inherently contradictory objectiv"&amp;"es. These objectives highlight core trade-offs, such as balancing faithfulness to prompts with artistic freedom and maintaining cultural sensitivity without compromising creativity. Alongside this benchmark, we propose the Contradictory Alignment Optimiza"&amp;"tion (CAO) framework, an extension of Direct Preference Optimization (DPO), which employs multi-objective optimization techniques to address these competing goals. By leveraging per-axiom loss functions, synergy-driven global preferences, and innovative t"&amp;"ools like the Synergy Jacobian, CAO achieves superior alignment across all objectives. Experimental results demonstrate significant improvements in fidelity, diversity, and ethical adherence, setting new benchmarks for the field. This work provides a scal"&amp;"able, effective approach to resolving alignment challenges in T2I systems while offering insights into broader AI alignment paradigms.")</f>
        <v>Precise alignment in Text-to-Image (T2I) systems is crucial for generating visuals that reflect user intent while adhering to ethical and policy standards. Recent controversies, such as the Google Gemini-generated Pope image backlash, highlight the urgent need for robust alignment mechanisms. Building on alignment successes in Large Language Models (LLMs), this paper introduces YinYangAlign, a benchmarking framework designed to evaluate and optimize T2I systems across six inherently contradictory objectives. These objectives highlight core trade-offs, such as balancing faithfulness to prompts with artistic freedom and maintaining cultural sensitivity without compromising creativity. Alongside this benchmark, we propose the Contradictory Alignment Optimization (CAO) framework, an extension of Direct Preference Optimization (DPO), which employs multi-objective optimization techniques to address these competing goals. By leveraging per-axiom loss functions, synergy-driven global preferences, and innovative tools like the Synergy Jacobian, CAO achieves superior alignment across all objectives. Experimental results demonstrate significant improvements in fidelity, diversity, and ethical adherence, setting new benchmarks for the field. This work provides a scalable, effective approach to resolving alignment challenges in T2I systems while offering insights into broader AI alignment paradigms.</v>
      </c>
      <c r="D1296" s="7" t="str">
        <f>IFERROR(__xludf.DUMMYFUNCTION("""COMPUTED_VALUE"""),"Amitava Das")</f>
        <v>Amitava Das</v>
      </c>
      <c r="E1296" s="7" t="str">
        <f>IFERROR(__xludf.DUMMYFUNCTION("""COMPUTED_VALUE"""),"Yes")</f>
        <v>Yes</v>
      </c>
      <c r="F1296" s="7" t="str">
        <f>IFERROR(__xludf.DUMMYFUNCTION("""COMPUTED_VALUE"""),"Not Pres. ")</f>
        <v>Not Pres. </v>
      </c>
      <c r="G1296" s="7" t="str">
        <f>IFERROR(__xludf.DUMMYFUNCTION("""COMPUTED_VALUE"""),"NP Findings Not Presenting ")</f>
        <v>NP Findings Not Presenting </v>
      </c>
      <c r="H1296" s="7"/>
      <c r="I1296" s="7"/>
      <c r="J1296" s="7"/>
      <c r="K1296" s="7"/>
      <c r="L1296" s="8"/>
      <c r="M1296" s="7"/>
      <c r="N1296" s="7"/>
    </row>
    <row r="1297">
      <c r="A1297" s="7" t="str">
        <f>IFERROR(__xludf.DUMMYFUNCTION("""COMPUTED_VALUE"""),"4659-FIND")</f>
        <v>4659-FIND</v>
      </c>
      <c r="B1297" s="7" t="str">
        <f>IFERROR(__xludf.DUMMYFUNCTION("""COMPUTED_VALUE"""),"FREE: Fast and Robust Vision Language Models with Early Exits")</f>
        <v>FREE: Fast and Robust Vision Language Models with Early Exits</v>
      </c>
      <c r="C1297" s="7" t="str">
        <f>IFERROR(__xludf.DUMMYFUNCTION("""COMPUTED_VALUE"""),"In recent years, Vision-Language Models (VLMs) have shown remarkable performance improvements in Vision-Language tasks. However, their large size poses challenges for real-world applications where inference latency is a concern. To tackle this issue, we p"&amp;"ropose employing Early Exit (EE) strategies in VLMs. However, training exit classifiers in VLMs is challenging, particularly with limited labeled training data. To address this, we introduce FREE, an adversarial training approach within a GAN-based framew"&amp;"ork. Here, each exit consists of a transformer layer and a classifier. The transformer layer is adversarially trained to produce feature representations similar to the final layer, while a feature classifier serves as the discriminator. Our method focuses"&amp;" on performing input-adaptive inference that increases inference speed with minimal drop in performance. Experimental results demonstrate the effectiveness of our approach in enhancing accuracy and model robustness by mitigating overthinking and the pheno"&amp;"menon of mid-crisis that we highlight. We experimentally validate that our method speeds up the inference process by more than 1.51× while retaining comparable performance. The anonymized source code is available at https://github.com/Div290/BLIPEE.")</f>
        <v>In recent years, Vision-Language Models (VLMs) have shown remarkable performance improvements in Vision-Language tasks. However, their large size poses challenges for real-world applications where inference latency is a concern. To tackle this issue, we propose employing Early Exit (EE) strategies in VLMs. However, training exit classifiers in VLMs is challenging, particularly with limited labeled training data. To address this, we introduce FREE, an adversarial training approach within a GAN-based framework. Here, each exit consists of a transformer layer and a classifier. The transformer layer is adversarially trained to produce feature representations similar to the final layer, while a feature classifier serves as the discriminator. Our method focuses on performing input-adaptive inference that increases inference speed with minimal drop in performance. Experimental results demonstrate the effectiveness of our approach in enhancing accuracy and model robustness by mitigating overthinking and the phenomenon of mid-crisis that we highlight. We experimentally validate that our method speeds up the inference process by more than 1.51× while retaining comparable performance. The anonymized source code is available at https://github.com/Div290/BLIPEE.</v>
      </c>
      <c r="D1297" s="7" t="str">
        <f>IFERROR(__xludf.DUMMYFUNCTION("""COMPUTED_VALUE"""),"Divya Jyoti Bajpai")</f>
        <v>Divya Jyoti Bajpai</v>
      </c>
      <c r="E1297" s="7" t="str">
        <f>IFERROR(__xludf.DUMMYFUNCTION("""COMPUTED_VALUE"""),"Yes")</f>
        <v>Yes</v>
      </c>
      <c r="F1297" s="7" t="str">
        <f>IFERROR(__xludf.DUMMYFUNCTION("""COMPUTED_VALUE"""),"IP-Poster")</f>
        <v>IP-Poster</v>
      </c>
      <c r="G1297" s="7" t="str">
        <f>IFERROR(__xludf.DUMMYFUNCTION("""COMPUTED_VALUE"""),"In-Person")</f>
        <v>In-Person</v>
      </c>
      <c r="H1297" s="7" t="str">
        <f>IFERROR(__xludf.DUMMYFUNCTION("""COMPUTED_VALUE"""),"Hall 4/5")</f>
        <v>Hall 4/5</v>
      </c>
      <c r="I1297" s="7" t="str">
        <f>IFERROR(__xludf.DUMMYFUNCTION("""COMPUTED_VALUE"""),"Session 10: IP-Posters")</f>
        <v>Session 10: IP-Posters</v>
      </c>
      <c r="J1297" s="7" t="str">
        <f>IFERROR(__xludf.DUMMYFUNCTION("""COMPUTED_VALUE"""),"Findings Posters - In-Person 3")</f>
        <v>Findings Posters - In-Person 3</v>
      </c>
      <c r="K1297" s="7"/>
      <c r="L1297" s="8">
        <f>IFERROR(__xludf.DUMMYFUNCTION("""COMPUTED_VALUE"""),45867.0)</f>
        <v>45867</v>
      </c>
      <c r="M1297" s="7" t="str">
        <f>IFERROR(__xludf.DUMMYFUNCTION("""COMPUTED_VALUE"""),"16:00-17:30")</f>
        <v>16:00-17:30</v>
      </c>
      <c r="N1297" s="7"/>
    </row>
    <row r="1298">
      <c r="A1298" s="7" t="str">
        <f>IFERROR(__xludf.DUMMYFUNCTION("""COMPUTED_VALUE"""),"4664-FIND")</f>
        <v>4664-FIND</v>
      </c>
      <c r="B1298" s="7" t="str">
        <f>IFERROR(__xludf.DUMMYFUNCTION("""COMPUTED_VALUE"""),"REPRO-Bench: Can AI Agents Assess the Reproducibility of Social Science Papers?")</f>
        <v>REPRO-Bench: Can AI Agents Assess the Reproducibility of Social Science Papers?</v>
      </c>
      <c r="C1298" s="7" t="str">
        <f>IFERROR(__xludf.DUMMYFUNCTION("""COMPUTED_VALUE"""),"Assessing the reproducibility of social science papers is essential for promoting rigor in research processes, but manual assessment is costly. With advancements in AI agents, we seek to evaluate their capability to automate this process. However, existin"&amp;"g benchmarks for reproducing research papers (1) focus solely on reproducing results using given code and data without assessing their consistency with the paper, (2) oversimplify real-world scenarios, and (3) lack necessary diversity in data formats and "&amp;"programming languages. To address these issues, we introduce REPRO-Bench, a collection of 112 task instances, each representing a social science paper with a publicly available reproduction report. The agents are tasked with assessing the reproducibility "&amp;"of the paper based on the original paper PDF and the corresponding reproduction package. REPRO-Bench features end-to-end evaluation tasks with complexity comparable to real-world assessments on the reproducibility of social science papers. We evaluate thr"&amp;"ee representative AI agents on REPRO-Bench, with the best-performing agent achieving an accuracy of only 21.4%. Building on our empirical analysis, we develop REPRO-Agent, which improves the highest accuracy achieved by existing agents by 71%. We conclude"&amp;" that more advanced AI agents should be developed to automate real-world reproducibility assessment. REPRO-Bench is publicly available as an anonymous dataset: https://huggingface.co/datasets/anonymous-submission-acl2025/REPRO-Bench. The evaluation code i"&amp;"s hosted anonymously: https://anonymous.4open.science/r/REPRO-Bench-Code-2E98/.")</f>
        <v>Assessing the reproducibility of social science papers is essential for promoting rigor in research processes, but manual assessment is costly. With advancements in AI agents, we seek to evaluate their capability to automate this process. However, existing benchmarks for reproducing research papers (1) focus solely on reproducing results using given code and data without assessing their consistency with the paper, (2) oversimplify real-world scenarios, and (3) lack necessary diversity in data formats and programming languages. To address these issues, we introduce REPRO-Bench, a collection of 112 task instances, each representing a social science paper with a publicly available reproduction report. The agents are tasked with assessing the reproducibility of the paper based on the original paper PDF and the corresponding reproduction package. REPRO-Bench features end-to-end evaluation tasks with complexity comparable to real-world assessments on the reproducibility of social science papers. We evaluate three representative AI agents on REPRO-Bench, with the best-performing agent achieving an accuracy of only 21.4%. Building on our empirical analysis, we develop REPRO-Agent, which improves the highest accuracy achieved by existing agents by 71%. We conclude that more advanced AI agents should be developed to automate real-world reproducibility assessment. REPRO-Bench is publicly available as an anonymous dataset: https://huggingface.co/datasets/anonymous-submission-acl2025/REPRO-Bench. The evaluation code is hosted anonymously: https://anonymous.4open.science/r/REPRO-Bench-Code-2E98/.</v>
      </c>
      <c r="D1298" s="7" t="str">
        <f>IFERROR(__xludf.DUMMYFUNCTION("""COMPUTED_VALUE"""),"Chuxuan Hu")</f>
        <v>Chuxuan Hu</v>
      </c>
      <c r="E1298" s="7" t="str">
        <f>IFERROR(__xludf.DUMMYFUNCTION("""COMPUTED_VALUE"""),"Yes")</f>
        <v>Yes</v>
      </c>
      <c r="F1298" s="7" t="str">
        <f>IFERROR(__xludf.DUMMYFUNCTION("""COMPUTED_VALUE"""),"V-Presentation")</f>
        <v>V-Presentation</v>
      </c>
      <c r="G1298" s="7" t="str">
        <f>IFERROR(__xludf.DUMMYFUNCTION("""COMPUTED_VALUE"""),"Virtual/Gather")</f>
        <v>Virtual/Gather</v>
      </c>
      <c r="H1298" s="7" t="str">
        <f>IFERROR(__xludf.DUMMYFUNCTION("""COMPUTED_VALUE"""),"Gather")</f>
        <v>Gather</v>
      </c>
      <c r="I1298" s="7" t="str">
        <f>IFERROR(__xludf.DUMMYFUNCTION("""COMPUTED_VALUE"""),"Session5: V-Gather Find")</f>
        <v>Session5: V-Gather Find</v>
      </c>
      <c r="J1298" s="7" t="str">
        <f>IFERROR(__xludf.DUMMYFUNCTION("""COMPUTED_VALUE"""),"Findings Posters - Virtual")</f>
        <v>Findings Posters - Virtual</v>
      </c>
      <c r="K1298" s="7"/>
      <c r="L1298" s="8">
        <f>IFERROR(__xludf.DUMMYFUNCTION("""COMPUTED_VALUE"""),45866.0)</f>
        <v>45866</v>
      </c>
      <c r="M1298" s="7" t="str">
        <f>IFERROR(__xludf.DUMMYFUNCTION("""COMPUTED_VALUE"""),"18:00-19:30")</f>
        <v>18:00-19:30</v>
      </c>
      <c r="N1298" s="7"/>
    </row>
    <row r="1299">
      <c r="A1299" s="7" t="str">
        <f>IFERROR(__xludf.DUMMYFUNCTION("""COMPUTED_VALUE"""),"4665-FIND")</f>
        <v>4665-FIND</v>
      </c>
      <c r="B1299" s="7" t="str">
        <f>IFERROR(__xludf.DUMMYFUNCTION("""COMPUTED_VALUE"""),"Time Travel: A Comprehensive Benchmark to Evaluate LMMs on Historical and Cultural Artifacts")</f>
        <v>Time Travel: A Comprehensive Benchmark to Evaluate LMMs on Historical and Cultural Artifacts</v>
      </c>
      <c r="C1299" s="7" t="str">
        <f>IFERROR(__xludf.DUMMYFUNCTION("""COMPUTED_VALUE"""),"Understanding historical and cultural artifacts demands human expertise and advanced computational techniques, yet the process remains complex and time-intensive. While large multimodal models offer promising support, their evaluation and improvement requ"&amp;"ire a standardized benchmark. To address this, we introduce TimeTravel, a benchmark of 10,250 expert-verified samples spanning 266 distinct cultures across 10 major historical regions. Designed for AI-driven analysis of manuscripts, artworks, inscriptions"&amp;", and archaeological discoveries, TimeTravel provides a structured dataset and robust evaluation framework to assess AI models’ capabilities in classification, interpretation, and historical comprehension. By integrating AI with historical research, TimeT"&amp;"ravel fosters AI-powered tools for historians, archaeologists, researchers, and cultural tourists to extract valuable insights while ensuring technology contributes meaningfully to historical discovery and cultural heritage preservation. We evaluate conte"&amp;"mporary AI models on TimeTravel, highlighting their strengths and identifying areas for improvement. Our goal is to establish AI as a reliable partner in preserving cultural heritage, ensuring that technological advancements contribute meaningfully to his"&amp;"torical discovery.")</f>
        <v>Understanding historical and cultural artifacts demands human expertise and advanced computational techniques, yet the process remains complex and time-intensive. While large multimodal models offer promising support, their evaluation and improvement require a standardized benchmark. To address this, we introduce TimeTravel, a benchmark of 10,250 expert-verified samples spanning 266 distinct cultures across 10 major historical regions. Designed for AI-driven analysis of manuscripts, artworks, inscriptions, and archaeological discoveries, TimeTravel provides a structured dataset and robust evaluation framework to assess AI models’ capabilities in classification, interpretation, and historical comprehension. By integrating AI with historical research, TimeTravel fosters AI-powered tools for historians, archaeologists, researchers, and cultural tourists to extract valuable insights while ensuring technology contributes meaningfully to historical discovery and cultural heritage preservation. We evaluate contemporary AI models on TimeTravel, highlighting their strengths and identifying areas for improvement. Our goal is to establish AI as a reliable partner in preserving cultural heritage, ensuring that technological advancements contribute meaningfully to historical discovery.</v>
      </c>
      <c r="D1299" s="7" t="str">
        <f>IFERROR(__xludf.DUMMYFUNCTION("""COMPUTED_VALUE"""),"Sara Ghaboura")</f>
        <v>Sara Ghaboura</v>
      </c>
      <c r="E1299" s="7" t="str">
        <f>IFERROR(__xludf.DUMMYFUNCTION("""COMPUTED_VALUE"""),"Yes")</f>
        <v>Yes</v>
      </c>
      <c r="F1299" s="7" t="str">
        <f>IFERROR(__xludf.DUMMYFUNCTION("""COMPUTED_VALUE"""),"IP-Poster")</f>
        <v>IP-Poster</v>
      </c>
      <c r="G1299" s="7" t="str">
        <f>IFERROR(__xludf.DUMMYFUNCTION("""COMPUTED_VALUE"""),"In-Person")</f>
        <v>In-Person</v>
      </c>
      <c r="H1299" s="7" t="str">
        <f>IFERROR(__xludf.DUMMYFUNCTION("""COMPUTED_VALUE"""),"Hall 4/5")</f>
        <v>Hall 4/5</v>
      </c>
      <c r="I1299" s="7" t="str">
        <f>IFERROR(__xludf.DUMMYFUNCTION("""COMPUTED_VALUE"""),"Session 12: IP-Posters")</f>
        <v>Session 12: IP-Posters</v>
      </c>
      <c r="J1299" s="7" t="str">
        <f>IFERROR(__xludf.DUMMYFUNCTION("""COMPUTED_VALUE"""),"Findings Posters - In-Person 4")</f>
        <v>Findings Posters - In-Person 4</v>
      </c>
      <c r="K1299" s="7"/>
      <c r="L1299" s="8">
        <f>IFERROR(__xludf.DUMMYFUNCTION("""COMPUTED_VALUE"""),45868.0)</f>
        <v>45868</v>
      </c>
      <c r="M1299" s="7" t="str">
        <f>IFERROR(__xludf.DUMMYFUNCTION("""COMPUTED_VALUE"""),"11:00-12:30")</f>
        <v>11:00-12:30</v>
      </c>
      <c r="N1299" s="7"/>
    </row>
    <row r="1300">
      <c r="A1300" s="7" t="str">
        <f>IFERROR(__xludf.DUMMYFUNCTION("""COMPUTED_VALUE"""),"4676-FIND")</f>
        <v>4676-FIND</v>
      </c>
      <c r="B1300" s="7" t="str">
        <f>IFERROR(__xludf.DUMMYFUNCTION("""COMPUTED_VALUE"""),"Unveiling and Addressing Pseudo Forgetting in Large Language Models")</f>
        <v>Unveiling and Addressing Pseudo Forgetting in Large Language Models</v>
      </c>
      <c r="C1300" s="7" t="str">
        <f>IFERROR(__xludf.DUMMYFUNCTION("""COMPUTED_VALUE"""),"Although substantial efforts have been made to mitigate catastrophic forgetting in continual learning, the intrinsic mechanisms are not well understood. In this work, we demonstrate the existence of ""pseudo forgetting"": the performance degradation in pr"&amp;"evious tasks is not attributed to a loss of capabilities, but rather to the failure of the instructions to activate the appropriate model capabilities. We show that the model's performance on previous tasks can be restored through two simple interventions"&amp;": (1) providing partial external correct rationale, and (2) appending semantically meaningless suffixes to the original instructions, to guide the generation of correct rationales. Through empirical analysis of the internal mechanisms governing rationale "&amp;"generation, we reveal that models exhibiting pseudo forgetting show reduced instruction dependence during rationale generation, leading to suboptimal activation of their inherent capabilities. Based on this insight, we propose Rationale-Guidance Difficult"&amp;"y based Replay (RGD-R) framework that dynamically allocates replay data based on the model’s ability to correctly leverage the intrinsic capabilities. Experimental results demonstrate that RGD-R effectively mitigates pseudo forgetting while maintaining mo"&amp;"del plasticity.")</f>
        <v>Although substantial efforts have been made to mitigate catastrophic forgetting in continual learning, the intrinsic mechanisms are not well understood. In this work, we demonstrate the existence of "pseudo forgetting": the performance degradation in previous tasks is not attributed to a loss of capabilities, but rather to the failure of the instructions to activate the appropriate model capabilities. We show that the model's performance on previous tasks can be restored through two simple interventions: (1) providing partial external correct rationale, and (2) appending semantically meaningless suffixes to the original instructions, to guide the generation of correct rationales. Through empirical analysis of the internal mechanisms governing rationale generation, we reveal that models exhibiting pseudo forgetting show reduced instruction dependence during rationale generation, leading to suboptimal activation of their inherent capabilities. Based on this insight, we propose Rationale-Guidance Difficulty based Replay (RGD-R) framework that dynamically allocates replay data based on the model’s ability to correctly leverage the intrinsic capabilities. Experimental results demonstrate that RGD-R effectively mitigates pseudo forgetting while maintaining model plasticity.</v>
      </c>
      <c r="D1300" s="7" t="str">
        <f>IFERROR(__xludf.DUMMYFUNCTION("""COMPUTED_VALUE"""),"Huashan Sun")</f>
        <v>Huashan Sun</v>
      </c>
      <c r="E1300" s="7" t="str">
        <f>IFERROR(__xludf.DUMMYFUNCTION("""COMPUTED_VALUE"""),"Yes")</f>
        <v>Yes</v>
      </c>
      <c r="F1300" s="7" t="str">
        <f>IFERROR(__xludf.DUMMYFUNCTION("""COMPUTED_VALUE"""),"IP-Poster")</f>
        <v>IP-Poster</v>
      </c>
      <c r="G1300" s="7" t="str">
        <f>IFERROR(__xludf.DUMMYFUNCTION("""COMPUTED_VALUE"""),"In-Person")</f>
        <v>In-Person</v>
      </c>
      <c r="H1300" s="7" t="str">
        <f>IFERROR(__xludf.DUMMYFUNCTION("""COMPUTED_VALUE"""),"Hall 4/5")</f>
        <v>Hall 4/5</v>
      </c>
      <c r="I1300" s="7" t="str">
        <f>IFERROR(__xludf.DUMMYFUNCTION("""COMPUTED_VALUE"""),"Session 12: IP-Posters")</f>
        <v>Session 12: IP-Posters</v>
      </c>
      <c r="J1300" s="7" t="str">
        <f>IFERROR(__xludf.DUMMYFUNCTION("""COMPUTED_VALUE"""),"Findings Posters - In-Person 4")</f>
        <v>Findings Posters - In-Person 4</v>
      </c>
      <c r="K1300" s="7"/>
      <c r="L1300" s="8">
        <f>IFERROR(__xludf.DUMMYFUNCTION("""COMPUTED_VALUE"""),45868.0)</f>
        <v>45868</v>
      </c>
      <c r="M1300" s="7" t="str">
        <f>IFERROR(__xludf.DUMMYFUNCTION("""COMPUTED_VALUE"""),"11:00-12:30")</f>
        <v>11:00-12:30</v>
      </c>
      <c r="N1300" s="7"/>
    </row>
    <row r="1301">
      <c r="A1301" s="7" t="str">
        <f>IFERROR(__xludf.DUMMYFUNCTION("""COMPUTED_VALUE"""),"4677-FIND")</f>
        <v>4677-FIND</v>
      </c>
      <c r="B1301" s="7" t="str">
        <f>IFERROR(__xludf.DUMMYFUNCTION("""COMPUTED_VALUE"""),"Improving MLLM's Document Image Machine Translation via Synchronously Self-reviewing Its OCR Proficiency")</f>
        <v>Improving MLLM's Document Image Machine Translation via Synchronously Self-reviewing Its OCR Proficiency</v>
      </c>
      <c r="C1301" s="7" t="str">
        <f>IFERROR(__xludf.DUMMYFUNCTION("""COMPUTED_VALUE"""),"Multimodal Large Language Models (MLLMs) have shown strong performance in document image tasks, especially Optical Character Recognition (OCR). However, they struggle with Document Image Machine Translation (DIMT), which requires handling both cross-modal"&amp;" and cross-lingual challenges. Previous efforts to enhance DIMT capability through Supervised Fine-Tuning (SFT) on the DIMT dataset often result in the forgetting of the model's existing monolingual abilities, such as OCR. To address these challenges, we "&amp;"introduce a novel fine-tuning paradigm, named Synchronously Self-Reviewing (SSR) its OCR proficiency, inspired by the concept ""Bilingual Cognitive Advantage"". Specifically, SSR prompts the model to generate OCR text before producing translation text, wh"&amp;"ich allows the model to leverage its strong monolingual OCR ability while learning to translate text across languages. Comprehensive experiments demonstrate the proposed SSR learning helps mitigate catastrophic forgetting, improving the generalization abi"&amp;"lity of MLLMs on both OCR and DIMT tasks. The code will be released upon acceptance.")</f>
        <v>Multimodal Large Language Models (MLLMs) have shown strong performance in document image tasks, especially Optical Character Recognition (OCR). However, they struggle with Document Image Machine Translation (DIMT), which requires handling both cross-modal and cross-lingual challenges. Previous efforts to enhance DIMT capability through Supervised Fine-Tuning (SFT) on the DIMT dataset often result in the forgetting of the model's existing monolingual abilities, such as OCR. To address these challenges, we introduce a novel fine-tuning paradigm, named Synchronously Self-Reviewing (SSR) its OCR proficiency, inspired by the concept "Bilingual Cognitive Advantage". Specifically, SSR prompts the model to generate OCR text before producing translation text, which allows the model to leverage its strong monolingual OCR ability while learning to translate text across languages. Comprehensive experiments demonstrate the proposed SSR learning helps mitigate catastrophic forgetting, improving the generalization ability of MLLMs on both OCR and DIMT tasks. The code will be released upon acceptance.</v>
      </c>
      <c r="D1301" s="7" t="str">
        <f>IFERROR(__xludf.DUMMYFUNCTION("""COMPUTED_VALUE"""),"Yupu Liang")</f>
        <v>Yupu Liang</v>
      </c>
      <c r="E1301" s="7" t="str">
        <f>IFERROR(__xludf.DUMMYFUNCTION("""COMPUTED_VALUE"""),"Yes")</f>
        <v>Yes</v>
      </c>
      <c r="F1301" s="7" t="str">
        <f>IFERROR(__xludf.DUMMYFUNCTION("""COMPUTED_VALUE"""),"IP-Poster")</f>
        <v>IP-Poster</v>
      </c>
      <c r="G1301" s="7" t="str">
        <f>IFERROR(__xludf.DUMMYFUNCTION("""COMPUTED_VALUE"""),"In-Person")</f>
        <v>In-Person</v>
      </c>
      <c r="H1301" s="7" t="str">
        <f>IFERROR(__xludf.DUMMYFUNCTION("""COMPUTED_VALUE"""),"Hall 4/5")</f>
        <v>Hall 4/5</v>
      </c>
      <c r="I1301" s="7" t="str">
        <f>IFERROR(__xludf.DUMMYFUNCTION("""COMPUTED_VALUE"""),"Session 10: IP-Posters")</f>
        <v>Session 10: IP-Posters</v>
      </c>
      <c r="J1301" s="7" t="str">
        <f>IFERROR(__xludf.DUMMYFUNCTION("""COMPUTED_VALUE"""),"Findings Posters - In-Person 3")</f>
        <v>Findings Posters - In-Person 3</v>
      </c>
      <c r="K1301" s="7"/>
      <c r="L1301" s="8">
        <f>IFERROR(__xludf.DUMMYFUNCTION("""COMPUTED_VALUE"""),45867.0)</f>
        <v>45867</v>
      </c>
      <c r="M1301" s="7" t="str">
        <f>IFERROR(__xludf.DUMMYFUNCTION("""COMPUTED_VALUE"""),"16:00-17:30")</f>
        <v>16:00-17:30</v>
      </c>
      <c r="N1301" s="7"/>
    </row>
    <row r="1302">
      <c r="A1302" s="7" t="str">
        <f>IFERROR(__xludf.DUMMYFUNCTION("""COMPUTED_VALUE"""),"4678-FIND")</f>
        <v>4678-FIND</v>
      </c>
      <c r="B1302" s="7" t="str">
        <f>IFERROR(__xludf.DUMMYFUNCTION("""COMPUTED_VALUE"""),"HG-InsightLog: Context Prioritization and Reduction for Question Answering with Non-Natural Language Construct Log Data")</f>
        <v>HG-InsightLog: Context Prioritization and Reduction for Question Answering with Non-Natural Language Construct Log Data</v>
      </c>
      <c r="C1302" s="7" t="str">
        <f>IFERROR(__xludf.DUMMYFUNCTION("""COMPUTED_VALUE"""),"Modern IT systems generate vast amounts of log data, which pose challenges for Large Language Models (LLMs) due to their large size, irrelevant entries, and non-Natural Language (non-NL) construct (e.g., domain-specific jargon, error codes, file paths, an"&amp;"d abbreviations). Traditional methods like Retrieval-Augmented Generation (RAG) and GraphRAG fail to preserve temporal sequences, handle non-NL for context and entities extraction, and dynamically prioritize query-relevant context. To address these limita"&amp;"tions, we propose HG-InsightLog, a novel framework that constructs a multi-entity temporal hypergraph representing log attribute-value pair as nodes and connecting them with hyperedges, capturing critical connections in the data. HG-InsightLog introduces "&amp;"a multi-step query personalization mechanism enhancing the Personalized PageRank algorithm to rank hyperedges based on query relevance and contextual centrality  to priortize critical connections. Top ranked hyperedges are extracted and converted back int"&amp;"o log formats preserving temporal order and reducing context. Experimental results across multiple datasets demonstrate its superiority over existing methods, enhancing factual, causal, and analytical reasoning. Our approach enables smaller LLMs like LLaM"&amp;"A-8B to perform effective log-based QA. Being model-agnostic and training-free, it scales with evolving open-source LLMs without relying on proprietary systems.")</f>
        <v>Modern IT systems generate vast amounts of log data, which pose challenges for Large Language Models (LLMs) due to their large size, irrelevant entries, and non-Natural Language (non-NL) construct (e.g., domain-specific jargon, error codes, file paths, and abbreviations). Traditional methods like Retrieval-Augmented Generation (RAG) and GraphRAG fail to preserve temporal sequences, handle non-NL for context and entities extraction, and dynamically prioritize query-relevant context. To address these limitations, we propose HG-InsightLog, a novel framework that constructs a multi-entity temporal hypergraph representing log attribute-value pair as nodes and connecting them with hyperedges, capturing critical connections in the data. HG-InsightLog introduces a multi-step query personalization mechanism enhancing the Personalized PageRank algorithm to rank hyperedges based on query relevance and contextual centrality  to priortize critical connections. Top ranked hyperedges are extracted and converted back into log formats preserving temporal order and reducing context. Experimental results across multiple datasets demonstrate its superiority over existing methods, enhancing factual, causal, and analytical reasoning. Our approach enables smaller LLMs like LLaMA-8B to perform effective log-based QA. Being model-agnostic and training-free, it scales with evolving open-source LLMs without relying on proprietary systems.</v>
      </c>
      <c r="D1302" s="7" t="str">
        <f>IFERROR(__xludf.DUMMYFUNCTION("""COMPUTED_VALUE"""),"Chandrakant Harjpal")</f>
        <v>Chandrakant Harjpal</v>
      </c>
      <c r="E1302" s="7" t="str">
        <f>IFERROR(__xludf.DUMMYFUNCTION("""COMPUTED_VALUE"""),"Yes")</f>
        <v>Yes</v>
      </c>
      <c r="F1302" s="7" t="str">
        <f>IFERROR(__xludf.DUMMYFUNCTION("""COMPUTED_VALUE"""),"IP-Poster")</f>
        <v>IP-Poster</v>
      </c>
      <c r="G1302" s="7" t="str">
        <f>IFERROR(__xludf.DUMMYFUNCTION("""COMPUTED_VALUE"""),"In-Person")</f>
        <v>In-Person</v>
      </c>
      <c r="H1302" s="7" t="str">
        <f>IFERROR(__xludf.DUMMYFUNCTION("""COMPUTED_VALUE"""),"Hall 4/5")</f>
        <v>Hall 4/5</v>
      </c>
      <c r="I1302" s="7" t="str">
        <f>IFERROR(__xludf.DUMMYFUNCTION("""COMPUTED_VALUE"""),"Session 12: IP-Posters")</f>
        <v>Session 12: IP-Posters</v>
      </c>
      <c r="J1302" s="7" t="str">
        <f>IFERROR(__xludf.DUMMYFUNCTION("""COMPUTED_VALUE"""),"Findings Posters - In-Person 4")</f>
        <v>Findings Posters - In-Person 4</v>
      </c>
      <c r="K1302" s="7"/>
      <c r="L1302" s="8">
        <f>IFERROR(__xludf.DUMMYFUNCTION("""COMPUTED_VALUE"""),45868.0)</f>
        <v>45868</v>
      </c>
      <c r="M1302" s="7" t="str">
        <f>IFERROR(__xludf.DUMMYFUNCTION("""COMPUTED_VALUE"""),"11:00-12:30")</f>
        <v>11:00-12:30</v>
      </c>
      <c r="N1302" s="7"/>
    </row>
    <row r="1303">
      <c r="A1303" s="7" t="str">
        <f>IFERROR(__xludf.DUMMYFUNCTION("""COMPUTED_VALUE"""),"4683-FIND")</f>
        <v>4683-FIND</v>
      </c>
      <c r="B1303" s="7" t="str">
        <f>IFERROR(__xludf.DUMMYFUNCTION("""COMPUTED_VALUE"""),"Dialect Normalization using Large Language Models and Morphological Rules")</f>
        <v>Dialect Normalization using Large Language Models and Morphological Rules</v>
      </c>
      <c r="C1303" s="7" t="str">
        <f>IFERROR(__xludf.DUMMYFUNCTION("""COMPUTED_VALUE"""),"Natural language understanding systems struggle with low-resource languages, including many dialects of high-resource ones. Dialect-to-standard normalization attempts to tackle this issue by transforming dialectal text so that it can be used by standard-l"&amp;"anguage tools downstream. In this study, we tackle this task by introducing a new normalization method that combines rule-based linguistically informed transformations and large language models (LLMs) with targeted few-shot prompting, without requiring an"&amp;"y parallel data. We implement our method for Greek dialects and apply it on a dataset of regional proverbs, evaluating the outputs using human annotators. We then use this dataset to conduct downstream experiments, finding that previous results regarding "&amp;"these proverbs relied solely on superficial linguistic information, including orthographic artifacts, while new observations can still be made through the remaining semantics.")</f>
        <v>Natural language understanding systems struggle with low-resource languages, including many dialects of high-resource ones. Dialect-to-standard normalization attempts to tackle this issue by transforming dialectal text so that it can be used by standard-language tools downstream. In this study, we tackle this task by introducing a new normalization method that combines rule-based linguistically informed transformations and large language models (LLMs) with targeted few-shot prompting, without requiring any parallel data. We implement our method for Greek dialects and apply it on a dataset of regional proverbs, evaluating the outputs using human annotators. We then use this dataset to conduct downstream experiments, finding that previous results regarding these proverbs relied solely on superficial linguistic information, including orthographic artifacts, while new observations can still be made through the remaining semantics.</v>
      </c>
      <c r="D1303" s="7" t="str">
        <f>IFERROR(__xludf.DUMMYFUNCTION("""COMPUTED_VALUE"""),"Antonios Dimakis")</f>
        <v>Antonios Dimakis</v>
      </c>
      <c r="E1303" s="7" t="str">
        <f>IFERROR(__xludf.DUMMYFUNCTION("""COMPUTED_VALUE"""),"Yes")</f>
        <v>Yes</v>
      </c>
      <c r="F1303" s="7" t="str">
        <f>IFERROR(__xludf.DUMMYFUNCTION("""COMPUTED_VALUE"""),"IP-Poster")</f>
        <v>IP-Poster</v>
      </c>
      <c r="G1303" s="7" t="str">
        <f>IFERROR(__xludf.DUMMYFUNCTION("""COMPUTED_VALUE"""),"In-Person")</f>
        <v>In-Person</v>
      </c>
      <c r="H1303" s="7" t="str">
        <f>IFERROR(__xludf.DUMMYFUNCTION("""COMPUTED_VALUE"""),"Hall 4/5")</f>
        <v>Hall 4/5</v>
      </c>
      <c r="I1303" s="7" t="str">
        <f>IFERROR(__xludf.DUMMYFUNCTION("""COMPUTED_VALUE"""),"Session 5 :IP-Posters Find ")</f>
        <v>Session 5 :IP-Posters Find </v>
      </c>
      <c r="J1303" s="7" t="str">
        <f>IFERROR(__xludf.DUMMYFUNCTION("""COMPUTED_VALUE"""),"Findings Posters - In-Person 1")</f>
        <v>Findings Posters - In-Person 1</v>
      </c>
      <c r="K1303" s="7"/>
      <c r="L1303" s="8">
        <f>IFERROR(__xludf.DUMMYFUNCTION("""COMPUTED_VALUE"""),45866.0)</f>
        <v>45866</v>
      </c>
      <c r="M1303" s="7" t="str">
        <f>IFERROR(__xludf.DUMMYFUNCTION("""COMPUTED_VALUE"""),"18:00-19:30")</f>
        <v>18:00-19:30</v>
      </c>
      <c r="N1303" s="7"/>
    </row>
    <row r="1304">
      <c r="A1304" s="7" t="str">
        <f>IFERROR(__xludf.DUMMYFUNCTION("""COMPUTED_VALUE"""),"4687-FIND")</f>
        <v>4687-FIND</v>
      </c>
      <c r="B1304" s="7" t="str">
        <f>IFERROR(__xludf.DUMMYFUNCTION("""COMPUTED_VALUE"""),"USDC: A Dataset of  ̲User  ̲Stance and  ̲Dogmatism in Long  ̲Conversations")</f>
        <v>USDC: A Dataset of  ̲User  ̲Stance and  ̲Dogmatism in Long  ̲Conversations</v>
      </c>
      <c r="C1304" s="7" t="str">
        <f>IFERROR(__xludf.DUMMYFUNCTION("""COMPUTED_VALUE"""),"Analyzing such user opinion changes in long conversation threads is extremely critical for applications like enhanced personalization, market research, political campaigns, customer service, targeted advertising, and content moderation. Unfortunately prev"&amp;"ious studies on Stance and Dogmatism in user conversations have focused on training models using datasets at the post level, treating each post as independent and randomly sampling posts from conversation threads. Hence, first, we build a dataset for stud"&amp;"ying user opinion fluctuations in 764 long multi-user Reddit conversation threads, called USDC. USDC contains annotations for 2 tasks: i) User Stance classification, which involves labeling a user's stance in a post within a conversation on a five-point s"&amp;"cale; ii) User Dogmatism classification, which involves labeling a user's overall opinion in the conversation on a four-point scale. Besides being time-consuming and costly, manual annotations for USDC are challenging because: 1) Conversation threads coul"&amp;"d be very long, increasing the chances of noisy annotations; and 2) Interpreting instances where a user changes their opinion within a conversation is difficult because often such transitions are subtle and not expressed explicitly. Hence, we leverage Maj"&amp;"ority voting on zero-shot, one-shot, and few-shot annotations from Mistral Large and GPT-4 to automate the annotation process. Human annotations on 200 test conversations achieved inter-annotator agreement scores of 0.49 for stance and 0.50 for dogmatism,"&amp;" indicating a reasonable level of consistency between human and LLM annotations. USDC is then used to finetune and instruction-tune multiple deployable small language models like LLaMA, Falcon and Vicuna for the stance and dogmatism classification tasks. "&amp;"We make the code and dataset publicly available [https://anonymous.4open.science/status/USDC-62DE].")</f>
        <v>Analyzing such user opinion changes in long conversation threads is extremely critical for applications like enhanced personalization, market research, political campaigns, customer service, targeted advertising, and content moderation. Unfortunately previous studies on Stance and Dogmatism in user conversations have focused on training models using datasets at the post level, treating each post as independent and randomly sampling posts from conversation threads. Hence, first, we build a dataset for studying user opinion fluctuations in 764 long multi-user Reddit conversation threads, called USDC. USDC contains annotations for 2 tasks: i) User Stance classification, which involves labeling a user's stance in a post within a conversation on a five-point scale; ii) User Dogmatism classification, which involves labeling a user's overall opinion in the conversation on a four-point scale. Besides being time-consuming and costly, manual annotations for USDC are challenging because: 1) Conversation threads could be very long, increasing the chances of noisy annotations; and 2) Interpreting instances where a user changes their opinion within a conversation is difficult because often such transitions are subtle and not expressed explicitly. Hence, we leverage Majority voting on zero-shot, one-shot, and few-shot annotations from Mistral Large and GPT-4 to automate the annotation process. Human annotations on 200 test conversations achieved inter-annotator agreement scores of 0.49 for stance and 0.50 for dogmatism, indicating a reasonable level of consistency between human and LLM annotations. USDC is then used to finetune and instruction-tune multiple deployable small language models like LLaMA, Falcon and Vicuna for the stance and dogmatism classification tasks. We make the code and dataset publicly available [https://anonymous.4open.science/status/USDC-62DE].</v>
      </c>
      <c r="D1304" s="7" t="str">
        <f>IFERROR(__xludf.DUMMYFUNCTION("""COMPUTED_VALUE"""),"NA")</f>
        <v>NA</v>
      </c>
      <c r="E1304" s="7" t="str">
        <f>IFERROR(__xludf.DUMMYFUNCTION("""COMPUTED_VALUE"""),"Yes")</f>
        <v>Yes</v>
      </c>
      <c r="F1304" s="7" t="str">
        <f>IFERROR(__xludf.DUMMYFUNCTION("""COMPUTED_VALUE"""),"Not Pres. ")</f>
        <v>Not Pres. </v>
      </c>
      <c r="G1304" s="7" t="str">
        <f>IFERROR(__xludf.DUMMYFUNCTION("""COMPUTED_VALUE"""),"NP Findings Not Presenting ")</f>
        <v>NP Findings Not Presenting </v>
      </c>
      <c r="H1304" s="7"/>
      <c r="I1304" s="7"/>
      <c r="J1304" s="7"/>
      <c r="K1304" s="7"/>
      <c r="L1304" s="8"/>
      <c r="M1304" s="7"/>
      <c r="N1304" s="7"/>
    </row>
    <row r="1305">
      <c r="A1305" s="7" t="str">
        <f>IFERROR(__xludf.DUMMYFUNCTION("""COMPUTED_VALUE"""),"4690-FIND")</f>
        <v>4690-FIND</v>
      </c>
      <c r="B1305" s="7" t="str">
        <f>IFERROR(__xludf.DUMMYFUNCTION("""COMPUTED_VALUE"""),"Learning to Insert [PAUSE] Tokens for Better Reasoning")</f>
        <v>Learning to Insert [PAUSE] Tokens for Better Reasoning</v>
      </c>
      <c r="C1305" s="7" t="str">
        <f>IFERROR(__xludf.DUMMYFUNCTION("""COMPUTED_VALUE"""),"To enhance reasoning capabilities, research has explored incorporating special-purpose tokens into the training process to strengthen the learning mechanism of transformer-based LLMs. Building on prior research that showed inserting dummy tokens consecuti"&amp;"vely just before reasoning steps can enhance effectiveness, we introduce a novel approach termed Dynamic Inserting tokens Training (DIT). Our method identifies positions within sequences where model confidence is lowest identified by token log likelihood,"&amp;" strategically inserting [PAUSE] tokens to bolster the model's predictive capabilities for subsequent tokens. Experimental results across diverse datasets and models, from 2.7B model to 8B model, demonstrate that DIT consistently outperforms traditional f"&amp;"ine-tuning and previous token insertion methods. With this simple yet impactful method, we achieve accuracy gains of up to 4.7%p on GSM8K, 3.23%p on AQUA-RAT, and pass@1 improvements of up to 3.4%p on MBPP. Our work shows a model-based, dynamic approach r"&amp;"ather than a heuristic one, thereby broadening the scope of research in reasoning.")</f>
        <v>To enhance reasoning capabilities, research has explored incorporating special-purpose tokens into the training process to strengthen the learning mechanism of transformer-based LLMs. Building on prior research that showed inserting dummy tokens consecutively just before reasoning steps can enhance effectiveness, we introduce a novel approach termed Dynamic Inserting tokens Training (DIT). Our method identifies positions within sequences where model confidence is lowest identified by token log likelihood, strategically inserting [PAUSE] tokens to bolster the model's predictive capabilities for subsequent tokens. Experimental results across diverse datasets and models, from 2.7B model to 8B model, demonstrate that DIT consistently outperforms traditional fine-tuning and previous token insertion methods. With this simple yet impactful method, we achieve accuracy gains of up to 4.7%p on GSM8K, 3.23%p on AQUA-RAT, and pass@1 improvements of up to 3.4%p on MBPP. Our work shows a model-based, dynamic approach rather than a heuristic one, thereby broadening the scope of research in reasoning.</v>
      </c>
      <c r="D1305" s="7" t="str">
        <f>IFERROR(__xludf.DUMMYFUNCTION("""COMPUTED_VALUE"""),"Eunki Kim")</f>
        <v>Eunki Kim</v>
      </c>
      <c r="E1305" s="7" t="str">
        <f>IFERROR(__xludf.DUMMYFUNCTION("""COMPUTED_VALUE"""),"Yes")</f>
        <v>Yes</v>
      </c>
      <c r="F1305" s="7" t="str">
        <f>IFERROR(__xludf.DUMMYFUNCTION("""COMPUTED_VALUE"""),"IP-Poster")</f>
        <v>IP-Poster</v>
      </c>
      <c r="G1305" s="7" t="str">
        <f>IFERROR(__xludf.DUMMYFUNCTION("""COMPUTED_VALUE"""),"In-Person")</f>
        <v>In-Person</v>
      </c>
      <c r="H1305" s="7" t="str">
        <f>IFERROR(__xludf.DUMMYFUNCTION("""COMPUTED_VALUE"""),"Hall 4/5")</f>
        <v>Hall 4/5</v>
      </c>
      <c r="I1305" s="7" t="str">
        <f>IFERROR(__xludf.DUMMYFUNCTION("""COMPUTED_VALUE"""),"Session 7: IP-Posters")</f>
        <v>Session 7: IP-Posters</v>
      </c>
      <c r="J1305" s="7" t="str">
        <f>IFERROR(__xludf.DUMMYFUNCTION("""COMPUTED_VALUE"""),"Findings Posters - In-Person 2")</f>
        <v>Findings Posters - In-Person 2</v>
      </c>
      <c r="K1305" s="7"/>
      <c r="L1305" s="8">
        <f>IFERROR(__xludf.DUMMYFUNCTION("""COMPUTED_VALUE"""),45867.0)</f>
        <v>45867</v>
      </c>
      <c r="M1305" s="7" t="str">
        <f>IFERROR(__xludf.DUMMYFUNCTION("""COMPUTED_VALUE"""),"10:30-12:00")</f>
        <v>10:30-12:00</v>
      </c>
      <c r="N1305" s="7"/>
    </row>
    <row r="1306">
      <c r="A1306" s="7" t="str">
        <f>IFERROR(__xludf.DUMMYFUNCTION("""COMPUTED_VALUE"""),"4707-FIND")</f>
        <v>4707-FIND</v>
      </c>
      <c r="B1306" s="7" t="str">
        <f>IFERROR(__xludf.DUMMYFUNCTION("""COMPUTED_VALUE"""),"Understand the Implication: Learning to Think for Pragmatic Understanding")</f>
        <v>Understand the Implication: Learning to Think for Pragmatic Understanding</v>
      </c>
      <c r="C1306" s="7" t="str">
        <f>IFERROR(__xludf.DUMMYFUNCTION("""COMPUTED_VALUE"""),"Pragmatic reasoning—the ability to infer meaning beyond literal interpretation—is crucial for social cognition and communication. While LLMs have been benchmarked for their pragmatic understanding, improving their performance remains underexplored. Existi"&amp;"ng methods rely on annotated labels but overlook the reasoning process humans naturally use to interpret implicit meaning. To bridge this gap, we introduce a novel pragmatic dataset that includes *explicit reasoning (thoughts)* for both correct and incorr"&amp;"ect interpretations. Through preference-tuning and supervised fine-tuning, we demonstrate that thought-based learning significantly enhances LLMs' pragmatic understanding, improving accuracy by 11.12% across model families. We further discuss a transfer-l"&amp;"earning study where we evaluate the performance of *thought*- based training for the tasks not seen during the train time, and observed an improvement of 16.10% compared to *label* trained models.")</f>
        <v>Pragmatic reasoning—the ability to infer meaning beyond literal interpretation—is crucial for social cognition and communication. While LLMs have been benchmarked for their pragmatic understanding, improving their performance remains underexplored. Existing methods rely on annotated labels but overlook the reasoning process humans naturally use to interpret implicit meaning. To bridge this gap, we introduce a novel pragmatic dataset that includes *explicit reasoning (thoughts)* for both correct and incorrect interpretations. Through preference-tuning and supervised fine-tuning, we demonstrate that thought-based learning significantly enhances LLMs' pragmatic understanding, improving accuracy by 11.12% across model families. We further discuss a transfer-learning study where we evaluate the performance of *thought*- based training for the tasks not seen during the train time, and observed an improvement of 16.10% compared to *label* trained models.</v>
      </c>
      <c r="D1306" s="7" t="str">
        <f>IFERROR(__xludf.DUMMYFUNCTION("""COMPUTED_VALUE"""),"Settaluri Lakshmi Sravanthi")</f>
        <v>Settaluri Lakshmi Sravanthi</v>
      </c>
      <c r="E1306" s="7" t="str">
        <f>IFERROR(__xludf.DUMMYFUNCTION("""COMPUTED_VALUE"""),"Yes")</f>
        <v>Yes</v>
      </c>
      <c r="F1306" s="7" t="str">
        <f>IFERROR(__xludf.DUMMYFUNCTION("""COMPUTED_VALUE"""),"IP-Poster")</f>
        <v>IP-Poster</v>
      </c>
      <c r="G1306" s="7" t="str">
        <f>IFERROR(__xludf.DUMMYFUNCTION("""COMPUTED_VALUE"""),"In-Person")</f>
        <v>In-Person</v>
      </c>
      <c r="H1306" s="7" t="str">
        <f>IFERROR(__xludf.DUMMYFUNCTION("""COMPUTED_VALUE"""),"Hall 4/5")</f>
        <v>Hall 4/5</v>
      </c>
      <c r="I1306" s="7" t="str">
        <f>IFERROR(__xludf.DUMMYFUNCTION("""COMPUTED_VALUE"""),"Session 5 :IP-Posters Find ")</f>
        <v>Session 5 :IP-Posters Find </v>
      </c>
      <c r="J1306" s="7" t="str">
        <f>IFERROR(__xludf.DUMMYFUNCTION("""COMPUTED_VALUE"""),"Findings Posters - In-Person 1")</f>
        <v>Findings Posters - In-Person 1</v>
      </c>
      <c r="K1306" s="7"/>
      <c r="L1306" s="8">
        <f>IFERROR(__xludf.DUMMYFUNCTION("""COMPUTED_VALUE"""),45866.0)</f>
        <v>45866</v>
      </c>
      <c r="M1306" s="7" t="str">
        <f>IFERROR(__xludf.DUMMYFUNCTION("""COMPUTED_VALUE"""),"18:00-19:30")</f>
        <v>18:00-19:30</v>
      </c>
      <c r="N1306" s="7"/>
    </row>
    <row r="1307">
      <c r="A1307" s="7" t="str">
        <f>IFERROR(__xludf.DUMMYFUNCTION("""COMPUTED_VALUE"""),"4709-FIND")</f>
        <v>4709-FIND</v>
      </c>
      <c r="B1307" s="7" t="str">
        <f>IFERROR(__xludf.DUMMYFUNCTION("""COMPUTED_VALUE"""),"Source Attribution for Large Language Model-Generated Data")</f>
        <v>Source Attribution for Large Language Model-Generated Data</v>
      </c>
      <c r="C1307" s="7" t="str">
        <f>IFERROR(__xludf.DUMMYFUNCTION("""COMPUTED_VALUE"""),"The impressive performances of Large Language Models (LLMs) and their immense potential for commercialization have given rise to serious concerns over the Intellectual Property (IP) of their training data. In particular, the synthetic texts generated by L"&amp;"LMs may infringe the IP of the data being used to train the LLMs. To this end, it is imperative to be able to perform source attribution by identifying the data provider who contributed to the generation of a synthetic text by an LLM. In this paper, we sh"&amp;"ow that this problem can be tackled by watermarking, i.e., by enabling an LLM to generate synthetic texts with embedded watermarks that contain information about their source(s). We identify the key properties of such watermarking frameworks (e.g., source"&amp;" attribution accuracy, robustness against adversaries), and propose a source attribution framework that satisfies these key properties due to our algorithmic designs. Our framework enables an LLM to learn an accurate mapping from the generated texts to da"&amp;"ta providers, which sets the foundation for effective source attribution. Extensive empirical evaluations show that our framework achieves effective source attribution.")</f>
        <v>The impressive performances of Large Language Models (LLMs) and their immense potential for commercialization have given rise to serious concerns over the Intellectual Property (IP) of their training data. In particular, the synthetic texts generated by LLMs may infringe the IP of the data being used to train the LLMs. To this end, it is imperative to be able to perform source attribution by identifying the data provider who contributed to the generation of a synthetic text by an LLM. In this paper, we show that this problem can be tackled by watermarking, i.e., by enabling an LLM to generate synthetic texts with embedded watermarks that contain information about their source(s). We identify the key properties of such watermarking frameworks (e.g., source attribution accuracy, robustness against adversaries), and propose a source attribution framework that satisfies these key properties due to our algorithmic designs. Our framework enables an LLM to learn an accurate mapping from the generated texts to data providers, which sets the foundation for effective source attribution. Extensive empirical evaluations show that our framework achieves effective source attribution.</v>
      </c>
      <c r="D1307" s="7" t="str">
        <f>IFERROR(__xludf.DUMMYFUNCTION("""COMPUTED_VALUE"""),"Xinyang Lu")</f>
        <v>Xinyang Lu</v>
      </c>
      <c r="E1307" s="7" t="str">
        <f>IFERROR(__xludf.DUMMYFUNCTION("""COMPUTED_VALUE"""),"Yes")</f>
        <v>Yes</v>
      </c>
      <c r="F1307" s="7" t="str">
        <f>IFERROR(__xludf.DUMMYFUNCTION("""COMPUTED_VALUE"""),"IP-Poster")</f>
        <v>IP-Poster</v>
      </c>
      <c r="G1307" s="7" t="str">
        <f>IFERROR(__xludf.DUMMYFUNCTION("""COMPUTED_VALUE"""),"In-Person")</f>
        <v>In-Person</v>
      </c>
      <c r="H1307" s="7" t="str">
        <f>IFERROR(__xludf.DUMMYFUNCTION("""COMPUTED_VALUE"""),"Hall 4/5")</f>
        <v>Hall 4/5</v>
      </c>
      <c r="I1307" s="7" t="str">
        <f>IFERROR(__xludf.DUMMYFUNCTION("""COMPUTED_VALUE"""),"Session 12: IP-Posters")</f>
        <v>Session 12: IP-Posters</v>
      </c>
      <c r="J1307" s="7" t="str">
        <f>IFERROR(__xludf.DUMMYFUNCTION("""COMPUTED_VALUE"""),"Findings Posters - In-Person 4")</f>
        <v>Findings Posters - In-Person 4</v>
      </c>
      <c r="K1307" s="7"/>
      <c r="L1307" s="8">
        <f>IFERROR(__xludf.DUMMYFUNCTION("""COMPUTED_VALUE"""),45868.0)</f>
        <v>45868</v>
      </c>
      <c r="M1307" s="7" t="str">
        <f>IFERROR(__xludf.DUMMYFUNCTION("""COMPUTED_VALUE"""),"11:00-12:30")</f>
        <v>11:00-12:30</v>
      </c>
      <c r="N1307" s="7"/>
    </row>
    <row r="1308">
      <c r="A1308" s="7" t="str">
        <f>IFERROR(__xludf.DUMMYFUNCTION("""COMPUTED_VALUE"""),"4710-FIND")</f>
        <v>4710-FIND</v>
      </c>
      <c r="B1308" s="7" t="str">
        <f>IFERROR(__xludf.DUMMYFUNCTION("""COMPUTED_VALUE"""),"Dense Retrieval with Quantity Comparison Intent")</f>
        <v>Dense Retrieval with Quantity Comparison Intent</v>
      </c>
      <c r="C1308" s="7" t="str">
        <f>IFERROR(__xludf.DUMMYFUNCTION("""COMPUTED_VALUE"""),"Pre-trained language models (PLMs) fragment numerals and units that express quantities in arbitrary ways, depending on their subword vocabulary. Consequently, they are unable to contextualize the fragment embeddings well enough to be proficient with dense"&amp;" retrieval in domains like e-commerce and finance. Arithmetic inequality constraints (``laptop under 2 lb'') offer additional challenges. In response, we propose DeepQuant, a dense retrieval system built around a dense multi-vector index, but carefully en"&amp;"gineered to elicit and exploit quantities and associated comparison intents. A novel component of our relevance score compares two quantities with compatible units, conditioned on a proposed comparison operator. The uncertain extractions of numerals, unit"&amp;"s and comparators are marginalized in a suitable manner. On two public and one proprietary e-commerce benchmark, DeepQuant is both faster and more accurate than popular PLMs. It also beats several competitive sparse and dense retrieval systems that do not"&amp;" take special cognizance of quantities.")</f>
        <v>Pre-trained language models (PLMs) fragment numerals and units that express quantities in arbitrary ways, depending on their subword vocabulary. Consequently, they are unable to contextualize the fragment embeddings well enough to be proficient with dense retrieval in domains like e-commerce and finance. Arithmetic inequality constraints (``laptop under 2 lb'') offer additional challenges. In response, we propose DeepQuant, a dense retrieval system built around a dense multi-vector index, but carefully engineered to elicit and exploit quantities and associated comparison intents. A novel component of our relevance score compares two quantities with compatible units, conditioned on a proposed comparison operator. The uncertain extractions of numerals, units and comparators are marginalized in a suitable manner. On two public and one proprietary e-commerce benchmark, DeepQuant is both faster and more accurate than popular PLMs. It also beats several competitive sparse and dense retrieval systems that do not take special cognizance of quantities.</v>
      </c>
      <c r="D1308" s="7" t="str">
        <f>IFERROR(__xludf.DUMMYFUNCTION("""COMPUTED_VALUE"""),"Prayas Agrawal")</f>
        <v>Prayas Agrawal</v>
      </c>
      <c r="E1308" s="7" t="str">
        <f>IFERROR(__xludf.DUMMYFUNCTION("""COMPUTED_VALUE"""),"Yes")</f>
        <v>Yes</v>
      </c>
      <c r="F1308" s="7" t="str">
        <f>IFERROR(__xludf.DUMMYFUNCTION("""COMPUTED_VALUE"""),"V-Presentation")</f>
        <v>V-Presentation</v>
      </c>
      <c r="G1308" s="7" t="str">
        <f>IFERROR(__xludf.DUMMYFUNCTION("""COMPUTED_VALUE"""),"Virtual/Gather")</f>
        <v>Virtual/Gather</v>
      </c>
      <c r="H1308" s="7" t="str">
        <f>IFERROR(__xludf.DUMMYFUNCTION("""COMPUTED_VALUE"""),"Gather")</f>
        <v>Gather</v>
      </c>
      <c r="I1308" s="7" t="str">
        <f>IFERROR(__xludf.DUMMYFUNCTION("""COMPUTED_VALUE"""),"Session5: V-Gather Find")</f>
        <v>Session5: V-Gather Find</v>
      </c>
      <c r="J1308" s="7" t="str">
        <f>IFERROR(__xludf.DUMMYFUNCTION("""COMPUTED_VALUE"""),"Findings Posters - Virtual")</f>
        <v>Findings Posters - Virtual</v>
      </c>
      <c r="K1308" s="7"/>
      <c r="L1308" s="8">
        <f>IFERROR(__xludf.DUMMYFUNCTION("""COMPUTED_VALUE"""),45866.0)</f>
        <v>45866</v>
      </c>
      <c r="M1308" s="7" t="str">
        <f>IFERROR(__xludf.DUMMYFUNCTION("""COMPUTED_VALUE"""),"18:00-19:30")</f>
        <v>18:00-19:30</v>
      </c>
      <c r="N1308" s="7"/>
    </row>
    <row r="1309">
      <c r="A1309" s="7" t="str">
        <f>IFERROR(__xludf.DUMMYFUNCTION("""COMPUTED_VALUE"""),"4713-FIND")</f>
        <v>4713-FIND</v>
      </c>
      <c r="B1309" s="7" t="str">
        <f>IFERROR(__xludf.DUMMYFUNCTION("""COMPUTED_VALUE"""),"Reflection on Knowledge Graph for Large Language Models Reasoning")</f>
        <v>Reflection on Knowledge Graph for Large Language Models Reasoning</v>
      </c>
      <c r="C1309" s="7" t="str">
        <f>IFERROR(__xludf.DUMMYFUNCTION("""COMPUTED_VALUE"""),"Recent research shows that supplementing Large Language Models (LLMs) with knowledge graphs can enhance their performance. However, existing methods often introduce noise in the retrieval and reasoning pipeline, hindering LLMs' ability to effectively inte"&amp;"grate external knowledge for complex multi-hop question answering. To address this, we propose RefKG, a novel framework designed to enhance the reasoning capabilities of LLMs through reflective engagement with knowledge graphs. RefKG autonomously conduct "&amp;"retrieval and reflection on knowledge graphs. It consists of three modules: Query Decoupling, LLM-Driven Knowledge Graph Exploration, and Inference with Knowledge Reconstruction. We also introduce a multi-task tuning strategy that not only integrates exte"&amp;"rnal knowledge into LLMs but also trains them to leverage this knowledge for answering questions. This significantly improves their performance on knowledge-intensive tasks. Experiments on fact verification and knowledge graph question answering demonstra"&amp;"te RefKG's effectiveness.")</f>
        <v>Recent research shows that supplementing Large Language Models (LLMs) with knowledge graphs can enhance their performance. However, existing methods often introduce noise in the retrieval and reasoning pipeline, hindering LLMs' ability to effectively integrate external knowledge for complex multi-hop question answering. To address this, we propose RefKG, a novel framework designed to enhance the reasoning capabilities of LLMs through reflective engagement with knowledge graphs. RefKG autonomously conduct retrieval and reflection on knowledge graphs. It consists of three modules: Query Decoupling, LLM-Driven Knowledge Graph Exploration, and Inference with Knowledge Reconstruction. We also introduce a multi-task tuning strategy that not only integrates external knowledge into LLMs but also trains them to leverage this knowledge for answering questions. This significantly improves their performance on knowledge-intensive tasks. Experiments on fact verification and knowledge graph question answering demonstrate RefKG's effectiveness.</v>
      </c>
      <c r="D1309" s="7" t="str">
        <f>IFERROR(__xludf.DUMMYFUNCTION("""COMPUTED_VALUE"""),"Yigeng Zhou")</f>
        <v>Yigeng Zhou</v>
      </c>
      <c r="E1309" s="7" t="str">
        <f>IFERROR(__xludf.DUMMYFUNCTION("""COMPUTED_VALUE"""),"#N/A")</f>
        <v>#N/A</v>
      </c>
      <c r="F1309" s="7" t="str">
        <f>IFERROR(__xludf.DUMMYFUNCTION("""COMPUTED_VALUE"""),"Not Pres. ")</f>
        <v>Not Pres. </v>
      </c>
      <c r="G1309" s="7" t="str">
        <f>IFERROR(__xludf.DUMMYFUNCTION("""COMPUTED_VALUE"""),"NP Findings Not Presenting ")</f>
        <v>NP Findings Not Presenting </v>
      </c>
      <c r="H1309" s="7"/>
      <c r="I1309" s="7" t="str">
        <f>IFERROR(__xludf.DUMMYFUNCTION("""COMPUTED_VALUE"""),"NP-Find")</f>
        <v>NP-Find</v>
      </c>
      <c r="J1309" s="7"/>
      <c r="K1309" s="7"/>
      <c r="L1309" s="8"/>
      <c r="M1309" s="7"/>
      <c r="N1309" s="7"/>
    </row>
    <row r="1310">
      <c r="A1310" s="7" t="str">
        <f>IFERROR(__xludf.DUMMYFUNCTION("""COMPUTED_VALUE"""),"4714-FIND")</f>
        <v>4714-FIND</v>
      </c>
      <c r="B1310" s="7" t="str">
        <f>IFERROR(__xludf.DUMMYFUNCTION("""COMPUTED_VALUE"""),"Revisiting 3D LLM Benchmarks: Are We Really Testing 3D Capabilities?")</f>
        <v>Revisiting 3D LLM Benchmarks: Are We Really Testing 3D Capabilities?</v>
      </c>
      <c r="C1310" s="7" t="str">
        <f>IFERROR(__xludf.DUMMYFUNCTION("""COMPUTED_VALUE"""),"In this work, we identify the ""2D-Cheating"" problem in 3D LLM evaluation, where these tasks might be easily solved by VLMs with rendered images of point clouds, exposing ineffective evaluation of 3D LLMs' unique 3D capabilities. We test VLM performance "&amp;"across multiple 3D LLM benchmarks and, using this as a reference, propose principles for better assessing genuine 3D understanding. We also advocate explicitly separating 3D abilities from 1D or 2D aspects when evaluating 3D LLMs.")</f>
        <v>In this work, we identify the "2D-Cheating" problem in 3D LLM evaluation, where these tasks might be easily solved by VLMs with rendered images of point clouds, exposing ineffective evaluation of 3D LLMs' unique 3D capabilities. We test VLM performance across multiple 3D LLM benchmarks and, using this as a reference, propose principles for better assessing genuine 3D understanding. We also advocate explicitly separating 3D abilities from 1D or 2D aspects when evaluating 3D LLMs.</v>
      </c>
      <c r="D1310" s="7" t="str">
        <f>IFERROR(__xludf.DUMMYFUNCTION("""COMPUTED_VALUE"""),"Jiahe Jin, Yanheng He")</f>
        <v>Jiahe Jin, Yanheng He</v>
      </c>
      <c r="E1310" s="7" t="str">
        <f>IFERROR(__xludf.DUMMYFUNCTION("""COMPUTED_VALUE"""),"N/A")</f>
        <v>N/A</v>
      </c>
      <c r="F1310" s="7" t="str">
        <f>IFERROR(__xludf.DUMMYFUNCTION("""COMPUTED_VALUE"""),"Not Pres. ")</f>
        <v>Not Pres. </v>
      </c>
      <c r="G1310" s="7" t="str">
        <f>IFERROR(__xludf.DUMMYFUNCTION("""COMPUTED_VALUE"""),"NP Findings Not Presenting ")</f>
        <v>NP Findings Not Presenting </v>
      </c>
      <c r="H1310" s="7"/>
      <c r="I1310" s="7"/>
      <c r="J1310" s="7"/>
      <c r="K1310" s="7"/>
      <c r="L1310" s="8"/>
      <c r="M1310" s="7"/>
      <c r="N1310" s="7"/>
    </row>
    <row r="1311">
      <c r="A1311" s="7" t="str">
        <f>IFERROR(__xludf.DUMMYFUNCTION("""COMPUTED_VALUE"""),"4715-FIND")</f>
        <v>4715-FIND</v>
      </c>
      <c r="B1311" s="7" t="str">
        <f>IFERROR(__xludf.DUMMYFUNCTION("""COMPUTED_VALUE"""),"DIESEL - Dynamic Inference-Guidance via Evasion of Semantic Embeddings in LLMs")</f>
        <v>DIESEL - Dynamic Inference-Guidance via Evasion of Semantic Embeddings in LLMs</v>
      </c>
      <c r="C1311" s="7" t="str">
        <f>IFERROR(__xludf.DUMMYFUNCTION("""COMPUTED_VALUE"""),"In recent years, large language models (LLMs) have had great success in tasks such as casual conversation, contributing to significant advancements in domains like virtual assistance. However, they often generate responses that are not aligned with human "&amp;"values (e.g., ethical standards, safety), leading to potentially unsafe or inappropriate outputs. While several techniques have been proposed to address this problem, they come with a cost, requiring computationally expensive training or dramatically incr"&amp;"easing the inference time. In this paper, we present DIESEL, a lightweight inference-guidance technique that can be seamlessly integrated into any autoregressive LLM to semantically filter undesired concepts from the response. DIESEL can function either a"&amp;"s a standalone safeguard or as an additional layer of defense, enhancing response safety by reranking the LLM's proposed tokens based on their similarity to predefined negative concepts in the latent space. Our evaluation demonstrates DIESEL's effectivene"&amp;"ss on state-of-the-art conversational models, even in adversarial jailbreaking scenarios that challenge response safety. We also highlight DIESEL's generalization capabilities, showing that it can be used in use cases other than safety, providing general-"&amp;"purpose response filtering.")</f>
        <v>In recent years, large language models (LLMs) have had great success in tasks such as casual conversation, contributing to significant advancements in domains like virtual assistance. However, they often generate responses that are not aligned with human values (e.g., ethical standards, safety), leading to potentially unsafe or inappropriate outputs. While several techniques have been proposed to address this problem, they come with a cost, requiring computationally expensive training or dramatically increasing the inference time. In this paper, we present DIESEL, a lightweight inference-guidance technique that can be seamlessly integrated into any autoregressive LLM to semantically filter undesired concepts from the response. DIESEL can function either as a standalone safeguard or as an additional layer of defense, enhancing response safety by reranking the LLM's proposed tokens based on their similarity to predefined negative concepts in the latent space. Our evaluation demonstrates DIESEL's effectiveness on state-of-the-art conversational models, even in adversarial jailbreaking scenarios that challenge response safety. We also highlight DIESEL's generalization capabilities, showing that it can be used in use cases other than safety, providing general-purpose response filtering.</v>
      </c>
      <c r="D1311" s="7" t="str">
        <f>IFERROR(__xludf.DUMMYFUNCTION("""COMPUTED_VALUE"""),"Ben Ganon")</f>
        <v>Ben Ganon</v>
      </c>
      <c r="E1311" s="7" t="str">
        <f>IFERROR(__xludf.DUMMYFUNCTION("""COMPUTED_VALUE"""),"Yes")</f>
        <v>Yes</v>
      </c>
      <c r="F1311" s="7" t="str">
        <f>IFERROR(__xludf.DUMMYFUNCTION("""COMPUTED_VALUE"""),"IP-Poster")</f>
        <v>IP-Poster</v>
      </c>
      <c r="G1311" s="7" t="str">
        <f>IFERROR(__xludf.DUMMYFUNCTION("""COMPUTED_VALUE"""),"In-Person")</f>
        <v>In-Person</v>
      </c>
      <c r="H1311" s="7" t="str">
        <f>IFERROR(__xludf.DUMMYFUNCTION("""COMPUTED_VALUE"""),"Hall 4/5")</f>
        <v>Hall 4/5</v>
      </c>
      <c r="I1311" s="7" t="str">
        <f>IFERROR(__xludf.DUMMYFUNCTION("""COMPUTED_VALUE"""),"Session 10: IP-Posters")</f>
        <v>Session 10: IP-Posters</v>
      </c>
      <c r="J1311" s="7" t="str">
        <f>IFERROR(__xludf.DUMMYFUNCTION("""COMPUTED_VALUE"""),"Findings Posters - In-Person 3")</f>
        <v>Findings Posters - In-Person 3</v>
      </c>
      <c r="K1311" s="7"/>
      <c r="L1311" s="8">
        <f>IFERROR(__xludf.DUMMYFUNCTION("""COMPUTED_VALUE"""),45867.0)</f>
        <v>45867</v>
      </c>
      <c r="M1311" s="7" t="str">
        <f>IFERROR(__xludf.DUMMYFUNCTION("""COMPUTED_VALUE"""),"16:00-17:30")</f>
        <v>16:00-17:30</v>
      </c>
      <c r="N1311" s="7"/>
    </row>
    <row r="1312">
      <c r="A1312" s="7" t="str">
        <f>IFERROR(__xludf.DUMMYFUNCTION("""COMPUTED_VALUE"""),"4717-FIND")</f>
        <v>4717-FIND</v>
      </c>
      <c r="B1312" s="7" t="str">
        <f>IFERROR(__xludf.DUMMYFUNCTION("""COMPUTED_VALUE"""),"Toward Structured Knowledge Reasoning: Contrastive Retrieval-Augmented Generation on Experience")</f>
        <v>Toward Structured Knowledge Reasoning: Contrastive Retrieval-Augmented Generation on Experience</v>
      </c>
      <c r="C1312" s="7" t="str">
        <f>IFERROR(__xludf.DUMMYFUNCTION("""COMPUTED_VALUE"""),"Large language models (LLMs) achieve strong performance on plain text tasks but underperform on structured data like tables and databases. Potential challenges arise from their underexposure during pre-training and rigid text-to-structure transfer mechani"&amp;"sms. Unlike humans who seamlessly apply learned patterns across data modalities, LLMs struggle to infer implicit relationships embedded in tabular formats, especially in the absence of explicit structural guidance. To bridge this cognitive gap, we introdu"&amp;"ce Contrastive Retrieval-Augmented Generation on Experience (CoRE), a framework that builds experience memory representations and enhances generalization through contrastive In-Context Learning (ICL) to simulate human-like knowledge transfer. Experiments "&amp;"on Text-to-SQL and TableQA show CoRE significantly improves performance, achieving average gains of 3.44% and 4.24%, with up to 17.2% on challenging tasks. Our Monte Carlo Tree Search (MCTS)-generated Experience Memory expands training data 8-9×, enhancin"&amp;"g diversity and domain coverage. This training-free and continual method propels LLMs toward structured knowledge expertise.")</f>
        <v>Large language models (LLMs) achieve strong performance on plain text tasks but underperform on structured data like tables and databases. Potential challenges arise from their underexposure during pre-training and rigid text-to-structure transfer mechanisms. Unlike humans who seamlessly apply learned patterns across data modalities, LLMs struggle to infer implicit relationships embedded in tabular formats, especially in the absence of explicit structural guidance. To bridge this cognitive gap, we introduce Contrastive Retrieval-Augmented Generation on Experience (CoRE), a framework that builds experience memory representations and enhances generalization through contrastive In-Context Learning (ICL) to simulate human-like knowledge transfer. Experiments on Text-to-SQL and TableQA show CoRE significantly improves performance, achieving average gains of 3.44% and 4.24%, with up to 17.2% on challenging tasks. Our Monte Carlo Tree Search (MCTS)-generated Experience Memory expands training data 8-9×, enhancing diversity and domain coverage. This training-free and continual method propels LLMs toward structured knowledge expertise.</v>
      </c>
      <c r="D1312" s="7" t="str">
        <f>IFERROR(__xludf.DUMMYFUNCTION("""COMPUTED_VALUE"""),"Jiawei Gu")</f>
        <v>Jiawei Gu</v>
      </c>
      <c r="E1312" s="7" t="str">
        <f>IFERROR(__xludf.DUMMYFUNCTION("""COMPUTED_VALUE"""),"Yes")</f>
        <v>Yes</v>
      </c>
      <c r="F1312" s="7" t="str">
        <f>IFERROR(__xludf.DUMMYFUNCTION("""COMPUTED_VALUE"""),"IP-Poster")</f>
        <v>IP-Poster</v>
      </c>
      <c r="G1312" s="7" t="str">
        <f>IFERROR(__xludf.DUMMYFUNCTION("""COMPUTED_VALUE"""),"In-Person")</f>
        <v>In-Person</v>
      </c>
      <c r="H1312" s="7" t="str">
        <f>IFERROR(__xludf.DUMMYFUNCTION("""COMPUTED_VALUE"""),"Hall 4/5")</f>
        <v>Hall 4/5</v>
      </c>
      <c r="I1312" s="7" t="str">
        <f>IFERROR(__xludf.DUMMYFUNCTION("""COMPUTED_VALUE"""),"Session 5 :IP-Posters Find ")</f>
        <v>Session 5 :IP-Posters Find </v>
      </c>
      <c r="J1312" s="7" t="str">
        <f>IFERROR(__xludf.DUMMYFUNCTION("""COMPUTED_VALUE"""),"Findings Posters - In-Person 1")</f>
        <v>Findings Posters - In-Person 1</v>
      </c>
      <c r="K1312" s="7"/>
      <c r="L1312" s="8">
        <f>IFERROR(__xludf.DUMMYFUNCTION("""COMPUTED_VALUE"""),45866.0)</f>
        <v>45866</v>
      </c>
      <c r="M1312" s="7" t="str">
        <f>IFERROR(__xludf.DUMMYFUNCTION("""COMPUTED_VALUE"""),"18:00-19:30")</f>
        <v>18:00-19:30</v>
      </c>
      <c r="N1312" s="7"/>
    </row>
    <row r="1313">
      <c r="A1313" s="7" t="str">
        <f>IFERROR(__xludf.DUMMYFUNCTION("""COMPUTED_VALUE"""),"4722-FIND")</f>
        <v>4722-FIND</v>
      </c>
      <c r="B1313" s="7" t="str">
        <f>IFERROR(__xludf.DUMMYFUNCTION("""COMPUTED_VALUE"""),"Structured Pruning for Diverse Best-of-N Reasoning Optimization")</f>
        <v>Structured Pruning for Diverse Best-of-N Reasoning Optimization</v>
      </c>
      <c r="C1313" s="7" t="str">
        <f>IFERROR(__xludf.DUMMYFUNCTION("""COMPUTED_VALUE"""),"Model pruning in transformer-based language models, traditionally seen as a means of computational savings, can enhance the model’s reasoning capabilities. In this work, we uncover the surprising phenomenon that the selective pruning of certain attention "&amp;"heads leads to improvements in reasoning performance, particularly on challenging tasks. Motivated by this observation, we propose SPRINT, a novel contrastive learning framework that dynamically selects the optimal head and layer to prune during inference"&amp;". By aligning question embeddings with head embeddings, our approach identifies those pruned-head configurations that result in more accurate reasoning. Extensive experiments on the MATH dataset demonstrate that our method significantly outperforms tradit"&amp;"ional best-of-N and random head selection strategies on the MATH500 and GSM8K datasets.")</f>
        <v>Model pruning in transformer-based language models, traditionally seen as a means of computational savings, can enhance the model’s reasoning capabilities. In this work, we uncover the surprising phenomenon that the selective pruning of certain attention heads leads to improvements in reasoning performance, particularly on challenging tasks. Motivated by this observation, we propose SPRINT, a novel contrastive learning framework that dynamically selects the optimal head and layer to prune during inference. By aligning question embeddings with head embeddings, our approach identifies those pruned-head configurations that result in more accurate reasoning. Extensive experiments on the MATH dataset demonstrate that our method significantly outperforms traditional best-of-N and random head selection strategies on the MATH500 and GSM8K datasets.</v>
      </c>
      <c r="D1313" s="7" t="str">
        <f>IFERROR(__xludf.DUMMYFUNCTION("""COMPUTED_VALUE"""),"Hieu Trung Nguyen")</f>
        <v>Hieu Trung Nguyen</v>
      </c>
      <c r="E1313" s="7" t="str">
        <f>IFERROR(__xludf.DUMMYFUNCTION("""COMPUTED_VALUE"""),"#N/A")</f>
        <v>#N/A</v>
      </c>
      <c r="F1313" s="7" t="str">
        <f>IFERROR(__xludf.DUMMYFUNCTION("""COMPUTED_VALUE"""),"Not Pres. ")</f>
        <v>Not Pres. </v>
      </c>
      <c r="G1313" s="7" t="str">
        <f>IFERROR(__xludf.DUMMYFUNCTION("""COMPUTED_VALUE"""),"NP Findings Not Presenting ")</f>
        <v>NP Findings Not Presenting </v>
      </c>
      <c r="H1313" s="7"/>
      <c r="I1313" s="7" t="str">
        <f>IFERROR(__xludf.DUMMYFUNCTION("""COMPUTED_VALUE"""),"NP-Find")</f>
        <v>NP-Find</v>
      </c>
      <c r="J1313" s="7"/>
      <c r="K1313" s="7"/>
      <c r="L1313" s="8"/>
      <c r="M1313" s="7"/>
      <c r="N1313" s="7"/>
    </row>
    <row r="1314">
      <c r="A1314" s="7" t="str">
        <f>IFERROR(__xludf.DUMMYFUNCTION("""COMPUTED_VALUE"""),"4737-FIND")</f>
        <v>4737-FIND</v>
      </c>
      <c r="B1314" s="7" t="str">
        <f>IFERROR(__xludf.DUMMYFUNCTION("""COMPUTED_VALUE"""),"PodAgent: A Comprehensive Framework for Podcast Generation")</f>
        <v>PodAgent: A Comprehensive Framework for Podcast Generation</v>
      </c>
      <c r="C1314" s="7" t="str">
        <f>IFERROR(__xludf.DUMMYFUNCTION("""COMPUTED_VALUE"""),"Existing automatic audio generation methods struggle to generate podcast-like audio programs effectively. The key challenges lie in in-depth content generation, appropriate and expressive voice production. This paper proposed PodAgent, a comprehensive fra"&amp;"mework for creating audio programs. PodAgent 1) generates informative topic-discussion content by designing a Host-Guest-Writer multi-agent collaboration system, 2) builds a voice pool for suitable voice-role matching and 3) utilizes LLM-enhanced speech s"&amp;"ynthesis method to generate expressive conversational speech. Given the absence of standardized evaluation criteria for podcast-like audio generation, we developed comprehensive assessment guidelines to effectively evaluate the model's performance. Experi"&amp;"mental results demonstrate PodAgent's effectiveness, significantly surpassing direct GPT-4 generation in topic-discussion dialogue content, achieving an 87.4\% voice-matching accuracy, and producing more expressive speech through LLM-guided synthesis. Dem"&amp;"o page: https://podcast-agent.github.io/demo/. Source code: https://github.com/yujxx/PodAgent.")</f>
        <v>Existing automatic audio generation methods struggle to generate podcast-like audio programs effectively. The key challenges lie in in-depth content generation, appropriate and expressive voice production. This paper proposed PodAgent, a comprehensive framework for creating audio programs. PodAgent 1) generates informative topic-discussion content by designing a Host-Guest-Writer multi-agent collaboration system, 2) builds a voice pool for suitable voice-role matching and 3) utilizes LLM-enhanced speech synthesis method to generate expressive conversational speech. Given the absence of standardized evaluation criteria for podcast-like audio generation, we developed comprehensive assessment guidelines to effectively evaluate the model's performance. Experimental results demonstrate PodAgent's effectiveness, significantly surpassing direct GPT-4 generation in topic-discussion dialogue content, achieving an 87.4\% voice-matching accuracy, and producing more expressive speech through LLM-guided synthesis. Demo page: https://podcast-agent.github.io/demo/. Source code: https://github.com/yujxx/PodAgent.</v>
      </c>
      <c r="D1314" s="7" t="str">
        <f>IFERROR(__xludf.DUMMYFUNCTION("""COMPUTED_VALUE"""),"Yujia Xiao")</f>
        <v>Yujia Xiao</v>
      </c>
      <c r="E1314" s="7" t="str">
        <f>IFERROR(__xludf.DUMMYFUNCTION("""COMPUTED_VALUE"""),"Yes")</f>
        <v>Yes</v>
      </c>
      <c r="F1314" s="7" t="str">
        <f>IFERROR(__xludf.DUMMYFUNCTION("""COMPUTED_VALUE"""),"IP-Poster")</f>
        <v>IP-Poster</v>
      </c>
      <c r="G1314" s="7" t="str">
        <f>IFERROR(__xludf.DUMMYFUNCTION("""COMPUTED_VALUE"""),"In-Person")</f>
        <v>In-Person</v>
      </c>
      <c r="H1314" s="7" t="str">
        <f>IFERROR(__xludf.DUMMYFUNCTION("""COMPUTED_VALUE"""),"Hall 4/5")</f>
        <v>Hall 4/5</v>
      </c>
      <c r="I1314" s="7" t="str">
        <f>IFERROR(__xludf.DUMMYFUNCTION("""COMPUTED_VALUE"""),"Session 12: IP-Posters")</f>
        <v>Session 12: IP-Posters</v>
      </c>
      <c r="J1314" s="7" t="str">
        <f>IFERROR(__xludf.DUMMYFUNCTION("""COMPUTED_VALUE"""),"Findings Posters - In-Person 4")</f>
        <v>Findings Posters - In-Person 4</v>
      </c>
      <c r="K1314" s="7"/>
      <c r="L1314" s="8">
        <f>IFERROR(__xludf.DUMMYFUNCTION("""COMPUTED_VALUE"""),45868.0)</f>
        <v>45868</v>
      </c>
      <c r="M1314" s="7" t="str">
        <f>IFERROR(__xludf.DUMMYFUNCTION("""COMPUTED_VALUE"""),"11:00-12:30")</f>
        <v>11:00-12:30</v>
      </c>
      <c r="N1314" s="7"/>
    </row>
    <row r="1315">
      <c r="A1315" s="7" t="str">
        <f>IFERROR(__xludf.DUMMYFUNCTION("""COMPUTED_VALUE"""),"4738-FIND")</f>
        <v>4738-FIND</v>
      </c>
      <c r="B1315" s="7" t="str">
        <f>IFERROR(__xludf.DUMMYFUNCTION("""COMPUTED_VALUE"""),"STORM-BORN: A Challenging Mathematical Derivations Dataset Curated via a Human-in-the-Loop Multi-Agent Framework")</f>
        <v>STORM-BORN: A Challenging Mathematical Derivations Dataset Curated via a Human-in-the-Loop Multi-Agent Framework</v>
      </c>
      <c r="C1315" s="7" t="str">
        <f>IFERROR(__xludf.DUMMYFUNCTION("""COMPUTED_VALUE"""),"High-quality math datasets are crucial for advancing the reasoning abilities of large language models (LLMs). However, existing datasets often suffer from three key issues: outdated and insufficient challenging content, neglecting human-like reasoning, an"&amp;"d limited reliability due to single-LLM generation.
To address these, we introduce \textbf{STORM-BORN}, an ultra-challenging dataset of mathematical derivations sourced from cutting-edge academic papers, which includes dense human-like approximations and "&amp;"heuristic cues.
To ensure the reliability and quality, we propose a novel human-in-the-loop, multi-agent data generation framework, integrating reasoning-dense filters, multi-agent collaboration, and human mathematicians' evaluations. 
We curated a set of"&amp;" 2,000 synthetic samples and deliberately selected the 100 most difficult problems.
Even most advanced models like GPT-o1 solved fewer than 5\% of them. Fine-tuning on STORM-BORN boosts accuracy by 7.84\% (LLaMA3-8B) and 9.12\% (Qwen2.5-7B).
As AI approac"&amp;"hes mathematician-level reasoning, STORM-BORN provides both a high-difficulty benchmark and a human-like reasoning training resource.  Our code and dataset are publicly available at https://github.com/lwhere/STORM-BORN.")</f>
        <v>High-quality math datasets are crucial for advancing the reasoning abilities of large language models (LLMs). However, existing datasets often suffer from three key issues: outdated and insufficient challenging content, neglecting human-like reasoning, and limited reliability due to single-LLM generation.
To address these, we introduce \textbf{STORM-BORN}, an ultra-challenging dataset of mathematical derivations sourced from cutting-edge academic papers, which includes dense human-like approximations and heuristic cues.
To ensure the reliability and quality, we propose a novel human-in-the-loop, multi-agent data generation framework, integrating reasoning-dense filters, multi-agent collaboration, and human mathematicians' evaluations. 
We curated a set of 2,000 synthetic samples and deliberately selected the 100 most difficult problems.
Even most advanced models like GPT-o1 solved fewer than 5\% of them. Fine-tuning on STORM-BORN boosts accuracy by 7.84\% (LLaMA3-8B) and 9.12\% (Qwen2.5-7B).
As AI approaches mathematician-level reasoning, STORM-BORN provides both a high-difficulty benchmark and a human-like reasoning training resource.  Our code and dataset are publicly available at https://github.com/lwhere/STORM-BORN.</v>
      </c>
      <c r="D1315" s="7" t="str">
        <f>IFERROR(__xludf.DUMMYFUNCTION("""COMPUTED_VALUE"""),"Wenhao Liu, Zhenyi Lu")</f>
        <v>Wenhao Liu, Zhenyi Lu</v>
      </c>
      <c r="E1315" s="7" t="str">
        <f>IFERROR(__xludf.DUMMYFUNCTION("""COMPUTED_VALUE"""),"Yes")</f>
        <v>Yes</v>
      </c>
      <c r="F1315" s="7" t="str">
        <f>IFERROR(__xludf.DUMMYFUNCTION("""COMPUTED_VALUE"""),"IP-Poster")</f>
        <v>IP-Poster</v>
      </c>
      <c r="G1315" s="7" t="str">
        <f>IFERROR(__xludf.DUMMYFUNCTION("""COMPUTED_VALUE"""),"In-Person")</f>
        <v>In-Person</v>
      </c>
      <c r="H1315" s="7" t="str">
        <f>IFERROR(__xludf.DUMMYFUNCTION("""COMPUTED_VALUE"""),"Hall 4/5")</f>
        <v>Hall 4/5</v>
      </c>
      <c r="I1315" s="7" t="str">
        <f>IFERROR(__xludf.DUMMYFUNCTION("""COMPUTED_VALUE"""),"Session 12: IP-Posters")</f>
        <v>Session 12: IP-Posters</v>
      </c>
      <c r="J1315" s="7" t="str">
        <f>IFERROR(__xludf.DUMMYFUNCTION("""COMPUTED_VALUE"""),"Findings Posters - In-Person 4")</f>
        <v>Findings Posters - In-Person 4</v>
      </c>
      <c r="K1315" s="7"/>
      <c r="L1315" s="8">
        <f>IFERROR(__xludf.DUMMYFUNCTION("""COMPUTED_VALUE"""),45868.0)</f>
        <v>45868</v>
      </c>
      <c r="M1315" s="7" t="str">
        <f>IFERROR(__xludf.DUMMYFUNCTION("""COMPUTED_VALUE"""),"11:00-12:30")</f>
        <v>11:00-12:30</v>
      </c>
      <c r="N1315" s="7"/>
    </row>
    <row r="1316">
      <c r="A1316" s="7" t="str">
        <f>IFERROR(__xludf.DUMMYFUNCTION("""COMPUTED_VALUE"""),"4749-FIND")</f>
        <v>4749-FIND</v>
      </c>
      <c r="B1316" s="7" t="str">
        <f>IFERROR(__xludf.DUMMYFUNCTION("""COMPUTED_VALUE"""),"iMOVE : Instance-Motion-Aware Video Understanding")</f>
        <v>iMOVE : Instance-Motion-Aware Video Understanding</v>
      </c>
      <c r="C1316" s="7" t="str">
        <f>IFERROR(__xludf.DUMMYFUNCTION("""COMPUTED_VALUE"""),"Enhancing the fine-grained instance spatiotemporal motion perception capabilities of Video Large Language Models is crucial for improving their temporal and general video understanding. However, current models struggle to perceive detailed and complex ins"&amp;"tance motions. To address these challenges, we have made improvements from both data and model perspectives. In terms of data, we have meticulously curated iMOVE-IT, the first large-scale instance-motion-aware video instruction-tuning dataset. This datase"&amp;"t is enriched with comprehensive instance motion annotations and spatiotemporal mutual-supervision tasks, providing extensive training for the model's instance-motion-awareness. Building on this foundation, we introduce iMOVE, an instance-motion-aware vid"&amp;"eo foundation model that utilizes Event-aware Spatiotemporal Efficient Modeling to retain informative instance spatiotemporal motion details while maintaining computational efficiency. It also incorporates Relative Spatiotemporal Position Tokens to ensure"&amp;" awareness of instance spatiotemporal positions. Evaluations indicate that iMOVE excels not only in video temporal understanding and general video understanding but also demonstrates significant advantages in long-term video understanding. We will release"&amp;" the data, code, and model weights after acceptance.")</f>
        <v>Enhancing the fine-grained instance spatiotemporal motion perception capabilities of Video Large Language Models is crucial for improving their temporal and general video understanding. However, current models struggle to perceive detailed and complex instance motions. To address these challenges, we have made improvements from both data and model perspectives. In terms of data, we have meticulously curated iMOVE-IT, the first large-scale instance-motion-aware video instruction-tuning dataset. This dataset is enriched with comprehensive instance motion annotations and spatiotemporal mutual-supervision tasks, providing extensive training for the model's instance-motion-awareness. Building on this foundation, we introduce iMOVE, an instance-motion-aware video foundation model that utilizes Event-aware Spatiotemporal Efficient Modeling to retain informative instance spatiotemporal motion details while maintaining computational efficiency. It also incorporates Relative Spatiotemporal Position Tokens to ensure awareness of instance spatiotemporal positions. Evaluations indicate that iMOVE excels not only in video temporal understanding and general video understanding but also demonstrates significant advantages in long-term video understanding. We will release the data, code, and model weights after acceptance.</v>
      </c>
      <c r="D1316" s="7" t="str">
        <f>IFERROR(__xludf.DUMMYFUNCTION("""COMPUTED_VALUE"""),"NA")</f>
        <v>NA</v>
      </c>
      <c r="E1316" s="7" t="str">
        <f>IFERROR(__xludf.DUMMYFUNCTION("""COMPUTED_VALUE"""),"#N/A")</f>
        <v>#N/A</v>
      </c>
      <c r="F1316" s="7" t="str">
        <f>IFERROR(__xludf.DUMMYFUNCTION("""COMPUTED_VALUE"""),"Not Pres. ")</f>
        <v>Not Pres. </v>
      </c>
      <c r="G1316" s="7" t="str">
        <f>IFERROR(__xludf.DUMMYFUNCTION("""COMPUTED_VALUE"""),"NP Findings Not Presenting ")</f>
        <v>NP Findings Not Presenting </v>
      </c>
      <c r="H1316" s="7"/>
      <c r="I1316" s="7" t="str">
        <f>IFERROR(__xludf.DUMMYFUNCTION("""COMPUTED_VALUE"""),"NP-Find")</f>
        <v>NP-Find</v>
      </c>
      <c r="J1316" s="7"/>
      <c r="K1316" s="7"/>
      <c r="L1316" s="8"/>
      <c r="M1316" s="7"/>
      <c r="N1316" s="7"/>
    </row>
    <row r="1317">
      <c r="A1317" s="7" t="str">
        <f>IFERROR(__xludf.DUMMYFUNCTION("""COMPUTED_VALUE"""),"4755-FIND")</f>
        <v>4755-FIND</v>
      </c>
      <c r="B1317" s="7" t="str">
        <f>IFERROR(__xludf.DUMMYFUNCTION("""COMPUTED_VALUE"""),"SceneGram: Conceptualizing and Describing Tangrams in Scene Context")</f>
        <v>SceneGram: Conceptualizing and Describing Tangrams in Scene Context</v>
      </c>
      <c r="C1317" s="7" t="str">
        <f>IFERROR(__xludf.DUMMYFUNCTION("""COMPUTED_VALUE"""),"Research on reference and naming suggests that humans can come up with very different ways of conceptualizing and referring to the same object, e.g. the same abstract tangram shape can be a ""crab"", ""sink"" or ""space ship"". Another common assumption i"&amp;"n cognitive science is that scene context fundamentally shapes our visual perception of objects and conceptual expectations. This paper contributes SceneGram, a dataset of human references to tangram shapes placed in different scene contexts, allowing for"&amp;" systematic analyses of the effect of scene context on conceptualization. Based on this data, we analyze references to tangram shapes generated by multimodal LLMs, showing that these models do not account for the richness and variability of conceptualizat"&amp;"ions found in human references.")</f>
        <v>Research on reference and naming suggests that humans can come up with very different ways of conceptualizing and referring to the same object, e.g. the same abstract tangram shape can be a "crab", "sink" or "space ship". Another common assumption in cognitive science is that scene context fundamentally shapes our visual perception of objects and conceptual expectations. This paper contributes SceneGram, a dataset of human references to tangram shapes placed in different scene contexts, allowing for systematic analyses of the effect of scene context on conceptualization. Based on this data, we analyze references to tangram shapes generated by multimodal LLMs, showing that these models do not account for the richness and variability of conceptualizations found in human references.</v>
      </c>
      <c r="D1317" s="7" t="str">
        <f>IFERROR(__xludf.DUMMYFUNCTION("""COMPUTED_VALUE"""),"Simeon Junker")</f>
        <v>Simeon Junker</v>
      </c>
      <c r="E1317" s="7" t="str">
        <f>IFERROR(__xludf.DUMMYFUNCTION("""COMPUTED_VALUE"""),"Yes")</f>
        <v>Yes</v>
      </c>
      <c r="F1317" s="7" t="str">
        <f>IFERROR(__xludf.DUMMYFUNCTION("""COMPUTED_VALUE"""),"IP-Poster")</f>
        <v>IP-Poster</v>
      </c>
      <c r="G1317" s="7" t="str">
        <f>IFERROR(__xludf.DUMMYFUNCTION("""COMPUTED_VALUE"""),"In-Person")</f>
        <v>In-Person</v>
      </c>
      <c r="H1317" s="7" t="str">
        <f>IFERROR(__xludf.DUMMYFUNCTION("""COMPUTED_VALUE"""),"Hall 4/5")</f>
        <v>Hall 4/5</v>
      </c>
      <c r="I1317" s="7" t="str">
        <f>IFERROR(__xludf.DUMMYFUNCTION("""COMPUTED_VALUE"""),"Session 12: IP-Posters")</f>
        <v>Session 12: IP-Posters</v>
      </c>
      <c r="J1317" s="7" t="str">
        <f>IFERROR(__xludf.DUMMYFUNCTION("""COMPUTED_VALUE"""),"Findings Posters - In-Person 4")</f>
        <v>Findings Posters - In-Person 4</v>
      </c>
      <c r="K1317" s="7"/>
      <c r="L1317" s="8">
        <f>IFERROR(__xludf.DUMMYFUNCTION("""COMPUTED_VALUE"""),45868.0)</f>
        <v>45868</v>
      </c>
      <c r="M1317" s="7" t="str">
        <f>IFERROR(__xludf.DUMMYFUNCTION("""COMPUTED_VALUE"""),"11:00-12:30")</f>
        <v>11:00-12:30</v>
      </c>
      <c r="N1317" s="7"/>
    </row>
    <row r="1318">
      <c r="A1318" s="7" t="str">
        <f>IFERROR(__xludf.DUMMYFUNCTION("""COMPUTED_VALUE"""),"4756-FIND")</f>
        <v>4756-FIND</v>
      </c>
      <c r="B1318" s="7" t="str">
        <f>IFERROR(__xludf.DUMMYFUNCTION("""COMPUTED_VALUE"""),"Relevant or Random: Can LLMs Truly Perform Analogical Reasoning?")</f>
        <v>Relevant or Random: Can LLMs Truly Perform Analogical Reasoning?</v>
      </c>
      <c r="C1318" s="7" t="str">
        <f>IFERROR(__xludf.DUMMYFUNCTION("""COMPUTED_VALUE"""),"Analogical reasoning is a unique ability of humans to address unfamiliar challenges by transferring strategies from relevant past experiences. One key finding in psychology is that compared with irrelevant past experiences, recalling relevant ones can hel"&amp;"p humans better handle new tasks. Coincidentally, the NLP community has also recently found that self-generating relevant examples in the context can help large language models (LLMs) better solve a given problem than hand-crafted prompts. However, it is "&amp;"yet not clear whether relevance is the key factor eliciting such capability, i.e., can LLMs benefit more from self-generated relevant examples than irrelevant ones? In this work, we systematically explore whether LLMs can truly perform analogical reasonin"&amp;"g on a diverse set of reasoning tasks. With extensive experiments and analysis, we show that self-generated random examples can surprisingly achieve comparable or even better performance on certain tasks, e.g., 4% performance boost on GSM8K with random bi"&amp;"ological examples. We find that the accuracy of self-generated examples is the key factor and subsequently design two novel methods with improved performance and significantly reduced inference costs. Overall, we aim to advance a deeper understanding of L"&amp;"LM analogical reasoning and hope this work stimulates further research in the design of self-generated contexts.")</f>
        <v>Analogical reasoning is a unique ability of humans to address unfamiliar challenges by transferring strategies from relevant past experiences. One key finding in psychology is that compared with irrelevant past experiences, recalling relevant ones can help humans better handle new tasks. Coincidentally, the NLP community has also recently found that self-generating relevant examples in the context can help large language models (LLMs) better solve a given problem than hand-crafted prompts. However, it is yet not clear whether relevance is the key factor eliciting such capability, i.e., can LLMs benefit more from self-generated relevant examples than irrelevant ones? In this work, we systematically explore whether LLMs can truly perform analogical reasoning on a diverse set of reasoning tasks. With extensive experiments and analysis, we show that self-generated random examples can surprisingly achieve comparable or even better performance on certain tasks, e.g., 4% performance boost on GSM8K with random biological examples. We find that the accuracy of self-generated examples is the key factor and subsequently design two novel methods with improved performance and significantly reduced inference costs. Overall, we aim to advance a deeper understanding of LLM analogical reasoning and hope this work stimulates further research in the design of self-generated contexts.</v>
      </c>
      <c r="D1318" s="7" t="str">
        <f>IFERROR(__xludf.DUMMYFUNCTION("""COMPUTED_VALUE"""),"do not present")</f>
        <v>do not present</v>
      </c>
      <c r="E1318" s="7" t="str">
        <f>IFERROR(__xludf.DUMMYFUNCTION("""COMPUTED_VALUE"""),"#N/A")</f>
        <v>#N/A</v>
      </c>
      <c r="F1318" s="7" t="str">
        <f>IFERROR(__xludf.DUMMYFUNCTION("""COMPUTED_VALUE"""),"Not Pres. ")</f>
        <v>Not Pres. </v>
      </c>
      <c r="G1318" s="7" t="str">
        <f>IFERROR(__xludf.DUMMYFUNCTION("""COMPUTED_VALUE"""),"NP Findings Not Presenting ")</f>
        <v>NP Findings Not Presenting </v>
      </c>
      <c r="H1318" s="7"/>
      <c r="I1318" s="7" t="str">
        <f>IFERROR(__xludf.DUMMYFUNCTION("""COMPUTED_VALUE"""),"NP-Find")</f>
        <v>NP-Find</v>
      </c>
      <c r="J1318" s="7"/>
      <c r="K1318" s="7"/>
      <c r="L1318" s="8"/>
      <c r="M1318" s="7"/>
      <c r="N1318" s="7"/>
    </row>
    <row r="1319">
      <c r="A1319" s="7" t="str">
        <f>IFERROR(__xludf.DUMMYFUNCTION("""COMPUTED_VALUE"""),"4758-FIND")</f>
        <v>4758-FIND</v>
      </c>
      <c r="B1319" s="7" t="str">
        <f>IFERROR(__xludf.DUMMYFUNCTION("""COMPUTED_VALUE"""),"MERIT: Multi-Agent Collaboration for Unsupervised Time Series Representation Learning")</f>
        <v>MERIT: Multi-Agent Collaboration for Unsupervised Time Series Representation Learning</v>
      </c>
      <c r="C1319" s="7" t="str">
        <f>IFERROR(__xludf.DUMMYFUNCTION("""COMPUTED_VALUE"""),"This paper studies the problem of unsupervised time series representation learning, which aims to map unlabeled time series data into a low-dimensional latent space for various downstream tasks. Previous works usually combine a range of augmentation strat"&amp;"egies with contrastive learning to generate discriminative representations. However, these augmentation strategies could alter the original semantics of time series data, which could degrade the performance of representation learning. To solve this proble"&amp;"m, this paper incorporates the large language model (LLM) agent to guide unsupervised time series representation learning and proposes a novel framework named Multi-Agent Collaboration for Time-series Representation Learning (MERIT). The core of our MERIT"&amp;" is to utilize three LLM agents to collaboratively generate positive views for time series data. In particular, we first design a retrieval agent to automatically identify the relevant time series data from a coarse candidate set. Then, these selected seq"&amp;"uences are further utilized to enhance an augmentation agent which automatically selects reliable augmentation strategies from an augmentation strategy library. We also design a review agent to evaluate the quality of generated views and stop the generati"&amp;"on process. These three agents are designed to work in a loop for effective time series representation learning. Extensive experiments on multiple time series datasets demonstrate the effectiveness of our MERIT in comparison with state-of-the-art baseline"&amp;"s.")</f>
        <v>This paper studies the problem of unsupervised time series representation learning, which aims to map unlabeled time series data into a low-dimensional latent space for various downstream tasks. Previous works usually combine a range of augmentation strategies with contrastive learning to generate discriminative representations. However, these augmentation strategies could alter the original semantics of time series data, which could degrade the performance of representation learning. To solve this problem, this paper incorporates the large language model (LLM) agent to guide unsupervised time series representation learning and proposes a novel framework named Multi-Agent Collaboration for Time-series Representation Learning (MERIT). The core of our MERIT is to utilize three LLM agents to collaboratively generate positive views for time series data. In particular, we first design a retrieval agent to automatically identify the relevant time series data from a coarse candidate set. Then, these selected sequences are further utilized to enhance an augmentation agent which automatically selects reliable augmentation strategies from an augmentation strategy library. We also design a review agent to evaluate the quality of generated views and stop the generation process. These three agents are designed to work in a loop for effective time series representation learning. Extensive experiments on multiple time series datasets demonstrate the effectiveness of our MERIT in comparison with state-of-the-art baselines.</v>
      </c>
      <c r="D1319" s="7" t="str">
        <f>IFERROR(__xludf.DUMMYFUNCTION("""COMPUTED_VALUE"""),"NA")</f>
        <v>NA</v>
      </c>
      <c r="E1319" s="7" t="str">
        <f>IFERROR(__xludf.DUMMYFUNCTION("""COMPUTED_VALUE"""),"#N/A")</f>
        <v>#N/A</v>
      </c>
      <c r="F1319" s="7" t="str">
        <f>IFERROR(__xludf.DUMMYFUNCTION("""COMPUTED_VALUE"""),"Not Pres. ")</f>
        <v>Not Pres. </v>
      </c>
      <c r="G1319" s="7" t="str">
        <f>IFERROR(__xludf.DUMMYFUNCTION("""COMPUTED_VALUE"""),"NP Findings Not Presenting ")</f>
        <v>NP Findings Not Presenting </v>
      </c>
      <c r="H1319" s="7"/>
      <c r="I1319" s="7" t="str">
        <f>IFERROR(__xludf.DUMMYFUNCTION("""COMPUTED_VALUE"""),"NP-Find")</f>
        <v>NP-Find</v>
      </c>
      <c r="J1319" s="7"/>
      <c r="K1319" s="7"/>
      <c r="L1319" s="8"/>
      <c r="M1319" s="7"/>
      <c r="N1319" s="7"/>
    </row>
    <row r="1320">
      <c r="A1320" s="7" t="str">
        <f>IFERROR(__xludf.DUMMYFUNCTION("""COMPUTED_VALUE"""),"4764-FIND")</f>
        <v>4764-FIND</v>
      </c>
      <c r="B1320" s="7" t="str">
        <f>IFERROR(__xludf.DUMMYFUNCTION("""COMPUTED_VALUE"""),"JsonTuning: Towards Generalizable, Robust, and Controllable Instruction Tuning")</f>
        <v>JsonTuning: Towards Generalizable, Robust, and Controllable Instruction Tuning</v>
      </c>
      <c r="C1320" s="7" t="str">
        <f>IFERROR(__xludf.DUMMYFUNCTION("""COMPUTED_VALUE"""),"Instruction tuning has emerged as a crucial process for harnessing the capabilities of large language models (LLMs) by providing explicit task instructions, leading to improved performance in various tasks. However, prevalent text-to-text instruction tuni"&amp;"ng (TextTuning) methods suffer from limitations in generalization, robustness, and controllability due to the ambiguity and lack of explicit structure in tasks. In this paper, we propose JsonTuning, a novel structure-to-structure approach for instruction "&amp;"tuning. By leveraging the versatility and structured nature of JSON to represent tasks, JsonTuning enhances generalization by helping the model understand essential task elements and their relations, improves robustness by minimizing ambiguity, and increa"&amp;"ses controllability by providing explicit control over the output. We conduct a comprehensive comparative study with diverse language models and evaluation benchmarks. Experimental results show that JsonTuning outperforms TextTuning in various application"&amp;"s, showcasing improved performance, adaptability, robustness, and controllability. By overcoming the limitations of TextTuning, JsonTuning demonstrates significant potential for more effective and reliable LLMs capable of handling diverse scenarios.")</f>
        <v>Instruction tuning has emerged as a crucial process for harnessing the capabilities of large language models (LLMs) by providing explicit task instructions, leading to improved performance in various tasks. However, prevalent text-to-text instruction tuning (TextTuning) methods suffer from limitations in generalization, robustness, and controllability due to the ambiguity and lack of explicit structure in tasks. In this paper, we propose JsonTuning, a novel structure-to-structure approach for instruction tuning. By leveraging the versatility and structured nature of JSON to represent tasks, JsonTuning enhances generalization by helping the model understand essential task elements and their relations, improves robustness by minimizing ambiguity, and increases controllability by providing explicit control over the output. We conduct a comprehensive comparative study with diverse language models and evaluation benchmarks. Experimental results show that JsonTuning outperforms TextTuning in various applications, showcasing improved performance, adaptability, robustness, and controllability. By overcoming the limitations of TextTuning, JsonTuning demonstrates significant potential for more effective and reliable LLMs capable of handling diverse scenarios.</v>
      </c>
      <c r="D1320" s="7" t="str">
        <f>IFERROR(__xludf.DUMMYFUNCTION("""COMPUTED_VALUE"""),"Chang Gao")</f>
        <v>Chang Gao</v>
      </c>
      <c r="E1320" s="7" t="str">
        <f>IFERROR(__xludf.DUMMYFUNCTION("""COMPUTED_VALUE"""),"#N/A")</f>
        <v>#N/A</v>
      </c>
      <c r="F1320" s="7" t="str">
        <f>IFERROR(__xludf.DUMMYFUNCTION("""COMPUTED_VALUE"""),"Not Pres. ")</f>
        <v>Not Pres. </v>
      </c>
      <c r="G1320" s="7" t="str">
        <f>IFERROR(__xludf.DUMMYFUNCTION("""COMPUTED_VALUE"""),"NP Findings Not Presenting ")</f>
        <v>NP Findings Not Presenting </v>
      </c>
      <c r="H1320" s="7"/>
      <c r="I1320" s="7" t="str">
        <f>IFERROR(__xludf.DUMMYFUNCTION("""COMPUTED_VALUE"""),"NP-Find")</f>
        <v>NP-Find</v>
      </c>
      <c r="J1320" s="7"/>
      <c r="K1320" s="7"/>
      <c r="L1320" s="8"/>
      <c r="M1320" s="7"/>
      <c r="N1320" s="7"/>
    </row>
    <row r="1321">
      <c r="A1321" s="7" t="str">
        <f>IFERROR(__xludf.DUMMYFUNCTION("""COMPUTED_VALUE"""),"4769-FIND")</f>
        <v>4769-FIND</v>
      </c>
      <c r="B1321" s="7" t="str">
        <f>IFERROR(__xludf.DUMMYFUNCTION("""COMPUTED_VALUE"""),"RedundancyLens: Revealing and Exploiting Visual Token Processing Redundancy for Efficient Decoder-Only MLLMs")</f>
        <v>RedundancyLens: Revealing and Exploiting Visual Token Processing Redundancy for Efficient Decoder-Only MLLMs</v>
      </c>
      <c r="C1321" s="7" t="str">
        <f>IFERROR(__xludf.DUMMYFUNCTION("""COMPUTED_VALUE"""),"Current Multimodal Large Language Model (MLLM) architectures face a critical tradeoff between performance and efficiency: decoder-only architectures achieve higher performance but lower efficiency, while cross-attention-based architectures offer greater e"&amp;"fficiency but lower performance. The key distinction lies in how visual tokens are processed. Decoder-only architectures apply self-attention and FFN operations on visual tokens, while cross-attention architectures skip these computations. To investigate "&amp;"whether redundancy exists in this computationally expensive process, we propose a training-free framework for analyzing trained MLLMs. It consists of Probe-Activated Dynamic FFN and Hollow Attention, which enable adjustable reductions in computations for "&amp;"visual tokens, as well as a Layer Ranking Algorithm that prioritizes layers for these reductions. Extensive experiments demonstrate substantial, structured, and clustered redundancy unique to decoder-only MLLMs, offering valuable insights for future MLLM "&amp;"architecture design. Furthermore, by leveraging our reduction framework as a training-free inference acceleration approach, we achieve performance comparable to or better than state-of-the-art methods while remaining compatible with them. Code will be pub"&amp;"licly available.")</f>
        <v>Current Multimodal Large Language Model (MLLM) architectures face a critical tradeoff between performance and efficiency: decoder-only architectures achieve higher performance but lower efficiency, while cross-attention-based architectures offer greater efficiency but lower performance. The key distinction lies in how visual tokens are processed. Decoder-only architectures apply self-attention and FFN operations on visual tokens, while cross-attention architectures skip these computations. To investigate whether redundancy exists in this computationally expensive process, we propose a training-free framework for analyzing trained MLLMs. It consists of Probe-Activated Dynamic FFN and Hollow Attention, which enable adjustable reductions in computations for visual tokens, as well as a Layer Ranking Algorithm that prioritizes layers for these reductions. Extensive experiments demonstrate substantial, structured, and clustered redundancy unique to decoder-only MLLMs, offering valuable insights for future MLLM architecture design. Furthermore, by leveraging our reduction framework as a training-free inference acceleration approach, we achieve performance comparable to or better than state-of-the-art methods while remaining compatible with them. Code will be publicly available.</v>
      </c>
      <c r="D1321" s="7" t="str">
        <f>IFERROR(__xludf.DUMMYFUNCTION("""COMPUTED_VALUE"""),"Hongliang Li")</f>
        <v>Hongliang Li</v>
      </c>
      <c r="E1321" s="7" t="str">
        <f>IFERROR(__xludf.DUMMYFUNCTION("""COMPUTED_VALUE"""),"#N/A")</f>
        <v>#N/A</v>
      </c>
      <c r="F1321" s="7" t="str">
        <f>IFERROR(__xludf.DUMMYFUNCTION("""COMPUTED_VALUE"""),"Not Pres. ")</f>
        <v>Not Pres. </v>
      </c>
      <c r="G1321" s="7" t="str">
        <f>IFERROR(__xludf.DUMMYFUNCTION("""COMPUTED_VALUE"""),"NP Findings Not Presenting ")</f>
        <v>NP Findings Not Presenting </v>
      </c>
      <c r="H1321" s="7"/>
      <c r="I1321" s="7" t="str">
        <f>IFERROR(__xludf.DUMMYFUNCTION("""COMPUTED_VALUE"""),"NP-Find")</f>
        <v>NP-Find</v>
      </c>
      <c r="J1321" s="7"/>
      <c r="K1321" s="7"/>
      <c r="L1321" s="8"/>
      <c r="M1321" s="7"/>
      <c r="N1321" s="7"/>
    </row>
    <row r="1322">
      <c r="A1322" s="7" t="str">
        <f>IFERROR(__xludf.DUMMYFUNCTION("""COMPUTED_VALUE"""),"4778-FIND")</f>
        <v>4778-FIND</v>
      </c>
      <c r="B1322" s="7" t="str">
        <f>IFERROR(__xludf.DUMMYFUNCTION("""COMPUTED_VALUE"""),"Memory-augmented Query Reconstruction for LLM-based Knowledge Graph Reasoning")</f>
        <v>Memory-augmented Query Reconstruction for LLM-based Knowledge Graph Reasoning</v>
      </c>
      <c r="C1322" s="7" t="str">
        <f>IFERROR(__xludf.DUMMYFUNCTION("""COMPUTED_VALUE"""),"Large language models (LLMs) have achieved remarkable performance on knowledge graph question answering (KGQA) tasks by planning and interacting with knowledge graphs. However, existing methods often confuse tool utilization with knowledge reasoning, harm"&amp;"ing readability of model outputs and giving rise to hallucinatory tool invocations, which hinder the advancement of KGQA. To address this issue, we propose Memory-augmented Query Reconstruction for LLM-based Knowledge Graph Reasoning (MemQ) to decouple LL"&amp;"M from tool invocation tasks using LLM-built query memory. By establishing a memory module with explicit descriptions of query statements, the proposed MemQ facilitates the KGQA process with natural language reasoning and memory-augmented query reconstruc"&amp;"tion. Meanwhile, we design an effective and readable reasoning to enhance the LLM's reasoning capability in KGQA. Experimental results that MemQ achieves state-of-the-art performance on widely used benchmarks WebQSP and CWQ.")</f>
        <v>Large language models (LLMs) have achieved remarkable performance on knowledge graph question answering (KGQA) tasks by planning and interacting with knowledge graphs. However, existing methods often confuse tool utilization with knowledge reasoning, harming readability of model outputs and giving rise to hallucinatory tool invocations, which hinder the advancement of KGQA. To address this issue, we propose Memory-augmented Query Reconstruction for LLM-based Knowledge Graph Reasoning (MemQ) to decouple LLM from tool invocation tasks using LLM-built query memory. By establishing a memory module with explicit descriptions of query statements, the proposed MemQ facilitates the KGQA process with natural language reasoning and memory-augmented query reconstruction. Meanwhile, we design an effective and readable reasoning to enhance the LLM's reasoning capability in KGQA. Experimental results that MemQ achieves state-of-the-art performance on widely used benchmarks WebQSP and CWQ.</v>
      </c>
      <c r="D1322" s="7" t="str">
        <f>IFERROR(__xludf.DUMMYFUNCTION("""COMPUTED_VALUE"""),"Mufan Xu")</f>
        <v>Mufan Xu</v>
      </c>
      <c r="E1322" s="7" t="str">
        <f>IFERROR(__xludf.DUMMYFUNCTION("""COMPUTED_VALUE"""),"Yes")</f>
        <v>Yes</v>
      </c>
      <c r="F1322" s="7" t="str">
        <f>IFERROR(__xludf.DUMMYFUNCTION("""COMPUTED_VALUE"""),"IP-Poster")</f>
        <v>IP-Poster</v>
      </c>
      <c r="G1322" s="7" t="str">
        <f>IFERROR(__xludf.DUMMYFUNCTION("""COMPUTED_VALUE"""),"In-Person")</f>
        <v>In-Person</v>
      </c>
      <c r="H1322" s="7" t="str">
        <f>IFERROR(__xludf.DUMMYFUNCTION("""COMPUTED_VALUE"""),"Hall 4/5")</f>
        <v>Hall 4/5</v>
      </c>
      <c r="I1322" s="7" t="str">
        <f>IFERROR(__xludf.DUMMYFUNCTION("""COMPUTED_VALUE"""),"Session 12: IP-Posters")</f>
        <v>Session 12: IP-Posters</v>
      </c>
      <c r="J1322" s="7" t="str">
        <f>IFERROR(__xludf.DUMMYFUNCTION("""COMPUTED_VALUE"""),"Findings Posters - In-Person 4")</f>
        <v>Findings Posters - In-Person 4</v>
      </c>
      <c r="K1322" s="7"/>
      <c r="L1322" s="8">
        <f>IFERROR(__xludf.DUMMYFUNCTION("""COMPUTED_VALUE"""),45868.0)</f>
        <v>45868</v>
      </c>
      <c r="M1322" s="7" t="str">
        <f>IFERROR(__xludf.DUMMYFUNCTION("""COMPUTED_VALUE"""),"11:00-12:30")</f>
        <v>11:00-12:30</v>
      </c>
      <c r="N1322" s="7"/>
    </row>
    <row r="1323">
      <c r="A1323" s="7" t="str">
        <f>IFERROR(__xludf.DUMMYFUNCTION("""COMPUTED_VALUE"""),"4781-FIND")</f>
        <v>4781-FIND</v>
      </c>
      <c r="B1323" s="7" t="str">
        <f>IFERROR(__xludf.DUMMYFUNCTION("""COMPUTED_VALUE"""),"KaFT: Knowledge-aware Fine-tuning for Boosting LLMs' Domain-specific Question-Answering Performance")</f>
        <v>KaFT: Knowledge-aware Fine-tuning for Boosting LLMs' Domain-specific Question-Answering Performance</v>
      </c>
      <c r="C1323" s="7" t="str">
        <f>IFERROR(__xludf.DUMMYFUNCTION("""COMPUTED_VALUE"""),"Supervised fine-tuning (SFT) is a common approach to improve the domain-specific question-answering (QA) performance of large language models (LLMs). However, recent literature reveals that due to the conflicts between LLMs' internal knowledge and the con"&amp;"text knowledge of training data, vanilla SFT using the full QA training set is usually suboptimal. In this paper, we first design a query diversification strategy for robust conflict detection and then conduct a series of experiments to analyze the impact"&amp;" of knowledge conflict. We find that 1) training samples with varied conflicts contribute differently, where SFT on the data with large conflicts leads to catastrophic performance drops; 2) compared to directly filtering out the conflict data, appropriate"&amp;"ly applying the conflict data would be more beneficial. Motivated by this, we propose a simple-yet-effective Knowledge-aware Fine-tuning (namely KaFT) approach to effectively boost LLMs' performance. The core of KaFT is to adapt the training weight by ass"&amp;"igning different rewards for different training samples according to conflict level. Extensive experiments show that KaFT brings consistent and significant improvements (up to +5.73% average scores) across four LLMs. More analyses prove that KaFT effectiv"&amp;"ely improves the model generalization and alleviates the hallucination.")</f>
        <v>Supervised fine-tuning (SFT) is a common approach to improve the domain-specific question-answering (QA) performance of large language models (LLMs). However, recent literature reveals that due to the conflicts between LLMs' internal knowledge and the context knowledge of training data, vanilla SFT using the full QA training set is usually suboptimal. In this paper, we first design a query diversification strategy for robust conflict detection and then conduct a series of experiments to analyze the impact of knowledge conflict. We find that 1) training samples with varied conflicts contribute differently, where SFT on the data with large conflicts leads to catastrophic performance drops; 2) compared to directly filtering out the conflict data, appropriately applying the conflict data would be more beneficial. Motivated by this, we propose a simple-yet-effective Knowledge-aware Fine-tuning (namely KaFT) approach to effectively boost LLMs' performance. The core of KaFT is to adapt the training weight by assigning different rewards for different training samples according to conflict level. Extensive experiments show that KaFT brings consistent and significant improvements (up to +5.73% average scores) across four LLMs. More analyses prove that KaFT effectively improves the model generalization and alleviates the hallucination.</v>
      </c>
      <c r="D1323" s="7" t="str">
        <f>IFERROR(__xludf.DUMMYFUNCTION("""COMPUTED_VALUE"""),"Qihunag Zhong")</f>
        <v>Qihunag Zhong</v>
      </c>
      <c r="E1323" s="7" t="str">
        <f>IFERROR(__xludf.DUMMYFUNCTION("""COMPUTED_VALUE"""),"#N/A")</f>
        <v>#N/A</v>
      </c>
      <c r="F1323" s="7" t="str">
        <f>IFERROR(__xludf.DUMMYFUNCTION("""COMPUTED_VALUE"""),"Not Pres. ")</f>
        <v>Not Pres. </v>
      </c>
      <c r="G1323" s="7" t="str">
        <f>IFERROR(__xludf.DUMMYFUNCTION("""COMPUTED_VALUE"""),"NP Findings Not Presenting ")</f>
        <v>NP Findings Not Presenting </v>
      </c>
      <c r="H1323" s="7"/>
      <c r="I1323" s="7" t="str">
        <f>IFERROR(__xludf.DUMMYFUNCTION("""COMPUTED_VALUE"""),"NP-Find")</f>
        <v>NP-Find</v>
      </c>
      <c r="J1323" s="7"/>
      <c r="K1323" s="7"/>
      <c r="L1323" s="8"/>
      <c r="M1323" s="7"/>
      <c r="N1323" s="7"/>
    </row>
    <row r="1324">
      <c r="A1324" s="7" t="str">
        <f>IFERROR(__xludf.DUMMYFUNCTION("""COMPUTED_VALUE"""),"4786-FIND")</f>
        <v>4786-FIND</v>
      </c>
      <c r="B1324" s="7" t="str">
        <f>IFERROR(__xludf.DUMMYFUNCTION("""COMPUTED_VALUE"""),"Are Multimodal Large Language Models Pragmatically Competent Listeners in Simple Reference Resolution Tasks?")</f>
        <v>Are Multimodal Large Language Models Pragmatically Competent Listeners in Simple Reference Resolution Tasks?</v>
      </c>
      <c r="C1324" s="7" t="str">
        <f>IFERROR(__xludf.DUMMYFUNCTION("""COMPUTED_VALUE"""),"We investigate the linguistic abilities of multimodal large language models in reference resolution tasks featuring simple but abstract visual stimuli such as color patches and color grids. Although the task may not seem challenging for today's language m"&amp;"odels, being straightforward for human dyads, we consider it a highly relevant probe of the pragmatic capabilities of MLLMs. Indeed, our results and analyses suggest that basic pragmatic capabilities such as context-dependent interpretation of color descr"&amp;"iptions still constitute major challenges for state-of-the-art MLLMs.")</f>
        <v>We investigate the linguistic abilities of multimodal large language models in reference resolution tasks featuring simple but abstract visual stimuli such as color patches and color grids. Although the task may not seem challenging for today's language models, being straightforward for human dyads, we consider it a highly relevant probe of the pragmatic capabilities of MLLMs. Indeed, our results and analyses suggest that basic pragmatic capabilities such as context-dependent interpretation of color descriptions still constitute major challenges for state-of-the-art MLLMs.</v>
      </c>
      <c r="D1324" s="7" t="str">
        <f>IFERROR(__xludf.DUMMYFUNCTION("""COMPUTED_VALUE"""),"Manar Ali")</f>
        <v>Manar Ali</v>
      </c>
      <c r="E1324" s="7" t="str">
        <f>IFERROR(__xludf.DUMMYFUNCTION("""COMPUTED_VALUE"""),"Yes")</f>
        <v>Yes</v>
      </c>
      <c r="F1324" s="7" t="str">
        <f>IFERROR(__xludf.DUMMYFUNCTION("""COMPUTED_VALUE"""),"IP-Poster")</f>
        <v>IP-Poster</v>
      </c>
      <c r="G1324" s="7" t="str">
        <f>IFERROR(__xludf.DUMMYFUNCTION("""COMPUTED_VALUE"""),"In-Person")</f>
        <v>In-Person</v>
      </c>
      <c r="H1324" s="7" t="str">
        <f>IFERROR(__xludf.DUMMYFUNCTION("""COMPUTED_VALUE"""),"Hall 4/5")</f>
        <v>Hall 4/5</v>
      </c>
      <c r="I1324" s="7" t="str">
        <f>IFERROR(__xludf.DUMMYFUNCTION("""COMPUTED_VALUE"""),"Session 5 :IP-Posters Find ")</f>
        <v>Session 5 :IP-Posters Find </v>
      </c>
      <c r="J1324" s="7" t="str">
        <f>IFERROR(__xludf.DUMMYFUNCTION("""COMPUTED_VALUE"""),"Findings Posters - In-Person 1")</f>
        <v>Findings Posters - In-Person 1</v>
      </c>
      <c r="K1324" s="7"/>
      <c r="L1324" s="8">
        <f>IFERROR(__xludf.DUMMYFUNCTION("""COMPUTED_VALUE"""),45866.0)</f>
        <v>45866</v>
      </c>
      <c r="M1324" s="7" t="str">
        <f>IFERROR(__xludf.DUMMYFUNCTION("""COMPUTED_VALUE"""),"18:00-19:30")</f>
        <v>18:00-19:30</v>
      </c>
      <c r="N1324" s="7"/>
    </row>
    <row r="1325">
      <c r="A1325" s="7" t="str">
        <f>IFERROR(__xludf.DUMMYFUNCTION("""COMPUTED_VALUE"""),"4792-FIND")</f>
        <v>4792-FIND</v>
      </c>
      <c r="B1325" s="7" t="str">
        <f>IFERROR(__xludf.DUMMYFUNCTION("""COMPUTED_VALUE"""),"Removing Prompt-template Bias in Reinforcement Learning from Human Feedback")</f>
        <v>Removing Prompt-template Bias in Reinforcement Learning from Human Feedback</v>
      </c>
      <c r="C1325" s="7" t="str">
        <f>IFERROR(__xludf.DUMMYFUNCTION("""COMPUTED_VALUE"""),"Reinforcement Learning from Human Feedback (RLHF) has become an essential technique for enhancing pre-trained large language models (LLMs) to generate responses that align with human preferences and societal values. Although RLHF has shown promise, the tr"&amp;"aining of reward models (RMs) still faces the challenge of \emph{reward hacking}, motivating recent works to prevent RMs from finding shortcuts that bypass the intended optimization objectives by identifying simplistic patterns such as response length. Be"&amp;"sides the issue of \emph{length bias}, our work firstly reveals that \emph{prompt-template bias} learned by RMs can also cause \emph{reward hacking} when dealing with some marginal samples, resulting in LLMs preferring to generate responses in a specific "&amp;"format after RLHF fine-tuning, regardless of the format requested in the prompt. To this end, we propose a low-cost but effective method, namely Prompt Bias Calibration (PBC), to estimate the \emph{prompt-template bias} term during reward modeling, which "&amp;"can be utilized to calibrate reward scores in the following RL fine-tuning process. Then, we show that our PBC method can be flexibly combined with existing algorithms of removing \emph{length bias}, leading to a further improvement in the aspect of enhan"&amp;"cing the quality of generated responses.")</f>
        <v>Reinforcement Learning from Human Feedback (RLHF) has become an essential technique for enhancing pre-trained large language models (LLMs) to generate responses that align with human preferences and societal values. Although RLHF has shown promise, the training of reward models (RMs) still faces the challenge of \emph{reward hacking}, motivating recent works to prevent RMs from finding shortcuts that bypass the intended optimization objectives by identifying simplistic patterns such as response length. Besides the issue of \emph{length bias}, our work firstly reveals that \emph{prompt-template bias} learned by RMs can also cause \emph{reward hacking} when dealing with some marginal samples, resulting in LLMs preferring to generate responses in a specific format after RLHF fine-tuning, regardless of the format requested in the prompt. To this end, we propose a low-cost but effective method, namely Prompt Bias Calibration (PBC), to estimate the \emph{prompt-template bias} term during reward modeling, which can be utilized to calibrate reward scores in the following RL fine-tuning process. Then, we show that our PBC method can be flexibly combined with existing algorithms of removing \emph{length bias}, leading to a further improvement in the aspect of enhancing the quality of generated responses.</v>
      </c>
      <c r="D1325" s="7" t="str">
        <f>IFERROR(__xludf.DUMMYFUNCTION("""COMPUTED_VALUE"""),"Chaojie Wang")</f>
        <v>Chaojie Wang</v>
      </c>
      <c r="E1325" s="7" t="str">
        <f>IFERROR(__xludf.DUMMYFUNCTION("""COMPUTED_VALUE"""),"#N/A")</f>
        <v>#N/A</v>
      </c>
      <c r="F1325" s="7" t="str">
        <f>IFERROR(__xludf.DUMMYFUNCTION("""COMPUTED_VALUE"""),"Not Pres. ")</f>
        <v>Not Pres. </v>
      </c>
      <c r="G1325" s="7" t="str">
        <f>IFERROR(__xludf.DUMMYFUNCTION("""COMPUTED_VALUE"""),"NP Findings Not Presenting ")</f>
        <v>NP Findings Not Presenting </v>
      </c>
      <c r="H1325" s="7"/>
      <c r="I1325" s="7" t="str">
        <f>IFERROR(__xludf.DUMMYFUNCTION("""COMPUTED_VALUE"""),"NP-Find")</f>
        <v>NP-Find</v>
      </c>
      <c r="J1325" s="7"/>
      <c r="K1325" s="7"/>
      <c r="L1325" s="8"/>
      <c r="M1325" s="7"/>
      <c r="N1325" s="7"/>
    </row>
    <row r="1326">
      <c r="A1326" s="7" t="str">
        <f>IFERROR(__xludf.DUMMYFUNCTION("""COMPUTED_VALUE"""),"4796-FIND")</f>
        <v>4796-FIND</v>
      </c>
      <c r="B1326" s="7" t="str">
        <f>IFERROR(__xludf.DUMMYFUNCTION("""COMPUTED_VALUE"""),"Latent Distribution Decouple for Uncertain-Aware Multimodal Multi-label Emotion Recognition")</f>
        <v>Latent Distribution Decouple for Uncertain-Aware Multimodal Multi-label Emotion Recognition</v>
      </c>
      <c r="C1326" s="7" t="str">
        <f>IFERROR(__xludf.DUMMYFUNCTION("""COMPUTED_VALUE"""),"Multimodal multi-label emotion recognition (MMER) aims to identify the concurrent presence of multiple emotions in multimodal data. Existing studies primarily focus on improving fusion strategies and modeling modality-to-label dependencies. 
However, they"&amp;" often overlook the impact of **aleatoric uncertainty**, which is the inherent noise in the multimodal data and hinders the effectiveness of modality fusion by introducing ambiguity into feature representations.
To address this issue and effectively model"&amp;" aleatoric uncertainty, this paper proposes Latent emotional Distribution Decomposition with Uncertainty perception (LDDU) framework from a novel perspective of latent emotional space probabilistic modeling. Specifically, we introduce a contrastive disent"&amp;"angled distribution mechanism within the emotion space to model the multimodal data, allowing for the extraction of semantic features and uncertainty. Furthermore, we design an uncertainty-aware fusion multimodal method that accounts for the dispersed dis"&amp;"tribution of uncertainty and integrates distribution information. Experimental results show that LDDU achieves state-of-the-art performance on the CMU-MOSEI and M$^3$ED datasets, highlighting the importance of uncertainty modeling in MMER. The related cod"&amp;"e will be released to facilitate further research.")</f>
        <v>Multimodal multi-label emotion recognition (MMER) aims to identify the concurrent presence of multiple emotions in multimodal data. Existing studies primarily focus on improving fusion strategies and modeling modality-to-label dependencies. 
However, they often overlook the impact of **aleatoric uncertainty**, which is the inherent noise in the multimodal data and hinders the effectiveness of modality fusion by introducing ambiguity into feature representations.
To address this issue and effectively model aleatoric uncertainty, this paper proposes Latent emotional Distribution Decomposition with Uncertainty perception (LDDU) framework from a novel perspective of latent emotional space probabilistic modeling. Specifically, we introduce a contrastive disentangled distribution mechanism within the emotion space to model the multimodal data, allowing for the extraction of semantic features and uncertainty. Furthermore, we design an uncertainty-aware fusion multimodal method that accounts for the dispersed distribution of uncertainty and integrates distribution information. Experimental results show that LDDU achieves state-of-the-art performance on the CMU-MOSEI and M$^3$ED datasets, highlighting the importance of uncertainty modeling in MMER. The related code will be released to facilitate further research.</v>
      </c>
      <c r="D1326" s="7" t="str">
        <f>IFERROR(__xludf.DUMMYFUNCTION("""COMPUTED_VALUE"""),"Jingwang Huang")</f>
        <v>Jingwang Huang</v>
      </c>
      <c r="E1326" s="7" t="str">
        <f>IFERROR(__xludf.DUMMYFUNCTION("""COMPUTED_VALUE"""),"#N/A")</f>
        <v>#N/A</v>
      </c>
      <c r="F1326" s="7" t="str">
        <f>IFERROR(__xludf.DUMMYFUNCTION("""COMPUTED_VALUE"""),"Not Pres. ")</f>
        <v>Not Pres. </v>
      </c>
      <c r="G1326" s="7" t="str">
        <f>IFERROR(__xludf.DUMMYFUNCTION("""COMPUTED_VALUE"""),"NP Findings Not Presenting ")</f>
        <v>NP Findings Not Presenting </v>
      </c>
      <c r="H1326" s="7"/>
      <c r="I1326" s="7" t="str">
        <f>IFERROR(__xludf.DUMMYFUNCTION("""COMPUTED_VALUE"""),"NP-Find")</f>
        <v>NP-Find</v>
      </c>
      <c r="J1326" s="7"/>
      <c r="K1326" s="7"/>
      <c r="L1326" s="8"/>
      <c r="M1326" s="7"/>
      <c r="N1326" s="7"/>
    </row>
    <row r="1327">
      <c r="A1327" s="7" t="str">
        <f>IFERROR(__xludf.DUMMYFUNCTION("""COMPUTED_VALUE"""),"4797-FIND")</f>
        <v>4797-FIND</v>
      </c>
      <c r="B1327" s="7" t="str">
        <f>IFERROR(__xludf.DUMMYFUNCTION("""COMPUTED_VALUE"""),"Are LLMs Rational Investors? A Study on the Financial Bias in LLMs")</f>
        <v>Are LLMs Rational Investors? A Study on the Financial Bias in LLMs</v>
      </c>
      <c r="C1327" s="7" t="str">
        <f>IFERROR(__xludf.DUMMYFUNCTION("""COMPUTED_VALUE"""),"Large language models (LLMs) excel in natural language generation but also exhibit biases, particularly in gender, race, and religion, which can be amplified with widespread use. However, research on biases in specific domains, such as finance, remains li"&amp;"mited. To address this gap, we conducted a comprehensive evaluation of 23 leading LLMs and found varying degrees of financial bias, including more pronounced biases in financial-specific LLMs (FinLLMs). In response, we propose the Financial Bias Indicator"&amp;"s (FBI) framework, which includes components like the Bias Unveiler, Bias Detective, Bias Tracker, and Bias Antidote, designed to identify, detect, analyze, and mitigate financial biases. Our analysis explores the root causes of these biases and introduce"&amp;"s a debiasing method based on financial causal knowledge, alongside three other debiasing techniques. For the most biased model, we successfully reduced bias by 68% according to key metrics. This study advances our understanding of LLM biases in finance a"&amp;"nd highlights the need for greater scrutiny in their application within this critical domain.")</f>
        <v>Large language models (LLMs) excel in natural language generation but also exhibit biases, particularly in gender, race, and religion, which can be amplified with widespread use. However, research on biases in specific domains, such as finance, remains limited. To address this gap, we conducted a comprehensive evaluation of 23 leading LLMs and found varying degrees of financial bias, including more pronounced biases in financial-specific LLMs (FinLLMs). In response, we propose the Financial Bias Indicators (FBI) framework, which includes components like the Bias Unveiler, Bias Detective, Bias Tracker, and Bias Antidote, designed to identify, detect, analyze, and mitigate financial biases. Our analysis explores the root causes of these biases and introduces a debiasing method based on financial causal knowledge, alongside three other debiasing techniques. For the most biased model, we successfully reduced bias by 68% according to key metrics. This study advances our understanding of LLM biases in finance and highlights the need for greater scrutiny in their application within this critical domain.</v>
      </c>
      <c r="D1327" s="7" t="str">
        <f>IFERROR(__xludf.DUMMYFUNCTION("""COMPUTED_VALUE"""),"Yuhang Zhou")</f>
        <v>Yuhang Zhou</v>
      </c>
      <c r="E1327" s="7" t="str">
        <f>IFERROR(__xludf.DUMMYFUNCTION("""COMPUTED_VALUE"""),"Yes")</f>
        <v>Yes</v>
      </c>
      <c r="F1327" s="7" t="str">
        <f>IFERROR(__xludf.DUMMYFUNCTION("""COMPUTED_VALUE"""),"IP-Poster")</f>
        <v>IP-Poster</v>
      </c>
      <c r="G1327" s="7" t="str">
        <f>IFERROR(__xludf.DUMMYFUNCTION("""COMPUTED_VALUE"""),"In-Person")</f>
        <v>In-Person</v>
      </c>
      <c r="H1327" s="7" t="str">
        <f>IFERROR(__xludf.DUMMYFUNCTION("""COMPUTED_VALUE"""),"Hall 4/5")</f>
        <v>Hall 4/5</v>
      </c>
      <c r="I1327" s="7" t="str">
        <f>IFERROR(__xludf.DUMMYFUNCTION("""COMPUTED_VALUE"""),"Session 10: IP-Posters")</f>
        <v>Session 10: IP-Posters</v>
      </c>
      <c r="J1327" s="7" t="str">
        <f>IFERROR(__xludf.DUMMYFUNCTION("""COMPUTED_VALUE"""),"Findings Posters - In-Person 3")</f>
        <v>Findings Posters - In-Person 3</v>
      </c>
      <c r="K1327" s="7"/>
      <c r="L1327" s="8">
        <f>IFERROR(__xludf.DUMMYFUNCTION("""COMPUTED_VALUE"""),45867.0)</f>
        <v>45867</v>
      </c>
      <c r="M1327" s="7" t="str">
        <f>IFERROR(__xludf.DUMMYFUNCTION("""COMPUTED_VALUE"""),"16:00-17:30")</f>
        <v>16:00-17:30</v>
      </c>
      <c r="N1327" s="7"/>
    </row>
    <row r="1328">
      <c r="A1328" s="7" t="str">
        <f>IFERROR(__xludf.DUMMYFUNCTION("""COMPUTED_VALUE"""),"4801-FIND")</f>
        <v>4801-FIND</v>
      </c>
      <c r="B1328" s="7" t="str">
        <f>IFERROR(__xludf.DUMMYFUNCTION("""COMPUTED_VALUE"""),"Seeing What Tastes Good: Revisiting Multimodal Distributional Semantics in the Billion Parameter Era")</f>
        <v>Seeing What Tastes Good: Revisiting Multimodal Distributional Semantics in the Billion Parameter Era</v>
      </c>
      <c r="C1328" s="7" t="str">
        <f>IFERROR(__xludf.DUMMYFUNCTION("""COMPUTED_VALUE"""),"There is widespread agreement about the grounded nature of human learning and representation, and the belief that computational models of meaning need to be multimodal. In this paper, we ask to what degree does this belief hold in the era of models traine"&amp;"d on billions of examples? We investigate the ability of pre-trained vision models to represent the semantic feature norms of concrete object concepts, e.g. a ROSE is red, smells sweet, and is a flower. More specifically, we use probing tasks to test whic"&amp;"h properties of objects these models are aware of. We evaluate image encoders trained on image data alone, as well as multimodally-trained image encoders and language-only models, on predicting an extended set of the classic McRae norms and the newer Bind"&amp;"er dataset of attribute ratings. We find that multimodal image encoders slightly outperform language-only approaches, and that image-only encoders perform comparably to the language models, even on non-visual attributes that are classified as “encyclopedi"&amp;"c” or “function”. These results offer new insights into what can be learned from pure unimodal learning, and the complementarity of the modalities.")</f>
        <v>There is widespread agreement about the grounded nature of human learning and representation, and the belief that computational models of meaning need to be multimodal. In this paper, we ask to what degree does this belief hold in the era of models trained on billions of examples? We investigate the ability of pre-trained vision models to represent the semantic feature norms of concrete object concepts, e.g. a ROSE is red, smells sweet, and is a flower. More specifically, we use probing tasks to test which properties of objects these models are aware of. We evaluate image encoders trained on image data alone, as well as multimodally-trained image encoders and language-only models, on predicting an extended set of the classic McRae norms and the newer Binder dataset of attribute ratings. We find that multimodal image encoders slightly outperform language-only approaches, and that image-only encoders perform comparably to the language models, even on non-visual attributes that are classified as “encyclopedic” or “function”. These results offer new insights into what can be learned from pure unimodal learning, and the complementarity of the modalities.</v>
      </c>
      <c r="D1328" s="7" t="str">
        <f>IFERROR(__xludf.DUMMYFUNCTION("""COMPUTED_VALUE"""),"Stella Frank")</f>
        <v>Stella Frank</v>
      </c>
      <c r="E1328" s="7" t="str">
        <f>IFERROR(__xludf.DUMMYFUNCTION("""COMPUTED_VALUE"""),"Yes")</f>
        <v>Yes</v>
      </c>
      <c r="F1328" s="7" t="str">
        <f>IFERROR(__xludf.DUMMYFUNCTION("""COMPUTED_VALUE"""),"IP-Poster")</f>
        <v>IP-Poster</v>
      </c>
      <c r="G1328" s="7" t="str">
        <f>IFERROR(__xludf.DUMMYFUNCTION("""COMPUTED_VALUE"""),"In-Person")</f>
        <v>In-Person</v>
      </c>
      <c r="H1328" s="7" t="str">
        <f>IFERROR(__xludf.DUMMYFUNCTION("""COMPUTED_VALUE"""),"Hall 4/5")</f>
        <v>Hall 4/5</v>
      </c>
      <c r="I1328" s="7" t="str">
        <f>IFERROR(__xludf.DUMMYFUNCTION("""COMPUTED_VALUE"""),"Session 10: IP-Posters")</f>
        <v>Session 10: IP-Posters</v>
      </c>
      <c r="J1328" s="7" t="str">
        <f>IFERROR(__xludf.DUMMYFUNCTION("""COMPUTED_VALUE"""),"Findings Posters - In-Person 3")</f>
        <v>Findings Posters - In-Person 3</v>
      </c>
      <c r="K1328" s="7"/>
      <c r="L1328" s="8">
        <f>IFERROR(__xludf.DUMMYFUNCTION("""COMPUTED_VALUE"""),45867.0)</f>
        <v>45867</v>
      </c>
      <c r="M1328" s="7" t="str">
        <f>IFERROR(__xludf.DUMMYFUNCTION("""COMPUTED_VALUE"""),"16:00-17:30")</f>
        <v>16:00-17:30</v>
      </c>
      <c r="N1328" s="7"/>
    </row>
    <row r="1329">
      <c r="A1329" s="7" t="str">
        <f>IFERROR(__xludf.DUMMYFUNCTION("""COMPUTED_VALUE"""),"4803-FIND")</f>
        <v>4803-FIND</v>
      </c>
      <c r="B1329" s="7" t="str">
        <f>IFERROR(__xludf.DUMMYFUNCTION("""COMPUTED_VALUE"""),"Communication-Efficient and Tensorized Federated Fine-Tuning of Large Language Models")</f>
        <v>Communication-Efficient and Tensorized Federated Fine-Tuning of Large Language Models</v>
      </c>
      <c r="C1329" s="7" t="str">
        <f>IFERROR(__xludf.DUMMYFUNCTION("""COMPUTED_VALUE"""),"Parameter-efficient fine-tuning (PEFT) methods typically assume that Large Language Models (LLMs) are trained on data from a single device or client. However, real-world scenarios often require fine-tuning these models on private data distributed across m"&amp;"ultiple devices. Federated Learning (FL) offers an appealing solution by preserving user privacy, as sensitive data remains on local devices during training. Nonetheless, integrating PEFT methods into FL introduces two main challenges: communication overh"&amp;"ead and data heterogeneity. In this paper, we introduce FedTT and FedTT+, methods for adapting LLMs by integrating tensorized adapters into client-side models’ encoder/decoder blocks. FedTT is versatile and can be applied to both cross-silo FL and large-s"&amp;"cale cross-device FL. FedTT+, an extension of FedTT tailored for cross-silo FL, enhances robustness against data heterogeneity by adaptively freezing portions of tensor factors, further reducing the number of trainable parameters. Experiments on BERT and "&amp;"LLaMA models demonstrate that our proposed methods successfully address data heterogeneity challenges and perform on par or even better than existing federated PEFT approaches while achieving up to 10× reduction in communication cost.")</f>
        <v>Parameter-efficient fine-tuning (PEFT) methods typically assume that Large Language Models (LLMs) are trained on data from a single device or client. However, real-world scenarios often require fine-tuning these models on private data distributed across multiple devices. Federated Learning (FL) offers an appealing solution by preserving user privacy, as sensitive data remains on local devices during training. Nonetheless, integrating PEFT methods into FL introduces two main challenges: communication overhead and data heterogeneity. In this paper, we introduce FedTT and FedTT+, methods for adapting LLMs by integrating tensorized adapters into client-side models’ encoder/decoder blocks. FedTT is versatile and can be applied to both cross-silo FL and large-scale cross-device FL. FedTT+, an extension of FedTT tailored for cross-silo FL, enhances robustness against data heterogeneity by adaptively freezing portions of tensor factors, further reducing the number of trainable parameters. Experiments on BERT and LLaMA models demonstrate that our proposed methods successfully address data heterogeneity challenges and perform on par or even better than existing federated PEFT approaches while achieving up to 10× reduction in communication cost.</v>
      </c>
      <c r="D1329" s="7" t="str">
        <f>IFERROR(__xludf.DUMMYFUNCTION("""COMPUTED_VALUE"""),"None")</f>
        <v>None</v>
      </c>
      <c r="E1329" s="7" t="str">
        <f>IFERROR(__xludf.DUMMYFUNCTION("""COMPUTED_VALUE"""),"#N/A")</f>
        <v>#N/A</v>
      </c>
      <c r="F1329" s="7" t="str">
        <f>IFERROR(__xludf.DUMMYFUNCTION("""COMPUTED_VALUE"""),"Not Pres. ")</f>
        <v>Not Pres. </v>
      </c>
      <c r="G1329" s="7" t="str">
        <f>IFERROR(__xludf.DUMMYFUNCTION("""COMPUTED_VALUE"""),"NP Findings Not Presenting ")</f>
        <v>NP Findings Not Presenting </v>
      </c>
      <c r="H1329" s="7"/>
      <c r="I1329" s="7" t="str">
        <f>IFERROR(__xludf.DUMMYFUNCTION("""COMPUTED_VALUE"""),"NP-Find")</f>
        <v>NP-Find</v>
      </c>
      <c r="J1329" s="7"/>
      <c r="K1329" s="7"/>
      <c r="L1329" s="8"/>
      <c r="M1329" s="7"/>
      <c r="N1329" s="7"/>
    </row>
    <row r="1330">
      <c r="A1330" s="7" t="str">
        <f>IFERROR(__xludf.DUMMYFUNCTION("""COMPUTED_VALUE"""),"4804-FIND")</f>
        <v>4804-FIND</v>
      </c>
      <c r="B1330" s="7" t="str">
        <f>IFERROR(__xludf.DUMMYFUNCTION("""COMPUTED_VALUE"""),"A rebuttal of two common deflationary stances against LLM cognition")</f>
        <v>A rebuttal of two common deflationary stances against LLM cognition</v>
      </c>
      <c r="C1330" s="7" t="str">
        <f>IFERROR(__xludf.DUMMYFUNCTION("""COMPUTED_VALUE"""),"Large language models (LLMs) are arguably the most predictive models of human cognition available. Despite their impressive human-alignment, LLMs are often labeled as ""just next-token predictors"" that purportedly fall short of genuine cognition. We argu"&amp;"e that these deflationary claims need further justification. Drawing on prominent cognitive and artificial intelligence research, we critically evaluate two forms of ""Justaism"" that dismiss LLM cognition by labeling LLMs as ""just"" simplistic entities "&amp;"without specifying or substantiating the critical capacities they supposedly lack. Our analysis highlights the need for a more measured discussion of LLM cognition, aiming to better inform future research and the development of artificial intelligence.")</f>
        <v>Large language models (LLMs) are arguably the most predictive models of human cognition available. Despite their impressive human-alignment, LLMs are often labeled as "just next-token predictors" that purportedly fall short of genuine cognition. We argue that these deflationary claims need further justification. Drawing on prominent cognitive and artificial intelligence research, we critically evaluate two forms of "Justaism" that dismiss LLM cognition by labeling LLMs as "just" simplistic entities without specifying or substantiating the critical capacities they supposedly lack. Our analysis highlights the need for a more measured discussion of LLM cognition, aiming to better inform future research and the development of artificial intelligence.</v>
      </c>
      <c r="D1330" s="7" t="str">
        <f>IFERROR(__xludf.DUMMYFUNCTION("""COMPUTED_VALUE"""),"Zak Hussain")</f>
        <v>Zak Hussain</v>
      </c>
      <c r="E1330" s="7" t="str">
        <f>IFERROR(__xludf.DUMMYFUNCTION("""COMPUTED_VALUE"""),"Yes")</f>
        <v>Yes</v>
      </c>
      <c r="F1330" s="7" t="str">
        <f>IFERROR(__xludf.DUMMYFUNCTION("""COMPUTED_VALUE"""),"IP-Poster")</f>
        <v>IP-Poster</v>
      </c>
      <c r="G1330" s="7" t="str">
        <f>IFERROR(__xludf.DUMMYFUNCTION("""COMPUTED_VALUE"""),"In-Person")</f>
        <v>In-Person</v>
      </c>
      <c r="H1330" s="7" t="str">
        <f>IFERROR(__xludf.DUMMYFUNCTION("""COMPUTED_VALUE"""),"Hall 4/5")</f>
        <v>Hall 4/5</v>
      </c>
      <c r="I1330" s="7" t="str">
        <f>IFERROR(__xludf.DUMMYFUNCTION("""COMPUTED_VALUE"""),"Session 5 :IP-Posters Find ")</f>
        <v>Session 5 :IP-Posters Find </v>
      </c>
      <c r="J1330" s="7" t="str">
        <f>IFERROR(__xludf.DUMMYFUNCTION("""COMPUTED_VALUE"""),"Findings Posters - In-Person 1")</f>
        <v>Findings Posters - In-Person 1</v>
      </c>
      <c r="K1330" s="7"/>
      <c r="L1330" s="8">
        <f>IFERROR(__xludf.DUMMYFUNCTION("""COMPUTED_VALUE"""),45866.0)</f>
        <v>45866</v>
      </c>
      <c r="M1330" s="7" t="str">
        <f>IFERROR(__xludf.DUMMYFUNCTION("""COMPUTED_VALUE"""),"18:00-19:30")</f>
        <v>18:00-19:30</v>
      </c>
      <c r="N1330" s="7"/>
    </row>
    <row r="1331">
      <c r="A1331" s="7" t="str">
        <f>IFERROR(__xludf.DUMMYFUNCTION("""COMPUTED_VALUE"""),"4807-FIND")</f>
        <v>4807-FIND</v>
      </c>
      <c r="B1331" s="7" t="str">
        <f>IFERROR(__xludf.DUMMYFUNCTION("""COMPUTED_VALUE"""),"COVER: Context-Driven Over-Refusal Verification in LLMs")</f>
        <v>COVER: Context-Driven Over-Refusal Verification in LLMs</v>
      </c>
      <c r="C1331" s="7" t="str">
        <f>IFERROR(__xludf.DUMMYFUNCTION("""COMPUTED_VALUE"""),"We introduce the concept of context-driven over-refusal, an abstention arising when model's safety guardrails are triggered by the grounding knowledge provided alongside the user's request. Distinct from question-driven over-refusal, this occurs in both r"&amp;"etrieval-augmented generation (RAG) and natural language processing (NLP) task completion (e.g. summarization, translation) where external content can unexpectedly trigger refusals. In this work, we present a novel two-stage evaluation framework named COV"&amp;"ER, designed to quantify and analyze this behavior. Through a comprehensive empirical study on two public corpora, we show that over-refusal rates strongly depend on the task, system prompts, model family, and the number of retrieved documents. We observe"&amp;" that tasks such as translation and summarization yield disproportionately high over-refusal rates, while question-answering remains relatively robust, especially in newer models. Moreover, increasing the number of contextual documents tends to reduce ref"&amp;"usals, yet broadens the pool of prompts at risk of encountering at least one ""unsafe"" text. Interestingly, strict system prompts do not necessarily lead to higher over-refusal rates, suggesting that in the absence of explicit directives, some models may"&amp;" default to a more cautious behavior. These findings highlight the need for fine-grained alignment and benchmarking strategies sensitive to both user intent and contextual nuances, offering a roadmap for future research in model training and evaluation.")</f>
        <v>We introduce the concept of context-driven over-refusal, an abstention arising when model's safety guardrails are triggered by the grounding knowledge provided alongside the user's request. Distinct from question-driven over-refusal, this occurs in both retrieval-augmented generation (RAG) and natural language processing (NLP) task completion (e.g. summarization, translation) where external content can unexpectedly trigger refusals. In this work, we present a novel two-stage evaluation framework named COVER, designed to quantify and analyze this behavior. Through a comprehensive empirical study on two public corpora, we show that over-refusal rates strongly depend on the task, system prompts, model family, and the number of retrieved documents. We observe that tasks such as translation and summarization yield disproportionately high over-refusal rates, while question-answering remains relatively robust, especially in newer models. Moreover, increasing the number of contextual documents tends to reduce refusals, yet broadens the pool of prompts at risk of encountering at least one "unsafe" text. Interestingly, strict system prompts do not necessarily lead to higher over-refusal rates, suggesting that in the absence of explicit directives, some models may default to a more cautious behavior. These findings highlight the need for fine-grained alignment and benchmarking strategies sensitive to both user intent and contextual nuances, offering a roadmap for future research in model training and evaluation.</v>
      </c>
      <c r="D1331" s="7" t="str">
        <f>IFERROR(__xludf.DUMMYFUNCTION("""COMPUTED_VALUE"""),"Giovanni Sullutrone")</f>
        <v>Giovanni Sullutrone</v>
      </c>
      <c r="E1331" s="7" t="str">
        <f>IFERROR(__xludf.DUMMYFUNCTION("""COMPUTED_VALUE"""),"Yes")</f>
        <v>Yes</v>
      </c>
      <c r="F1331" s="7" t="str">
        <f>IFERROR(__xludf.DUMMYFUNCTION("""COMPUTED_VALUE"""),"IP-Poster")</f>
        <v>IP-Poster</v>
      </c>
      <c r="G1331" s="7" t="str">
        <f>IFERROR(__xludf.DUMMYFUNCTION("""COMPUTED_VALUE"""),"In-Person")</f>
        <v>In-Person</v>
      </c>
      <c r="H1331" s="7" t="str">
        <f>IFERROR(__xludf.DUMMYFUNCTION("""COMPUTED_VALUE"""),"Hall 4/5")</f>
        <v>Hall 4/5</v>
      </c>
      <c r="I1331" s="7" t="str">
        <f>IFERROR(__xludf.DUMMYFUNCTION("""COMPUTED_VALUE"""),"Session 12: IP-Posters")</f>
        <v>Session 12: IP-Posters</v>
      </c>
      <c r="J1331" s="7" t="str">
        <f>IFERROR(__xludf.DUMMYFUNCTION("""COMPUTED_VALUE"""),"Findings Posters - In-Person 4")</f>
        <v>Findings Posters - In-Person 4</v>
      </c>
      <c r="K1331" s="7"/>
      <c r="L1331" s="8">
        <f>IFERROR(__xludf.DUMMYFUNCTION("""COMPUTED_VALUE"""),45868.0)</f>
        <v>45868</v>
      </c>
      <c r="M1331" s="7" t="str">
        <f>IFERROR(__xludf.DUMMYFUNCTION("""COMPUTED_VALUE"""),"11:00-12:30")</f>
        <v>11:00-12:30</v>
      </c>
      <c r="N1331" s="7"/>
    </row>
    <row r="1332">
      <c r="A1332" s="7" t="str">
        <f>IFERROR(__xludf.DUMMYFUNCTION("""COMPUTED_VALUE"""),"4813-FIND")</f>
        <v>4813-FIND</v>
      </c>
      <c r="B1332" s="7" t="str">
        <f>IFERROR(__xludf.DUMMYFUNCTION("""COMPUTED_VALUE"""),"MOSAIC: Multiple Observers Spotting AI Content")</f>
        <v>MOSAIC: Multiple Observers Spotting AI Content</v>
      </c>
      <c r="C1332" s="7" t="str">
        <f>IFERROR(__xludf.DUMMYFUNCTION("""COMPUTED_VALUE"""),"The dissemination of Large Language Models (LLMs), trained at scale, and endowed with powerful text-generating abilities, has made it easier for all to produce harmful, toxic, faked or forged content. In response, various proposals have been made to autom"&amp;"atically discriminate artificially generated from human-written texts, typically framing the problem as a binary classification problem. Early approaches evaluate an input document with a well-chosen detector LLM, assuming that low-perplexity scores relia"&amp;"bly signal machine-made content. More recent systems instead consider two LLMs and compare their probability distributions over the document to further discriminate when perplexity alone cannot. However, using a fixed pair of models can induce brittleness"&amp;" in performance. We extend these approaches to the ensembling of several LLMs and derive a new, theoretically grounded approach to combine their respective strengths. Our experiments, using a variety of generator LLMs, suggest that this approach effective"&amp;"ly harnesses each model’s capabilities, leading to strong detection performance on a variety of domains.")</f>
        <v>The dissemination of Large Language Models (LLMs), trained at scale, and endowed with powerful text-generating abilities, has made it easier for all to produce harmful, toxic, faked or forged content. In response, various proposals have been made to automatically discriminate artificially generated from human-written texts, typically framing the problem as a binary classification problem. Early approaches evaluate an input document with a well-chosen detector LLM, assuming that low-perplexity scores reliably signal machine-made content. More recent systems instead consider two LLMs and compare their probability distributions over the document to further discriminate when perplexity alone cannot. However, using a fixed pair of models can induce brittleness in performance. We extend these approaches to the ensembling of several LLMs and derive a new, theoretically grounded approach to combine their respective strengths. Our experiments, using a variety of generator LLMs, suggest that this approach effectively harnesses each model’s capabilities, leading to strong detection performance on a variety of domains.</v>
      </c>
      <c r="D1332" s="7" t="str">
        <f>IFERROR(__xludf.DUMMYFUNCTION("""COMPUTED_VALUE"""),"Matthieu Dubois")</f>
        <v>Matthieu Dubois</v>
      </c>
      <c r="E1332" s="7" t="str">
        <f>IFERROR(__xludf.DUMMYFUNCTION("""COMPUTED_VALUE"""),"Yes")</f>
        <v>Yes</v>
      </c>
      <c r="F1332" s="7" t="str">
        <f>IFERROR(__xludf.DUMMYFUNCTION("""COMPUTED_VALUE"""),"IP-Poster")</f>
        <v>IP-Poster</v>
      </c>
      <c r="G1332" s="7" t="str">
        <f>IFERROR(__xludf.DUMMYFUNCTION("""COMPUTED_VALUE"""),"In-Person")</f>
        <v>In-Person</v>
      </c>
      <c r="H1332" s="7" t="str">
        <f>IFERROR(__xludf.DUMMYFUNCTION("""COMPUTED_VALUE"""),"Hall 4/5")</f>
        <v>Hall 4/5</v>
      </c>
      <c r="I1332" s="7" t="str">
        <f>IFERROR(__xludf.DUMMYFUNCTION("""COMPUTED_VALUE"""),"Session 12: IP-Posters")</f>
        <v>Session 12: IP-Posters</v>
      </c>
      <c r="J1332" s="7" t="str">
        <f>IFERROR(__xludf.DUMMYFUNCTION("""COMPUTED_VALUE"""),"Findings Posters - In-Person 4")</f>
        <v>Findings Posters - In-Person 4</v>
      </c>
      <c r="K1332" s="7"/>
      <c r="L1332" s="8">
        <f>IFERROR(__xludf.DUMMYFUNCTION("""COMPUTED_VALUE"""),45868.0)</f>
        <v>45868</v>
      </c>
      <c r="M1332" s="7" t="str">
        <f>IFERROR(__xludf.DUMMYFUNCTION("""COMPUTED_VALUE"""),"11:00-12:30")</f>
        <v>11:00-12:30</v>
      </c>
      <c r="N1332" s="7"/>
    </row>
    <row r="1333">
      <c r="A1333" s="7" t="str">
        <f>IFERROR(__xludf.DUMMYFUNCTION("""COMPUTED_VALUE"""),"4817-FIND")</f>
        <v>4817-FIND</v>
      </c>
      <c r="B1333" s="7" t="str">
        <f>IFERROR(__xludf.DUMMYFUNCTION("""COMPUTED_VALUE"""),"GUIDEX: Guided Synthetic Data Generation for Zero-Shot Information Extraction")</f>
        <v>GUIDEX: Guided Synthetic Data Generation for Zero-Shot Information Extraction</v>
      </c>
      <c r="C1333" s="7" t="str">
        <f>IFERROR(__xludf.DUMMYFUNCTION("""COMPUTED_VALUE"""),"Information Extraction (IE) systems are traditionally domain-specific, requiring costly
adaptation that involves expert schema design,
data annotation, and model training. While
Large Language Models have shown promise
in zero-shot IE, performance degrade"&amp;"s significantly in unseen domains where label definitions differ. This paper introduces GUIDEX,
a novel method that automatically defines
domain-specific schemas, infers guidelines,
and generates synthetically labeled instances,
allowing for better out-of"&amp;"-domain generalization. Fine-tuning Llama 3.1 with GUIDEX
sets a new state-of-the-art across seven zeroshot Named Entity Recognition benchmarks.
Models trained with GUIDEX gain up to 7 F1
points over previous methods without humanlabeled data, and nearly "&amp;"2 F1 points higher
when combined with it. Models trained on
GUIDEX demonstrate enhanced comprehension of complex, domain-specific annotation
schemas. Code, models, and synthetic datasets
are available at neilus03.github.io/guidex.com")</f>
        <v>Information Extraction (IE) systems are traditionally domain-specific, requiring costly
adaptation that involves expert schema design,
data annotation, and model training. While
Large Language Models have shown promise
in zero-shot IE, performance degrades significantly in unseen domains where label definitions differ. This paper introduces GUIDEX,
a novel method that automatically defines
domain-specific schemas, infers guidelines,
and generates synthetically labeled instances,
allowing for better out-of-domain generalization. Fine-tuning Llama 3.1 with GUIDEX
sets a new state-of-the-art across seven zeroshot Named Entity Recognition benchmarks.
Models trained with GUIDEX gain up to 7 F1
points over previous methods without humanlabeled data, and nearly 2 F1 points higher
when combined with it. Models trained on
GUIDEX demonstrate enhanced comprehension of complex, domain-specific annotation
schemas. Code, models, and synthetic datasets
are available at neilus03.github.io/guidex.com</v>
      </c>
      <c r="D1333" s="7" t="str">
        <f>IFERROR(__xludf.DUMMYFUNCTION("""COMPUTED_VALUE"""),"Neil De La Fuente, Oscar Sainz")</f>
        <v>Neil De La Fuente, Oscar Sainz</v>
      </c>
      <c r="E1333" s="7" t="str">
        <f>IFERROR(__xludf.DUMMYFUNCTION("""COMPUTED_VALUE"""),"Yes")</f>
        <v>Yes</v>
      </c>
      <c r="F1333" s="7" t="str">
        <f>IFERROR(__xludf.DUMMYFUNCTION("""COMPUTED_VALUE"""),"IP-Poster")</f>
        <v>IP-Poster</v>
      </c>
      <c r="G1333" s="7" t="str">
        <f>IFERROR(__xludf.DUMMYFUNCTION("""COMPUTED_VALUE"""),"In-Person")</f>
        <v>In-Person</v>
      </c>
      <c r="H1333" s="7" t="str">
        <f>IFERROR(__xludf.DUMMYFUNCTION("""COMPUTED_VALUE"""),"Hall 4/5")</f>
        <v>Hall 4/5</v>
      </c>
      <c r="I1333" s="7" t="str">
        <f>IFERROR(__xludf.DUMMYFUNCTION("""COMPUTED_VALUE"""),"Session 5 :IP-Posters Find ")</f>
        <v>Session 5 :IP-Posters Find </v>
      </c>
      <c r="J1333" s="7" t="str">
        <f>IFERROR(__xludf.DUMMYFUNCTION("""COMPUTED_VALUE"""),"Findings Posters - In-Person 1")</f>
        <v>Findings Posters - In-Person 1</v>
      </c>
      <c r="K1333" s="7"/>
      <c r="L1333" s="8">
        <f>IFERROR(__xludf.DUMMYFUNCTION("""COMPUTED_VALUE"""),45866.0)</f>
        <v>45866</v>
      </c>
      <c r="M1333" s="7" t="str">
        <f>IFERROR(__xludf.DUMMYFUNCTION("""COMPUTED_VALUE"""),"18:00-19:30")</f>
        <v>18:00-19:30</v>
      </c>
      <c r="N1333" s="7"/>
    </row>
    <row r="1334">
      <c r="A1334" s="7" t="str">
        <f>IFERROR(__xludf.DUMMYFUNCTION("""COMPUTED_VALUE"""),"4819-FIND")</f>
        <v>4819-FIND</v>
      </c>
      <c r="B1334" s="7" t="str">
        <f>IFERROR(__xludf.DUMMYFUNCTION("""COMPUTED_VALUE"""),"Do Large Language Models Represent the People? A Systematic Literature Review on the Demographic Representativeness of Large Language Models")</f>
        <v>Do Large Language Models Represent the People? A Systematic Literature Review on the Demographic Representativeness of Large Language Models</v>
      </c>
      <c r="C1334" s="7" t="str">
        <f>IFERROR(__xludf.DUMMYFUNCTION("""COMPUTED_VALUE"""),"Many applications of Large Language Models (LLMs) require them to either simulate people or offer personalized functionality, making the demographic representativeness of LLMs crucial for equitable utility. At the same time, we know little about the exten"&amp;"t to which these models actually reflect the demographic attributes and behaviors of certain groups or populations in valid ways. Empirical research is divided, with conflicting findings on whether LLMs can accurately represent human (sub)populations. To "&amp;"shed light on this debate, we review 211 papers on the demographic representativeness of LLMs. We find that while 29% of the studies report positive conclusions, 30% of these do not evaluate LLMs across multiple demographic categories or within demographi"&amp;"c subcategories. Another 35-47% fail to specify these subcategories altogether for gender and race. Out of the papers that do report subcategories, a majority do not include results on marginalized groups in their study. This suggests an inflated percepti"&amp;"on of LLM representativeness in the broader community. We recommend more precise evaluation methods and comprehensive documentation to ensure the responsible use of LLMs for social applications.")</f>
        <v>Many applications of Large Language Models (LLMs) require them to either simulate people or offer personalized functionality, making the demographic representativeness of LLMs crucial for equitable utility. At the same time, we know little about the extent to which these models actually reflect the demographic attributes and behaviors of certain groups or populations in valid ways. Empirical research is divided, with conflicting findings on whether LLMs can accurately represent human (sub)populations. To shed light on this debate, we review 211 papers on the demographic representativeness of LLMs. We find that while 29% of the studies report positive conclusions, 30% of these do not evaluate LLMs across multiple demographic categories or within demographic subcategories. Another 35-47% fail to specify these subcategories altogether for gender and race. Out of the papers that do report subcategories, a majority do not include results on marginalized groups in their study. This suggests an inflated perception of LLM representativeness in the broader community. We recommend more precise evaluation methods and comprehensive documentation to ensure the responsible use of LLMs for social applications.</v>
      </c>
      <c r="D1334" s="7" t="str">
        <f>IFERROR(__xludf.DUMMYFUNCTION("""COMPUTED_VALUE"""),"Indira Sen, Marlene Lutz")</f>
        <v>Indira Sen, Marlene Lutz</v>
      </c>
      <c r="E1334" s="7" t="str">
        <f>IFERROR(__xludf.DUMMYFUNCTION("""COMPUTED_VALUE"""),"Yes")</f>
        <v>Yes</v>
      </c>
      <c r="F1334" s="7" t="str">
        <f>IFERROR(__xludf.DUMMYFUNCTION("""COMPUTED_VALUE"""),"IP-Poster")</f>
        <v>IP-Poster</v>
      </c>
      <c r="G1334" s="7" t="str">
        <f>IFERROR(__xludf.DUMMYFUNCTION("""COMPUTED_VALUE"""),"In-Person")</f>
        <v>In-Person</v>
      </c>
      <c r="H1334" s="7" t="str">
        <f>IFERROR(__xludf.DUMMYFUNCTION("""COMPUTED_VALUE"""),"Hall 4/5")</f>
        <v>Hall 4/5</v>
      </c>
      <c r="I1334" s="7" t="str">
        <f>IFERROR(__xludf.DUMMYFUNCTION("""COMPUTED_VALUE"""),"Session 7: IP-Posters")</f>
        <v>Session 7: IP-Posters</v>
      </c>
      <c r="J1334" s="7" t="str">
        <f>IFERROR(__xludf.DUMMYFUNCTION("""COMPUTED_VALUE"""),"Findings Posters - In-Person 2")</f>
        <v>Findings Posters - In-Person 2</v>
      </c>
      <c r="K1334" s="7"/>
      <c r="L1334" s="8">
        <f>IFERROR(__xludf.DUMMYFUNCTION("""COMPUTED_VALUE"""),45867.0)</f>
        <v>45867</v>
      </c>
      <c r="M1334" s="7" t="str">
        <f>IFERROR(__xludf.DUMMYFUNCTION("""COMPUTED_VALUE"""),"10:30-12:00")</f>
        <v>10:30-12:00</v>
      </c>
      <c r="N1334" s="7"/>
    </row>
    <row r="1335">
      <c r="A1335" s="7" t="str">
        <f>IFERROR(__xludf.DUMMYFUNCTION("""COMPUTED_VALUE"""),"4825-FIND")</f>
        <v>4825-FIND</v>
      </c>
      <c r="B1335" s="7" t="str">
        <f>IFERROR(__xludf.DUMMYFUNCTION("""COMPUTED_VALUE"""),"LlamaV-o1: Rethinking Step-by-step Visual Reasoning in LLMs")</f>
        <v>LlamaV-o1: Rethinking Step-by-step Visual Reasoning in LLMs</v>
      </c>
      <c r="C1335" s="7" t="str">
        <f>IFERROR(__xludf.DUMMYFUNCTION("""COMPUTED_VALUE"""),"Step-by-step reasoning is crucial for solving complex visual tasks, yet existing approaches lack a comprehensive framework for evaluating this capability and do not emphasize step-wise problem-solving. To this end, we propose a comprehensive framework for"&amp;" advancing multi-step visual reasoning in large multimodal models (LMMs) through three key contributions. First, we introduce a Visual Reasoning Chain Benchmark, the most comprehensive benchmark for multi-step visual reasoning, covering eight diverse cate"&amp;"gories and over 4k reasoning steps. This enables rigorous evaluation of LMMs' ability to reason accurately and interpretably across multiple steps. Second, we propose a fine-grained reasoning metric that evaluates correctness and logical coherence at each"&amp;" step, providing deeper insights beyond traditional accuracy metrics. Third, we introduce LlamaV-o1, a state-of-the-art multimodal reasoning model trained using a multi-step curriculum learning approach. LlamaV-o1 is optimized for structured, step-by-step"&amp;" reasoning and significantly outperforms existing open-source models. It surpasses Llava-CoT with a 3.8% absolute gain across six benchmarks, achieving an average score of 67.3 while being 5x
 faster during inference scaling. Our benchmark, model, and cod"&amp;"e is available at https://github.com/mbzuai-oryx/LlamaV-o1.")</f>
        <v>Step-by-step reasoning is crucial for solving complex visual tasks, yet existing approaches lack a comprehensive framework for evaluating this capability and do not emphasize step-wise problem-solving. To this end, we propose a comprehensive framework for advancing multi-step visual reasoning in large multimodal models (LMMs) through three key contributions. First, we introduce a Visual Reasoning Chain Benchmark, the most comprehensive benchmark for multi-step visual reasoning, covering eight diverse categories and over 4k reasoning steps. This enables rigorous evaluation of LMMs' ability to reason accurately and interpretably across multiple steps. Second, we propose a fine-grained reasoning metric that evaluates correctness and logical coherence at each step, providing deeper insights beyond traditional accuracy metrics. Third, we introduce LlamaV-o1, a state-of-the-art multimodal reasoning model trained using a multi-step curriculum learning approach. LlamaV-o1 is optimized for structured, step-by-step reasoning and significantly outperforms existing open-source models. It surpasses Llava-CoT with a 3.8% absolute gain across six benchmarks, achieving an average score of 67.3 while being 5x
 faster during inference scaling. Our benchmark, model, and code is available at https://github.com/mbzuai-oryx/LlamaV-o1.</v>
      </c>
      <c r="D1335" s="7" t="str">
        <f>IFERROR(__xludf.DUMMYFUNCTION("""COMPUTED_VALUE"""),"Ahmed Heakl")</f>
        <v>Ahmed Heakl</v>
      </c>
      <c r="E1335" s="7" t="str">
        <f>IFERROR(__xludf.DUMMYFUNCTION("""COMPUTED_VALUE"""),"Yes")</f>
        <v>Yes</v>
      </c>
      <c r="F1335" s="7" t="str">
        <f>IFERROR(__xludf.DUMMYFUNCTION("""COMPUTED_VALUE"""),"IP-Poster")</f>
        <v>IP-Poster</v>
      </c>
      <c r="G1335" s="7" t="str">
        <f>IFERROR(__xludf.DUMMYFUNCTION("""COMPUTED_VALUE"""),"In-Person")</f>
        <v>In-Person</v>
      </c>
      <c r="H1335" s="7" t="str">
        <f>IFERROR(__xludf.DUMMYFUNCTION("""COMPUTED_VALUE"""),"Hall 4/5")</f>
        <v>Hall 4/5</v>
      </c>
      <c r="I1335" s="7" t="str">
        <f>IFERROR(__xludf.DUMMYFUNCTION("""COMPUTED_VALUE"""),"Session 7: IP-Posters")</f>
        <v>Session 7: IP-Posters</v>
      </c>
      <c r="J1335" s="7" t="str">
        <f>IFERROR(__xludf.DUMMYFUNCTION("""COMPUTED_VALUE"""),"Findings Posters - In-Person 2")</f>
        <v>Findings Posters - In-Person 2</v>
      </c>
      <c r="K1335" s="7"/>
      <c r="L1335" s="8">
        <f>IFERROR(__xludf.DUMMYFUNCTION("""COMPUTED_VALUE"""),45867.0)</f>
        <v>45867</v>
      </c>
      <c r="M1335" s="7" t="str">
        <f>IFERROR(__xludf.DUMMYFUNCTION("""COMPUTED_VALUE"""),"10:30-12:00")</f>
        <v>10:30-12:00</v>
      </c>
      <c r="N1335" s="7"/>
    </row>
    <row r="1336">
      <c r="A1336" s="7" t="str">
        <f>IFERROR(__xludf.DUMMYFUNCTION("""COMPUTED_VALUE"""),"4826-FIND")</f>
        <v>4826-FIND</v>
      </c>
      <c r="B1336" s="7" t="str">
        <f>IFERROR(__xludf.DUMMYFUNCTION("""COMPUTED_VALUE"""),"Burn After Reading: Do Multimodal Large Language Models Truly Capture Order of Events in Image Sequences?")</f>
        <v>Burn After Reading: Do Multimodal Large Language Models Truly Capture Order of Events in Image Sequences?</v>
      </c>
      <c r="C1336" s="7" t="str">
        <f>IFERROR(__xludf.DUMMYFUNCTION("""COMPUTED_VALUE"""),"This paper introduces the new and challenging TempVS benchmark, which focuses on temporal grounding and reasoning capabilities of Multimodal Large Language Models (MLLMs) in image sequences. TempVS consists of three main tests (i.e., event relation infere"&amp;"nce, sentence ordering and image ordering) and each accompanied with a basic grounding test, yielding a total of 2,085 annotated image sequences and 15k multiple-choice questions. TempVS requires MLLMs to rely on both visual and linguistic modalities to u"&amp;"nderstand the temporal order of events. We extensively evaluate 38 state-of-the-art MLLMs, demonstrating that models struggle to solve TempVS. Our analysis reveals a substantial performance gap between current MLLMs and human capabilities, accompanied by "&amp;"fine-grained insights that suggest promising directions for future research.")</f>
        <v>This paper introduces the new and challenging TempVS benchmark, which focuses on temporal grounding and reasoning capabilities of Multimodal Large Language Models (MLLMs) in image sequences. TempVS consists of three main tests (i.e., event relation inference, sentence ordering and image ordering) and each accompanied with a basic grounding test, yielding a total of 2,085 annotated image sequences and 15k multiple-choice questions. TempVS requires MLLMs to rely on both visual and linguistic modalities to understand the temporal order of events. We extensively evaluate 38 state-of-the-art MLLMs, demonstrating that models struggle to solve TempVS. Our analysis reveals a substantial performance gap between current MLLMs and human capabilities, accompanied by fine-grained insights that suggest promising directions for future research.</v>
      </c>
      <c r="D1336" s="7" t="str">
        <f>IFERROR(__xludf.DUMMYFUNCTION("""COMPUTED_VALUE"""),"Yingjin Song")</f>
        <v>Yingjin Song</v>
      </c>
      <c r="E1336" s="7" t="str">
        <f>IFERROR(__xludf.DUMMYFUNCTION("""COMPUTED_VALUE"""),"Yes")</f>
        <v>Yes</v>
      </c>
      <c r="F1336" s="7" t="str">
        <f>IFERROR(__xludf.DUMMYFUNCTION("""COMPUTED_VALUE"""),"IP-Poster")</f>
        <v>IP-Poster</v>
      </c>
      <c r="G1336" s="7" t="str">
        <f>IFERROR(__xludf.DUMMYFUNCTION("""COMPUTED_VALUE"""),"In-Person")</f>
        <v>In-Person</v>
      </c>
      <c r="H1336" s="7" t="str">
        <f>IFERROR(__xludf.DUMMYFUNCTION("""COMPUTED_VALUE"""),"Hall 4/5")</f>
        <v>Hall 4/5</v>
      </c>
      <c r="I1336" s="7" t="str">
        <f>IFERROR(__xludf.DUMMYFUNCTION("""COMPUTED_VALUE"""),"Session 10: IP-Posters")</f>
        <v>Session 10: IP-Posters</v>
      </c>
      <c r="J1336" s="7" t="str">
        <f>IFERROR(__xludf.DUMMYFUNCTION("""COMPUTED_VALUE"""),"Findings Posters - In-Person 3")</f>
        <v>Findings Posters - In-Person 3</v>
      </c>
      <c r="K1336" s="7"/>
      <c r="L1336" s="8">
        <f>IFERROR(__xludf.DUMMYFUNCTION("""COMPUTED_VALUE"""),45867.0)</f>
        <v>45867</v>
      </c>
      <c r="M1336" s="7" t="str">
        <f>IFERROR(__xludf.DUMMYFUNCTION("""COMPUTED_VALUE"""),"16:00-17:30")</f>
        <v>16:00-17:30</v>
      </c>
      <c r="N1336" s="7"/>
    </row>
    <row r="1337">
      <c r="A1337" s="7" t="str">
        <f>IFERROR(__xludf.DUMMYFUNCTION("""COMPUTED_VALUE"""),"4837-FIND")</f>
        <v>4837-FIND</v>
      </c>
      <c r="B1337" s="7" t="str">
        <f>IFERROR(__xludf.DUMMYFUNCTION("""COMPUTED_VALUE"""),"Full-Step-DPO: Self-Supervised Preference Optimization with Step-wise Rewards for Mathematical Reasoning")</f>
        <v>Full-Step-DPO: Self-Supervised Preference Optimization with Step-wise Rewards for Mathematical Reasoning</v>
      </c>
      <c r="C1337" s="7" t="str">
        <f>IFERROR(__xludf.DUMMYFUNCTION("""COMPUTED_VALUE"""),"Direct Preference Optimization (DPO) often struggles with long-chain mathematical reasoning. Existing approaches, such as Step-DPO, typically improve this by focusing on the first erroneous step in the reasoning chain. However, they overlook all other ste"&amp;"ps and rely heavily on humans or GPT-4 to identify erroneous steps. To address these issues, we propose Full-Step-DPO, a novel DPO framework tailored for mathematical reasoning. Instead of optimizing only the first erroneous step, it leverages step-wise r"&amp;"ewards from the entire reasoning chain. This is achieved by training a self-supervised process reward model, which automatically scores each step, providing rewards while avoiding reliance on external signals. Furthermore, we introduce a novel step-wise D"&amp;"PO loss, which dynamically updates gradients based on these step-wise rewards. This endows stronger reasoning capabilities to language models. Extensive evaluations on both in-domain and out-of-domain mathematical reasoning benchmarks across various base "&amp;"language models, demonstrate that Full-Step-DPO achieves superior performance compared to state-of-the-art baselines.")</f>
        <v>Direct Preference Optimization (DPO) often struggles with long-chain mathematical reasoning. Existing approaches, such as Step-DPO, typically improve this by focusing on the first erroneous step in the reasoning chain. However, they overlook all other steps and rely heavily on humans or GPT-4 to identify erroneous steps. To address these issues, we propose Full-Step-DPO, a novel DPO framework tailored for mathematical reasoning. Instead of optimizing only the first erroneous step, it leverages step-wise rewards from the entire reasoning chain. This is achieved by training a self-supervised process reward model, which automatically scores each step, providing rewards while avoiding reliance on external signals. Furthermore, we introduce a novel step-wise DPO loss, which dynamically updates gradients based on these step-wise rewards. This endows stronger reasoning capabilities to language models. Extensive evaluations on both in-domain and out-of-domain mathematical reasoning benchmarks across various base language models, demonstrate that Full-Step-DPO achieves superior performance compared to state-of-the-art baselines.</v>
      </c>
      <c r="D1337" s="7"/>
      <c r="E1337" s="7" t="str">
        <f>IFERROR(__xludf.DUMMYFUNCTION("""COMPUTED_VALUE"""),"#N/A")</f>
        <v>#N/A</v>
      </c>
      <c r="F1337" s="7" t="str">
        <f>IFERROR(__xludf.DUMMYFUNCTION("""COMPUTED_VALUE"""),"Not Pres. ")</f>
        <v>Not Pres. </v>
      </c>
      <c r="G1337" s="7" t="str">
        <f>IFERROR(__xludf.DUMMYFUNCTION("""COMPUTED_VALUE"""),"NP Findings Not Presenting ")</f>
        <v>NP Findings Not Presenting </v>
      </c>
      <c r="H1337" s="7"/>
      <c r="I1337" s="7" t="str">
        <f>IFERROR(__xludf.DUMMYFUNCTION("""COMPUTED_VALUE"""),"NP-Find")</f>
        <v>NP-Find</v>
      </c>
      <c r="J1337" s="7"/>
      <c r="K1337" s="7"/>
      <c r="L1337" s="8"/>
      <c r="M1337" s="7"/>
      <c r="N1337" s="7"/>
    </row>
    <row r="1338">
      <c r="A1338" s="7" t="str">
        <f>IFERROR(__xludf.DUMMYFUNCTION("""COMPUTED_VALUE"""),"4838-FIND")</f>
        <v>4838-FIND</v>
      </c>
      <c r="B1338" s="7" t="str">
        <f>IFERROR(__xludf.DUMMYFUNCTION("""COMPUTED_VALUE"""),"Do Emotions Really Affect Argument Convincingness? A Dynamic Approach with LLM-based Manipulation Checks")</f>
        <v>Do Emotions Really Affect Argument Convincingness? A Dynamic Approach with LLM-based Manipulation Checks</v>
      </c>
      <c r="C1338" s="7" t="str">
        <f>IFERROR(__xludf.DUMMYFUNCTION("""COMPUTED_VALUE"""),"Emotions have been shown to play a role in argument convincingness, yet this aspect is underexplored in the natural language processing (NLP) community. Unlike prior studies that use static analyses, focus on a single text domain or language, or treat emo"&amp;"tion as just one of many factors, we introduce a dynamic framework inspired by manipulation checks commonly used in psychology and social science; leveraging LLM-based manipulation checks, this framework examines the extent to which perceived emotional in"&amp;"tensity influences perceived convincingness. Through human evaluation of arguments across different languages, text domains, and topics, we find that in over half of cases, judgments of convincingness remain unchanged despite variations in perceived emoti"&amp;"onal intensity; when emotions do have an impact, they more often enhance rather than weaken convincingness. We further analyze how 11 LLMs behave in the same scenario, finding that while LLMs generally mirror human patterns, they struggle to capture nuanc"&amp;"ed emotional effects in individual judgments.")</f>
        <v>Emotions have been shown to play a role in argument convincingness, yet this aspect is underexplored in the natural language processing (NLP) community. Unlike prior studies that use static analyses, focus on a single text domain or language, or treat emotion as just one of many factors, we introduce a dynamic framework inspired by manipulation checks commonly used in psychology and social science; leveraging LLM-based manipulation checks, this framework examines the extent to which perceived emotional intensity influences perceived convincingness. Through human evaluation of arguments across different languages, text domains, and topics, we find that in over half of cases, judgments of convincingness remain unchanged despite variations in perceived emotional intensity; when emotions do have an impact, they more often enhance rather than weaken convincingness. We further analyze how 11 LLMs behave in the same scenario, finding that while LLMs generally mirror human patterns, they struggle to capture nuanced emotional effects in individual judgments.</v>
      </c>
      <c r="D1338" s="7" t="str">
        <f>IFERROR(__xludf.DUMMYFUNCTION("""COMPUTED_VALUE"""),"Yanran Chen")</f>
        <v>Yanran Chen</v>
      </c>
      <c r="E1338" s="7" t="str">
        <f>IFERROR(__xludf.DUMMYFUNCTION("""COMPUTED_VALUE"""),"Yes")</f>
        <v>Yes</v>
      </c>
      <c r="F1338" s="7" t="str">
        <f>IFERROR(__xludf.DUMMYFUNCTION("""COMPUTED_VALUE"""),"IP-Poster")</f>
        <v>IP-Poster</v>
      </c>
      <c r="G1338" s="7" t="str">
        <f>IFERROR(__xludf.DUMMYFUNCTION("""COMPUTED_VALUE"""),"In-Person")</f>
        <v>In-Person</v>
      </c>
      <c r="H1338" s="7" t="str">
        <f>IFERROR(__xludf.DUMMYFUNCTION("""COMPUTED_VALUE"""),"Hall 4/5")</f>
        <v>Hall 4/5</v>
      </c>
      <c r="I1338" s="7" t="str">
        <f>IFERROR(__xludf.DUMMYFUNCTION("""COMPUTED_VALUE"""),"Session 5 :IP-Posters Find ")</f>
        <v>Session 5 :IP-Posters Find </v>
      </c>
      <c r="J1338" s="7" t="str">
        <f>IFERROR(__xludf.DUMMYFUNCTION("""COMPUTED_VALUE"""),"Findings Posters - In-Person 1")</f>
        <v>Findings Posters - In-Person 1</v>
      </c>
      <c r="K1338" s="7"/>
      <c r="L1338" s="8">
        <f>IFERROR(__xludf.DUMMYFUNCTION("""COMPUTED_VALUE"""),45866.0)</f>
        <v>45866</v>
      </c>
      <c r="M1338" s="7" t="str">
        <f>IFERROR(__xludf.DUMMYFUNCTION("""COMPUTED_VALUE"""),"18:00-19:30")</f>
        <v>18:00-19:30</v>
      </c>
      <c r="N1338" s="7"/>
    </row>
    <row r="1339">
      <c r="A1339" s="7" t="str">
        <f>IFERROR(__xludf.DUMMYFUNCTION("""COMPUTED_VALUE"""),"4841-FIND")</f>
        <v>4841-FIND</v>
      </c>
      <c r="B1339" s="7" t="str">
        <f>IFERROR(__xludf.DUMMYFUNCTION("""COMPUTED_VALUE"""),"SCOPE: Compress Mathematical Reasoning Steps for Efficient Automated Process Annotation")</f>
        <v>SCOPE: Compress Mathematical Reasoning Steps for Efficient Automated Process Annotation</v>
      </c>
      <c r="C1339" s="7" t="str">
        <f>IFERROR(__xludf.DUMMYFUNCTION("""COMPUTED_VALUE"""),"Process Reward Models (PRMs) have demonstrated promising results in mathematical reasoning, but existing process annotation approaches, whether through human annotations or Monte Carlo simulations, remain computationally expensive. In this paper, we intro"&amp;"duce Step COmpression for Process Estimation (SCOPE), a novel compression-based approach that significantly reduces annotation costs. We first translate natural language reasoning steps into code and normalize them through Abstract Syntax Tree, then merge"&amp;" equivalent steps to construct a prefix tree. Unlike simulation-based methods that waste numerous samples on estimation, SCOPE leverages a compression-based prefix tree where each root-to-leaf path serves as a training sample, reducing the complexity from"&amp;" O(NMK) to O(N) We construct a large-scale dataset containing 509K samples with only 5% of the computational resources required by previous methods. Empirical results demonstrate that PRMs trained on our dataset consistently outperform existing automated "&amp;"annotation approaches on both Best-of-N strategy and ProcessBench.")</f>
        <v>Process Reward Models (PRMs) have demonstrated promising results in mathematical reasoning, but existing process annotation approaches, whether through human annotations or Monte Carlo simulations, remain computationally expensive. In this paper, we introduce Step COmpression for Process Estimation (SCOPE), a novel compression-based approach that significantly reduces annotation costs. We first translate natural language reasoning steps into code and normalize them through Abstract Syntax Tree, then merge equivalent steps to construct a prefix tree. Unlike simulation-based methods that waste numerous samples on estimation, SCOPE leverages a compression-based prefix tree where each root-to-leaf path serves as a training sample, reducing the complexity from O(NMK) to O(N) We construct a large-scale dataset containing 509K samples with only 5% of the computational resources required by previous methods. Empirical results demonstrate that PRMs trained on our dataset consistently outperform existing automated annotation approaches on both Best-of-N strategy and ProcessBench.</v>
      </c>
      <c r="D1339" s="7" t="str">
        <f>IFERROR(__xludf.DUMMYFUNCTION("""COMPUTED_VALUE"""),"Huimin Xu")</f>
        <v>Huimin Xu</v>
      </c>
      <c r="E1339" s="7" t="str">
        <f>IFERROR(__xludf.DUMMYFUNCTION("""COMPUTED_VALUE"""),"Yes")</f>
        <v>Yes</v>
      </c>
      <c r="F1339" s="7" t="str">
        <f>IFERROR(__xludf.DUMMYFUNCTION("""COMPUTED_VALUE"""),"IP-Poster")</f>
        <v>IP-Poster</v>
      </c>
      <c r="G1339" s="7" t="str">
        <f>IFERROR(__xludf.DUMMYFUNCTION("""COMPUTED_VALUE"""),"In-Person")</f>
        <v>In-Person</v>
      </c>
      <c r="H1339" s="7" t="str">
        <f>IFERROR(__xludf.DUMMYFUNCTION("""COMPUTED_VALUE"""),"Hall 4/5")</f>
        <v>Hall 4/5</v>
      </c>
      <c r="I1339" s="7" t="str">
        <f>IFERROR(__xludf.DUMMYFUNCTION("""COMPUTED_VALUE"""),"Session 5 :IP-Posters Find ")</f>
        <v>Session 5 :IP-Posters Find </v>
      </c>
      <c r="J1339" s="7" t="str">
        <f>IFERROR(__xludf.DUMMYFUNCTION("""COMPUTED_VALUE"""),"Findings Posters - In-Person 1")</f>
        <v>Findings Posters - In-Person 1</v>
      </c>
      <c r="K1339" s="7"/>
      <c r="L1339" s="8">
        <f>IFERROR(__xludf.DUMMYFUNCTION("""COMPUTED_VALUE"""),45866.0)</f>
        <v>45866</v>
      </c>
      <c r="M1339" s="7" t="str">
        <f>IFERROR(__xludf.DUMMYFUNCTION("""COMPUTED_VALUE"""),"18:00-19:30")</f>
        <v>18:00-19:30</v>
      </c>
      <c r="N1339" s="7"/>
    </row>
    <row r="1340">
      <c r="A1340" s="7" t="str">
        <f>IFERROR(__xludf.DUMMYFUNCTION("""COMPUTED_VALUE"""),"4846-FIND")</f>
        <v>4846-FIND</v>
      </c>
      <c r="B1340" s="7" t="str">
        <f>IFERROR(__xludf.DUMMYFUNCTION("""COMPUTED_VALUE"""),"Compositional Syntactico-SemBanking for English as a Second or Foreign Language")</f>
        <v>Compositional Syntactico-SemBanking for English as a Second or Foreign Language</v>
      </c>
      <c r="C1340" s="7" t="str">
        <f>IFERROR(__xludf.DUMMYFUNCTION("""COMPUTED_VALUE"""),"Despite the widespread use of English as a Second or Foreign Language (ESFL), developing syntactico-semantic representations for it is limited --- the irregularities in ESFL complicate systematic composition and subsequently the derivation of its semantic"&amp;"s. This paper draws on constructivism and proposes a novel Synchronous Hyperedge Replacement Grammar (SHRG)-based constructivist approach to address the challenges. By using constructions as fundamental units, this approach not only accommodates both the "&amp;"idiosyncrasies and the compositional nature of ESFL, but also bridges the gap between literal cues and intended meaning. The feasibility of this constructivist approach is demonstrated using real ESFL data, resulting in a gold-standard, medium-sized synta"&amp;"ctico-semantic bank that covers a wide range of ESFL phenomena. Experimental results further indicate that this newly developed resource significantly enhances syntactic parsing for ESFL, achieving an F_1 score improvement of over 20%.")</f>
        <v>Despite the widespread use of English as a Second or Foreign Language (ESFL), developing syntactico-semantic representations for it is limited --- the irregularities in ESFL complicate systematic composition and subsequently the derivation of its semantics. This paper draws on constructivism and proposes a novel Synchronous Hyperedge Replacement Grammar (SHRG)-based constructivist approach to address the challenges. By using constructions as fundamental units, this approach not only accommodates both the idiosyncrasies and the compositional nature of ESFL, but also bridges the gap between literal cues and intended meaning. The feasibility of this constructivist approach is demonstrated using real ESFL data, resulting in a gold-standard, medium-sized syntactico-semantic bank that covers a wide range of ESFL phenomena. Experimental results further indicate that this newly developed resource significantly enhances syntactic parsing for ESFL, achieving an F_1 score improvement of over 20%.</v>
      </c>
      <c r="D1340" s="7" t="str">
        <f>IFERROR(__xludf.DUMMYFUNCTION("""COMPUTED_VALUE"""),"Wenxi Li")</f>
        <v>Wenxi Li</v>
      </c>
      <c r="E1340" s="7" t="str">
        <f>IFERROR(__xludf.DUMMYFUNCTION("""COMPUTED_VALUE"""),"Yes")</f>
        <v>Yes</v>
      </c>
      <c r="F1340" s="7" t="str">
        <f>IFERROR(__xludf.DUMMYFUNCTION("""COMPUTED_VALUE"""),"IP-Poster")</f>
        <v>IP-Poster</v>
      </c>
      <c r="G1340" s="7" t="str">
        <f>IFERROR(__xludf.DUMMYFUNCTION("""COMPUTED_VALUE"""),"In-Person")</f>
        <v>In-Person</v>
      </c>
      <c r="H1340" s="7" t="str">
        <f>IFERROR(__xludf.DUMMYFUNCTION("""COMPUTED_VALUE"""),"Hall 4/5")</f>
        <v>Hall 4/5</v>
      </c>
      <c r="I1340" s="7" t="str">
        <f>IFERROR(__xludf.DUMMYFUNCTION("""COMPUTED_VALUE"""),"Session 12: IP-Posters")</f>
        <v>Session 12: IP-Posters</v>
      </c>
      <c r="J1340" s="7" t="str">
        <f>IFERROR(__xludf.DUMMYFUNCTION("""COMPUTED_VALUE"""),"Findings Posters - In-Person 4")</f>
        <v>Findings Posters - In-Person 4</v>
      </c>
      <c r="K1340" s="7"/>
      <c r="L1340" s="8">
        <f>IFERROR(__xludf.DUMMYFUNCTION("""COMPUTED_VALUE"""),45868.0)</f>
        <v>45868</v>
      </c>
      <c r="M1340" s="7" t="str">
        <f>IFERROR(__xludf.DUMMYFUNCTION("""COMPUTED_VALUE"""),"11:00-12:30")</f>
        <v>11:00-12:30</v>
      </c>
      <c r="N1340" s="7"/>
    </row>
    <row r="1341">
      <c r="A1341" s="7" t="str">
        <f>IFERROR(__xludf.DUMMYFUNCTION("""COMPUTED_VALUE"""),"4852-FIND")</f>
        <v>4852-FIND</v>
      </c>
      <c r="B1341" s="7" t="str">
        <f>IFERROR(__xludf.DUMMYFUNCTION("""COMPUTED_VALUE"""),"Semantics-aware prompting for translating NOtices To AirMen")</f>
        <v>Semantics-aware prompting for translating NOtices To AirMen</v>
      </c>
      <c r="C1341" s="7" t="str">
        <f>IFERROR(__xludf.DUMMYFUNCTION("""COMPUTED_VALUE"""),"A NOTAM or NOtice To AirMen is a crucial notice for different aviation stakeholders, particularly flight crews. It delivers essential notifications about abnormal conditions of Aviation System components such as changes to facilities, hazards, service, pr"&amp;"ocedure that are not known far enough in advance to be publicized through other means. NOTAM messages are short, contain acronyms, and look cryptic in most of the cases. Writing and understanding these messages put heavy cognitive load on its end users. I"&amp;"n this work, we take up the task of translating NOTAMs into English natural language using LLMs. Since NOTAMs do not adhere to English grammar rules and have their own decoding rules, large language models (LLMs) cannot translate them without effective pr"&amp;"ompting. In this paper, we develop a framework to come up with effective prompts to achieve the translations. Our approach uses context-aware semantic prompting techniques, paired with domain-specific rules, to improve the accuracy and clarity of translat"&amp;"ions. The framework is evaluated using comprehensive experiments (6 LLMs of varying sizes, and with 5 different prompting setups for each) and eight evaluation metrics measuring different aspects of the translation. The results demonstrate that our method"&amp;"ology can produce clear translations that accurately convey the information contained in NOTAMs.")</f>
        <v>A NOTAM or NOtice To AirMen is a crucial notice for different aviation stakeholders, particularly flight crews. It delivers essential notifications about abnormal conditions of Aviation System components such as changes to facilities, hazards, service, procedure that are not known far enough in advance to be publicized through other means. NOTAM messages are short, contain acronyms, and look cryptic in most of the cases. Writing and understanding these messages put heavy cognitive load on its end users. In this work, we take up the task of translating NOTAMs into English natural language using LLMs. Since NOTAMs do not adhere to English grammar rules and have their own decoding rules, large language models (LLMs) cannot translate them without effective prompting. In this paper, we develop a framework to come up with effective prompts to achieve the translations. Our approach uses context-aware semantic prompting techniques, paired with domain-specific rules, to improve the accuracy and clarity of translations. The framework is evaluated using comprehensive experiments (6 LLMs of varying sizes, and with 5 different prompting setups for each) and eight evaluation metrics measuring different aspects of the translation. The results demonstrate that our methodology can produce clear translations that accurately convey the information contained in NOTAMs.</v>
      </c>
      <c r="D1341" s="7" t="str">
        <f>IFERROR(__xludf.DUMMYFUNCTION("""COMPUTED_VALUE"""),"Minal Nitin Dani")</f>
        <v>Minal Nitin Dani</v>
      </c>
      <c r="E1341" s="7" t="str">
        <f>IFERROR(__xludf.DUMMYFUNCTION("""COMPUTED_VALUE"""),"Yes")</f>
        <v>Yes</v>
      </c>
      <c r="F1341" s="7" t="str">
        <f>IFERROR(__xludf.DUMMYFUNCTION("""COMPUTED_VALUE"""),"V-Gather")</f>
        <v>V-Gather</v>
      </c>
      <c r="G1341" s="7" t="str">
        <f>IFERROR(__xludf.DUMMYFUNCTION("""COMPUTED_VALUE"""),"Virtual/Gather")</f>
        <v>Virtual/Gather</v>
      </c>
      <c r="H1341" s="7" t="str">
        <f>IFERROR(__xludf.DUMMYFUNCTION("""COMPUTED_VALUE"""),"Gather")</f>
        <v>Gather</v>
      </c>
      <c r="I1341" s="7" t="str">
        <f>IFERROR(__xludf.DUMMYFUNCTION("""COMPUTED_VALUE"""),"Session5: V-Gather Find")</f>
        <v>Session5: V-Gather Find</v>
      </c>
      <c r="J1341" s="7" t="str">
        <f>IFERROR(__xludf.DUMMYFUNCTION("""COMPUTED_VALUE"""),"Findings Posters - Virtual")</f>
        <v>Findings Posters - Virtual</v>
      </c>
      <c r="K1341" s="7"/>
      <c r="L1341" s="8">
        <f>IFERROR(__xludf.DUMMYFUNCTION("""COMPUTED_VALUE"""),45866.0)</f>
        <v>45866</v>
      </c>
      <c r="M1341" s="7" t="str">
        <f>IFERROR(__xludf.DUMMYFUNCTION("""COMPUTED_VALUE"""),"18:00-19:30")</f>
        <v>18:00-19:30</v>
      </c>
      <c r="N1341" s="7"/>
    </row>
    <row r="1342">
      <c r="A1342" s="7" t="str">
        <f>IFERROR(__xludf.DUMMYFUNCTION("""COMPUTED_VALUE"""),"4862-FIND")</f>
        <v>4862-FIND</v>
      </c>
      <c r="B1342" s="7" t="str">
        <f>IFERROR(__xludf.DUMMYFUNCTION("""COMPUTED_VALUE"""),"Stereotype or Personalization? User Identity Biases Chatbot Recommendations")</f>
        <v>Stereotype or Personalization? User Identity Biases Chatbot Recommendations</v>
      </c>
      <c r="C1342" s="7" t="str">
        <f>IFERROR(__xludf.DUMMYFUNCTION("""COMPUTED_VALUE"""),"While personalized recommendations are often desired by users, it can be difficult in practice to distinguish cases of bias from cases of personalization: we find that models generate racially stereotypical recommendations regardless of whether the user r"&amp;"evealed their identity intentionally through explicit indications or unintentionally through implicit cues. We demonstrate that when people use large language models (LLMs) to generate recommendations, the LLMs produce responses that reflect both what the"&amp;" user wants and who the user is. We argue that chatbots ought to transparently indicate when recommendations are influenced by a user’s revealed identity characteristics, but observe that they currently fail to do so. Our experiments show that even though"&amp;" a user’s revealed identity significantly influences model recommendations ($p &lt; 0.001$), model responses obfuscate this fact in response to user queries. This bias and lack of transparency occurs consistently across multiple popular consumer LLMs and for"&amp;" four American racial groups.")</f>
        <v>While personalized recommendations are often desired by users, it can be difficult in practice to distinguish cases of bias from cases of personalization: we find that models generate racially stereotypical recommendations regardless of whether the user revealed their identity intentionally through explicit indications or unintentionally through implicit cues. We demonstrate that when people use large language models (LLMs) to generate recommendations, the LLMs produce responses that reflect both what the user wants and who the user is. We argue that chatbots ought to transparently indicate when recommendations are influenced by a user’s revealed identity characteristics, but observe that they currently fail to do so. Our experiments show that even though a user’s revealed identity significantly influences model recommendations ($p &lt; 0.001$), model responses obfuscate this fact in response to user queries. This bias and lack of transparency occurs consistently across multiple popular consumer LLMs and for four American racial groups.</v>
      </c>
      <c r="D1342" s="7" t="str">
        <f>IFERROR(__xludf.DUMMYFUNCTION("""COMPUTED_VALUE"""),"Anjali Kantharuban")</f>
        <v>Anjali Kantharuban</v>
      </c>
      <c r="E1342" s="7" t="str">
        <f>IFERROR(__xludf.DUMMYFUNCTION("""COMPUTED_VALUE"""),"Yes")</f>
        <v>Yes</v>
      </c>
      <c r="F1342" s="7" t="str">
        <f>IFERROR(__xludf.DUMMYFUNCTION("""COMPUTED_VALUE"""),"IP-Poster")</f>
        <v>IP-Poster</v>
      </c>
      <c r="G1342" s="7" t="str">
        <f>IFERROR(__xludf.DUMMYFUNCTION("""COMPUTED_VALUE"""),"In-Person")</f>
        <v>In-Person</v>
      </c>
      <c r="H1342" s="7" t="str">
        <f>IFERROR(__xludf.DUMMYFUNCTION("""COMPUTED_VALUE"""),"Hall 4/5")</f>
        <v>Hall 4/5</v>
      </c>
      <c r="I1342" s="7" t="str">
        <f>IFERROR(__xludf.DUMMYFUNCTION("""COMPUTED_VALUE"""),"Session 10: IP-Posters")</f>
        <v>Session 10: IP-Posters</v>
      </c>
      <c r="J1342" s="7" t="str">
        <f>IFERROR(__xludf.DUMMYFUNCTION("""COMPUTED_VALUE"""),"Findings Posters - In-Person 3")</f>
        <v>Findings Posters - In-Person 3</v>
      </c>
      <c r="K1342" s="7"/>
      <c r="L1342" s="8">
        <f>IFERROR(__xludf.DUMMYFUNCTION("""COMPUTED_VALUE"""),45867.0)</f>
        <v>45867</v>
      </c>
      <c r="M1342" s="7" t="str">
        <f>IFERROR(__xludf.DUMMYFUNCTION("""COMPUTED_VALUE"""),"16:00-17:30")</f>
        <v>16:00-17:30</v>
      </c>
      <c r="N1342" s="7"/>
    </row>
    <row r="1343">
      <c r="A1343" s="7" t="str">
        <f>IFERROR(__xludf.DUMMYFUNCTION("""COMPUTED_VALUE"""),"4870-FIND")</f>
        <v>4870-FIND</v>
      </c>
      <c r="B1343" s="7" t="str">
        <f>IFERROR(__xludf.DUMMYFUNCTION("""COMPUTED_VALUE"""),"Automated main concept generation for narrative discourse assessment in aphasia")</f>
        <v>Automated main concept generation for narrative discourse assessment in aphasia</v>
      </c>
      <c r="C1343" s="7" t="str">
        <f>IFERROR(__xludf.DUMMYFUNCTION("""COMPUTED_VALUE"""),"We present an interesting application of narrative understanding in the clinical assessment of aphasia, where story retelling tasks are used to evaluate a patient's communication abilities. This clinical setting provides a framework to help operationalize"&amp;" narrative discourse analysis and an application-focused evaluation method for narrative understanding systems. In particular, we highlight the use of main concepts---a list of statements that capture a story's gist---for aphasic discourse analysis and pr"&amp;"opose the task of automatically generating MCs from novel stories, that can be edited manually by experts thus enabling wider adaptation of current assessment tools. We then develop a prompt ensemble method using large language models (LLMs) to automatica"&amp;"lly generate MCs for a given story. We evaluate our proposed method on an existing narrative summarization dataset and apply it to a set of stories that have been annotated with main concepts through extensive analysis of retells from non-aphasic and apha"&amp;"sic participants (Kurland et al., 2021). Our results show that our method can generate most of the gold-standard MCs for stories from this dataset. Finally, we release this dataset of these stories and their annotated MCs, to spur more research in this ar"&amp;"ea.")</f>
        <v>We present an interesting application of narrative understanding in the clinical assessment of aphasia, where story retelling tasks are used to evaluate a patient's communication abilities. This clinical setting provides a framework to help operationalize narrative discourse analysis and an application-focused evaluation method for narrative understanding systems. In particular, we highlight the use of main concepts---a list of statements that capture a story's gist---for aphasic discourse analysis and propose the task of automatically generating MCs from novel stories, that can be edited manually by experts thus enabling wider adaptation of current assessment tools. We then develop a prompt ensemble method using large language models (LLMs) to automatically generate MCs for a given story. We evaluate our proposed method on an existing narrative summarization dataset and apply it to a set of stories that have been annotated with main concepts through extensive analysis of retells from non-aphasic and aphasic participants (Kurland et al., 2021). Our results show that our method can generate most of the gold-standard MCs for stories from this dataset. Finally, we release this dataset of these stories and their annotated MCs, to spur more research in this area.</v>
      </c>
      <c r="D1343" s="7" t="str">
        <f>IFERROR(__xludf.DUMMYFUNCTION("""COMPUTED_VALUE"""),"Ankita Gupta")</f>
        <v>Ankita Gupta</v>
      </c>
      <c r="E1343" s="7" t="str">
        <f>IFERROR(__xludf.DUMMYFUNCTION("""COMPUTED_VALUE"""),"Yes")</f>
        <v>Yes</v>
      </c>
      <c r="F1343" s="7" t="str">
        <f>IFERROR(__xludf.DUMMYFUNCTION("""COMPUTED_VALUE"""),"IP-Poster")</f>
        <v>IP-Poster</v>
      </c>
      <c r="G1343" s="7" t="str">
        <f>IFERROR(__xludf.DUMMYFUNCTION("""COMPUTED_VALUE"""),"In-Person")</f>
        <v>In-Person</v>
      </c>
      <c r="H1343" s="7" t="str">
        <f>IFERROR(__xludf.DUMMYFUNCTION("""COMPUTED_VALUE"""),"Hall 4/5")</f>
        <v>Hall 4/5</v>
      </c>
      <c r="I1343" s="7" t="str">
        <f>IFERROR(__xludf.DUMMYFUNCTION("""COMPUTED_VALUE"""),"Session 10: IP-Posters")</f>
        <v>Session 10: IP-Posters</v>
      </c>
      <c r="J1343" s="7" t="str">
        <f>IFERROR(__xludf.DUMMYFUNCTION("""COMPUTED_VALUE"""),"Findings Posters - In-Person 3")</f>
        <v>Findings Posters - In-Person 3</v>
      </c>
      <c r="K1343" s="7"/>
      <c r="L1343" s="8">
        <f>IFERROR(__xludf.DUMMYFUNCTION("""COMPUTED_VALUE"""),45867.0)</f>
        <v>45867</v>
      </c>
      <c r="M1343" s="7" t="str">
        <f>IFERROR(__xludf.DUMMYFUNCTION("""COMPUTED_VALUE"""),"16:00-17:30")</f>
        <v>16:00-17:30</v>
      </c>
      <c r="N1343" s="7"/>
    </row>
    <row r="1344">
      <c r="A1344" s="7" t="str">
        <f>IFERROR(__xludf.DUMMYFUNCTION("""COMPUTED_VALUE"""),"4872-FIND")</f>
        <v>4872-FIND</v>
      </c>
      <c r="B1344" s="7" t="str">
        <f>IFERROR(__xludf.DUMMYFUNCTION("""COMPUTED_VALUE"""),"Can VLMs Actually See and Read? A Survey on Modality Collapse in Vision-Language Models")</f>
        <v>Can VLMs Actually See and Read? A Survey on Modality Collapse in Vision-Language Models</v>
      </c>
      <c r="C1344" s="7" t="str">
        <f>IFERROR(__xludf.DUMMYFUNCTION("""COMPUTED_VALUE"""),"Vision-language models (VLMs) integrate textual and visual information, enabling the model to process visual inputs and leverage visual information to generate predictions. Such models are demanding for tasks such as visual question answering, image capti"&amp;"oning and visual grounding. However, some recent work found that %visual information is not fully utilized by language models. That is, VLMs often rely heavily on textual information, ignoring visual information, but are still able to achieve competitive "&amp;"performance in vision-language (VL) tasks. This survey reviews modality collapse analysis work to provide insights into the reason for this unintended behaviour. It also reviews probing studies for fine-grained vision-language understanding, presenting cu"&amp;"rrent findings on information encoded in VL representations and highlight potential directions for future research.")</f>
        <v>Vision-language models (VLMs) integrate textual and visual information, enabling the model to process visual inputs and leverage visual information to generate predictions. Such models are demanding for tasks such as visual question answering, image captioning and visual grounding. However, some recent work found that %visual information is not fully utilized by language models. That is, VLMs often rely heavily on textual information, ignoring visual information, but are still able to achieve competitive performance in vision-language (VL) tasks. This survey reviews modality collapse analysis work to provide insights into the reason for this unintended behaviour. It also reviews probing studies for fine-grained vision-language understanding, presenting current findings on information encoded in VL representations and highlight potential directions for future research.</v>
      </c>
      <c r="D1344" s="7" t="str">
        <f>IFERROR(__xludf.DUMMYFUNCTION("""COMPUTED_VALUE"""),"Xiang Dai")</f>
        <v>Xiang Dai</v>
      </c>
      <c r="E1344" s="7" t="str">
        <f>IFERROR(__xludf.DUMMYFUNCTION("""COMPUTED_VALUE"""),"N/A")</f>
        <v>N/A</v>
      </c>
      <c r="F1344" s="7" t="str">
        <f>IFERROR(__xludf.DUMMYFUNCTION("""COMPUTED_VALUE"""),"V-Presentation")</f>
        <v>V-Presentation</v>
      </c>
      <c r="G1344" s="7" t="str">
        <f>IFERROR(__xludf.DUMMYFUNCTION("""COMPUTED_VALUE"""),"Virtual/Gather")</f>
        <v>Virtual/Gather</v>
      </c>
      <c r="H1344" s="7" t="str">
        <f>IFERROR(__xludf.DUMMYFUNCTION("""COMPUTED_VALUE"""),"Gather")</f>
        <v>Gather</v>
      </c>
      <c r="I1344" s="7" t="str">
        <f>IFERROR(__xludf.DUMMYFUNCTION("""COMPUTED_VALUE"""),"Session5: V-Gather Find")</f>
        <v>Session5: V-Gather Find</v>
      </c>
      <c r="J1344" s="7" t="str">
        <f>IFERROR(__xludf.DUMMYFUNCTION("""COMPUTED_VALUE"""),"Findings Posters - Virtual")</f>
        <v>Findings Posters - Virtual</v>
      </c>
      <c r="K1344" s="7"/>
      <c r="L1344" s="8">
        <f>IFERROR(__xludf.DUMMYFUNCTION("""COMPUTED_VALUE"""),45866.0)</f>
        <v>45866</v>
      </c>
      <c r="M1344" s="7" t="str">
        <f>IFERROR(__xludf.DUMMYFUNCTION("""COMPUTED_VALUE"""),"18:00-19:30")</f>
        <v>18:00-19:30</v>
      </c>
      <c r="N1344" s="7"/>
    </row>
    <row r="1345">
      <c r="A1345" s="7" t="str">
        <f>IFERROR(__xludf.DUMMYFUNCTION("""COMPUTED_VALUE"""),"4877-FIND")</f>
        <v>4877-FIND</v>
      </c>
      <c r="B1345" s="7" t="str">
        <f>IFERROR(__xludf.DUMMYFUNCTION("""COMPUTED_VALUE"""),"“You are Beautiful, Body Image Stereotypes are Ugly!” BIStereo: A Benchmark to Measure Body Image Stereotypes in Language Models")</f>
        <v>“You are Beautiful, Body Image Stereotypes are Ugly!” BIStereo: A Benchmark to Measure Body Image Stereotypes in Language Models</v>
      </c>
      <c r="C1345" s="7" t="str">
        <f>IFERROR(__xludf.DUMMYFUNCTION("""COMPUTED_VALUE"""),"While a few high-quality bias benchmark datasets exist to address stereotypes in Language Models (LMs), a notable lack of focus remains on body image stereotypes. To bridge this gap, we propose BIStereo, a suite to uncover LMs’ biases towards people of ce"&amp;"rtain physical appearance characteristics, namely, skin complexion, body shape, height, attire, and a miscellaneous category including hair texture, eye color, and more. Our dataset comprises 40k sentence pairs designed to assess LMs’ biased preference fo"&amp;"r certain body types. We further include 60k premise-hypothesis pairs designed to comprehensively assess LMs’ preference for fair skin tone. Additionally, we curate 553 tuples consisting of a body image descriptor, gender, and a stereotypical attribute, v"&amp;"alidated by a diverse pool of annotators for physical appearance stereotypes.We propose a metric, TriSentBias, that captures the biased preferences of LMs towards a certain body type over others. Using BIStereo, we assess the presence of body image biases"&amp;" in ten different language models, revealing significant biases in models Muril, XLMR, Llama3, and Gemma. We further evaluate the LMs through downstream NLI and Analogy tasks.Our NLI experiments highlight notable patterns in the LMs that align with the we"&amp;"ll-documented cognitive bias in humans known as the Halo Effect.")</f>
        <v>While a few high-quality bias benchmark datasets exist to address stereotypes in Language Models (LMs), a notable lack of focus remains on body image stereotypes. To bridge this gap, we propose BIStereo, a suite to uncover LMs’ biases towards people of certain physical appearance characteristics, namely, skin complexion, body shape, height, attire, and a miscellaneous category including hair texture, eye color, and more. Our dataset comprises 40k sentence pairs designed to assess LMs’ biased preference for certain body types. We further include 60k premise-hypothesis pairs designed to comprehensively assess LMs’ preference for fair skin tone. Additionally, we curate 553 tuples consisting of a body image descriptor, gender, and a stereotypical attribute, validated by a diverse pool of annotators for physical appearance stereotypes.We propose a metric, TriSentBias, that captures the biased preferences of LMs towards a certain body type over others. Using BIStereo, we assess the presence of body image biases in ten different language models, revealing significant biases in models Muril, XLMR, Llama3, and Gemma. We further evaluate the LMs through downstream NLI and Analogy tasks.Our NLI experiments highlight notable patterns in the LMs that align with the well-documented cognitive bias in humans known as the Halo Effect.</v>
      </c>
      <c r="D1345" s="7" t="str">
        <f>IFERROR(__xludf.DUMMYFUNCTION("""COMPUTED_VALUE"""),"NARJIS ASAD")</f>
        <v>NARJIS ASAD</v>
      </c>
      <c r="E1345" s="7" t="str">
        <f>IFERROR(__xludf.DUMMYFUNCTION("""COMPUTED_VALUE"""),"Yes")</f>
        <v>Yes</v>
      </c>
      <c r="F1345" s="7" t="str">
        <f>IFERROR(__xludf.DUMMYFUNCTION("""COMPUTED_VALUE"""),"IP-Poster")</f>
        <v>IP-Poster</v>
      </c>
      <c r="G1345" s="7" t="str">
        <f>IFERROR(__xludf.DUMMYFUNCTION("""COMPUTED_VALUE"""),"In-Person")</f>
        <v>In-Person</v>
      </c>
      <c r="H1345" s="7" t="str">
        <f>IFERROR(__xludf.DUMMYFUNCTION("""COMPUTED_VALUE"""),"Hall 4/5")</f>
        <v>Hall 4/5</v>
      </c>
      <c r="I1345" s="7" t="str">
        <f>IFERROR(__xludf.DUMMYFUNCTION("""COMPUTED_VALUE"""),"Session 10: IP-Posters")</f>
        <v>Session 10: IP-Posters</v>
      </c>
      <c r="J1345" s="7" t="str">
        <f>IFERROR(__xludf.DUMMYFUNCTION("""COMPUTED_VALUE"""),"Findings Posters - In-Person 3")</f>
        <v>Findings Posters - In-Person 3</v>
      </c>
      <c r="K1345" s="7"/>
      <c r="L1345" s="8">
        <f>IFERROR(__xludf.DUMMYFUNCTION("""COMPUTED_VALUE"""),45867.0)</f>
        <v>45867</v>
      </c>
      <c r="M1345" s="7" t="str">
        <f>IFERROR(__xludf.DUMMYFUNCTION("""COMPUTED_VALUE"""),"16:00-17:30")</f>
        <v>16:00-17:30</v>
      </c>
      <c r="N1345" s="7"/>
    </row>
    <row r="1346">
      <c r="A1346" s="7" t="str">
        <f>IFERROR(__xludf.DUMMYFUNCTION("""COMPUTED_VALUE"""),"4878-FIND")</f>
        <v>4878-FIND</v>
      </c>
      <c r="B1346" s="7" t="str">
        <f>IFERROR(__xludf.DUMMYFUNCTION("""COMPUTED_VALUE"""),"Retrieval Models Aren’t Tool-Savvy: Benchmarking Tool Retrieval for Large Language Models")</f>
        <v>Retrieval Models Aren’t Tool-Savvy: Benchmarking Tool Retrieval for Large Language Models</v>
      </c>
      <c r="C1346" s="7" t="str">
        <f>IFERROR(__xludf.DUMMYFUNCTION("""COMPUTED_VALUE"""),"Tool learning aims to augment large language models (LLMs) with diverse tools, enabling them to act as agents for solving practical tasks. Due to the limited context length of tool-using LLMs, adopting information retrieval (IR) models to select useful to"&amp;"ols from large toolsets is a critical initial step. However, the performance of IR models in tool retrieval tasks remains underexplored and unclear. Most tool-use benchmarks simplify this step by manually pre-annotating a small set of relevant tools for e"&amp;"ach task, which is far from the real-world scenarios. In this paper, we propose ToolRet, a heterogeneous tool retrieval benchmark comprising 7.6k diverse retrieval tasks, and a corpus of 43k tools, collected from existing datasets. We benchmark six types "&amp;"of models on ToolRet. Surprisingly, even the models with strong performance in conventional IR benchmarks, exhibit poor performance on ToolRet. This low retrieval quality degrades the task pass rate of tool-use LLMs. As a further step, we contribute a lar"&amp;"ge-scale training dataset with over 200k instances, which substantially optimizes the tool retrieval ability of IR models.")</f>
        <v>Tool learning aims to augment large language models (LLMs) with diverse tools, enabling them to act as agents for solving practical tasks. Due to the limited context length of tool-using LLMs, adopting information retrieval (IR) models to select useful tools from large toolsets is a critical initial step. However, the performance of IR models in tool retrieval tasks remains underexplored and unclear. Most tool-use benchmarks simplify this step by manually pre-annotating a small set of relevant tools for each task, which is far from the real-world scenarios. In this paper, we propose ToolRet, a heterogeneous tool retrieval benchmark comprising 7.6k diverse retrieval tasks, and a corpus of 43k tools, collected from existing datasets. We benchmark six types of models on ToolRet. Surprisingly, even the models with strong performance in conventional IR benchmarks, exhibit poor performance on ToolRet. This low retrieval quality degrades the task pass rate of tool-use LLMs. As a further step, we contribute a large-scale training dataset with over 200k instances, which substantially optimizes the tool retrieval ability of IR models.</v>
      </c>
      <c r="D1346" s="7" t="str">
        <f>IFERROR(__xludf.DUMMYFUNCTION("""COMPUTED_VALUE"""),"Zhengliang Shi")</f>
        <v>Zhengliang Shi</v>
      </c>
      <c r="E1346" s="7" t="str">
        <f>IFERROR(__xludf.DUMMYFUNCTION("""COMPUTED_VALUE"""),"Yes")</f>
        <v>Yes</v>
      </c>
      <c r="F1346" s="7" t="str">
        <f>IFERROR(__xludf.DUMMYFUNCTION("""COMPUTED_VALUE"""),"IP-Poster")</f>
        <v>IP-Poster</v>
      </c>
      <c r="G1346" s="7" t="str">
        <f>IFERROR(__xludf.DUMMYFUNCTION("""COMPUTED_VALUE"""),"In-Person")</f>
        <v>In-Person</v>
      </c>
      <c r="H1346" s="7" t="str">
        <f>IFERROR(__xludf.DUMMYFUNCTION("""COMPUTED_VALUE"""),"Hall 4/5")</f>
        <v>Hall 4/5</v>
      </c>
      <c r="I1346" s="7" t="str">
        <f>IFERROR(__xludf.DUMMYFUNCTION("""COMPUTED_VALUE"""),"Session 12: IP-Posters")</f>
        <v>Session 12: IP-Posters</v>
      </c>
      <c r="J1346" s="7" t="str">
        <f>IFERROR(__xludf.DUMMYFUNCTION("""COMPUTED_VALUE"""),"Findings Posters - In-Person 4")</f>
        <v>Findings Posters - In-Person 4</v>
      </c>
      <c r="K1346" s="7"/>
      <c r="L1346" s="8">
        <f>IFERROR(__xludf.DUMMYFUNCTION("""COMPUTED_VALUE"""),45868.0)</f>
        <v>45868</v>
      </c>
      <c r="M1346" s="7" t="str">
        <f>IFERROR(__xludf.DUMMYFUNCTION("""COMPUTED_VALUE"""),"11:00-12:30")</f>
        <v>11:00-12:30</v>
      </c>
      <c r="N1346" s="7"/>
    </row>
    <row r="1347">
      <c r="A1347" s="7" t="str">
        <f>IFERROR(__xludf.DUMMYFUNCTION("""COMPUTED_VALUE"""),"4887-FIND")</f>
        <v>4887-FIND</v>
      </c>
      <c r="B1347" s="7" t="str">
        <f>IFERROR(__xludf.DUMMYFUNCTION("""COMPUTED_VALUE"""),"FINECITE: A Novel Approach on Fine-Grained Citation Context Analysis")</f>
        <v>FINECITE: A Novel Approach on Fine-Grained Citation Context Analysis</v>
      </c>
      <c r="C1347" s="7" t="str">
        <f>IFERROR(__xludf.DUMMYFUNCTION("""COMPUTED_VALUE"""),"Citation context analysis (CCA) is a field of research studying the role and purpose of citation in scientific discourse. While most of the efforts in CCA have been focused on elaborate characterization schemata to assign function or intent labels to indi"&amp;"vidual citations, the citation context as the basis for such a classification has received rather limited attention. This relative neglect, however, has led to the precedence of vague definitions and restricting assumptions, limiting the citation context "&amp;"in its expressiveness. It is a common practice, for example, to restrict the context to the citing sentence. While this might be enough to cover mentions and background citations, more influential ones are often thoroughly discussed, extending beyond a on"&amp;"e-sentence context window. To address this concern, we analyze the semantic structure of citation contexts in terms of their elemental dimensions and distribution throughout the citing text. To evaluate this approach, we construct and publish the FineCite"&amp;" Corpus containing 1,056 manually annotated fine-grained citation contexts. Our experiments on established CCA benchmarks demonstrate the effectiveness of our finer-grained context definition, showing improvement compared to state-of-the-art approaches. W"&amp;"e will release our code and dataset to the public upon acceptance.")</f>
        <v>Citation context analysis (CCA) is a field of research studying the role and purpose of citation in scientific discourse. While most of the efforts in CCA have been focused on elaborate characterization schemata to assign function or intent labels to individual citations, the citation context as the basis for such a classification has received rather limited attention. This relative neglect, however, has led to the precedence of vague definitions and restricting assumptions, limiting the citation context in its expressiveness. It is a common practice, for example, to restrict the context to the citing sentence. While this might be enough to cover mentions and background citations, more influential ones are often thoroughly discussed, extending beyond a one-sentence context window. To address this concern, we analyze the semantic structure of citation contexts in terms of their elemental dimensions and distribution throughout the citing text. To evaluate this approach, we construct and publish the FineCite Corpus containing 1,056 manually annotated fine-grained citation contexts. Our experiments on established CCA benchmarks demonstrate the effectiveness of our finer-grained context definition, showing improvement compared to state-of-the-art approaches. We will release our code and dataset to the public upon acceptance.</v>
      </c>
      <c r="D1347" s="7" t="str">
        <f>IFERROR(__xludf.DUMMYFUNCTION("""COMPUTED_VALUE"""),"Lasse Jantsch")</f>
        <v>Lasse Jantsch</v>
      </c>
      <c r="E1347" s="7" t="str">
        <f>IFERROR(__xludf.DUMMYFUNCTION("""COMPUTED_VALUE"""),"Yes")</f>
        <v>Yes</v>
      </c>
      <c r="F1347" s="7" t="str">
        <f>IFERROR(__xludf.DUMMYFUNCTION("""COMPUTED_VALUE"""),"IP-Poster")</f>
        <v>IP-Poster</v>
      </c>
      <c r="G1347" s="7" t="str">
        <f>IFERROR(__xludf.DUMMYFUNCTION("""COMPUTED_VALUE"""),"In-Person")</f>
        <v>In-Person</v>
      </c>
      <c r="H1347" s="7" t="str">
        <f>IFERROR(__xludf.DUMMYFUNCTION("""COMPUTED_VALUE"""),"Hall 4/5")</f>
        <v>Hall 4/5</v>
      </c>
      <c r="I1347" s="7" t="str">
        <f>IFERROR(__xludf.DUMMYFUNCTION("""COMPUTED_VALUE"""),"Session 5 :IP-Posters Find ")</f>
        <v>Session 5 :IP-Posters Find </v>
      </c>
      <c r="J1347" s="7" t="str">
        <f>IFERROR(__xludf.DUMMYFUNCTION("""COMPUTED_VALUE"""),"Findings Posters - In-Person 1")</f>
        <v>Findings Posters - In-Person 1</v>
      </c>
      <c r="K1347" s="7"/>
      <c r="L1347" s="8">
        <f>IFERROR(__xludf.DUMMYFUNCTION("""COMPUTED_VALUE"""),45866.0)</f>
        <v>45866</v>
      </c>
      <c r="M1347" s="7" t="str">
        <f>IFERROR(__xludf.DUMMYFUNCTION("""COMPUTED_VALUE"""),"18:00-19:30")</f>
        <v>18:00-19:30</v>
      </c>
      <c r="N1347" s="7"/>
    </row>
    <row r="1348">
      <c r="A1348" s="7" t="str">
        <f>IFERROR(__xludf.DUMMYFUNCTION("""COMPUTED_VALUE"""),"4890-FIND")</f>
        <v>4890-FIND</v>
      </c>
      <c r="B1348" s="7" t="str">
        <f>IFERROR(__xludf.DUMMYFUNCTION("""COMPUTED_VALUE"""),"Decoupling Reasoning and Knowledge Injection for In-Context Editing")</f>
        <v>Decoupling Reasoning and Knowledge Injection for In-Context Editing</v>
      </c>
      <c r="C1348" s="7" t="str">
        <f>IFERROR(__xludf.DUMMYFUNCTION("""COMPUTED_VALUE"""),"Knowledge editing enables efficient updates to Large Language Models (LLMs) by modifying specific knowledge without full-model retraining. Among knowledge editing approaches, in-context editing (ICE) stands out for its ability to inject knowledge without "&amp;"modifying the model’s parameters. However, existing ICE approaches directly edit model context without isolating target knowledge from the reasoning path of model inference, resulting in unreliable and low-quality outputs, particularly in multi-hop tasks."&amp;" To investigate this issue, we analyze the interaction between reasoning path planning and knowledge injection, showing that the reasoning ability of a LLM is usually coupled with its original knowledge, and directly replacing old knowledge with new one c"&amp;"ould simultaneously hurt the LLM's performance in task reasoning. Based on these findings, we propose DecKER, a novel ICE framework that separates model reasoning from knowledge editing. Extensive experiments show that DecKER significantly improves multi-"&amp;"hop reasoning performance by mitigating knowledge conflicts and preserving reasoning integrity.")</f>
        <v>Knowledge editing enables efficient updates to Large Language Models (LLMs) by modifying specific knowledge without full-model retraining. Among knowledge editing approaches, in-context editing (ICE) stands out for its ability to inject knowledge without modifying the model’s parameters. However, existing ICE approaches directly edit model context without isolating target knowledge from the reasoning path of model inference, resulting in unreliable and low-quality outputs, particularly in multi-hop tasks. To investigate this issue, we analyze the interaction between reasoning path planning and knowledge injection, showing that the reasoning ability of a LLM is usually coupled with its original knowledge, and directly replacing old knowledge with new one could simultaneously hurt the LLM's performance in task reasoning. Based on these findings, we propose DecKER, a novel ICE framework that separates model reasoning from knowledge editing. Extensive experiments show that DecKER significantly improves multi-hop reasoning performance by mitigating knowledge conflicts and preserving reasoning integrity.</v>
      </c>
      <c r="D1348" s="7" t="str">
        <f>IFERROR(__xludf.DUMMYFUNCTION("""COMPUTED_VALUE"""),"N/A")</f>
        <v>N/A</v>
      </c>
      <c r="E1348" s="7" t="str">
        <f>IFERROR(__xludf.DUMMYFUNCTION("""COMPUTED_VALUE"""),"Yes")</f>
        <v>Yes</v>
      </c>
      <c r="F1348" s="7" t="str">
        <f>IFERROR(__xludf.DUMMYFUNCTION("""COMPUTED_VALUE"""),"Not Pres. ")</f>
        <v>Not Pres. </v>
      </c>
      <c r="G1348" s="7" t="str">
        <f>IFERROR(__xludf.DUMMYFUNCTION("""COMPUTED_VALUE"""),"NP Findings Not Presenting ")</f>
        <v>NP Findings Not Presenting </v>
      </c>
      <c r="H1348" s="7"/>
      <c r="I1348" s="7"/>
      <c r="J1348" s="7"/>
      <c r="K1348" s="7"/>
      <c r="L1348" s="8"/>
      <c r="M1348" s="7"/>
      <c r="N1348" s="7"/>
    </row>
    <row r="1349">
      <c r="A1349" s="7" t="str">
        <f>IFERROR(__xludf.DUMMYFUNCTION("""COMPUTED_VALUE"""),"4895-FIND")</f>
        <v>4895-FIND</v>
      </c>
      <c r="B1349" s="7" t="str">
        <f>IFERROR(__xludf.DUMMYFUNCTION("""COMPUTED_VALUE"""),"Entrospect: Information-Theoretic Self-Reflection Elicits Better Response Refinement of Small Language Models")</f>
        <v>Entrospect: Information-Theoretic Self-Reflection Elicits Better Response Refinement of Small Language Models</v>
      </c>
      <c r="C1349" s="7" t="str">
        <f>IFERROR(__xludf.DUMMYFUNCTION("""COMPUTED_VALUE"""),"Self-reflection helps de-hallucinate Large Language Models (LLMs). However, the effectiveness of self-reflection remains insufficiently validated in the context of Small Language Models (SLMs), which exhibit limited semantic capacities. In particular, we "&amp;"demonstrate that the conventional self-reflection paradigm, such as Self-Refine, fails to deliver robust response refinement for models with parameter sizes of 10 billion or smaller, even when compared to generations elicited through Chain-of-Thought (CoT"&amp;") prompting. To improve SLMs’ self-reflection, we redesign Self-Refine and introduce Entrospect (ENTROpy-aware IntroSPECTion), an information-theoretic framework based on prompt engineering.We evaluated Entrospect using accuracy and average time consumpti"&amp;"on metrics to comprehensively assess its precision and computational efficiency. Experiments conducted across four distinct SLMs and four baseline methods demonstrate that Entrospect achieves state-of-the-art performance on validation tasks. Notably, unde"&amp;"r identical model and data settings, Entrospect delivers a remarkable improvement of up to 36.2 in reasoning accuracy while enhancing computational efficiency by as much as 10 times compared to its predecessor, Self-Refine.")</f>
        <v>Self-reflection helps de-hallucinate Large Language Models (LLMs). However, the effectiveness of self-reflection remains insufficiently validated in the context of Small Language Models (SLMs), which exhibit limited semantic capacities. In particular, we demonstrate that the conventional self-reflection paradigm, such as Self-Refine, fails to deliver robust response refinement for models with parameter sizes of 10 billion or smaller, even when compared to generations elicited through Chain-of-Thought (CoT) prompting. To improve SLMs’ self-reflection, we redesign Self-Refine and introduce Entrospect (ENTROpy-aware IntroSPECTion), an information-theoretic framework based on prompt engineering.We evaluated Entrospect using accuracy and average time consumption metrics to comprehensively assess its precision and computational efficiency. Experiments conducted across four distinct SLMs and four baseline methods demonstrate that Entrospect achieves state-of-the-art performance on validation tasks. Notably, under identical model and data settings, Entrospect delivers a remarkable improvement of up to 36.2 in reasoning accuracy while enhancing computational efficiency by as much as 10 times compared to its predecessor, Self-Refine.</v>
      </c>
      <c r="D1349" s="7" t="str">
        <f>IFERROR(__xludf.DUMMYFUNCTION("""COMPUTED_VALUE"""),"N/A")</f>
        <v>N/A</v>
      </c>
      <c r="E1349" s="7" t="str">
        <f>IFERROR(__xludf.DUMMYFUNCTION("""COMPUTED_VALUE"""),"#N/A")</f>
        <v>#N/A</v>
      </c>
      <c r="F1349" s="7" t="str">
        <f>IFERROR(__xludf.DUMMYFUNCTION("""COMPUTED_VALUE"""),"Not Pres. ")</f>
        <v>Not Pres. </v>
      </c>
      <c r="G1349" s="7" t="str">
        <f>IFERROR(__xludf.DUMMYFUNCTION("""COMPUTED_VALUE"""),"NP Findings Not Presenting ")</f>
        <v>NP Findings Not Presenting </v>
      </c>
      <c r="H1349" s="7"/>
      <c r="I1349" s="7" t="str">
        <f>IFERROR(__xludf.DUMMYFUNCTION("""COMPUTED_VALUE"""),"NP-Find")</f>
        <v>NP-Find</v>
      </c>
      <c r="J1349" s="7"/>
      <c r="K1349" s="7"/>
      <c r="L1349" s="8"/>
      <c r="M1349" s="7"/>
      <c r="N1349" s="7"/>
    </row>
    <row r="1350">
      <c r="A1350" s="7" t="str">
        <f>IFERROR(__xludf.DUMMYFUNCTION("""COMPUTED_VALUE"""),"4903-FIND")</f>
        <v>4903-FIND</v>
      </c>
      <c r="B1350" s="7" t="str">
        <f>IFERROR(__xludf.DUMMYFUNCTION("""COMPUTED_VALUE"""),"An Iterative Repair Approach for Few-shot Transfer in KBQA with Unanswerability")</f>
        <v>An Iterative Repair Approach for Few-shot Transfer in KBQA with Unanswerability</v>
      </c>
      <c r="C1350" s="7" t="str">
        <f>IFERROR(__xludf.DUMMYFUNCTION("""COMPUTED_VALUE"""),"Real-world applications of KBQA require models to handle unanswerable questions with a limited volume of in-domain labeled training data. We propose the novel task of few-shot transfer for KBQA with unanswerable questions and contribute two new datasets f"&amp;"or performance evaluation. We present FUn-FuSIC -- a novel solution for our task that extends FuSIC-KBQA, the state-of-the-art few-shot transfer model for answerable-only KBQA. We first note that FuSIC-KBQA's iterative repair makes a strong assumption tha"&amp;"t all questions are answerable. As a remedy, we propose Feedback for Unanswerability (FUn), which uses iterative repair using feedback from a suite of strong and weak verifiers, and an adaptation of self-consistency for unanswerabilty to better assess the"&amp;" answerability of a question. Our experiments show that FUn-FuSIC significantly outperforms suitable adaptations of multiple LLM-based and supervised SoTA models on our task, while establishing a new SoTA for answerable few-shot transfer as well.")</f>
        <v>Real-world applications of KBQA require models to handle unanswerable questions with a limited volume of in-domain labeled training data. We propose the novel task of few-shot transfer for KBQA with unanswerable questions and contribute two new datasets for performance evaluation. We present FUn-FuSIC -- a novel solution for our task that extends FuSIC-KBQA, the state-of-the-art few-shot transfer model for answerable-only KBQA. We first note that FuSIC-KBQA's iterative repair makes a strong assumption that all questions are answerable. As a remedy, we propose Feedback for Unanswerability (FUn), which uses iterative repair using feedback from a suite of strong and weak verifiers, and an adaptation of self-consistency for unanswerabilty to better assess the answerability of a question. Our experiments show that FUn-FuSIC significantly outperforms suitable adaptations of multiple LLM-based and supervised SoTA models on our task, while establishing a new SoTA for answerable few-shot transfer as well.</v>
      </c>
      <c r="D1350" s="7" t="str">
        <f>IFERROR(__xludf.DUMMYFUNCTION("""COMPUTED_VALUE"""),"Riya Sawhney")</f>
        <v>Riya Sawhney</v>
      </c>
      <c r="E1350" s="7" t="str">
        <f>IFERROR(__xludf.DUMMYFUNCTION("""COMPUTED_VALUE"""),"Yes")</f>
        <v>Yes</v>
      </c>
      <c r="F1350" s="7" t="str">
        <f>IFERROR(__xludf.DUMMYFUNCTION("""COMPUTED_VALUE"""),"IP-Poster")</f>
        <v>IP-Poster</v>
      </c>
      <c r="G1350" s="7" t="str">
        <f>IFERROR(__xludf.DUMMYFUNCTION("""COMPUTED_VALUE"""),"In-Person")</f>
        <v>In-Person</v>
      </c>
      <c r="H1350" s="7" t="str">
        <f>IFERROR(__xludf.DUMMYFUNCTION("""COMPUTED_VALUE"""),"Hall 4/5")</f>
        <v>Hall 4/5</v>
      </c>
      <c r="I1350" s="7" t="str">
        <f>IFERROR(__xludf.DUMMYFUNCTION("""COMPUTED_VALUE"""),"Session 5 :IP-Posters Find ")</f>
        <v>Session 5 :IP-Posters Find </v>
      </c>
      <c r="J1350" s="7" t="str">
        <f>IFERROR(__xludf.DUMMYFUNCTION("""COMPUTED_VALUE"""),"Findings Posters - In-Person 1")</f>
        <v>Findings Posters - In-Person 1</v>
      </c>
      <c r="K1350" s="7"/>
      <c r="L1350" s="8">
        <f>IFERROR(__xludf.DUMMYFUNCTION("""COMPUTED_VALUE"""),45866.0)</f>
        <v>45866</v>
      </c>
      <c r="M1350" s="7" t="str">
        <f>IFERROR(__xludf.DUMMYFUNCTION("""COMPUTED_VALUE"""),"18:00-19:30")</f>
        <v>18:00-19:30</v>
      </c>
      <c r="N1350" s="7"/>
    </row>
    <row r="1351">
      <c r="A1351" s="7" t="str">
        <f>IFERROR(__xludf.DUMMYFUNCTION("""COMPUTED_VALUE"""),"4905-FIND")</f>
        <v>4905-FIND</v>
      </c>
      <c r="B1351" s="7" t="str">
        <f>IFERROR(__xludf.DUMMYFUNCTION("""COMPUTED_VALUE"""),"Safeguarding RAG Pipelines with GMTP: A Gradient-based Masked Token Probability Method for Poisoned Document Detection")</f>
        <v>Safeguarding RAG Pipelines with GMTP: A Gradient-based Masked Token Probability Method for Poisoned Document Detection</v>
      </c>
      <c r="C1351" s="7" t="str">
        <f>IFERROR(__xludf.DUMMYFUNCTION("""COMPUTED_VALUE"""),"Retrieval-Augmented Generation (RAG) enhances Large Language Models (LLMs) by providing external knowledge for accurate and up-to-date responses. However, this reliance on external sources exposes a security risk; attackers can inject poisoned documents i"&amp;"nto the knowledge base to steer the generation process toward harmful or misleading outputs. In this paper, we propose Gradient-based Masked Token Probability (GMTP), a novel defense method to detect and filter out adversarially crafted documents. Specifi"&amp;"cally, GMTP identifies high-impact tokens by examining gradients of the retriever’s similarity function. These key tokens are then masked, and their probabilities are checked via a Masked Language Model (MLM). Since injected tokens typically exhibit marke"&amp;"dly low masked-token probabilities, this enables GMTP to easily detect malicious documents and achieve high-precision filtering. Experiments demonstrate that GMTP is able to eliminate over 90% of poisoned content while retaining relevant documents, thus m"&amp;"aintaining robust retrieval and generation performance across diverse datasets and adversarial settings.")</f>
        <v>Retrieval-Augmented Generation (RAG) enhances Large Language Models (LLMs) by providing external knowledge for accurate and up-to-date responses. However, this reliance on external sources exposes a security risk; attackers can inject poisoned documents into the knowledge base to steer the generation process toward harmful or misleading outputs. In this paper, we propose Gradient-based Masked Token Probability (GMTP), a novel defense method to detect and filter out adversarially crafted documents. Specifically, GMTP identifies high-impact tokens by examining gradients of the retriever’s similarity function. These key tokens are then masked, and their probabilities are checked via a Masked Language Model (MLM). Since injected tokens typically exhibit markedly low masked-token probabilities, this enables GMTP to easily detect malicious documents and achieve high-precision filtering. Experiments demonstrate that GMTP is able to eliminate over 90% of poisoned content while retaining relevant documents, thus maintaining robust retrieval and generation performance across diverse datasets and adversarial settings.</v>
      </c>
      <c r="D1351" s="7" t="str">
        <f>IFERROR(__xludf.DUMMYFUNCTION("""COMPUTED_VALUE"""),"San Kim")</f>
        <v>San Kim</v>
      </c>
      <c r="E1351" s="7" t="str">
        <f>IFERROR(__xludf.DUMMYFUNCTION("""COMPUTED_VALUE"""),"Yes")</f>
        <v>Yes</v>
      </c>
      <c r="F1351" s="7" t="str">
        <f>IFERROR(__xludf.DUMMYFUNCTION("""COMPUTED_VALUE"""),"V-Presentation")</f>
        <v>V-Presentation</v>
      </c>
      <c r="G1351" s="7" t="str">
        <f>IFERROR(__xludf.DUMMYFUNCTION("""COMPUTED_VALUE"""),"Virtual/Gather")</f>
        <v>Virtual/Gather</v>
      </c>
      <c r="H1351" s="7" t="str">
        <f>IFERROR(__xludf.DUMMYFUNCTION("""COMPUTED_VALUE"""),"Gather")</f>
        <v>Gather</v>
      </c>
      <c r="I1351" s="7" t="str">
        <f>IFERROR(__xludf.DUMMYFUNCTION("""COMPUTED_VALUE"""),"Session5: V-Gather Find")</f>
        <v>Session5: V-Gather Find</v>
      </c>
      <c r="J1351" s="7" t="str">
        <f>IFERROR(__xludf.DUMMYFUNCTION("""COMPUTED_VALUE"""),"Findings Posters - Virtual")</f>
        <v>Findings Posters - Virtual</v>
      </c>
      <c r="K1351" s="7"/>
      <c r="L1351" s="8">
        <f>IFERROR(__xludf.DUMMYFUNCTION("""COMPUTED_VALUE"""),45866.0)</f>
        <v>45866</v>
      </c>
      <c r="M1351" s="7" t="str">
        <f>IFERROR(__xludf.DUMMYFUNCTION("""COMPUTED_VALUE"""),"18:00-19:30")</f>
        <v>18:00-19:30</v>
      </c>
      <c r="N1351" s="7"/>
    </row>
    <row r="1352">
      <c r="A1352" s="7" t="str">
        <f>IFERROR(__xludf.DUMMYFUNCTION("""COMPUTED_VALUE"""),"4909-FIND")</f>
        <v>4909-FIND</v>
      </c>
      <c r="B1352" s="7" t="str">
        <f>IFERROR(__xludf.DUMMYFUNCTION("""COMPUTED_VALUE"""),"EnSToM: Enhancing Dialogue Systems with Entropy-Scaled Steering Vectors for Topic Maintenance")</f>
        <v>EnSToM: Enhancing Dialogue Systems with Entropy-Scaled Steering Vectors for Topic Maintenance</v>
      </c>
      <c r="C1352" s="7" t="str">
        <f>IFERROR(__xludf.DUMMYFUNCTION("""COMPUTED_VALUE"""),"Small large language models (sLLMs) offer the advantage of being lightweight and efficient, which makes them suitable for resource-constrained environments. However, sLLMs often struggle to maintain topic consistency in task-oriented dialogue systems, whi"&amp;"ch is critical for scenarios such as service chatbots. Specifically, it is important to ensure that the model denies off-topic or malicious inputs and adheres to its intended functionality so as to prevent potential misuse and uphold reliability. Towards "&amp;"this, existing activation engineering approaches have been proposed to manipulate internal activations during inference. While these methods are effective in certain scenarios, our preliminary experiments reveal their limitations in ensuring topic adheren"&amp;"ce. Therefore, to address this, we propose a novel approach termed \textbf{En}tropy-scaled \textbf{S}teering vectors for \textbf{To}pic \textbf{M}aintenance (EnSToM). EnSToM dynamically adjusts the steering intensity based on input uncertainty, which allo"&amp;"ws the model to handle off-topic distractors effectively while preserving on-topic accuracy. Our experiments demonstrate that EnSToM achieves significant performance gain with a relatively small data size compared to fine-tuning approaches. By improving t"&amp;"opic adherence without compromising efficiency, our approach provides a robust solution for enhancing sLLM-based dialogue systems\footnote{We will release our source code upon acceptance}.")</f>
        <v>Small large language models (sLLMs) offer the advantage of being lightweight and efficient, which makes them suitable for resource-constrained environments. However, sLLMs often struggle to maintain topic consistency in task-oriented dialogue systems, which is critical for scenarios such as service chatbots. Specifically, it is important to ensure that the model denies off-topic or malicious inputs and adheres to its intended functionality so as to prevent potential misuse and uphold reliability. Towards this, existing activation engineering approaches have been proposed to manipulate internal activations during inference. While these methods are effective in certain scenarios, our preliminary experiments reveal their limitations in ensuring topic adherence. Therefore, to address this, we propose a novel approach termed \textbf{En}tropy-scaled \textbf{S}teering vectors for \textbf{To}pic \textbf{M}aintenance (EnSToM). EnSToM dynamically adjusts the steering intensity based on input uncertainty, which allows the model to handle off-topic distractors effectively while preserving on-topic accuracy. Our experiments demonstrate that EnSToM achieves significant performance gain with a relatively small data size compared to fine-tuning approaches. By improving topic adherence without compromising efficiency, our approach provides a robust solution for enhancing sLLM-based dialogue systems\footnote{We will release our source code upon acceptance}.</v>
      </c>
      <c r="D1352" s="7" t="str">
        <f>IFERROR(__xludf.DUMMYFUNCTION("""COMPUTED_VALUE"""),"Heejae Suh")</f>
        <v>Heejae Suh</v>
      </c>
      <c r="E1352" s="7" t="str">
        <f>IFERROR(__xludf.DUMMYFUNCTION("""COMPUTED_VALUE"""),"Yes")</f>
        <v>Yes</v>
      </c>
      <c r="F1352" s="7" t="str">
        <f>IFERROR(__xludf.DUMMYFUNCTION("""COMPUTED_VALUE"""),"IP-Poster")</f>
        <v>IP-Poster</v>
      </c>
      <c r="G1352" s="7" t="str">
        <f>IFERROR(__xludf.DUMMYFUNCTION("""COMPUTED_VALUE"""),"In-Person")</f>
        <v>In-Person</v>
      </c>
      <c r="H1352" s="7" t="str">
        <f>IFERROR(__xludf.DUMMYFUNCTION("""COMPUTED_VALUE"""),"Hall 4/5")</f>
        <v>Hall 4/5</v>
      </c>
      <c r="I1352" s="7" t="str">
        <f>IFERROR(__xludf.DUMMYFUNCTION("""COMPUTED_VALUE"""),"Session 5 :IP-Posters Find ")</f>
        <v>Session 5 :IP-Posters Find </v>
      </c>
      <c r="J1352" s="7" t="str">
        <f>IFERROR(__xludf.DUMMYFUNCTION("""COMPUTED_VALUE"""),"Findings Posters - In-Person 1")</f>
        <v>Findings Posters - In-Person 1</v>
      </c>
      <c r="K1352" s="7"/>
      <c r="L1352" s="8">
        <f>IFERROR(__xludf.DUMMYFUNCTION("""COMPUTED_VALUE"""),45866.0)</f>
        <v>45866</v>
      </c>
      <c r="M1352" s="7" t="str">
        <f>IFERROR(__xludf.DUMMYFUNCTION("""COMPUTED_VALUE"""),"18:00-19:30")</f>
        <v>18:00-19:30</v>
      </c>
      <c r="N1352" s="7"/>
    </row>
    <row r="1353">
      <c r="A1353" s="7" t="str">
        <f>IFERROR(__xludf.DUMMYFUNCTION("""COMPUTED_VALUE"""),"4912-FIND")</f>
        <v>4912-FIND</v>
      </c>
      <c r="B1353" s="7" t="str">
        <f>IFERROR(__xludf.DUMMYFUNCTION("""COMPUTED_VALUE"""),"MultiTEND: A Multilingual Benchmark for Natural Language to NoSQL Query Translation")</f>
        <v>MultiTEND: A Multilingual Benchmark for Natural Language to NoSQL Query Translation</v>
      </c>
      <c r="C1353" s="7" t="str">
        <f>IFERROR(__xludf.DUMMYFUNCTION("""COMPUTED_VALUE"""),"Natural language interfaces for NoSQL databases are increasingly vital in the big data era, enabling users to interact with complex, unstructured data without deep technical expertise. However, most recent advancements focus on English, leaving a gap for "&amp;"multilingual support. This paper introduces MultiTEND, the first and largest multilingual benchmark for natural language to NoSQL query generation, covering six languages: English, German, French, Russian, Japanese and Mandarin Chinese.
Using MultiTEND, w"&amp;"e analyze challenges in translating natural language to NoSQL queries across diverse linguistic structures, including lexical and syntactic differences. Experiments show that performance accuracy in both English and non-English settings remains relatively"&amp;" low, with a 4\%-6\% gap across scenarios like fine-tuned SLM, zero-shot LLM, and RAG for LLM.
To address the aforementioned challenges, we introduce MultiLink, a novel framework that bridges the multilingual input to NoSQL query generation gap through a "&amp;"Parallel Linking Process. It breaks down the task into multiple steps, integrating parallel multilingual processing, Chain-of-Thought (CoT) reasoning, and Retrieval-Augmented Generation (RAG) to tackle lexical and structural challenges inherent in multili"&amp;"ngual NoSQL generation. MultiLink shows enhancements in all metrics for every language against the top baseline, boosting execution accuracy by about 15\% for English and averaging a 10\% improvement for non-English languages.")</f>
        <v>Natural language interfaces for NoSQL databases are increasingly vital in the big data era, enabling users to interact with complex, unstructured data without deep technical expertise. However, most recent advancements focus on English, leaving a gap for multilingual support. This paper introduces MultiTEND, the first and largest multilingual benchmark for natural language to NoSQL query generation, covering six languages: English, German, French, Russian, Japanese and Mandarin Chinese.
Using MultiTEND, we analyze challenges in translating natural language to NoSQL queries across diverse linguistic structures, including lexical and syntactic differences. Experiments show that performance accuracy in both English and non-English settings remains relatively low, with a 4\%-6\% gap across scenarios like fine-tuned SLM, zero-shot LLM, and RAG for LLM.
To address the aforementioned challenges, we introduce MultiLink, a novel framework that bridges the multilingual input to NoSQL query generation gap through a Parallel Linking Process. It breaks down the task into multiple steps, integrating parallel multilingual processing, Chain-of-Thought (CoT) reasoning, and Retrieval-Augmented Generation (RAG) to tackle lexical and structural challenges inherent in multilingual NoSQL generation. MultiLink shows enhancements in all metrics for every language against the top baseline, boosting execution accuracy by about 15\% for English and averaging a 10\% improvement for non-English languages.</v>
      </c>
      <c r="D1353" s="7" t="str">
        <f>IFERROR(__xludf.DUMMYFUNCTION("""COMPUTED_VALUE"""),"Zhiqian Qin")</f>
        <v>Zhiqian Qin</v>
      </c>
      <c r="E1353" s="7" t="str">
        <f>IFERROR(__xludf.DUMMYFUNCTION("""COMPUTED_VALUE"""),"#N/A")</f>
        <v>#N/A</v>
      </c>
      <c r="F1353" s="7" t="str">
        <f>IFERROR(__xludf.DUMMYFUNCTION("""COMPUTED_VALUE"""),"Not Pres. ")</f>
        <v>Not Pres. </v>
      </c>
      <c r="G1353" s="7" t="str">
        <f>IFERROR(__xludf.DUMMYFUNCTION("""COMPUTED_VALUE"""),"NP Findings Not Presenting ")</f>
        <v>NP Findings Not Presenting </v>
      </c>
      <c r="H1353" s="7"/>
      <c r="I1353" s="7" t="str">
        <f>IFERROR(__xludf.DUMMYFUNCTION("""COMPUTED_VALUE"""),"NP-Find")</f>
        <v>NP-Find</v>
      </c>
      <c r="J1353" s="7"/>
      <c r="K1353" s="7"/>
      <c r="L1353" s="8"/>
      <c r="M1353" s="7"/>
      <c r="N1353" s="7"/>
    </row>
    <row r="1354">
      <c r="A1354" s="7" t="str">
        <f>IFERROR(__xludf.DUMMYFUNCTION("""COMPUTED_VALUE"""),"4914-FIND")</f>
        <v>4914-FIND</v>
      </c>
      <c r="B1354" s="7" t="str">
        <f>IFERROR(__xludf.DUMMYFUNCTION("""COMPUTED_VALUE"""),"Tool learning via Inference-time Scaling and Cycle Verifier")</f>
        <v>Tool learning via Inference-time Scaling and Cycle Verifier</v>
      </c>
      <c r="C1354" s="7" t="str">
        <f>IFERROR(__xludf.DUMMYFUNCTION("""COMPUTED_VALUE"""),"In inference-time scaling, Chain-of-Thought (CoT) plays a crucial role in enabling large language models (LLMs) to exhibit reasoning capabilities. However, in many scenarios, high-quality CoT data is scarce or even unavailable. In such cases, STaR-like me"&amp;"thods can help LLMs synthesize CoT based on user queries and response, but they inevitably suffer from the risk of compounding errors. In this work, we tackle an even more challenging scenario: tool learning in the absence of user queries. We design a dat"&amp;"a scaling method using back-translation, which establishes an inference cycle to synthesize both user queries and CoT data. To reudce the compounding error of inference time, we introduce two rule-based verifiers to assess the validity of the synthesized "&amp;"CoT data. In particular, the Cycle Verifier facilitates performance improvement by continuously accumulating new data over multiple iterations. Our approach achieves a \textbf{75.4%} pass rate and a \textbf{79.6%} win rate using small models (7B) in Stabl"&amp;"eToolBench. Notably, these results are obtained exclusively from self-synthesized high-quality data, without relying on external supervision or expert trajectories for warm-up.")</f>
        <v>In inference-time scaling, Chain-of-Thought (CoT) plays a crucial role in enabling large language models (LLMs) to exhibit reasoning capabilities. However, in many scenarios, high-quality CoT data is scarce or even unavailable. In such cases, STaR-like methods can help LLMs synthesize CoT based on user queries and response, but they inevitably suffer from the risk of compounding errors. In this work, we tackle an even more challenging scenario: tool learning in the absence of user queries. We design a data scaling method using back-translation, which establishes an inference cycle to synthesize both user queries and CoT data. To reudce the compounding error of inference time, we introduce two rule-based verifiers to assess the validity of the synthesized CoT data. In particular, the Cycle Verifier facilitates performance improvement by continuously accumulating new data over multiple iterations. Our approach achieves a \textbf{75.4%} pass rate and a \textbf{79.6%} win rate using small models (7B) in StableToolBench. Notably, these results are obtained exclusively from self-synthesized high-quality data, without relying on external supervision or expert trajectories for warm-up.</v>
      </c>
      <c r="D1354" s="7" t="str">
        <f>IFERROR(__xludf.DUMMYFUNCTION("""COMPUTED_VALUE"""),"Xiaobo Liang")</f>
        <v>Xiaobo Liang</v>
      </c>
      <c r="E1354" s="7" t="str">
        <f>IFERROR(__xludf.DUMMYFUNCTION("""COMPUTED_VALUE"""),"#N/A")</f>
        <v>#N/A</v>
      </c>
      <c r="F1354" s="7" t="str">
        <f>IFERROR(__xludf.DUMMYFUNCTION("""COMPUTED_VALUE"""),"Not Pres. ")</f>
        <v>Not Pres. </v>
      </c>
      <c r="G1354" s="7" t="str">
        <f>IFERROR(__xludf.DUMMYFUNCTION("""COMPUTED_VALUE"""),"NP Findings Not Presenting ")</f>
        <v>NP Findings Not Presenting </v>
      </c>
      <c r="H1354" s="7"/>
      <c r="I1354" s="7" t="str">
        <f>IFERROR(__xludf.DUMMYFUNCTION("""COMPUTED_VALUE"""),"NP-Find")</f>
        <v>NP-Find</v>
      </c>
      <c r="J1354" s="7"/>
      <c r="K1354" s="7"/>
      <c r="L1354" s="8"/>
      <c r="M1354" s="7"/>
      <c r="N1354" s="7"/>
    </row>
    <row r="1355">
      <c r="A1355" s="7" t="str">
        <f>IFERROR(__xludf.DUMMYFUNCTION("""COMPUTED_VALUE"""),"4921-FIND")</f>
        <v>4921-FIND</v>
      </c>
      <c r="B1355" s="7" t="str">
        <f>IFERROR(__xludf.DUMMYFUNCTION("""COMPUTED_VALUE"""),"When Benchmarks Talk: Re-Evaluating Code LLMs with Interactive Feedback")</f>
        <v>When Benchmarks Talk: Re-Evaluating Code LLMs with Interactive Feedback</v>
      </c>
      <c r="C1355" s="7" t="str">
        <f>IFERROR(__xludf.DUMMYFUNCTION("""COMPUTED_VALUE"""),"Programming with a coding assistant is a fundamentally interactive process, yet existing static benchmarks fail to capture key features of model-user collaboration. We introduce an interactive evaluation pipeline to examine how LLMs incorporate different "&amp;"types of feedback in a collaborative setting, in which we obfuscate the input of static coding benchmarks so that the code model must interact with a simulated user. Across 10 models and 3 datasets, the relative rankings of models often permute greatly be"&amp;"tween static and interactive settings, despite models being fairly robust to feedback that contains errors. We also observe that similarly effective feedback types differ in terms of how models respond to higher- vs. lower-quality feedback. Moreover, feed"&amp;"back type impacts the degree to which the models make aesthetic or behavioral edits to their output. Our work aims to ""re-evaluate"" model coding capabilities through an interactive lens toward bridging the gap between existing evaluations and real-world"&amp;" usage.")</f>
        <v>Programming with a coding assistant is a fundamentally interactive process, yet existing static benchmarks fail to capture key features of model-user collaboration. We introduce an interactive evaluation pipeline to examine how LLMs incorporate different types of feedback in a collaborative setting, in which we obfuscate the input of static coding benchmarks so that the code model must interact with a simulated user. Across 10 models and 3 datasets, the relative rankings of models often permute greatly between static and interactive settings, despite models being fairly robust to feedback that contains errors. We also observe that similarly effective feedback types differ in terms of how models respond to higher- vs. lower-quality feedback. Moreover, feedback type impacts the degree to which the models make aesthetic or behavioral edits to their output. Our work aims to "re-evaluate" model coding capabilities through an interactive lens toward bridging the gap between existing evaluations and real-world usage.</v>
      </c>
      <c r="D1355" s="7" t="str">
        <f>IFERROR(__xludf.DUMMYFUNCTION("""COMPUTED_VALUE"""),"Jane Pan")</f>
        <v>Jane Pan</v>
      </c>
      <c r="E1355" s="7" t="str">
        <f>IFERROR(__xludf.DUMMYFUNCTION("""COMPUTED_VALUE"""),"Yes")</f>
        <v>Yes</v>
      </c>
      <c r="F1355" s="7" t="str">
        <f>IFERROR(__xludf.DUMMYFUNCTION("""COMPUTED_VALUE"""),"IP-Poster")</f>
        <v>IP-Poster</v>
      </c>
      <c r="G1355" s="7" t="str">
        <f>IFERROR(__xludf.DUMMYFUNCTION("""COMPUTED_VALUE"""),"In-Person")</f>
        <v>In-Person</v>
      </c>
      <c r="H1355" s="7" t="str">
        <f>IFERROR(__xludf.DUMMYFUNCTION("""COMPUTED_VALUE"""),"Hall 4/5")</f>
        <v>Hall 4/5</v>
      </c>
      <c r="I1355" s="7" t="str">
        <f>IFERROR(__xludf.DUMMYFUNCTION("""COMPUTED_VALUE"""),"Session 5 :IP-Posters Find ")</f>
        <v>Session 5 :IP-Posters Find </v>
      </c>
      <c r="J1355" s="7" t="str">
        <f>IFERROR(__xludf.DUMMYFUNCTION("""COMPUTED_VALUE"""),"Findings Posters - In-Person 1")</f>
        <v>Findings Posters - In-Person 1</v>
      </c>
      <c r="K1355" s="7"/>
      <c r="L1355" s="8">
        <f>IFERROR(__xludf.DUMMYFUNCTION("""COMPUTED_VALUE"""),45866.0)</f>
        <v>45866</v>
      </c>
      <c r="M1355" s="7" t="str">
        <f>IFERROR(__xludf.DUMMYFUNCTION("""COMPUTED_VALUE"""),"18:00-19:30")</f>
        <v>18:00-19:30</v>
      </c>
      <c r="N1355" s="7"/>
    </row>
    <row r="1356">
      <c r="A1356" s="7" t="str">
        <f>IFERROR(__xludf.DUMMYFUNCTION("""COMPUTED_VALUE"""),"4922-FIND")</f>
        <v>4922-FIND</v>
      </c>
      <c r="B1356" s="7" t="str">
        <f>IFERROR(__xludf.DUMMYFUNCTION("""COMPUTED_VALUE"""),"Reranking-based Generation for Unbiased Perspective Summarization")</f>
        <v>Reranking-based Generation for Unbiased Perspective Summarization</v>
      </c>
      <c r="C1356" s="7" t="str">
        <f>IFERROR(__xludf.DUMMYFUNCTION("""COMPUTED_VALUE"""),"Generating unbiased summaries in real-world settings such as political perspective summarization remains a crucial application of Large Language Models (LLMs). Yet, existing evaluation frameworks rely on traditional metrics for measuring key attributes su"&amp;"ch as coverage and faithfulness without verifying their applicability, and efforts to develop improved summarizers are still nascent. We address these gaps by (1) identifying reliable metrics for measuring perspective summary quality, and (2) investigatin"&amp;"g the efficacy of LLM-based methods beyond zero-shot inference. Namely, we build a test set for benchmarking metric reliability using human annotations and show that traditional metrics underperform compared to language model–based metrics, which prove to"&amp;" be strong evaluators. Using these metrics, we show that reranking-based methods yield strong results, and preference tuning with synthetically generated and reranking-labeled data further boosts performance. Our findings aim to contribute to the reliable"&amp;" evaluation and development of perspective summarization methods.")</f>
        <v>Generating unbiased summaries in real-world settings such as political perspective summarization remains a crucial application of Large Language Models (LLMs). Yet, existing evaluation frameworks rely on traditional metrics for measuring key attributes such as coverage and faithfulness without verifying their applicability, and efforts to develop improved summarizers are still nascent. We address these gaps by (1) identifying reliable metrics for measuring perspective summary quality, and (2) investigating the efficacy of LLM-based methods beyond zero-shot inference. Namely, we build a test set for benchmarking metric reliability using human annotations and show that traditional metrics underperform compared to language model–based metrics, which prove to be strong evaluators. Using these metrics, we show that reranking-based methods yield strong results, and preference tuning with synthetically generated and reranking-labeled data further boosts performance. Our findings aim to contribute to the reliable evaluation and development of perspective summarization methods.</v>
      </c>
      <c r="D1356" s="7" t="str">
        <f>IFERROR(__xludf.DUMMYFUNCTION("""COMPUTED_VALUE"""),"Narutatsu Ri")</f>
        <v>Narutatsu Ri</v>
      </c>
      <c r="E1356" s="7" t="str">
        <f>IFERROR(__xludf.DUMMYFUNCTION("""COMPUTED_VALUE"""),"#N/A")</f>
        <v>#N/A</v>
      </c>
      <c r="F1356" s="7" t="str">
        <f>IFERROR(__xludf.DUMMYFUNCTION("""COMPUTED_VALUE"""),"Not Pres. ")</f>
        <v>Not Pres. </v>
      </c>
      <c r="G1356" s="7" t="str">
        <f>IFERROR(__xludf.DUMMYFUNCTION("""COMPUTED_VALUE"""),"NP Findings Not Presenting ")</f>
        <v>NP Findings Not Presenting </v>
      </c>
      <c r="H1356" s="7"/>
      <c r="I1356" s="7" t="str">
        <f>IFERROR(__xludf.DUMMYFUNCTION("""COMPUTED_VALUE"""),"NP-Find")</f>
        <v>NP-Find</v>
      </c>
      <c r="J1356" s="7"/>
      <c r="K1356" s="7"/>
      <c r="L1356" s="8"/>
      <c r="M1356" s="7"/>
      <c r="N1356" s="7"/>
    </row>
    <row r="1357">
      <c r="A1357" s="7" t="str">
        <f>IFERROR(__xludf.DUMMYFUNCTION("""COMPUTED_VALUE"""),"4932-FIND")</f>
        <v>4932-FIND</v>
      </c>
      <c r="B1357" s="7" t="str">
        <f>IFERROR(__xludf.DUMMYFUNCTION("""COMPUTED_VALUE"""),"KARPA: A Training-free Method of Adapting Knowledge Graph as References for Large Language Model's Reasoning Path Aggregation")</f>
        <v>KARPA: A Training-free Method of Adapting Knowledge Graph as References for Large Language Model's Reasoning Path Aggregation</v>
      </c>
      <c r="C1357" s="7" t="str">
        <f>IFERROR(__xludf.DUMMYFUNCTION("""COMPUTED_VALUE"""),"Large language models (LLMs) demonstrate exceptional performance across a variety of tasks, yet they are often affected by hallucinations and the timeliness of knowledge. Leveraging knowledge graphs (KGs) as external knowledge sources has emerged as a via"&amp;"ble solution, but existing methods for LLM-based knowledge graph question answering (KGQA) are often limited by step-by-step decision-making on KGs, restricting the global planning and reasoning capabilities of LLMs, or they require fine-tuning or pre-tra"&amp;"ining on specific KGs. To address these challenges, we propose Knowledge graph Assisted Reasoning Path Aggregation (KARPA), a novel framework that harnesses the global planning abilities of LLMs for efficient and accurate KG reasoning. KARPA operates in t"&amp;"hree steps: pre-planning relation paths using the LLM’s global planning capabilities, matching semantically relevant paths via an embedding model, and reasoning over these paths to generate answers. Unlike existing KGQA methods, KARPA avoids stepwise trav"&amp;"ersal, requires no additional training, and is adaptable to various LLM architectures. Extensive experimental results show that KARPA achieves state-of-the-art performance in KGQA tasks, delivering both high efficiency and accuracy.")</f>
        <v>Large language models (LLMs) demonstrate exceptional performance across a variety of tasks, yet they are often affected by hallucinations and the timeliness of knowledge. Leveraging knowledge graphs (KGs) as external knowledge sources has emerged as a viable solution, but existing methods for LLM-based knowledge graph question answering (KGQA) are often limited by step-by-step decision-making on KGs, restricting the global planning and reasoning capabilities of LLMs, or they require fine-tuning or pre-training on specific KGs. To address these challenges, we propose Knowledge graph Assisted Reasoning Path Aggregation (KARPA), a novel framework that harnesses the global planning abilities of LLMs for efficient and accurate KG reasoning. KARPA operates in three steps: pre-planning relation paths using the LLM’s global planning capabilities, matching semantically relevant paths via an embedding model, and reasoning over these paths to generate answers. Unlike existing KGQA methods, KARPA avoids stepwise traversal, requires no additional training, and is adaptable to various LLM architectures. Extensive experimental results show that KARPA achieves state-of-the-art performance in KGQA tasks, delivering both high efficiency and accuracy.</v>
      </c>
      <c r="D1357" s="7" t="str">
        <f>IFERROR(__xludf.DUMMYFUNCTION("""COMPUTED_VALUE"""),"Siyuan Fang")</f>
        <v>Siyuan Fang</v>
      </c>
      <c r="E1357" s="7" t="str">
        <f>IFERROR(__xludf.DUMMYFUNCTION("""COMPUTED_VALUE"""),"#N/A")</f>
        <v>#N/A</v>
      </c>
      <c r="F1357" s="7" t="str">
        <f>IFERROR(__xludf.DUMMYFUNCTION("""COMPUTED_VALUE"""),"Not Pres. ")</f>
        <v>Not Pres. </v>
      </c>
      <c r="G1357" s="7" t="str">
        <f>IFERROR(__xludf.DUMMYFUNCTION("""COMPUTED_VALUE"""),"NP Findings Not Presenting ")</f>
        <v>NP Findings Not Presenting </v>
      </c>
      <c r="H1357" s="7"/>
      <c r="I1357" s="7" t="str">
        <f>IFERROR(__xludf.DUMMYFUNCTION("""COMPUTED_VALUE"""),"NP-Find")</f>
        <v>NP-Find</v>
      </c>
      <c r="J1357" s="7"/>
      <c r="K1357" s="7"/>
      <c r="L1357" s="8"/>
      <c r="M1357" s="7"/>
      <c r="N1357" s="7"/>
    </row>
    <row r="1358">
      <c r="A1358" s="7" t="str">
        <f>IFERROR(__xludf.DUMMYFUNCTION("""COMPUTED_VALUE"""),"4936-FIND")</f>
        <v>4936-FIND</v>
      </c>
      <c r="B1358" s="7" t="str">
        <f>IFERROR(__xludf.DUMMYFUNCTION("""COMPUTED_VALUE"""),"Enhancing LLM-based Hatred and Toxicity Detection with Meta-Toxic Knowledge Graph")</f>
        <v>Enhancing LLM-based Hatred and Toxicity Detection with Meta-Toxic Knowledge Graph</v>
      </c>
      <c r="C1358" s="7" t="str">
        <f>IFERROR(__xludf.DUMMYFUNCTION("""COMPUTED_VALUE"""),"The rapid growth of social media platforms has raised significant concerns regarding online content toxicity. When Large Language Models (LLMs) are used for toxicity detection, two key challenges emerge: 1) the absence of domain-specific toxicity knowledg"&amp;"e leads to false negatives; 2) the excessive sensitivity of LLMs to toxic speech results in false positives, limiting freedom of speech. To address these issues, we propose a novel method called *MetaTox*, leveraging graph search on a meta-toxic knowledge"&amp;" graph to enhance hatred and toxicity detection. First, we construct a comprehensive meta-toxic knowledge graph by utilizing LLMs to extract toxic information through a three step pipeline. Second, we query the graph via retrieval and ranking processes to"&amp;" supplement accurate, relevant toxicity knowledge. Extensive experiments and case studies across multiple datasets demonstrate that our MetaTox boosts overall toxicity detection performance, particularly in out-of-domain settings. In addition, under in-do"&amp;"main scenarios, we surprisingly find that small language models are more competent. Our code is available at https://github.com/YiboZhao624/MetaTox.")</f>
        <v>The rapid growth of social media platforms has raised significant concerns regarding online content toxicity. When Large Language Models (LLMs) are used for toxicity detection, two key challenges emerge: 1) the absence of domain-specific toxicity knowledge leads to false negatives; 2) the excessive sensitivity of LLMs to toxic speech results in false positives, limiting freedom of speech. To address these issues, we propose a novel method called *MetaTox*, leveraging graph search on a meta-toxic knowledge graph to enhance hatred and toxicity detection. First, we construct a comprehensive meta-toxic knowledge graph by utilizing LLMs to extract toxic information through a three step pipeline. Second, we query the graph via retrieval and ranking processes to supplement accurate, relevant toxicity knowledge. Extensive experiments and case studies across multiple datasets demonstrate that our MetaTox boosts overall toxicity detection performance, particularly in out-of-domain settings. In addition, under in-domain scenarios, we surprisingly find that small language models are more competent. Our code is available at https://github.com/YiboZhao624/MetaTox.</v>
      </c>
      <c r="D1358" s="7" t="str">
        <f>IFERROR(__xludf.DUMMYFUNCTION("""COMPUTED_VALUE"""),"Yibo Zhao")</f>
        <v>Yibo Zhao</v>
      </c>
      <c r="E1358" s="7" t="str">
        <f>IFERROR(__xludf.DUMMYFUNCTION("""COMPUTED_VALUE"""),"Yes")</f>
        <v>Yes</v>
      </c>
      <c r="F1358" s="7" t="str">
        <f>IFERROR(__xludf.DUMMYFUNCTION("""COMPUTED_VALUE"""),"IP-Poster")</f>
        <v>IP-Poster</v>
      </c>
      <c r="G1358" s="7" t="str">
        <f>IFERROR(__xludf.DUMMYFUNCTION("""COMPUTED_VALUE"""),"In-Person")</f>
        <v>In-Person</v>
      </c>
      <c r="H1358" s="7" t="str">
        <f>IFERROR(__xludf.DUMMYFUNCTION("""COMPUTED_VALUE"""),"Hall 4/5")</f>
        <v>Hall 4/5</v>
      </c>
      <c r="I1358" s="7" t="str">
        <f>IFERROR(__xludf.DUMMYFUNCTION("""COMPUTED_VALUE"""),"Session 12: IP-Posters")</f>
        <v>Session 12: IP-Posters</v>
      </c>
      <c r="J1358" s="7" t="str">
        <f>IFERROR(__xludf.DUMMYFUNCTION("""COMPUTED_VALUE"""),"Findings Posters - In-Person 4")</f>
        <v>Findings Posters - In-Person 4</v>
      </c>
      <c r="K1358" s="7"/>
      <c r="L1358" s="8">
        <f>IFERROR(__xludf.DUMMYFUNCTION("""COMPUTED_VALUE"""),45868.0)</f>
        <v>45868</v>
      </c>
      <c r="M1358" s="7" t="str">
        <f>IFERROR(__xludf.DUMMYFUNCTION("""COMPUTED_VALUE"""),"11:00-12:30")</f>
        <v>11:00-12:30</v>
      </c>
      <c r="N1358" s="7"/>
    </row>
    <row r="1359">
      <c r="A1359" s="7" t="str">
        <f>IFERROR(__xludf.DUMMYFUNCTION("""COMPUTED_VALUE"""),"4943-FIND")</f>
        <v>4943-FIND</v>
      </c>
      <c r="B1359" s="7" t="str">
        <f>IFERROR(__xludf.DUMMYFUNCTION("""COMPUTED_VALUE"""),"Mixture-of-Personas Language Models for Population Simulation")</f>
        <v>Mixture-of-Personas Language Models for Population Simulation</v>
      </c>
      <c r="C1359" s="7" t="str">
        <f>IFERROR(__xludf.DUMMYFUNCTION("""COMPUTED_VALUE"""),"Advances in Large Language Models (LLMs) paved the way for their emerging applications in various domains, such as human behavior simulations, where LLMs could augment human-generated data in social science research and machine learning model training. Ho"&amp;"wever, pretrained LLMs often fail to capture the behavioral diversity of target populations due to the inherent variability across individuals and groups. To address this, we propose Mixture of Personas (MoP), a probabilistic prompting method that aligns "&amp;"LLM responses with the target population. MoP is a contextual mixture model, where each component is an LM agent characterized by a persona and an exemplar that represents the behaviors of subpopulation. The persona and the exemplar are randomly chosen ac"&amp;"cording to the learned mixing weights to elicit diverse LLM responses during simulation. MoP is flexible, does not require model fine-tuning, and is transferable between base models. Experiments for synthetic data generation show that MoP outperforms comp"&amp;"eting methods in alignment and diversity metrics.")</f>
        <v>Advances in Large Language Models (LLMs) paved the way for their emerging applications in various domains, such as human behavior simulations, where LLMs could augment human-generated data in social science research and machine learning model training. However, pretrained LLMs often fail to capture the behavioral diversity of target populations due to the inherent variability across individuals and groups. To address this, we propose Mixture of Personas (MoP), a probabilistic prompting method that aligns LLM responses with the target population. MoP is a contextual mixture model, where each component is an LM agent characterized by a persona and an exemplar that represents the behaviors of subpopulation. The persona and the exemplar are randomly chosen according to the learned mixing weights to elicit diverse LLM responses during simulation. MoP is flexible, does not require model fine-tuning, and is transferable between base models. Experiments for synthetic data generation show that MoP outperforms competing methods in alignment and diversity metrics.</v>
      </c>
      <c r="D1359" s="7" t="str">
        <f>IFERROR(__xludf.DUMMYFUNCTION("""COMPUTED_VALUE"""),"Ngoc Bui")</f>
        <v>Ngoc Bui</v>
      </c>
      <c r="E1359" s="7" t="str">
        <f>IFERROR(__xludf.DUMMYFUNCTION("""COMPUTED_VALUE"""),"#N/A")</f>
        <v>#N/A</v>
      </c>
      <c r="F1359" s="7" t="str">
        <f>IFERROR(__xludf.DUMMYFUNCTION("""COMPUTED_VALUE"""),"Not Pres. ")</f>
        <v>Not Pres. </v>
      </c>
      <c r="G1359" s="7" t="str">
        <f>IFERROR(__xludf.DUMMYFUNCTION("""COMPUTED_VALUE"""),"NP Findings Not Presenting ")</f>
        <v>NP Findings Not Presenting </v>
      </c>
      <c r="H1359" s="7"/>
      <c r="I1359" s="7" t="str">
        <f>IFERROR(__xludf.DUMMYFUNCTION("""COMPUTED_VALUE"""),"NP-Find")</f>
        <v>NP-Find</v>
      </c>
      <c r="J1359" s="7"/>
      <c r="K1359" s="7"/>
      <c r="L1359" s="8"/>
      <c r="M1359" s="7"/>
      <c r="N1359" s="7"/>
    </row>
    <row r="1360">
      <c r="A1360" s="7" t="str">
        <f>IFERROR(__xludf.DUMMYFUNCTION("""COMPUTED_VALUE"""),"4945-FIND")</f>
        <v>4945-FIND</v>
      </c>
      <c r="B1360" s="7" t="str">
        <f>IFERROR(__xludf.DUMMYFUNCTION("""COMPUTED_VALUE"""),"ClusComp: A Simple Paradigm for Model Compression and Efficient Finetuning")</f>
        <v>ClusComp: A Simple Paradigm for Model Compression and Efficient Finetuning</v>
      </c>
      <c r="C1360" s="7" t="str">
        <f>IFERROR(__xludf.DUMMYFUNCTION("""COMPUTED_VALUE"""),"As large language models (LLMs) scale, model compression is crucial for edge deployment and accessibility. Weight-only quantization reduces model size but suffers from performance degradation at lower bit widths. Moreover, standard finetuning is incompati"&amp;"ble with quantized models, and alternative methods often fall short of full finetuning. In this paper, we propose ClusComp, a simple yet effective compression paradigm that clusters weight matrices into codebooks and finetunes them block-by-block. ClusCom"&amp;"p (1) achieves superior performance in 2-4 bit quantization, (2) pushes compression to 1-bit while outperforming ultra-low-bit methods with minimal finetuning, and (3) enables efficient finetuning, even surpassing existing quantization-based approaches an"&amp;"d rivaling full FP16 finetuning. Notably, ClusComp supports compression and finetuning of 70B LLMs on a single A6000-48GB GPU.")</f>
        <v>As large language models (LLMs) scale, model compression is crucial for edge deployment and accessibility. Weight-only quantization reduces model size but suffers from performance degradation at lower bit widths. Moreover, standard finetuning is incompatible with quantized models, and alternative methods often fall short of full finetuning. In this paper, we propose ClusComp, a simple yet effective compression paradigm that clusters weight matrices into codebooks and finetunes them block-by-block. ClusComp (1) achieves superior performance in 2-4 bit quantization, (2) pushes compression to 1-bit while outperforming ultra-low-bit methods with minimal finetuning, and (3) enables efficient finetuning, even surpassing existing quantization-based approaches and rivaling full FP16 finetuning. Notably, ClusComp supports compression and finetuning of 70B LLMs on a single A6000-48GB GPU.</v>
      </c>
      <c r="D1360" s="7" t="str">
        <f>IFERROR(__xludf.DUMMYFUNCTION("""COMPUTED_VALUE"""),"Baohao Liao")</f>
        <v>Baohao Liao</v>
      </c>
      <c r="E1360" s="7" t="str">
        <f>IFERROR(__xludf.DUMMYFUNCTION("""COMPUTED_VALUE"""),"#N/A")</f>
        <v>#N/A</v>
      </c>
      <c r="F1360" s="7" t="str">
        <f>IFERROR(__xludf.DUMMYFUNCTION("""COMPUTED_VALUE"""),"Not Pres. ")</f>
        <v>Not Pres. </v>
      </c>
      <c r="G1360" s="7" t="str">
        <f>IFERROR(__xludf.DUMMYFUNCTION("""COMPUTED_VALUE"""),"NP Findings Not Presenting ")</f>
        <v>NP Findings Not Presenting </v>
      </c>
      <c r="H1360" s="7"/>
      <c r="I1360" s="7" t="str">
        <f>IFERROR(__xludf.DUMMYFUNCTION("""COMPUTED_VALUE"""),"NP-Find")</f>
        <v>NP-Find</v>
      </c>
      <c r="J1360" s="7"/>
      <c r="K1360" s="7"/>
      <c r="L1360" s="8"/>
      <c r="M1360" s="7"/>
      <c r="N1360" s="7"/>
    </row>
    <row r="1361">
      <c r="A1361" s="7" t="str">
        <f>IFERROR(__xludf.DUMMYFUNCTION("""COMPUTED_VALUE"""),"4948-FIND")</f>
        <v>4948-FIND</v>
      </c>
      <c r="B1361" s="7" t="str">
        <f>IFERROR(__xludf.DUMMYFUNCTION("""COMPUTED_VALUE"""),"Aspect-Aware Decomposition for Opinion Summarization")</f>
        <v>Aspect-Aware Decomposition for Opinion Summarization</v>
      </c>
      <c r="C1361" s="7" t="str">
        <f>IFERROR(__xludf.DUMMYFUNCTION("""COMPUTED_VALUE"""),"Opinion summarization plays a key role in deriving meaningful insights from large-scale online reviews. To make this process more explainable and grounded, we propose a modular approach guided by review aspects (e.g., cleanliness for hotel reviews) which "&amp;"separates the tasks of aspect identification, opinion consolidation, and meta-review synthesis, enabling greater transparency and ease of inspection. We conduct extensive experiments across datasets representing scientific research, business, and product "&amp;"domains. Results show that our method generates more grounded summaries compared to strong baseline models, as verified through automated and human evaluations. Additionally, our modular approach, which incorporates reasoning based on review aspects, prod"&amp;"uces more informative intermediate outputs than knowledge-agnostic decomposed prompting. These intermediate outputs can also effectively support humans in summarizing opinions from large volumes of reviews.")</f>
        <v>Opinion summarization plays a key role in deriving meaningful insights from large-scale online reviews. To make this process more explainable and grounded, we propose a modular approach guided by review aspects (e.g., cleanliness for hotel reviews) which separates the tasks of aspect identification, opinion consolidation, and meta-review synthesis, enabling greater transparency and ease of inspection. We conduct extensive experiments across datasets representing scientific research, business, and product domains. Results show that our method generates more grounded summaries compared to strong baseline models, as verified through automated and human evaluations. Additionally, our modular approach, which incorporates reasoning based on review aspects, produces more informative intermediate outputs than knowledge-agnostic decomposed prompting. These intermediate outputs can also effectively support humans in summarizing opinions from large volumes of reviews.</v>
      </c>
      <c r="D1361" s="7" t="str">
        <f>IFERROR(__xludf.DUMMYFUNCTION("""COMPUTED_VALUE"""),"Miao Li")</f>
        <v>Miao Li</v>
      </c>
      <c r="E1361" s="7" t="str">
        <f>IFERROR(__xludf.DUMMYFUNCTION("""COMPUTED_VALUE"""),"Yes")</f>
        <v>Yes</v>
      </c>
      <c r="F1361" s="7" t="str">
        <f>IFERROR(__xludf.DUMMYFUNCTION("""COMPUTED_VALUE"""),"IP-Poster")</f>
        <v>IP-Poster</v>
      </c>
      <c r="G1361" s="7" t="str">
        <f>IFERROR(__xludf.DUMMYFUNCTION("""COMPUTED_VALUE"""),"In-Person")</f>
        <v>In-Person</v>
      </c>
      <c r="H1361" s="7" t="str">
        <f>IFERROR(__xludf.DUMMYFUNCTION("""COMPUTED_VALUE"""),"Hall 4/5")</f>
        <v>Hall 4/5</v>
      </c>
      <c r="I1361" s="7" t="str">
        <f>IFERROR(__xludf.DUMMYFUNCTION("""COMPUTED_VALUE"""),"Session 10: IP-Posters")</f>
        <v>Session 10: IP-Posters</v>
      </c>
      <c r="J1361" s="7" t="str">
        <f>IFERROR(__xludf.DUMMYFUNCTION("""COMPUTED_VALUE"""),"Findings Posters - In-Person 3")</f>
        <v>Findings Posters - In-Person 3</v>
      </c>
      <c r="K1361" s="7"/>
      <c r="L1361" s="8">
        <f>IFERROR(__xludf.DUMMYFUNCTION("""COMPUTED_VALUE"""),45867.0)</f>
        <v>45867</v>
      </c>
      <c r="M1361" s="7" t="str">
        <f>IFERROR(__xludf.DUMMYFUNCTION("""COMPUTED_VALUE"""),"16:00-17:30")</f>
        <v>16:00-17:30</v>
      </c>
      <c r="N1361" s="7"/>
    </row>
    <row r="1362">
      <c r="A1362" s="7" t="str">
        <f>IFERROR(__xludf.DUMMYFUNCTION("""COMPUTED_VALUE"""),"4951-FIND")</f>
        <v>4951-FIND</v>
      </c>
      <c r="B1362" s="7" t="str">
        <f>IFERROR(__xludf.DUMMYFUNCTION("""COMPUTED_VALUE"""),"Token-Budget-Aware LLM Reasoning")</f>
        <v>Token-Budget-Aware LLM Reasoning</v>
      </c>
      <c r="C1362" s="7" t="str">
        <f>IFERROR(__xludf.DUMMYFUNCTION("""COMPUTED_VALUE"""),"Reasoning is critical for large language models (LLMs) to excel in a wide range of tasks. While methods like Chain-of-Thought (CoT) reasoning and enhance LLM performance by decomposing problems into intermediate steps, they also incur significant overhead"&amp;" in token usage, leading to increased costs. We find that the reasoning process of current LLMs is unnecessarily lengthy and it can be compressed by including a reasonable token budget in the prompt, but the choice of token budget plays a crucial role in "&amp;"the actual compression effectiveness. We then propose a token-budget-aware LLM reasoning framework that dynamically adjusts the number of reasoning tokens based on the reasoning complexity of each problem. Experiments show that our method effectively redu"&amp;"ces token costs in CoT reasoning with only a slight performance reduction, offering a practical solution to balance efficiency and accuracy in LLM reasoning. Code: https://anonymous.4open.science/r/TALE-ACL-506E.")</f>
        <v>Reasoning is critical for large language models (LLMs) to excel in a wide range of tasks. While methods like Chain-of-Thought (CoT) reasoning and enhance LLM performance by decomposing problems into intermediate steps, they also incur significant overhead in token usage, leading to increased costs. We find that the reasoning process of current LLMs is unnecessarily lengthy and it can be compressed by including a reasonable token budget in the prompt, but the choice of token budget plays a crucial role in the actual compression effectiveness. We then propose a token-budget-aware LLM reasoning framework that dynamically adjusts the number of reasoning tokens based on the reasoning complexity of each problem. Experiments show that our method effectively reduces token costs in CoT reasoning with only a slight performance reduction, offering a practical solution to balance efficiency and accuracy in LLM reasoning. Code: https://anonymous.4open.science/r/TALE-ACL-506E.</v>
      </c>
      <c r="D1362" s="7" t="str">
        <f>IFERROR(__xludf.DUMMYFUNCTION("""COMPUTED_VALUE"""),"Tingxu Han")</f>
        <v>Tingxu Han</v>
      </c>
      <c r="E1362" s="7" t="str">
        <f>IFERROR(__xludf.DUMMYFUNCTION("""COMPUTED_VALUE"""),"#N/A")</f>
        <v>#N/A</v>
      </c>
      <c r="F1362" s="7" t="str">
        <f>IFERROR(__xludf.DUMMYFUNCTION("""COMPUTED_VALUE"""),"Not Pres. ")</f>
        <v>Not Pres. </v>
      </c>
      <c r="G1362" s="7" t="str">
        <f>IFERROR(__xludf.DUMMYFUNCTION("""COMPUTED_VALUE"""),"NP Findings Not Presenting ")</f>
        <v>NP Findings Not Presenting </v>
      </c>
      <c r="H1362" s="7"/>
      <c r="I1362" s="7" t="str">
        <f>IFERROR(__xludf.DUMMYFUNCTION("""COMPUTED_VALUE"""),"NP-Find")</f>
        <v>NP-Find</v>
      </c>
      <c r="J1362" s="7"/>
      <c r="K1362" s="7"/>
      <c r="L1362" s="8"/>
      <c r="M1362" s="7"/>
      <c r="N1362" s="7"/>
    </row>
    <row r="1363">
      <c r="A1363" s="7" t="str">
        <f>IFERROR(__xludf.DUMMYFUNCTION("""COMPUTED_VALUE"""),"4959-FIND")</f>
        <v>4959-FIND</v>
      </c>
      <c r="B1363" s="7" t="str">
        <f>IFERROR(__xludf.DUMMYFUNCTION("""COMPUTED_VALUE"""),"HATA: Trainable and Hardware-Efficient Hash-Aware Top-k Attention for Scalable Large Model Inference")</f>
        <v>HATA: Trainable and Hardware-Efficient Hash-Aware Top-k Attention for Scalable Large Model Inference</v>
      </c>
      <c r="C1363" s="7" t="str">
        <f>IFERROR(__xludf.DUMMYFUNCTION("""COMPUTED_VALUE"""),"Large Language Models (LLMs) have emerged as a pivotal research area, yet the attention module remains a critical bottleneck in LLM inference, even with techniques like KVCache to mitigate redundant computations. While various top-k attention mechanisms h"&amp;"ave been proposed to accelerate LLM inference by exploiting the inherent sparsity of attention, they often struggled to strike a balance between efficiency and accuracy. In this paper, we introduce HATA (Hash-Aware Top-k Attention), a novel approach that "&amp;"systematically integrates low-overhead learning-to-hash techniques into the Top-k attention process. Different from the existing top-k attention methods which are devoted to seeking an absolute estimation of qk score, typically with a great cost, HATA map"&amp;"s queries and keys into binary hash codes, and acquires the relative qk score order with a quite low cost, which is sufficient for realizing top-k attention. Extensive experiments demonstrate that HATA achieves up to 7.2× speedup compared to vanilla full "&amp;"attention while maintaining model accuracy. In addition, HATA outperforms the state-of-the-art top-k attention methods in both accuracy and efficiency across multiple mainstream LLM models and diverse tasks. HATA is open source at https://github.com/gpzlx"&amp;"1/HATA.")</f>
        <v>Large Language Models (LLMs) have emerged as a pivotal research area, yet the attention module remains a critical bottleneck in LLM inference, even with techniques like KVCache to mitigate redundant computations. While various top-k attention mechanisms have been proposed to accelerate LLM inference by exploiting the inherent sparsity of attention, they often struggled to strike a balance between efficiency and accuracy. In this paper, we introduce HATA (Hash-Aware Top-k Attention), a novel approach that systematically integrates low-overhead learning-to-hash techniques into the Top-k attention process. Different from the existing top-k attention methods which are devoted to seeking an absolute estimation of qk score, typically with a great cost, HATA maps queries and keys into binary hash codes, and acquires the relative qk score order with a quite low cost, which is sufficient for realizing top-k attention. Extensive experiments demonstrate that HATA achieves up to 7.2× speedup compared to vanilla full attention while maintaining model accuracy. In addition, HATA outperforms the state-of-the-art top-k attention methods in both accuracy and efficiency across multiple mainstream LLM models and diverse tasks. HATA is open source at https://github.com/gpzlx1/HATA.</v>
      </c>
      <c r="D1363" s="7" t="str">
        <f>IFERROR(__xludf.DUMMYFUNCTION("""COMPUTED_VALUE"""),"Ping Gong")</f>
        <v>Ping Gong</v>
      </c>
      <c r="E1363" s="7" t="str">
        <f>IFERROR(__xludf.DUMMYFUNCTION("""COMPUTED_VALUE"""),"Yes")</f>
        <v>Yes</v>
      </c>
      <c r="F1363" s="7" t="str">
        <f>IFERROR(__xludf.DUMMYFUNCTION("""COMPUTED_VALUE"""),"V-Presentation")</f>
        <v>V-Presentation</v>
      </c>
      <c r="G1363" s="7" t="str">
        <f>IFERROR(__xludf.DUMMYFUNCTION("""COMPUTED_VALUE"""),"Virtual/Gather")</f>
        <v>Virtual/Gather</v>
      </c>
      <c r="H1363" s="7" t="str">
        <f>IFERROR(__xludf.DUMMYFUNCTION("""COMPUTED_VALUE"""),"Gather")</f>
        <v>Gather</v>
      </c>
      <c r="I1363" s="7" t="str">
        <f>IFERROR(__xludf.DUMMYFUNCTION("""COMPUTED_VALUE"""),"Session5: V-Gather Find")</f>
        <v>Session5: V-Gather Find</v>
      </c>
      <c r="J1363" s="7" t="str">
        <f>IFERROR(__xludf.DUMMYFUNCTION("""COMPUTED_VALUE"""),"Findings Posters - Virtual")</f>
        <v>Findings Posters - Virtual</v>
      </c>
      <c r="K1363" s="7"/>
      <c r="L1363" s="8">
        <f>IFERROR(__xludf.DUMMYFUNCTION("""COMPUTED_VALUE"""),45866.0)</f>
        <v>45866</v>
      </c>
      <c r="M1363" s="7" t="str">
        <f>IFERROR(__xludf.DUMMYFUNCTION("""COMPUTED_VALUE"""),"18:00-19:30")</f>
        <v>18:00-19:30</v>
      </c>
      <c r="N1363" s="7"/>
    </row>
    <row r="1364">
      <c r="A1364" s="7" t="str">
        <f>IFERROR(__xludf.DUMMYFUNCTION("""COMPUTED_VALUE"""),"4961-FIND")</f>
        <v>4961-FIND</v>
      </c>
      <c r="B1364" s="7" t="str">
        <f>IFERROR(__xludf.DUMMYFUNCTION("""COMPUTED_VALUE"""),"Answer When Needed, Forget When Not: Language Models Pretend to Forget via In-Context Knowledge Unlearning")</f>
        <v>Answer When Needed, Forget When Not: Language Models Pretend to Forget via In-Context Knowledge Unlearning</v>
      </c>
      <c r="C1364" s="7" t="str">
        <f>IFERROR(__xludf.DUMMYFUNCTION("""COMPUTED_VALUE"""),"As large language models (LLMs) are applied across diverse domains, the ability to selectively unlearn specific information has become increasingly essential. For instance, LLMs are expected to provide certain confidential information to authorized intern"&amp;"al users, such as employees or trusted partners, while withholding it from external users, including the general public and unauthorized entities. In response to this challenge, we propose a novel method termed ''in-context knowledge unlearning'', which e"&amp;"nables the model to selectively forget information in test-time based on the query context. Our method fine-tunes pre-trained LLMs to enable prompt unlearning of target knowledge within the context, while preserving other knowledge. Experiments on TOFU, A"&amp;"GE and RWKU datasets using Llama2-7B/13B and Mistral-7B models show that our method achieves up to 95% forget accuracy while retaining 80% of unrelated knowledge, significantly outperforming baselines in both in-domain and out-of-domain scenarios. Further"&amp;" investigation of the model's internal behavior revealed that while fine-tuned LLMs generate correct predictions in the middle layers and maintain them up to the final layer, they make the decision to forget at the last layer, i.e. ''LLMs pretend to forge"&amp;"t''. Our findings offer valuable insight into the improvement of the robustness of the unlearning mechanisms in LLM, setting a foundation for future research in the field.")</f>
        <v>As large language models (LLMs) are applied across diverse domains, the ability to selectively unlearn specific information has become increasingly essential. For instance, LLMs are expected to provide certain confidential information to authorized internal users, such as employees or trusted partners, while withholding it from external users, including the general public and unauthorized entities. In response to this challenge, we propose a novel method termed ''in-context knowledge unlearning'', which enables the model to selectively forget information in test-time based on the query context. Our method fine-tunes pre-trained LLMs to enable prompt unlearning of target knowledge within the context, while preserving other knowledge. Experiments on TOFU, AGE and RWKU datasets using Llama2-7B/13B and Mistral-7B models show that our method achieves up to 95% forget accuracy while retaining 80% of unrelated knowledge, significantly outperforming baselines in both in-domain and out-of-domain scenarios. Further investigation of the model's internal behavior revealed that while fine-tuned LLMs generate correct predictions in the middle layers and maintain them up to the final layer, they make the decision to forget at the last layer, i.e. ''LLMs pretend to forget''. Our findings offer valuable insight into the improvement of the robustness of the unlearning mechanisms in LLM, setting a foundation for future research in the field.</v>
      </c>
      <c r="D1364" s="7" t="str">
        <f>IFERROR(__xludf.DUMMYFUNCTION("""COMPUTED_VALUE"""),"Shota Takashiro")</f>
        <v>Shota Takashiro</v>
      </c>
      <c r="E1364" s="7" t="str">
        <f>IFERROR(__xludf.DUMMYFUNCTION("""COMPUTED_VALUE"""),"Yes")</f>
        <v>Yes</v>
      </c>
      <c r="F1364" s="7" t="str">
        <f>IFERROR(__xludf.DUMMYFUNCTION("""COMPUTED_VALUE"""),"IP-Poster")</f>
        <v>IP-Poster</v>
      </c>
      <c r="G1364" s="7" t="str">
        <f>IFERROR(__xludf.DUMMYFUNCTION("""COMPUTED_VALUE"""),"In-Person")</f>
        <v>In-Person</v>
      </c>
      <c r="H1364" s="7" t="str">
        <f>IFERROR(__xludf.DUMMYFUNCTION("""COMPUTED_VALUE"""),"Hall 4/5")</f>
        <v>Hall 4/5</v>
      </c>
      <c r="I1364" s="7" t="str">
        <f>IFERROR(__xludf.DUMMYFUNCTION("""COMPUTED_VALUE"""),"Session 12: IP-Posters")</f>
        <v>Session 12: IP-Posters</v>
      </c>
      <c r="J1364" s="7" t="str">
        <f>IFERROR(__xludf.DUMMYFUNCTION("""COMPUTED_VALUE"""),"Findings Posters - In-Person 4")</f>
        <v>Findings Posters - In-Person 4</v>
      </c>
      <c r="K1364" s="7"/>
      <c r="L1364" s="8">
        <f>IFERROR(__xludf.DUMMYFUNCTION("""COMPUTED_VALUE"""),45868.0)</f>
        <v>45868</v>
      </c>
      <c r="M1364" s="7" t="str">
        <f>IFERROR(__xludf.DUMMYFUNCTION("""COMPUTED_VALUE"""),"11:00-12:30")</f>
        <v>11:00-12:30</v>
      </c>
      <c r="N1364" s="7"/>
    </row>
    <row r="1365">
      <c r="A1365" s="7" t="str">
        <f>IFERROR(__xludf.DUMMYFUNCTION("""COMPUTED_VALUE"""),"4966-FIND")</f>
        <v>4966-FIND</v>
      </c>
      <c r="B1365" s="7" t="str">
        <f>IFERROR(__xludf.DUMMYFUNCTION("""COMPUTED_VALUE"""),"LIST: Linearly Incremental SQL Translator for Single-Hop Reasoning, Generation and Verification")</f>
        <v>LIST: Linearly Incremental SQL Translator for Single-Hop Reasoning, Generation and Verification</v>
      </c>
      <c r="C1365" s="7" t="str">
        <f>IFERROR(__xludf.DUMMYFUNCTION("""COMPUTED_VALUE"""),"SQL languages often feature nested structures that require robust interaction with databases. Aside from the well-validated schema linking methods on PLMs and LLMs, we introduce the Linearly Incremental SQL Translator (LIST), a novel algorithmic toolkit d"&amp;"esigned to leverage the notable reasoning and tool interaction capabilities inherent in LLMs. LIST transforms complex SQL queries into grammatically verifiable sub-queries which are arranged sequentially to reflect single-hop reasoning steps, enhancing bo"&amp;"th the granularity and accuracy of database interactions. With in-context learning, our experiments demonstrated significant improvements, achieving notable performance of 60.56% and 56.32% on the BIRD dataset with GPT-4o and Llama-3-70B-Instruct. To the "&amp;"best of our knowledge, this achieves SOTA performance among non-schema linking methods, also surpassing a series of schema linking based approaches at a comparable or better cost.")</f>
        <v>SQL languages often feature nested structures that require robust interaction with databases. Aside from the well-validated schema linking methods on PLMs and LLMs, we introduce the Linearly Incremental SQL Translator (LIST), a novel algorithmic toolkit designed to leverage the notable reasoning and tool interaction capabilities inherent in LLMs. LIST transforms complex SQL queries into grammatically verifiable sub-queries which are arranged sequentially to reflect single-hop reasoning steps, enhancing both the granularity and accuracy of database interactions. With in-context learning, our experiments demonstrated significant improvements, achieving notable performance of 60.56% and 56.32% on the BIRD dataset with GPT-4o and Llama-3-70B-Instruct. To the best of our knowledge, this achieves SOTA performance among non-schema linking methods, also surpassing a series of schema linking based approaches at a comparable or better cost.</v>
      </c>
      <c r="D1365" s="7" t="str">
        <f>IFERROR(__xludf.DUMMYFUNCTION("""COMPUTED_VALUE"""),"None")</f>
        <v>None</v>
      </c>
      <c r="E1365" s="7" t="str">
        <f>IFERROR(__xludf.DUMMYFUNCTION("""COMPUTED_VALUE"""),"#N/A")</f>
        <v>#N/A</v>
      </c>
      <c r="F1365" s="7" t="str">
        <f>IFERROR(__xludf.DUMMYFUNCTION("""COMPUTED_VALUE"""),"Not Pres. ")</f>
        <v>Not Pres. </v>
      </c>
      <c r="G1365" s="7" t="str">
        <f>IFERROR(__xludf.DUMMYFUNCTION("""COMPUTED_VALUE"""),"NP Findings Not Presenting ")</f>
        <v>NP Findings Not Presenting </v>
      </c>
      <c r="H1365" s="7"/>
      <c r="I1365" s="7" t="str">
        <f>IFERROR(__xludf.DUMMYFUNCTION("""COMPUTED_VALUE"""),"NP-Find")</f>
        <v>NP-Find</v>
      </c>
      <c r="J1365" s="7"/>
      <c r="K1365" s="7"/>
      <c r="L1365" s="8"/>
      <c r="M1365" s="7"/>
      <c r="N1365" s="7"/>
    </row>
    <row r="1366">
      <c r="A1366" s="7" t="str">
        <f>IFERROR(__xludf.DUMMYFUNCTION("""COMPUTED_VALUE"""),"4975-FIND")</f>
        <v>4975-FIND</v>
      </c>
      <c r="B1366" s="7" t="str">
        <f>IFERROR(__xludf.DUMMYFUNCTION("""COMPUTED_VALUE"""),"MAGI: Multi-Agent Guided Interview for Psychiatric Assessment")</f>
        <v>MAGI: Multi-Agent Guided Interview for Psychiatric Assessment</v>
      </c>
      <c r="C1366" s="7" t="str">
        <f>IFERROR(__xludf.DUMMYFUNCTION("""COMPUTED_VALUE"""),"Automating structured clinical interviews could revolutionize mental healthcare accessibility, yet existing large language models (LLMs) approaches fail to align with psychiatric diagnostic protocols. We present MAGI, the first framework that transforms t"&amp;"he gold-standard Mini International Neuropsychiatric Interview (MINI) into automatic computational workflows through coordinated multi-agent collaboration. MAGI dynamically navigates clinical logic via four specialized agents: 1) an interview tree guided "&amp;"navigation agent adhering to the MINI's branching structure, 2) an adaptive question agent blending diagnostic probing, explaining, and empathy, 3) a judgment agent validating whether the response from participants meet the node, and 4) a diagnosis Agent "&amp;"generating Psychometric Chain-of- Thought (PsyCoT) traces that explicitly map symptoms to clinical criteria. Experimental results on 1,002 real-world participants covering depression, generalized anxiety, social anxiety and suicide shows that MAGI advance"&amp;"s LLM- assisted mental health assessment by combining clinical rigor, conversational adaptability, and explainable reasoning.")</f>
        <v>Automating structured clinical interviews could revolutionize mental healthcare accessibility, yet existing large language models (LLMs) approaches fail to align with psychiatric diagnostic protocols. We present MAGI, the first framework that transforms the gold-standard Mini International Neuropsychiatric Interview (MINI) into automatic computational workflows through coordinated multi-agent collaboration. MAGI dynamically navigates clinical logic via four specialized agents: 1) an interview tree guided navigation agent adhering to the MINI's branching structure, 2) an adaptive question agent blending diagnostic probing, explaining, and empathy, 3) a judgment agent validating whether the response from participants meet the node, and 4) a diagnosis Agent generating Psychometric Chain-of- Thought (PsyCoT) traces that explicitly map symptoms to clinical criteria. Experimental results on 1,002 real-world participants covering depression, generalized anxiety, social anxiety and suicide shows that MAGI advances LLM- assisted mental health assessment by combining clinical rigor, conversational adaptability, and explainable reasoning.</v>
      </c>
      <c r="D1366" s="7" t="str">
        <f>IFERROR(__xludf.DUMMYFUNCTION("""COMPUTED_VALUE"""),"N/A")</f>
        <v>N/A</v>
      </c>
      <c r="E1366" s="7" t="str">
        <f>IFERROR(__xludf.DUMMYFUNCTION("""COMPUTED_VALUE"""),"#N/A")</f>
        <v>#N/A</v>
      </c>
      <c r="F1366" s="7" t="str">
        <f>IFERROR(__xludf.DUMMYFUNCTION("""COMPUTED_VALUE"""),"Not Pres. ")</f>
        <v>Not Pres. </v>
      </c>
      <c r="G1366" s="7" t="str">
        <f>IFERROR(__xludf.DUMMYFUNCTION("""COMPUTED_VALUE"""),"NP Findings Not Presenting ")</f>
        <v>NP Findings Not Presenting </v>
      </c>
      <c r="H1366" s="7"/>
      <c r="I1366" s="7" t="str">
        <f>IFERROR(__xludf.DUMMYFUNCTION("""COMPUTED_VALUE"""),"NP-Find")</f>
        <v>NP-Find</v>
      </c>
      <c r="J1366" s="7"/>
      <c r="K1366" s="7"/>
      <c r="L1366" s="8"/>
      <c r="M1366" s="7"/>
      <c r="N1366" s="7"/>
    </row>
    <row r="1367">
      <c r="A1367" s="7" t="str">
        <f>IFERROR(__xludf.DUMMYFUNCTION("""COMPUTED_VALUE"""),"4981-FIND")</f>
        <v>4981-FIND</v>
      </c>
      <c r="B1367" s="7" t="str">
        <f>IFERROR(__xludf.DUMMYFUNCTION("""COMPUTED_VALUE"""),"TituLLMs: A Family of Bangla LLMs with Comprehensive Benchmarking")</f>
        <v>TituLLMs: A Family of Bangla LLMs with Comprehensive Benchmarking</v>
      </c>
      <c r="C1367" s="7" t="str">
        <f>IFERROR(__xludf.DUMMYFUNCTION("""COMPUTED_VALUE"""),"In this paper, we present TituLLMs, the first large pretrained Bangla LLMs, available in 1b and 3b parameter sizes. Due to computational constraints during both training and inference, we focused on smaller models. To train TituLLMs, we collected a pretra"&amp;"ining dataset of approximately ∼ 37 billion tokens. We extended the Llama-3.2 tokenizer to incorporate language- and culture-specific knowledge, which also enables faster training and inference. There was a lack of benchmarking datasets to benchmark LLMs "&amp;"for Bangla. To address this gap, we developed five benchmarking datasets. We benchmarked various LLMs, including TituLLMs, and demonstrated that TituLLMs outperforms its initial multilingual versions. However, this is not always the case, highlighting the"&amp;" complexities of language adaptation. Our work lays the groundwork for adapting existing multilingual open models to other low-resource languages. To facilitate broader adoption and further research, we have made the TituLLMs models and benchmarking datas"&amp;"ets publicly available.")</f>
        <v>In this paper, we present TituLLMs, the first large pretrained Bangla LLMs, available in 1b and 3b parameter sizes. Due to computational constraints during both training and inference, we focused on smaller models. To train TituLLMs, we collected a pretraining dataset of approximately ∼ 37 billion tokens. We extended the Llama-3.2 tokenizer to incorporate language- and culture-specific knowledge, which also enables faster training and inference. There was a lack of benchmarking datasets to benchmark LLMs for Bangla. To address this gap, we developed five benchmarking datasets. We benchmarked various LLMs, including TituLLMs, and demonstrated that TituLLMs outperforms its initial multilingual versions. However, this is not always the case, highlighting the complexities of language adaptation. Our work lays the groundwork for adapting existing multilingual open models to other low-resource languages. To facilitate broader adoption and further research, we have made the TituLLMs models and benchmarking datasets publicly available.</v>
      </c>
      <c r="D1367" s="7" t="str">
        <f>IFERROR(__xludf.DUMMYFUNCTION("""COMPUTED_VALUE"""),"Firoj Alam")</f>
        <v>Firoj Alam</v>
      </c>
      <c r="E1367" s="7" t="str">
        <f>IFERROR(__xludf.DUMMYFUNCTION("""COMPUTED_VALUE"""),"Yes")</f>
        <v>Yes</v>
      </c>
      <c r="F1367" s="7" t="str">
        <f>IFERROR(__xludf.DUMMYFUNCTION("""COMPUTED_VALUE"""),"IP-Poster")</f>
        <v>IP-Poster</v>
      </c>
      <c r="G1367" s="7" t="str">
        <f>IFERROR(__xludf.DUMMYFUNCTION("""COMPUTED_VALUE"""),"In-Person")</f>
        <v>In-Person</v>
      </c>
      <c r="H1367" s="7" t="str">
        <f>IFERROR(__xludf.DUMMYFUNCTION("""COMPUTED_VALUE"""),"Hall 4/5")</f>
        <v>Hall 4/5</v>
      </c>
      <c r="I1367" s="7" t="str">
        <f>IFERROR(__xludf.DUMMYFUNCTION("""COMPUTED_VALUE"""),"Session 5 :IP-Posters Find ")</f>
        <v>Session 5 :IP-Posters Find </v>
      </c>
      <c r="J1367" s="7" t="str">
        <f>IFERROR(__xludf.DUMMYFUNCTION("""COMPUTED_VALUE"""),"Findings Posters - In-Person 1")</f>
        <v>Findings Posters - In-Person 1</v>
      </c>
      <c r="K1367" s="7"/>
      <c r="L1367" s="8">
        <f>IFERROR(__xludf.DUMMYFUNCTION("""COMPUTED_VALUE"""),45866.0)</f>
        <v>45866</v>
      </c>
      <c r="M1367" s="7" t="str">
        <f>IFERROR(__xludf.DUMMYFUNCTION("""COMPUTED_VALUE"""),"18:00-19:30")</f>
        <v>18:00-19:30</v>
      </c>
      <c r="N1367" s="7"/>
    </row>
    <row r="1368">
      <c r="A1368" s="7" t="str">
        <f>IFERROR(__xludf.DUMMYFUNCTION("""COMPUTED_VALUE"""),"4987-FIND")</f>
        <v>4987-FIND</v>
      </c>
      <c r="B1368" s="7" t="str">
        <f>IFERROR(__xludf.DUMMYFUNCTION("""COMPUTED_VALUE"""),"WikiMixQA: A Multimodal Benchmark for Question Answering over Tables and Charts")</f>
        <v>WikiMixQA: A Multimodal Benchmark for Question Answering over Tables and Charts</v>
      </c>
      <c r="C1368" s="7" t="str">
        <f>IFERROR(__xludf.DUMMYFUNCTION("""COMPUTED_VALUE"""),"Documents are fundamental to preserving and disseminating information, often incorporating complex layouts, tables, and charts that pose significant challenges for automatic document understanding (DU). While vision-language large models (VLLMs) have demo"&amp;"nstrated improvements across various tasks, their effectiveness in processing long-context vision inputs remains unclear. This paper introduces WikiMixQA, a benchmark comprising 1,000 multiple-choice questions (MCQs) designed to evaluate cross-modal reaso"&amp;"ning over tables and charts extracted from 4,000 Wikipedia pages spanning seven distinct topics. Unlike existing benchmarks, WikiMixQA emphasizes complex reasoning by requiring models to synthesize information from multiple modalities. We evaluate 12 stat"&amp;"e-of-the-art vision-language models, revealing that while proprietary models achieve ~70% accuracy when provided with direct context, their performance deteriorates significantly when retrieval from long documents is required. Among these, GPT-4-o is the "&amp;"only model exceeding 50% accuracy in this setting, whereas open-source models perform considerably worse, with a maximum accuracy of 27%. These findings underscore the challenges of long-context, multi-modal reasoning and establish WikiMixQA as a crucial "&amp;"benchmark for advancing document understanding research.")</f>
        <v>Documents are fundamental to preserving and disseminating information, often incorporating complex layouts, tables, and charts that pose significant challenges for automatic document understanding (DU). While vision-language large models (VLLMs) have demonstrated improvements across various tasks, their effectiveness in processing long-context vision inputs remains unclear. This paper introduces WikiMixQA, a benchmark comprising 1,000 multiple-choice questions (MCQs) designed to evaluate cross-modal reasoning over tables and charts extracted from 4,000 Wikipedia pages spanning seven distinct topics. Unlike existing benchmarks, WikiMixQA emphasizes complex reasoning by requiring models to synthesize information from multiple modalities. We evaluate 12 state-of-the-art vision-language models, revealing that while proprietary models achieve ~70% accuracy when provided with direct context, their performance deteriorates significantly when retrieval from long documents is required. Among these, GPT-4-o is the only model exceeding 50% accuracy in this setting, whereas open-source models perform considerably worse, with a maximum accuracy of 27%. These findings underscore the challenges of long-context, multi-modal reasoning and establish WikiMixQA as a crucial benchmark for advancing document understanding research.</v>
      </c>
      <c r="D1368" s="7" t="str">
        <f>IFERROR(__xludf.DUMMYFUNCTION("""COMPUTED_VALUE"""),"Negar Foroutan")</f>
        <v>Negar Foroutan</v>
      </c>
      <c r="E1368" s="7" t="str">
        <f>IFERROR(__xludf.DUMMYFUNCTION("""COMPUTED_VALUE"""),"Yes")</f>
        <v>Yes</v>
      </c>
      <c r="F1368" s="7" t="str">
        <f>IFERROR(__xludf.DUMMYFUNCTION("""COMPUTED_VALUE"""),"IP-Poster")</f>
        <v>IP-Poster</v>
      </c>
      <c r="G1368" s="7" t="str">
        <f>IFERROR(__xludf.DUMMYFUNCTION("""COMPUTED_VALUE"""),"In-Person")</f>
        <v>In-Person</v>
      </c>
      <c r="H1368" s="7" t="str">
        <f>IFERROR(__xludf.DUMMYFUNCTION("""COMPUTED_VALUE"""),"Hall 4/5")</f>
        <v>Hall 4/5</v>
      </c>
      <c r="I1368" s="7" t="str">
        <f>IFERROR(__xludf.DUMMYFUNCTION("""COMPUTED_VALUE"""),"Session 12: IP-Posters")</f>
        <v>Session 12: IP-Posters</v>
      </c>
      <c r="J1368" s="7" t="str">
        <f>IFERROR(__xludf.DUMMYFUNCTION("""COMPUTED_VALUE"""),"Findings Posters - In-Person 4")</f>
        <v>Findings Posters - In-Person 4</v>
      </c>
      <c r="K1368" s="7"/>
      <c r="L1368" s="8">
        <f>IFERROR(__xludf.DUMMYFUNCTION("""COMPUTED_VALUE"""),45868.0)</f>
        <v>45868</v>
      </c>
      <c r="M1368" s="7" t="str">
        <f>IFERROR(__xludf.DUMMYFUNCTION("""COMPUTED_VALUE"""),"11:00-12:30")</f>
        <v>11:00-12:30</v>
      </c>
      <c r="N1368" s="7"/>
    </row>
    <row r="1369">
      <c r="A1369" s="7" t="str">
        <f>IFERROR(__xludf.DUMMYFUNCTION("""COMPUTED_VALUE"""),"4991-FIND")</f>
        <v>4991-FIND</v>
      </c>
      <c r="B1369" s="7" t="str">
        <f>IFERROR(__xludf.DUMMYFUNCTION("""COMPUTED_VALUE"""),"Let’s Fuse Step by Step: A Generative Fusion Decoding Algorithm with LLMs for Robust and Instruction-Aware ASR and OCR")</f>
        <v>Let’s Fuse Step by Step: A Generative Fusion Decoding Algorithm with LLMs for Robust and Instruction-Aware ASR and OCR</v>
      </c>
      <c r="C1369" s="7" t="str">
        <f>IFERROR(__xludf.DUMMYFUNCTION("""COMPUTED_VALUE"""),"We introduce ""Generative Fusion Decoding'' (GFD), a novel shallow fusion framework designed to integrate large language models (LLMs) into cross-modal text recognition systems, such as automatic speech recognition (ASR) and optical character recognition "&amp;"(OCR). GFD is methodologically orthogonal to prior work and operates across mismatched token spaces of different models by calculating likelihood at the byte level, enabling seamless fusion during the decoding process. This plug-and-play framework is comp"&amp;"atible with various auto-regressive models and does not require re-training for feature alignment or two-pass strategies. GFD offers two key benefits with LLM interaction: effective domain adaptation using in-context learning, and maintaining contextual s"&amp;"emantics over long-form audio. These advantages have been shown to effectively reduce error rates for ASR in both English and Chinese. Additionally, GFD's extensibility goes beyond prior work as exhibited in significant improvement on instructed speech re"&amp;"cognition tasks and OCR, which have not been reported before. Finally, we provide a time complexity analysis demonstrating the efficiency of GFD, highlighting its potential in real-time error correction. Overall, GFD parallely integrates LLMs into text re"&amp;"cognition systems, enhancing accuracy and domain adaptativeness while maintaining decoding efficiency.")</f>
        <v>We introduce "Generative Fusion Decoding'' (GFD), a novel shallow fusion framework designed to integrate large language models (LLMs) into cross-modal text recognition systems, such as automatic speech recognition (ASR) and optical character recognition (OCR). GFD is methodologically orthogonal to prior work and operates across mismatched token spaces of different models by calculating likelihood at the byte level, enabling seamless fusion during the decoding process. This plug-and-play framework is compatible with various auto-regressive models and does not require re-training for feature alignment or two-pass strategies. GFD offers two key benefits with LLM interaction: effective domain adaptation using in-context learning, and maintaining contextual semantics over long-form audio. These advantages have been shown to effectively reduce error rates for ASR in both English and Chinese. Additionally, GFD's extensibility goes beyond prior work as exhibited in significant improvement on instructed speech recognition tasks and OCR, which have not been reported before. Finally, we provide a time complexity analysis demonstrating the efficiency of GFD, highlighting its potential in real-time error correction. Overall, GFD parallely integrates LLMs into text recognition systems, enhancing accuracy and domain adaptativeness while maintaining decoding efficiency.</v>
      </c>
      <c r="D1369" s="7" t="str">
        <f>IFERROR(__xludf.DUMMYFUNCTION("""COMPUTED_VALUE"""),"Chan-Jan Hsu")</f>
        <v>Chan-Jan Hsu</v>
      </c>
      <c r="E1369" s="7" t="str">
        <f>IFERROR(__xludf.DUMMYFUNCTION("""COMPUTED_VALUE"""),"Yes")</f>
        <v>Yes</v>
      </c>
      <c r="F1369" s="7" t="str">
        <f>IFERROR(__xludf.DUMMYFUNCTION("""COMPUTED_VALUE"""),"IP-Poster")</f>
        <v>IP-Poster</v>
      </c>
      <c r="G1369" s="7" t="str">
        <f>IFERROR(__xludf.DUMMYFUNCTION("""COMPUTED_VALUE"""),"In-Person")</f>
        <v>In-Person</v>
      </c>
      <c r="H1369" s="7" t="str">
        <f>IFERROR(__xludf.DUMMYFUNCTION("""COMPUTED_VALUE"""),"Hall 4/5")</f>
        <v>Hall 4/5</v>
      </c>
      <c r="I1369" s="7" t="str">
        <f>IFERROR(__xludf.DUMMYFUNCTION("""COMPUTED_VALUE"""),"Session 10: IP-Posters")</f>
        <v>Session 10: IP-Posters</v>
      </c>
      <c r="J1369" s="7" t="str">
        <f>IFERROR(__xludf.DUMMYFUNCTION("""COMPUTED_VALUE"""),"Findings Posters - In-Person 3")</f>
        <v>Findings Posters - In-Person 3</v>
      </c>
      <c r="K1369" s="7"/>
      <c r="L1369" s="8">
        <f>IFERROR(__xludf.DUMMYFUNCTION("""COMPUTED_VALUE"""),45867.0)</f>
        <v>45867</v>
      </c>
      <c r="M1369" s="7" t="str">
        <f>IFERROR(__xludf.DUMMYFUNCTION("""COMPUTED_VALUE"""),"16:00-17:30")</f>
        <v>16:00-17:30</v>
      </c>
      <c r="N1369" s="7"/>
    </row>
    <row r="1370">
      <c r="A1370" s="7" t="str">
        <f>IFERROR(__xludf.DUMMYFUNCTION("""COMPUTED_VALUE"""),"4994-FIND")</f>
        <v>4994-FIND</v>
      </c>
      <c r="B1370" s="7" t="str">
        <f>IFERROR(__xludf.DUMMYFUNCTION("""COMPUTED_VALUE"""),"HPSS: Heuristic Prompting Strategy Search for LLM Evaluators")</f>
        <v>HPSS: Heuristic Prompting Strategy Search for LLM Evaluators</v>
      </c>
      <c r="C1370" s="7" t="str">
        <f>IFERROR(__xludf.DUMMYFUNCTION("""COMPUTED_VALUE"""),"Since the adoption of large language models (LLMs) for text evaluation has become increasingly prevalent in the field of natural language processing (NLP), a series of existing works attempt to optimize the prompts for LLM evaluators to improve their alig"&amp;"nment with human judgment. However, their efforts are limited to optimizing individual factors of evaluation prompts, such as evaluation criteria or output formats, neglecting the combinatorial impact of multiple factors, which leads to insufficient optim"&amp;"ization of the evaluation pipeline. Nevertheless, identifying well-behaved prompting strategies for adjusting multiple factors requires extensive enumeration. To this end, we comprehensively integrate 8 key factors for evaluation prompts and propose a nov"&amp;"el automatic prompting strategy optimization method called Heuristic Prompting Strategy Search (HPSS). Inspired by the genetic algorithm, HPSS conducts an iterative search to find well-behaved prompting strategies for LLM evaluators. A heuristic function "&amp;"is employed to guide the search process, enhancing the performance of our algorithm. Extensive experiments across four evaluation tasks demonstrate the effectiveness of HPSS, consistently outperforming both human-designed evaluation prompts and existing a"&amp;"utomatic prompt optimization methods.")</f>
        <v>Since the adoption of large language models (LLMs) for text evaluation has become increasingly prevalent in the field of natural language processing (NLP), a series of existing works attempt to optimize the prompts for LLM evaluators to improve their alignment with human judgment. However, their efforts are limited to optimizing individual factors of evaluation prompts, such as evaluation criteria or output formats, neglecting the combinatorial impact of multiple factors, which leads to insufficient optimization of the evaluation pipeline. Nevertheless, identifying well-behaved prompting strategies for adjusting multiple factors requires extensive enumeration. To this end, we comprehensively integrate 8 key factors for evaluation prompts and propose a novel automatic prompting strategy optimization method called Heuristic Prompting Strategy Search (HPSS). Inspired by the genetic algorithm, HPSS conducts an iterative search to find well-behaved prompting strategies for LLM evaluators. A heuristic function is employed to guide the search process, enhancing the performance of our algorithm. Extensive experiments across four evaluation tasks demonstrate the effectiveness of HPSS, consistently outperforming both human-designed evaluation prompts and existing automatic prompt optimization methods.</v>
      </c>
      <c r="D1370" s="7" t="str">
        <f>IFERROR(__xludf.DUMMYFUNCTION("""COMPUTED_VALUE"""),"Bosi Wen")</f>
        <v>Bosi Wen</v>
      </c>
      <c r="E1370" s="7" t="str">
        <f>IFERROR(__xludf.DUMMYFUNCTION("""COMPUTED_VALUE"""),"Balance Due $100")</f>
        <v>Balance Due $100</v>
      </c>
      <c r="F1370" s="7" t="str">
        <f>IFERROR(__xludf.DUMMYFUNCTION("""COMPUTED_VALUE"""),"V-Presentation")</f>
        <v>V-Presentation</v>
      </c>
      <c r="G1370" s="7" t="str">
        <f>IFERROR(__xludf.DUMMYFUNCTION("""COMPUTED_VALUE"""),"Virtual/Gather")</f>
        <v>Virtual/Gather</v>
      </c>
      <c r="H1370" s="7" t="str">
        <f>IFERROR(__xludf.DUMMYFUNCTION("""COMPUTED_VALUE"""),"Gather")</f>
        <v>Gather</v>
      </c>
      <c r="I1370" s="7" t="str">
        <f>IFERROR(__xludf.DUMMYFUNCTION("""COMPUTED_VALUE"""),"Session5: V-Gather Find")</f>
        <v>Session5: V-Gather Find</v>
      </c>
      <c r="J1370" s="7" t="str">
        <f>IFERROR(__xludf.DUMMYFUNCTION("""COMPUTED_VALUE"""),"Findings Posters - Virtual")</f>
        <v>Findings Posters - Virtual</v>
      </c>
      <c r="K1370" s="7"/>
      <c r="L1370" s="8">
        <f>IFERROR(__xludf.DUMMYFUNCTION("""COMPUTED_VALUE"""),45866.0)</f>
        <v>45866</v>
      </c>
      <c r="M1370" s="7" t="str">
        <f>IFERROR(__xludf.DUMMYFUNCTION("""COMPUTED_VALUE"""),"18:00-19:30")</f>
        <v>18:00-19:30</v>
      </c>
      <c r="N1370" s="7"/>
    </row>
    <row r="1371">
      <c r="A1371" s="7" t="str">
        <f>IFERROR(__xludf.DUMMYFUNCTION("""COMPUTED_VALUE"""),"5007-FIND")</f>
        <v>5007-FIND</v>
      </c>
      <c r="B1371" s="7" t="str">
        <f>IFERROR(__xludf.DUMMYFUNCTION("""COMPUTED_VALUE"""),"A Fully Generative Motivational Interviewing Counsellor Chatbot for Moving Smokers Towards the Decision to Quit")</f>
        <v>A Fully Generative Motivational Interviewing Counsellor Chatbot for Moving Smokers Towards the Decision to Quit</v>
      </c>
      <c r="C1371" s="7" t="str">
        <f>IFERROR(__xludf.DUMMYFUNCTION("""COMPUTED_VALUE"""),"The conversational capabilities of Large Language Models (LLMs) suggest that they may be able to perform as automated talk therapists. It is crucial to know if these systems would be effective and adhere to known standards. We present a counsellor chatbot"&amp;" that focuses on motivating tobacco smokers to quit smoking. It uses a state-of-the-art LLM and a widely applied therapeutic approach called Motivational Interviewing (MI), and was evolved in collaboration with clinician-scientists with expertise in MI. W"&amp;"e also describe and validate an automated assessment of both the chatbot's adherence to MI and client responses. The chatbot was tested on 106 participants, and their confidence that they could succeed in quitting smoking was measured before the conversat"&amp;"ion and one week later. Participants' confidence increased by an average of 1.7 on a 0-10 scale. The automated assessment of the chatbot showed adherence to MI standards in 98% of utterances, higher than human counsellors. The chatbot scored well on a par"&amp;"ticipant-reported metric of perceived empathy but lower than typical human counsellors. Furthermore, participants' language indicated a good level of motivation to change, a key goal in MI. These results suggest that the automation of talk therapy with a "&amp;"modern LLM has promise.")</f>
        <v>The conversational capabilities of Large Language Models (LLMs) suggest that they may be able to perform as automated talk therapists. It is crucial to know if these systems would be effective and adhere to known standards. We present a counsellor chatbot that focuses on motivating tobacco smokers to quit smoking. It uses a state-of-the-art LLM and a widely applied therapeutic approach called Motivational Interviewing (MI), and was evolved in collaboration with clinician-scientists with expertise in MI. We also describe and validate an automated assessment of both the chatbot's adherence to MI and client responses. The chatbot was tested on 106 participants, and their confidence that they could succeed in quitting smoking was measured before the conversation and one week later. Participants' confidence increased by an average of 1.7 on a 0-10 scale. The automated assessment of the chatbot showed adherence to MI standards in 98% of utterances, higher than human counsellors. The chatbot scored well on a participant-reported metric of perceived empathy but lower than typical human counsellors. Furthermore, participants' language indicated a good level of motivation to change, a key goal in MI. These results suggest that the automation of talk therapy with a modern LLM has promise.</v>
      </c>
      <c r="D1371" s="7" t="str">
        <f>IFERROR(__xludf.DUMMYFUNCTION("""COMPUTED_VALUE"""),"Zafarullah Mahmood")</f>
        <v>Zafarullah Mahmood</v>
      </c>
      <c r="E1371" s="7" t="str">
        <f>IFERROR(__xludf.DUMMYFUNCTION("""COMPUTED_VALUE"""),"Yes")</f>
        <v>Yes</v>
      </c>
      <c r="F1371" s="7" t="str">
        <f>IFERROR(__xludf.DUMMYFUNCTION("""COMPUTED_VALUE"""),"IP-Poster")</f>
        <v>IP-Poster</v>
      </c>
      <c r="G1371" s="7" t="str">
        <f>IFERROR(__xludf.DUMMYFUNCTION("""COMPUTED_VALUE"""),"In-Person")</f>
        <v>In-Person</v>
      </c>
      <c r="H1371" s="7" t="str">
        <f>IFERROR(__xludf.DUMMYFUNCTION("""COMPUTED_VALUE"""),"Hall 4/5")</f>
        <v>Hall 4/5</v>
      </c>
      <c r="I1371" s="7" t="str">
        <f>IFERROR(__xludf.DUMMYFUNCTION("""COMPUTED_VALUE"""),"Session 5 :IP-Posters Find ")</f>
        <v>Session 5 :IP-Posters Find </v>
      </c>
      <c r="J1371" s="7" t="str">
        <f>IFERROR(__xludf.DUMMYFUNCTION("""COMPUTED_VALUE"""),"Findings Posters - In-Person 1")</f>
        <v>Findings Posters - In-Person 1</v>
      </c>
      <c r="K1371" s="7"/>
      <c r="L1371" s="8">
        <f>IFERROR(__xludf.DUMMYFUNCTION("""COMPUTED_VALUE"""),45866.0)</f>
        <v>45866</v>
      </c>
      <c r="M1371" s="7" t="str">
        <f>IFERROR(__xludf.DUMMYFUNCTION("""COMPUTED_VALUE"""),"18:00-19:30")</f>
        <v>18:00-19:30</v>
      </c>
      <c r="N1371" s="7"/>
    </row>
    <row r="1372">
      <c r="A1372" s="7" t="str">
        <f>IFERROR(__xludf.DUMMYFUNCTION("""COMPUTED_VALUE"""),"5008-FIND")</f>
        <v>5008-FIND</v>
      </c>
      <c r="B1372" s="7" t="str">
        <f>IFERROR(__xludf.DUMMYFUNCTION("""COMPUTED_VALUE"""),"LegalCore: A Dataset for Event Coreference Resolution in Legal Documents")</f>
        <v>LegalCore: A Dataset for Event Coreference Resolution in Legal Documents</v>
      </c>
      <c r="C1372" s="7" t="str">
        <f>IFERROR(__xludf.DUMMYFUNCTION("""COMPUTED_VALUE"""),"Recognizing events and their coreferential mentions in a document is essential for understanding semantic meanings of text. The existing research on event coreference resolution is mostly limited to news articles. In this paper, we present the first datas"&amp;"et for the legal domain, LegalCore, which has been annotated with comprehensive event and event coreference information. The legal contract documents we annotated in this dataset are several times longer than news articles, with an average length of aroun"&amp;"d 25k tokens per document. The annotations show that legal documents have dense event mentions and feature both short-distance and super long-distance coreference links between event mentions. We further benchmark mainstream Large Language Models (LLMs) o"&amp;"n this dataset for both event detection and event coreference resolution tasks, and find that this dataset poses significant challenges for state-of-the-art open-source and proprietary LLMs, which perform significantly worse than a supervised baseline. We"&amp;" will publish the dataset as well as the code.")</f>
        <v>Recognizing events and their coreferential mentions in a document is essential for understanding semantic meanings of text. The existing research on event coreference resolution is mostly limited to news articles. In this paper, we present the first dataset for the legal domain, LegalCore, which has been annotated with comprehensive event and event coreference information. The legal contract documents we annotated in this dataset are several times longer than news articles, with an average length of around 25k tokens per document. The annotations show that legal documents have dense event mentions and feature both short-distance and super long-distance coreference links between event mentions. We further benchmark mainstream Large Language Models (LLMs) on this dataset for both event detection and event coreference resolution tasks, and find that this dataset poses significant challenges for state-of-the-art open-source and proprietary LLMs, which perform significantly worse than a supervised baseline. We will publish the dataset as well as the code.</v>
      </c>
      <c r="D1372" s="7" t="str">
        <f>IFERROR(__xludf.DUMMYFUNCTION("""COMPUTED_VALUE"""),"Kangda Wei")</f>
        <v>Kangda Wei</v>
      </c>
      <c r="E1372" s="7" t="str">
        <f>IFERROR(__xludf.DUMMYFUNCTION("""COMPUTED_VALUE"""),"Yes")</f>
        <v>Yes</v>
      </c>
      <c r="F1372" s="7" t="str">
        <f>IFERROR(__xludf.DUMMYFUNCTION("""COMPUTED_VALUE"""),"V-Presentation")</f>
        <v>V-Presentation</v>
      </c>
      <c r="G1372" s="7" t="str">
        <f>IFERROR(__xludf.DUMMYFUNCTION("""COMPUTED_VALUE"""),"Virtual/Gather")</f>
        <v>Virtual/Gather</v>
      </c>
      <c r="H1372" s="7" t="str">
        <f>IFERROR(__xludf.DUMMYFUNCTION("""COMPUTED_VALUE"""),"Gather")</f>
        <v>Gather</v>
      </c>
      <c r="I1372" s="7" t="str">
        <f>IFERROR(__xludf.DUMMYFUNCTION("""COMPUTED_VALUE"""),"Session5: V-Gather Find")</f>
        <v>Session5: V-Gather Find</v>
      </c>
      <c r="J1372" s="7" t="str">
        <f>IFERROR(__xludf.DUMMYFUNCTION("""COMPUTED_VALUE"""),"Findings Posters - Virtual")</f>
        <v>Findings Posters - Virtual</v>
      </c>
      <c r="K1372" s="7"/>
      <c r="L1372" s="8">
        <f>IFERROR(__xludf.DUMMYFUNCTION("""COMPUTED_VALUE"""),45866.0)</f>
        <v>45866</v>
      </c>
      <c r="M1372" s="7" t="str">
        <f>IFERROR(__xludf.DUMMYFUNCTION("""COMPUTED_VALUE"""),"18:00-19:30")</f>
        <v>18:00-19:30</v>
      </c>
      <c r="N1372" s="7"/>
    </row>
    <row r="1373">
      <c r="A1373" s="7" t="str">
        <f>IFERROR(__xludf.DUMMYFUNCTION("""COMPUTED_VALUE"""),"5009-FIND")</f>
        <v>5009-FIND</v>
      </c>
      <c r="B1373" s="7" t="str">
        <f>IFERROR(__xludf.DUMMYFUNCTION("""COMPUTED_VALUE"""),"Rectifying Belief Space via Unlearning to Harness LLMs' Reasoning")</f>
        <v>Rectifying Belief Space via Unlearning to Harness LLMs' Reasoning</v>
      </c>
      <c r="C1373" s="7" t="str">
        <f>IFERROR(__xludf.DUMMYFUNCTION("""COMPUTED_VALUE"""),"Large Language Models (LLMs) exhibit sophisticated reasoning yet still generate incorrect answers. We attribute these errors to **Spurious Beliefs**, defined as propositions the model internally considers as true despite being factually false. 
To reduce"&amp;" reasoning errors, we propose a belief space rectification framework. Our method first identifies the beliefs invoked during inference via an explanation‑based approach with Forward‑Backward Beam Search (FBBS). We subsequently apply unlearning via gradien"&amp;"t ascent to suppress spurious beliefs and enhance true ones, thereby effectively rectifying the model’s belief space. 
Experiments on three QA datasets and three LLMs show that our method significantly reduces erroneous reasoning and improves generalizat"&amp;"ion.")</f>
        <v>Large Language Models (LLMs) exhibit sophisticated reasoning yet still generate incorrect answers. We attribute these errors to **Spurious Beliefs**, defined as propositions the model internally considers as true despite being factually false. 
To reduce reasoning errors, we propose a belief space rectification framework. Our method first identifies the beliefs invoked during inference via an explanation‑based approach with Forward‑Backward Beam Search (FBBS). We subsequently apply unlearning via gradient ascent to suppress spurious beliefs and enhance true ones, thereby effectively rectifying the model’s belief space. 
Experiments on three QA datasets and three LLMs show that our method significantly reduces erroneous reasoning and improves generalization.</v>
      </c>
      <c r="D1373" s="7" t="str">
        <f>IFERROR(__xludf.DUMMYFUNCTION("""COMPUTED_VALUE"""),"Ayana Niwa")</f>
        <v>Ayana Niwa</v>
      </c>
      <c r="E1373" s="7" t="str">
        <f>IFERROR(__xludf.DUMMYFUNCTION("""COMPUTED_VALUE"""),"Yes")</f>
        <v>Yes</v>
      </c>
      <c r="F1373" s="7" t="str">
        <f>IFERROR(__xludf.DUMMYFUNCTION("""COMPUTED_VALUE"""),"IP-Poster")</f>
        <v>IP-Poster</v>
      </c>
      <c r="G1373" s="7" t="str">
        <f>IFERROR(__xludf.DUMMYFUNCTION("""COMPUTED_VALUE"""),"In-Person")</f>
        <v>In-Person</v>
      </c>
      <c r="H1373" s="7" t="str">
        <f>IFERROR(__xludf.DUMMYFUNCTION("""COMPUTED_VALUE"""),"Hall 4/5")</f>
        <v>Hall 4/5</v>
      </c>
      <c r="I1373" s="7" t="str">
        <f>IFERROR(__xludf.DUMMYFUNCTION("""COMPUTED_VALUE"""),"Session 10: IP-Posters")</f>
        <v>Session 10: IP-Posters</v>
      </c>
      <c r="J1373" s="7" t="str">
        <f>IFERROR(__xludf.DUMMYFUNCTION("""COMPUTED_VALUE"""),"Findings Posters - In-Person 3")</f>
        <v>Findings Posters - In-Person 3</v>
      </c>
      <c r="K1373" s="7"/>
      <c r="L1373" s="8">
        <f>IFERROR(__xludf.DUMMYFUNCTION("""COMPUTED_VALUE"""),45867.0)</f>
        <v>45867</v>
      </c>
      <c r="M1373" s="7" t="str">
        <f>IFERROR(__xludf.DUMMYFUNCTION("""COMPUTED_VALUE"""),"16:00-17:30")</f>
        <v>16:00-17:30</v>
      </c>
      <c r="N1373" s="7"/>
    </row>
    <row r="1374">
      <c r="A1374" s="7" t="str">
        <f>IFERROR(__xludf.DUMMYFUNCTION("""COMPUTED_VALUE"""),"5011-FIND")</f>
        <v>5011-FIND</v>
      </c>
      <c r="B1374" s="7" t="str">
        <f>IFERROR(__xludf.DUMMYFUNCTION("""COMPUTED_VALUE"""),"MemeDetoxNet: Balancing Toxicity Reduction and Context Preservation")</f>
        <v>MemeDetoxNet: Balancing Toxicity Reduction and Context Preservation</v>
      </c>
      <c r="C1374" s="7" t="str">
        <f>IFERROR(__xludf.DUMMYFUNCTION("""COMPUTED_VALUE"""),"Toxic memes often spread harmful and offensive content and pose a significant challenge in online environments. In this paper, we present MemeDetoxNet, a robust framework designed to mitigate toxicity in memes by leveraging fine-tuned pre-trained models. "&amp;"Our approach utilizes the interpretability of CLIP (Contrastive Language-Image Pre-Training) to identify toxic elements within the visual and textual components of memes. Our objective is to automatically assess the immorality of toxic memes and transform"&amp;" them into morally acceptable alternatives by employing large language models (LLMs) to replace offensive text and blurring toxic regions in the image. As a result, we proposed MemeDetoxNet that has three main primitives: (1) detection of toxic memes, (2)"&amp;" localizing and highlighting toxic visual and textual attributes, and (3) manipulating the toxic content to create a morally acceptable alternative. Empirical evaluation on several publicly available meme datasets shows a reduction in toxicity by approxim"&amp;"ately 10-20%. Both qualitative and quantitative analyses further demonstrate MemeDetoxNet’s superior performance in detoxifying memes compared to the other methods. These results underscore MemeDetoxNet's potential as an effective tool for content moderat"&amp;"ion on online platforms.")</f>
        <v>Toxic memes often spread harmful and offensive content and pose a significant challenge in online environments. In this paper, we present MemeDetoxNet, a robust framework designed to mitigate toxicity in memes by leveraging fine-tuned pre-trained models. Our approach utilizes the interpretability of CLIP (Contrastive Language-Image Pre-Training) to identify toxic elements within the visual and textual components of memes. Our objective is to automatically assess the immorality of toxic memes and transform them into morally acceptable alternatives by employing large language models (LLMs) to replace offensive text and blurring toxic regions in the image. As a result, we proposed MemeDetoxNet that has three main primitives: (1) detection of toxic memes, (2) localizing and highlighting toxic visual and textual attributes, and (3) manipulating the toxic content to create a morally acceptable alternative. Empirical evaluation on several publicly available meme datasets shows a reduction in toxicity by approximately 10-20%. Both qualitative and quantitative analyses further demonstrate MemeDetoxNet’s superior performance in detoxifying memes compared to the other methods. These results underscore MemeDetoxNet's potential as an effective tool for content moderation on online platforms.</v>
      </c>
      <c r="D1374" s="7" t="str">
        <f>IFERROR(__xludf.DUMMYFUNCTION("""COMPUTED_VALUE"""),"Gitanjali Kumari")</f>
        <v>Gitanjali Kumari</v>
      </c>
      <c r="E1374" s="7" t="str">
        <f>IFERROR(__xludf.DUMMYFUNCTION("""COMPUTED_VALUE"""),"Yes")</f>
        <v>Yes</v>
      </c>
      <c r="F1374" s="7" t="str">
        <f>IFERROR(__xludf.DUMMYFUNCTION("""COMPUTED_VALUE"""),"V-Presentation")</f>
        <v>V-Presentation</v>
      </c>
      <c r="G1374" s="7" t="str">
        <f>IFERROR(__xludf.DUMMYFUNCTION("""COMPUTED_VALUE"""),"Virtual/Gather")</f>
        <v>Virtual/Gather</v>
      </c>
      <c r="H1374" s="7" t="str">
        <f>IFERROR(__xludf.DUMMYFUNCTION("""COMPUTED_VALUE"""),"Gather")</f>
        <v>Gather</v>
      </c>
      <c r="I1374" s="7" t="str">
        <f>IFERROR(__xludf.DUMMYFUNCTION("""COMPUTED_VALUE"""),"Session5: V-Gather Find")</f>
        <v>Session5: V-Gather Find</v>
      </c>
      <c r="J1374" s="7" t="str">
        <f>IFERROR(__xludf.DUMMYFUNCTION("""COMPUTED_VALUE"""),"Findings Posters - Virtual")</f>
        <v>Findings Posters - Virtual</v>
      </c>
      <c r="K1374" s="7"/>
      <c r="L1374" s="8">
        <f>IFERROR(__xludf.DUMMYFUNCTION("""COMPUTED_VALUE"""),45866.0)</f>
        <v>45866</v>
      </c>
      <c r="M1374" s="7" t="str">
        <f>IFERROR(__xludf.DUMMYFUNCTION("""COMPUTED_VALUE"""),"18:00-19:30")</f>
        <v>18:00-19:30</v>
      </c>
      <c r="N1374" s="7"/>
    </row>
    <row r="1375">
      <c r="A1375" s="7" t="str">
        <f>IFERROR(__xludf.DUMMYFUNCTION("""COMPUTED_VALUE"""),"5016-FIND")</f>
        <v>5016-FIND</v>
      </c>
      <c r="B1375" s="7" t="str">
        <f>IFERROR(__xludf.DUMMYFUNCTION("""COMPUTED_VALUE"""),"Should I Trust You? Detecting Deception in Negotiations using Counterfactual RL")</f>
        <v>Should I Trust You? Detecting Deception in Negotiations using Counterfactual RL</v>
      </c>
      <c r="C1375" s="7" t="str">
        <f>IFERROR(__xludf.DUMMYFUNCTION("""COMPUTED_VALUE"""),"An increasingly prevalent socio-technical problem is people being taken in by offers that sound “too good to be true”, where persuasion and trust shape decision-making. This paper investigates how AI can help detect these deceptive scenarios. We analyze h"&amp;"ow humans strategically deceive each other in Diplomacy, a board game that requires both natural language communication and strategic reasoning. This requires extracting logical forms of proposed agreements in player communications and computing the relat"&amp;"ive rewards of the proposal using agents’ value functions. Combined with text-based features, this can improve our deception detection. Our method detects human deception with a high precision when compared to a Large Language Model approach that flags ma"&amp;"ny true messages as deceptive. Future human-AI interaction tools can build on our methods for deception detection by triggering friction to give users a chance of interrogating suspicious proposals.")</f>
        <v>An increasingly prevalent socio-technical problem is people being taken in by offers that sound “too good to be true”, where persuasion and trust shape decision-making. This paper investigates how AI can help detect these deceptive scenarios. We analyze how humans strategically deceive each other in Diplomacy, a board game that requires both natural language communication and strategic reasoning. This requires extracting logical forms of proposed agreements in player communications and computing the relative rewards of the proposal using agents’ value functions. Combined with text-based features, this can improve our deception detection. Our method detects human deception with a high precision when compared to a Large Language Model approach that flags many true messages as deceptive. Future human-AI interaction tools can build on our methods for deception detection by triggering friction to give users a chance of interrogating suspicious proposals.</v>
      </c>
      <c r="D1375" s="7" t="str">
        <f>IFERROR(__xludf.DUMMYFUNCTION("""COMPUTED_VALUE"""),"Wichayaporn Wongkamjan")</f>
        <v>Wichayaporn Wongkamjan</v>
      </c>
      <c r="E1375" s="7" t="str">
        <f>IFERROR(__xludf.DUMMYFUNCTION("""COMPUTED_VALUE"""),"Yes")</f>
        <v>Yes</v>
      </c>
      <c r="F1375" s="7" t="str">
        <f>IFERROR(__xludf.DUMMYFUNCTION("""COMPUTED_VALUE"""),"IP-Poster")</f>
        <v>IP-Poster</v>
      </c>
      <c r="G1375" s="7" t="str">
        <f>IFERROR(__xludf.DUMMYFUNCTION("""COMPUTED_VALUE"""),"In-Person")</f>
        <v>In-Person</v>
      </c>
      <c r="H1375" s="7" t="str">
        <f>IFERROR(__xludf.DUMMYFUNCTION("""COMPUTED_VALUE"""),"Hall 4/5")</f>
        <v>Hall 4/5</v>
      </c>
      <c r="I1375" s="7" t="str">
        <f>IFERROR(__xludf.DUMMYFUNCTION("""COMPUTED_VALUE"""),"Session 5 :IP-Posters Find ")</f>
        <v>Session 5 :IP-Posters Find </v>
      </c>
      <c r="J1375" s="7" t="str">
        <f>IFERROR(__xludf.DUMMYFUNCTION("""COMPUTED_VALUE"""),"Findings Posters - In-Person 1")</f>
        <v>Findings Posters - In-Person 1</v>
      </c>
      <c r="K1375" s="7"/>
      <c r="L1375" s="8">
        <f>IFERROR(__xludf.DUMMYFUNCTION("""COMPUTED_VALUE"""),45866.0)</f>
        <v>45866</v>
      </c>
      <c r="M1375" s="7" t="str">
        <f>IFERROR(__xludf.DUMMYFUNCTION("""COMPUTED_VALUE"""),"18:00-19:30")</f>
        <v>18:00-19:30</v>
      </c>
      <c r="N1375" s="7"/>
    </row>
    <row r="1376">
      <c r="A1376" s="7" t="str">
        <f>IFERROR(__xludf.DUMMYFUNCTION("""COMPUTED_VALUE"""),"5017-FIND")</f>
        <v>5017-FIND</v>
      </c>
      <c r="B1376" s="7" t="str">
        <f>IFERROR(__xludf.DUMMYFUNCTION("""COMPUTED_VALUE"""),"Multi-matrix Factorization Attention")</f>
        <v>Multi-matrix Factorization Attention</v>
      </c>
      <c r="C1376" s="7" t="str">
        <f>IFERROR(__xludf.DUMMYFUNCTION("""COMPUTED_VALUE"""),"We propose novel attention architectures, Multi-matrix Factorization Attention (MFA) and MFA-Key-Reuse (MFA-KR). Existing variants for standard Multi-Head Attention (MHA), including SOTA methods like MLA, fail to maintain as strong performance under strin"&amp;"gent Key-Value cache (KV cache) constraints. MFA enhances model capacity by efficiently scaling up both the number and dimension of attention heads through low-rank matrix factorization in the Query-Key (QK) circuit. Extending MFA, MFA-KR further reduces "&amp;"memory requirements by repurposing the key cache as value through value projection re-parameterization. MFA's design enables strong model capacity when working under tight KV cache budget, while MFA-KR is suitable for even harsher KV cache limits with min"&amp;"or performance trade-off. Notably, in our extensive and large-scale experiments, the proposed architecture outperforms MLA and performs comparably to MHA, while reducing KV cache usage by up to 56% and 93.7%, respectively.")</f>
        <v>We propose novel attention architectures, Multi-matrix Factorization Attention (MFA) and MFA-Key-Reuse (MFA-KR). Existing variants for standard Multi-Head Attention (MHA), including SOTA methods like MLA, fail to maintain as strong performance under stringent Key-Value cache (KV cache) constraints. MFA enhances model capacity by efficiently scaling up both the number and dimension of attention heads through low-rank matrix factorization in the Query-Key (QK) circuit. Extending MFA, MFA-KR further reduces memory requirements by repurposing the key cache as value through value projection re-parameterization. MFA's design enables strong model capacity when working under tight KV cache budget, while MFA-KR is suitable for even harsher KV cache limits with minor performance trade-off. Notably, in our extensive and large-scale experiments, the proposed architecture outperforms MLA and performs comparably to MHA, while reducing KV cache usage by up to 56% and 93.7%, respectively.</v>
      </c>
      <c r="D1376" s="7" t="str">
        <f>IFERROR(__xludf.DUMMYFUNCTION("""COMPUTED_VALUE"""),"I do not plan to present")</f>
        <v>I do not plan to present</v>
      </c>
      <c r="E1376" s="7" t="str">
        <f>IFERROR(__xludf.DUMMYFUNCTION("""COMPUTED_VALUE"""),"Yes")</f>
        <v>Yes</v>
      </c>
      <c r="F1376" s="7" t="str">
        <f>IFERROR(__xludf.DUMMYFUNCTION("""COMPUTED_VALUE"""),"Not Pres. ")</f>
        <v>Not Pres. </v>
      </c>
      <c r="G1376" s="7" t="str">
        <f>IFERROR(__xludf.DUMMYFUNCTION("""COMPUTED_VALUE"""),"NP Findings Not Presenting ")</f>
        <v>NP Findings Not Presenting </v>
      </c>
      <c r="H1376" s="7"/>
      <c r="I1376" s="7"/>
      <c r="J1376" s="7"/>
      <c r="K1376" s="7"/>
      <c r="L1376" s="8"/>
      <c r="M1376" s="7"/>
      <c r="N1376" s="7"/>
    </row>
    <row r="1377">
      <c r="A1377" s="7" t="str">
        <f>IFERROR(__xludf.DUMMYFUNCTION("""COMPUTED_VALUE"""),"5025-FIND")</f>
        <v>5025-FIND</v>
      </c>
      <c r="B1377" s="7" t="str">
        <f>IFERROR(__xludf.DUMMYFUNCTION("""COMPUTED_VALUE"""),"Self-Training Elicits Concise Reasoning in Large Language Models")</f>
        <v>Self-Training Elicits Concise Reasoning in Large Language Models</v>
      </c>
      <c r="C1377" s="7" t="str">
        <f>IFERROR(__xludf.DUMMYFUNCTION("""COMPUTED_VALUE"""),"Chain-of-thought (CoT) reasoning has dramatically improved large language model performance on complex tasks. While recent ""thinking'' models, like OpenAI's o1, use substantial inference budgets to further boost performance, this raises concerns about in"&amp;"ference efficiency due to potential redundancy. We hypothesize that LLMs have a latent capacity for more concise reasoning, evidenced by shorter, correct reasoning paths in their outputs. To elicit this capacity, we introduce fine-tuning methods leveragin"&amp;"g self-generated data from Best-of-N sampling and few-shot conditioning. Our few-shot conditioned best-of-N sampling (FS-BoN) method significantly reduces reasoning length by 30%, or 2.4x more than previous baselines while maintaining accuracy. This impli"&amp;"es fine-tuning with curated self-generated data can unlock latent concise reasoning, enabling more efficient inference.")</f>
        <v>Chain-of-thought (CoT) reasoning has dramatically improved large language model performance on complex tasks. While recent "thinking'' models, like OpenAI's o1, use substantial inference budgets to further boost performance, this raises concerns about inference efficiency due to potential redundancy. We hypothesize that LLMs have a latent capacity for more concise reasoning, evidenced by shorter, correct reasoning paths in their outputs. To elicit this capacity, we introduce fine-tuning methods leveraging self-generated data from Best-of-N sampling and few-shot conditioning. Our few-shot conditioned best-of-N sampling (FS-BoN) method significantly reduces reasoning length by 30%, or 2.4x more than previous baselines while maintaining accuracy. This implies fine-tuning with curated self-generated data can unlock latent concise reasoning, enabling more efficient inference.</v>
      </c>
      <c r="D1377" s="7" t="str">
        <f>IFERROR(__xludf.DUMMYFUNCTION("""COMPUTED_VALUE"""),"Tergel Munkhbat")</f>
        <v>Tergel Munkhbat</v>
      </c>
      <c r="E1377" s="7" t="str">
        <f>IFERROR(__xludf.DUMMYFUNCTION("""COMPUTED_VALUE"""),"Yes")</f>
        <v>Yes</v>
      </c>
      <c r="F1377" s="7" t="str">
        <f>IFERROR(__xludf.DUMMYFUNCTION("""COMPUTED_VALUE"""),"V-Gather")</f>
        <v>V-Gather</v>
      </c>
      <c r="G1377" s="7" t="str">
        <f>IFERROR(__xludf.DUMMYFUNCTION("""COMPUTED_VALUE"""),"Virtual/Gather")</f>
        <v>Virtual/Gather</v>
      </c>
      <c r="H1377" s="7" t="str">
        <f>IFERROR(__xludf.DUMMYFUNCTION("""COMPUTED_VALUE"""),"Gather")</f>
        <v>Gather</v>
      </c>
      <c r="I1377" s="7" t="str">
        <f>IFERROR(__xludf.DUMMYFUNCTION("""COMPUTED_VALUE"""),"Session5: V-Gather Find")</f>
        <v>Session5: V-Gather Find</v>
      </c>
      <c r="J1377" s="7" t="str">
        <f>IFERROR(__xludf.DUMMYFUNCTION("""COMPUTED_VALUE"""),"Findings Posters - Virtual")</f>
        <v>Findings Posters - Virtual</v>
      </c>
      <c r="K1377" s="7"/>
      <c r="L1377" s="8">
        <f>IFERROR(__xludf.DUMMYFUNCTION("""COMPUTED_VALUE"""),45866.0)</f>
        <v>45866</v>
      </c>
      <c r="M1377" s="7" t="str">
        <f>IFERROR(__xludf.DUMMYFUNCTION("""COMPUTED_VALUE"""),"18:00-19:30")</f>
        <v>18:00-19:30</v>
      </c>
      <c r="N1377" s="7"/>
    </row>
    <row r="1378">
      <c r="A1378" s="7" t="str">
        <f>IFERROR(__xludf.DUMMYFUNCTION("""COMPUTED_VALUE"""),"5031-FIND")</f>
        <v>5031-FIND</v>
      </c>
      <c r="B1378" s="7" t="str">
        <f>IFERROR(__xludf.DUMMYFUNCTION("""COMPUTED_VALUE"""),"Reason from Future: Reverse Thought Chain Enhances LLM Reasoning")</f>
        <v>Reason from Future: Reverse Thought Chain Enhances LLM Reasoning</v>
      </c>
      <c r="C1378" s="7" t="str">
        <f>IFERROR(__xludf.DUMMYFUNCTION("""COMPUTED_VALUE"""),"It has been demonstrated that carefully designed reasoning paradigms, like Chain-of-Thought(CoT) and Tree-of-Thought(ToT), can enhance the reasoning capabilities of small language models by detailed thinking and extensive thought searching, unbounded bran"&amp;"ching factors in the searching space create prohibitive reasoning consumption. However these methods fell into the trap of local optimum reasoning, which means the model lacks a global perspective while solving problems. We propose a novel reasoning parad"&amp;"igm called Reason from Future(RFF), which generates reasoning paths by bidirectional reasoning that combines top-down planning with bottom-up reasoning accumulation. The essence of RFF lies in its reverse reasoning mechanism, which prioritizes core logica"&amp;"l relationships and imposes goal-oriented constraints on intermediate steps, thereby reducing the searching space and mitigating error accumulation inherent in sequential forward reasoning. Empirical evaluations across diverse experiments demonstrate that"&amp;" RFF outperforms conventional paradigms with higher accuracy and less searching space to solve complex tasks.")</f>
        <v>It has been demonstrated that carefully designed reasoning paradigms, like Chain-of-Thought(CoT) and Tree-of-Thought(ToT), can enhance the reasoning capabilities of small language models by detailed thinking and extensive thought searching, unbounded branching factors in the searching space create prohibitive reasoning consumption. However these methods fell into the trap of local optimum reasoning, which means the model lacks a global perspective while solving problems. We propose a novel reasoning paradigm called Reason from Future(RFF), which generates reasoning paths by bidirectional reasoning that combines top-down planning with bottom-up reasoning accumulation. The essence of RFF lies in its reverse reasoning mechanism, which prioritizes core logical relationships and imposes goal-oriented constraints on intermediate steps, thereby reducing the searching space and mitigating error accumulation inherent in sequential forward reasoning. Empirical evaluations across diverse experiments demonstrate that RFF outperforms conventional paradigms with higher accuracy and less searching space to solve complex tasks.</v>
      </c>
      <c r="D1378" s="7" t="str">
        <f>IFERROR(__xludf.DUMMYFUNCTION("""COMPUTED_VALUE"""),"Not present for findings")</f>
        <v>Not present for findings</v>
      </c>
      <c r="E1378" s="7" t="str">
        <f>IFERROR(__xludf.DUMMYFUNCTION("""COMPUTED_VALUE"""),"#N/A")</f>
        <v>#N/A</v>
      </c>
      <c r="F1378" s="7" t="str">
        <f>IFERROR(__xludf.DUMMYFUNCTION("""COMPUTED_VALUE"""),"Not Pres. ")</f>
        <v>Not Pres. </v>
      </c>
      <c r="G1378" s="7" t="str">
        <f>IFERROR(__xludf.DUMMYFUNCTION("""COMPUTED_VALUE"""),"NP Findings Not Presenting ")</f>
        <v>NP Findings Not Presenting </v>
      </c>
      <c r="H1378" s="7"/>
      <c r="I1378" s="7" t="str">
        <f>IFERROR(__xludf.DUMMYFUNCTION("""COMPUTED_VALUE"""),"NP-Find")</f>
        <v>NP-Find</v>
      </c>
      <c r="J1378" s="7"/>
      <c r="K1378" s="7"/>
      <c r="L1378" s="8"/>
      <c r="M1378" s="7"/>
      <c r="N1378" s="7"/>
    </row>
    <row r="1379">
      <c r="A1379" s="7" t="str">
        <f>IFERROR(__xludf.DUMMYFUNCTION("""COMPUTED_VALUE"""),"5032-FIND")</f>
        <v>5032-FIND</v>
      </c>
      <c r="B1379" s="7" t="str">
        <f>IFERROR(__xludf.DUMMYFUNCTION("""COMPUTED_VALUE"""),"LLMs as Planning Modelers: A Survey for Leveraging Large Language Models to Construct Automated Planning Models")</f>
        <v>LLMs as Planning Modelers: A Survey for Leveraging Large Language Models to Construct Automated Planning Models</v>
      </c>
      <c r="C1379" s="7" t="str">
        <f>IFERROR(__xludf.DUMMYFUNCTION("""COMPUTED_VALUE"""),"Large Language Models (LLMs) excel in various natural language tasks but often struggle with long-horizon planning problems requiring structured reasoning. This limitation has drawn interest in integrating neuro-symbolic approaches within the Automated Pl"&amp;"anning (AP) and Natural Language Processing (NLP) communities. However, identifying optimal AP deployment frameworks can be daunting. This paper aims to provide a timely survey of the current research with an in-depth analysis, positioning LLMs as tools f"&amp;"or extracting and refining planning models to support reliable AP planners. By systematically reviewing the current state of research, we highlight methodologies, and identify critical challenges and future directions, hoping to contribute to the joint re"&amp;"search on NLP and Automated Planning.")</f>
        <v>Large Language Models (LLMs) excel in various natural language tasks but often struggle with long-horizon planning problems requiring structured reasoning. This limitation has drawn interest in integrating neuro-symbolic approaches within the Automated Planning (AP) and Natural Language Processing (NLP) communities. However, identifying optimal AP deployment frameworks can be daunting. This paper aims to provide a timely survey of the current research with an in-depth analysis, positioning LLMs as tools for extracting and refining planning models to support reliable AP planners. By systematically reviewing the current state of research, we highlight methodologies, and identify critical challenges and future directions, hoping to contribute to the joint research on NLP and Automated Planning.</v>
      </c>
      <c r="D1379" s="7" t="str">
        <f>IFERROR(__xludf.DUMMYFUNCTION("""COMPUTED_VALUE"""),"Marcus Tantakoun")</f>
        <v>Marcus Tantakoun</v>
      </c>
      <c r="E1379" s="7" t="str">
        <f>IFERROR(__xludf.DUMMYFUNCTION("""COMPUTED_VALUE"""),"Yes")</f>
        <v>Yes</v>
      </c>
      <c r="F1379" s="7" t="str">
        <f>IFERROR(__xludf.DUMMYFUNCTION("""COMPUTED_VALUE"""),"IP-Poster")</f>
        <v>IP-Poster</v>
      </c>
      <c r="G1379" s="7" t="str">
        <f>IFERROR(__xludf.DUMMYFUNCTION("""COMPUTED_VALUE"""),"In-Person")</f>
        <v>In-Person</v>
      </c>
      <c r="H1379" s="7" t="str">
        <f>IFERROR(__xludf.DUMMYFUNCTION("""COMPUTED_VALUE"""),"Hall 4/5")</f>
        <v>Hall 4/5</v>
      </c>
      <c r="I1379" s="7" t="str">
        <f>IFERROR(__xludf.DUMMYFUNCTION("""COMPUTED_VALUE"""),"Session 12: IP-Posters")</f>
        <v>Session 12: IP-Posters</v>
      </c>
      <c r="J1379" s="7" t="str">
        <f>IFERROR(__xludf.DUMMYFUNCTION("""COMPUTED_VALUE"""),"Findings Posters - In-Person 4")</f>
        <v>Findings Posters - In-Person 4</v>
      </c>
      <c r="K1379" s="7"/>
      <c r="L1379" s="8">
        <f>IFERROR(__xludf.DUMMYFUNCTION("""COMPUTED_VALUE"""),45868.0)</f>
        <v>45868</v>
      </c>
      <c r="M1379" s="7" t="str">
        <f>IFERROR(__xludf.DUMMYFUNCTION("""COMPUTED_VALUE"""),"11:00-12:30")</f>
        <v>11:00-12:30</v>
      </c>
      <c r="N1379" s="7"/>
    </row>
    <row r="1380">
      <c r="A1380" s="7" t="str">
        <f>IFERROR(__xludf.DUMMYFUNCTION("""COMPUTED_VALUE"""),"5036-FIND")</f>
        <v>5036-FIND</v>
      </c>
      <c r="B1380" s="7" t="str">
        <f>IFERROR(__xludf.DUMMYFUNCTION("""COMPUTED_VALUE"""),"From Conversation to Automation: Leveraging LLMs for Problem-Solving Therapy Analysis")</f>
        <v>From Conversation to Automation: Leveraging LLMs for Problem-Solving Therapy Analysis</v>
      </c>
      <c r="C1380" s="7" t="str">
        <f>IFERROR(__xludf.DUMMYFUNCTION("""COMPUTED_VALUE"""),"Problem-solving therapy (PST) is a structured psychological approach that helps individuals manage stress and resolve personal issues by guiding them through problem identification, solution brainstorming, decision-making, and outcome evaluation. As menta"&amp;"l health care increasingly adopts technologies like chatbots and large language models (LLMs), it is important to thoroughly understand how each session of PST is conducted before attempting to auto mate it. We developed a comprehensive framework for PST "&amp;"annotation using established PST Core Strategies and a set of novel Facilitative Strategies to analyze a corpus of real-world therapy transcripts to determine which strategies are most prevalent. Using various LLM and transformer-based models, we found th"&amp;"at GPT-4o outperformed all models, achieving the highest accuracy (0.76) in identifying all strategies. To gain deeper insights, we examined how strategies are applied by analyzing Therapeutic Dynamics (autonomy, self-disclosure, and metaphor), and lingui"&amp;"stic patterns within our labeled data. Our research highlights LLMs’ potential to automate therapy dialogue analysis, offering a scalable tool for mental health interventions. Our framework enhances PST by improving accessibility, effectiveness, and perso"&amp;"nalized support for therapists.")</f>
        <v>Problem-solving therapy (PST) is a structured psychological approach that helps individuals manage stress and resolve personal issues by guiding them through problem identification, solution brainstorming, decision-making, and outcome evaluation. As mental health care increasingly adopts technologies like chatbots and large language models (LLMs), it is important to thoroughly understand how each session of PST is conducted before attempting to auto mate it. We developed a comprehensive framework for PST annotation using established PST Core Strategies and a set of novel Facilitative Strategies to analyze a corpus of real-world therapy transcripts to determine which strategies are most prevalent. Using various LLM and transformer-based models, we found that GPT-4o outperformed all models, achieving the highest accuracy (0.76) in identifying all strategies. To gain deeper insights, we examined how strategies are applied by analyzing Therapeutic Dynamics (autonomy, self-disclosure, and metaphor), and linguistic patterns within our labeled data. Our research highlights LLMs’ potential to automate therapy dialogue analysis, offering a scalable tool for mental health interventions. Our framework enhances PST by improving accessibility, effectiveness, and personalized support for therapists.</v>
      </c>
      <c r="D1380" s="7" t="str">
        <f>IFERROR(__xludf.DUMMYFUNCTION("""COMPUTED_VALUE"""),"Elham Aghakhani")</f>
        <v>Elham Aghakhani</v>
      </c>
      <c r="E1380" s="7" t="str">
        <f>IFERROR(__xludf.DUMMYFUNCTION("""COMPUTED_VALUE"""),"Yes")</f>
        <v>Yes</v>
      </c>
      <c r="F1380" s="7" t="str">
        <f>IFERROR(__xludf.DUMMYFUNCTION("""COMPUTED_VALUE"""),"V-Presentation")</f>
        <v>V-Presentation</v>
      </c>
      <c r="G1380" s="7" t="str">
        <f>IFERROR(__xludf.DUMMYFUNCTION("""COMPUTED_VALUE"""),"Virtual/Gather")</f>
        <v>Virtual/Gather</v>
      </c>
      <c r="H1380" s="7" t="str">
        <f>IFERROR(__xludf.DUMMYFUNCTION("""COMPUTED_VALUE"""),"Gather")</f>
        <v>Gather</v>
      </c>
      <c r="I1380" s="7" t="str">
        <f>IFERROR(__xludf.DUMMYFUNCTION("""COMPUTED_VALUE"""),"Session5: V-Gather Find")</f>
        <v>Session5: V-Gather Find</v>
      </c>
      <c r="J1380" s="7" t="str">
        <f>IFERROR(__xludf.DUMMYFUNCTION("""COMPUTED_VALUE"""),"Findings Posters - Virtual")</f>
        <v>Findings Posters - Virtual</v>
      </c>
      <c r="K1380" s="7"/>
      <c r="L1380" s="8">
        <f>IFERROR(__xludf.DUMMYFUNCTION("""COMPUTED_VALUE"""),45866.0)</f>
        <v>45866</v>
      </c>
      <c r="M1380" s="7" t="str">
        <f>IFERROR(__xludf.DUMMYFUNCTION("""COMPUTED_VALUE"""),"18:00-19:30")</f>
        <v>18:00-19:30</v>
      </c>
      <c r="N1380" s="7"/>
    </row>
    <row r="1381">
      <c r="A1381" s="7" t="str">
        <f>IFERROR(__xludf.DUMMYFUNCTION("""COMPUTED_VALUE"""),"5038-FIND")</f>
        <v>5038-FIND</v>
      </c>
      <c r="B1381" s="7" t="str">
        <f>IFERROR(__xludf.DUMMYFUNCTION("""COMPUTED_VALUE"""),"Revisiting Self-Consistency from Dynamic Distributional Alignment Perspective on Answer Aggregation")</f>
        <v>Revisiting Self-Consistency from Dynamic Distributional Alignment Perspective on Answer Aggregation</v>
      </c>
      <c r="C1381" s="7" t="str">
        <f>IFERROR(__xludf.DUMMYFUNCTION("""COMPUTED_VALUE"""),"Self-consistency improves reasoning by aggregating diverse stochastic samples, yet the dynamics behind its efficacy remain underexplored. We reframe self-consistency as a dynamic distributional alignment problem, revealing that decoding temperature not on"&amp;"ly governs sampling randomness but also actively shapes the latent answer distribution. Given that high temperatures require prohibitively large sample sizes to stabilize, while low temperatures risk amplifying biases, we propose a confidence-driven mecha"&amp;"nism that dynamically calibrates temperature: sharpening the sampling distribution under uncertainty to align with high-probability modes, and promoting exploration when confidence is high. Experiments on mathematical reasoning tasks show this approach ou"&amp;"tperforms fixed-diversity baselines under limited samples, improving both average and best-case performance across varying initial temperatures without additional data or modules. This establishes self-consistency as a synchronization challenge between sa"&amp;"mpling dynamics and evolving answer distributions.")</f>
        <v>Self-consistency improves reasoning by aggregating diverse stochastic samples, yet the dynamics behind its efficacy remain underexplored. We reframe self-consistency as a dynamic distributional alignment problem, revealing that decoding temperature not only governs sampling randomness but also actively shapes the latent answer distribution. Given that high temperatures require prohibitively large sample sizes to stabilize, while low temperatures risk amplifying biases, we propose a confidence-driven mechanism that dynamically calibrates temperature: sharpening the sampling distribution under uncertainty to align with high-probability modes, and promoting exploration when confidence is high. Experiments on mathematical reasoning tasks show this approach outperforms fixed-diversity baselines under limited samples, improving both average and best-case performance across varying initial temperatures without additional data or modules. This establishes self-consistency as a synchronization challenge between sampling dynamics and evolving answer distributions.</v>
      </c>
      <c r="D1381" s="7" t="str">
        <f>IFERROR(__xludf.DUMMYFUNCTION("""COMPUTED_VALUE"""),"Yiwei Li
Ji Zhang")</f>
        <v>Yiwei Li
Ji Zhang</v>
      </c>
      <c r="E1381" s="7" t="str">
        <f>IFERROR(__xludf.DUMMYFUNCTION("""COMPUTED_VALUE"""),"N/A")</f>
        <v>N/A</v>
      </c>
      <c r="F1381" s="7" t="str">
        <f>IFERROR(__xludf.DUMMYFUNCTION("""COMPUTED_VALUE"""),"Not Pres. ")</f>
        <v>Not Pres. </v>
      </c>
      <c r="G1381" s="7" t="str">
        <f>IFERROR(__xludf.DUMMYFUNCTION("""COMPUTED_VALUE"""),"NP Findings Not Presenting ")</f>
        <v>NP Findings Not Presenting </v>
      </c>
      <c r="H1381" s="7"/>
      <c r="I1381" s="7"/>
      <c r="J1381" s="7"/>
      <c r="K1381" s="7"/>
      <c r="L1381" s="8"/>
      <c r="M1381" s="7"/>
      <c r="N1381" s="7"/>
    </row>
    <row r="1382">
      <c r="A1382" s="7" t="str">
        <f>IFERROR(__xludf.DUMMYFUNCTION("""COMPUTED_VALUE"""),"5042-FIND")</f>
        <v>5042-FIND</v>
      </c>
      <c r="B1382" s="7" t="str">
        <f>IFERROR(__xludf.DUMMYFUNCTION("""COMPUTED_VALUE"""),"Don't Say No: Jailbreaking LLM by Suppressing Refusal")</f>
        <v>Don't Say No: Jailbreaking LLM by Suppressing Refusal</v>
      </c>
      <c r="C1382" s="7" t="str">
        <f>IFERROR(__xludf.DUMMYFUNCTION("""COMPUTED_VALUE"""),"Ensuring the safety alignment of Large Language Models (LLMs) is critical for generating responses consistent with human values. However, LLMs remain vulnerable to jailbreaking attacks, where carefully crafted prompts manipulate them into producing toxic "&amp;"content. One category of such attacks reformulates the task as an optimization problem, aiming to elicit affirmative responses from the LLM. However, these methods heavily rely on predefined objectionable behaviors, limiting their effectiveness and adapta"&amp;"bility to diverse harmful queries. In this study, we first identify why the vanilla target loss is suboptimal and then propose enhancements to the loss objective. We introduce DSN (Don’t Say No) attack, which combines a cosine decay schedule method with r"&amp;"efusal suppression to achieve higher success rates. Extensive experiments demonstrate that DSN outperforms baseline attacks and achieves state-of-the-art attack success rates (ASR). DSN also shows strong universality and transferability to unseen datasets"&amp;" and black-box models.")</f>
        <v>Ensuring the safety alignment of Large Language Models (LLMs) is critical for generating responses consistent with human values. However, LLMs remain vulnerable to jailbreaking attacks, where carefully crafted prompts manipulate them into producing toxic content. One category of such attacks reformulates the task as an optimization problem, aiming to elicit affirmative responses from the LLM. However, these methods heavily rely on predefined objectionable behaviors, limiting their effectiveness and adaptability to diverse harmful queries. In this study, we first identify why the vanilla target loss is suboptimal and then propose enhancements to the loss objective. We introduce DSN (Don’t Say No) attack, which combines a cosine decay schedule method with refusal suppression to achieve higher success rates. Extensive experiments demonstrate that DSN outperforms baseline attacks and achieves state-of-the-art attack success rates (ASR). DSN also shows strong universality and transferability to unseen datasets and black-box models.</v>
      </c>
      <c r="D1382" s="7" t="str">
        <f>IFERROR(__xludf.DUMMYFUNCTION("""COMPUTED_VALUE"""),"yukai zhou")</f>
        <v>yukai zhou</v>
      </c>
      <c r="E1382" s="7" t="str">
        <f>IFERROR(__xludf.DUMMYFUNCTION("""COMPUTED_VALUE"""),"Yes")</f>
        <v>Yes</v>
      </c>
      <c r="F1382" s="7" t="str">
        <f>IFERROR(__xludf.DUMMYFUNCTION("""COMPUTED_VALUE"""),"IP-Poster")</f>
        <v>IP-Poster</v>
      </c>
      <c r="G1382" s="7" t="str">
        <f>IFERROR(__xludf.DUMMYFUNCTION("""COMPUTED_VALUE"""),"In-Person")</f>
        <v>In-Person</v>
      </c>
      <c r="H1382" s="7" t="str">
        <f>IFERROR(__xludf.DUMMYFUNCTION("""COMPUTED_VALUE"""),"Hall 4/5")</f>
        <v>Hall 4/5</v>
      </c>
      <c r="I1382" s="7" t="str">
        <f>IFERROR(__xludf.DUMMYFUNCTION("""COMPUTED_VALUE"""),"Session 12: IP-Posters")</f>
        <v>Session 12: IP-Posters</v>
      </c>
      <c r="J1382" s="7" t="str">
        <f>IFERROR(__xludf.DUMMYFUNCTION("""COMPUTED_VALUE"""),"Findings Posters - In-Person 4")</f>
        <v>Findings Posters - In-Person 4</v>
      </c>
      <c r="K1382" s="7"/>
      <c r="L1382" s="8">
        <f>IFERROR(__xludf.DUMMYFUNCTION("""COMPUTED_VALUE"""),45868.0)</f>
        <v>45868</v>
      </c>
      <c r="M1382" s="7" t="str">
        <f>IFERROR(__xludf.DUMMYFUNCTION("""COMPUTED_VALUE"""),"11:00-12:30")</f>
        <v>11:00-12:30</v>
      </c>
      <c r="N1382" s="7"/>
    </row>
    <row r="1383">
      <c r="A1383" s="7" t="str">
        <f>IFERROR(__xludf.DUMMYFUNCTION("""COMPUTED_VALUE"""),"5064-FIND")</f>
        <v>5064-FIND</v>
      </c>
      <c r="B1383" s="7" t="str">
        <f>IFERROR(__xludf.DUMMYFUNCTION("""COMPUTED_VALUE"""),"From Perception to Reasoning: Enhancing Vision-Language Models for Mobile UI Understanding")</f>
        <v>From Perception to Reasoning: Enhancing Vision-Language Models for Mobile UI Understanding</v>
      </c>
      <c r="C1383" s="7" t="str">
        <f>IFERROR(__xludf.DUMMYFUNCTION("""COMPUTED_VALUE"""),"Accurately grounding visual and textual elements within mobile user interfaces (UIs) remains a significant challenge for Vision-Language Models (VLMs). Visual grounding, a critical task in this domain, involves identifying the most relevant UI element or "&amp;"region based on a natural language query—a process that requires both precise perception and context-aware reasoning. In this work, we present - **MoUI**, a light-weight mobile UI understanding model trained on **MoIT**, an instruction-tuning dataset spec"&amp;"ifically tailored for mobile screen understanding and grounding, designed to bridge the gap between user intent and visual semantics. Complementing this dataset, we also present a human-annotated reasoning benchmark **MoIQ** that rigorously evaluates comp"&amp;"lex inference capabilities over mobile UIs. To harness these resources effectively, we propose a two-stage training approach that separately addresses perception and reasoning tasks, leading to stronger perception capabilities and improvement in reasoning"&amp;" abilities. Through extensive experiments, we demonstrate that our MoUI models achieve significant gains in accuracy across all perception tasks and _state-of-the-art_ results on public reasoning benchmark **ComplexQA (78%) and our MoIQ (49%)**. We will b"&amp;"e open-sourcing our dataset, code, and models to foster further research and innovation in the field.")</f>
        <v>Accurately grounding visual and textual elements within mobile user interfaces (UIs) remains a significant challenge for Vision-Language Models (VLMs). Visual grounding, a critical task in this domain, involves identifying the most relevant UI element or region based on a natural language query—a process that requires both precise perception and context-aware reasoning. In this work, we present - **MoUI**, a light-weight mobile UI understanding model trained on **MoIT**, an instruction-tuning dataset specifically tailored for mobile screen understanding and grounding, designed to bridge the gap between user intent and visual semantics. Complementing this dataset, we also present a human-annotated reasoning benchmark **MoIQ** that rigorously evaluates complex inference capabilities over mobile UIs. To harness these resources effectively, we propose a two-stage training approach that separately addresses perception and reasoning tasks, leading to stronger perception capabilities and improvement in reasoning abilities. Through extensive experiments, we demonstrate that our MoUI models achieve significant gains in accuracy across all perception tasks and _state-of-the-art_ results on public reasoning benchmark **ComplexQA (78%) and our MoIQ (49%)**. We will be open-sourcing our dataset, code, and models to foster further research and innovation in the field.</v>
      </c>
      <c r="D1383" s="7" t="str">
        <f>IFERROR(__xludf.DUMMYFUNCTION("""COMPUTED_VALUE"""),"Settaluri Lakshmi Sravanthi")</f>
        <v>Settaluri Lakshmi Sravanthi</v>
      </c>
      <c r="E1383" s="7" t="str">
        <f>IFERROR(__xludf.DUMMYFUNCTION("""COMPUTED_VALUE"""),"Yes")</f>
        <v>Yes</v>
      </c>
      <c r="F1383" s="7" t="str">
        <f>IFERROR(__xludf.DUMMYFUNCTION("""COMPUTED_VALUE"""),"IP-Poster")</f>
        <v>IP-Poster</v>
      </c>
      <c r="G1383" s="7" t="str">
        <f>IFERROR(__xludf.DUMMYFUNCTION("""COMPUTED_VALUE"""),"In-Person")</f>
        <v>In-Person</v>
      </c>
      <c r="H1383" s="7" t="str">
        <f>IFERROR(__xludf.DUMMYFUNCTION("""COMPUTED_VALUE"""),"Hall 4/5")</f>
        <v>Hall 4/5</v>
      </c>
      <c r="I1383" s="7" t="str">
        <f>IFERROR(__xludf.DUMMYFUNCTION("""COMPUTED_VALUE"""),"Session 10: IP-Posters")</f>
        <v>Session 10: IP-Posters</v>
      </c>
      <c r="J1383" s="7" t="str">
        <f>IFERROR(__xludf.DUMMYFUNCTION("""COMPUTED_VALUE"""),"Findings Posters - In-Person 3")</f>
        <v>Findings Posters - In-Person 3</v>
      </c>
      <c r="K1383" s="7"/>
      <c r="L1383" s="8">
        <f>IFERROR(__xludf.DUMMYFUNCTION("""COMPUTED_VALUE"""),45867.0)</f>
        <v>45867</v>
      </c>
      <c r="M1383" s="7" t="str">
        <f>IFERROR(__xludf.DUMMYFUNCTION("""COMPUTED_VALUE"""),"16:00-17:30")</f>
        <v>16:00-17:30</v>
      </c>
      <c r="N1383" s="7"/>
    </row>
    <row r="1384">
      <c r="A1384" s="7" t="str">
        <f>IFERROR(__xludf.DUMMYFUNCTION("""COMPUTED_VALUE"""),"5065-FIND")</f>
        <v>5065-FIND</v>
      </c>
      <c r="B1384" s="7" t="str">
        <f>IFERROR(__xludf.DUMMYFUNCTION("""COMPUTED_VALUE"""),"Lemmas Matter, But Not Like That: Predictors of Lemma-Based Generalization in Morphological Inflection")</f>
        <v>Lemmas Matter, But Not Like That: Predictors of Lemma-Based Generalization in Morphological Inflection</v>
      </c>
      <c r="C1384" s="7" t="str">
        <f>IFERROR(__xludf.DUMMYFUNCTION("""COMPUTED_VALUE"""),"Recent work has suggested that overlap –whether a given lemma or feature set is attested independently in train – drives model performance on morphological inflection tasks. The impact of lemma overlap, however, is debated, with recent work reporting accu"&amp;"racy drops from 0% to 30% between seen and unseen test lemmas. In this paper, we introduce a novel splitting algorithm designed to investigate predictors of accuracy on seen and unseen lemmas. We find only an 11% average drop from seen to unseen test lemm"&amp;"as, but show that the number of lemmas in train has a much stronger effect on accuracy on unseen than seen lemmas. We also show that the previously reported 30% drop is inflated due to the introduction of a near-30% drop in the number of training lemmas f"&amp;"rom the original splits to their novel splits.")</f>
        <v>Recent work has suggested that overlap –whether a given lemma or feature set is attested independently in train – drives model performance on morphological inflection tasks. The impact of lemma overlap, however, is debated, with recent work reporting accuracy drops from 0% to 30% between seen and unseen test lemmas. In this paper, we introduce a novel splitting algorithm designed to investigate predictors of accuracy on seen and unseen lemmas. We find only an 11% average drop from seen to unseen test lemmas, but show that the number of lemmas in train has a much stronger effect on accuracy on unseen than seen lemmas. We also show that the previously reported 30% drop is inflated due to the introduction of a near-30% drop in the number of training lemmas from the original splits to their novel splits.</v>
      </c>
      <c r="D1384" s="7" t="str">
        <f>IFERROR(__xludf.DUMMYFUNCTION("""COMPUTED_VALUE"""),"Sarah Payne")</f>
        <v>Sarah Payne</v>
      </c>
      <c r="E1384" s="7" t="str">
        <f>IFERROR(__xludf.DUMMYFUNCTION("""COMPUTED_VALUE"""),"Yes")</f>
        <v>Yes</v>
      </c>
      <c r="F1384" s="7" t="str">
        <f>IFERROR(__xludf.DUMMYFUNCTION("""COMPUTED_VALUE"""),"IP-Poster")</f>
        <v>IP-Poster</v>
      </c>
      <c r="G1384" s="7" t="str">
        <f>IFERROR(__xludf.DUMMYFUNCTION("""COMPUTED_VALUE"""),"In-Person")</f>
        <v>In-Person</v>
      </c>
      <c r="H1384" s="7" t="str">
        <f>IFERROR(__xludf.DUMMYFUNCTION("""COMPUTED_VALUE"""),"Hall 4/5")</f>
        <v>Hall 4/5</v>
      </c>
      <c r="I1384" s="7" t="str">
        <f>IFERROR(__xludf.DUMMYFUNCTION("""COMPUTED_VALUE"""),"Session 5 :IP-Posters Find ")</f>
        <v>Session 5 :IP-Posters Find </v>
      </c>
      <c r="J1384" s="7" t="str">
        <f>IFERROR(__xludf.DUMMYFUNCTION("""COMPUTED_VALUE"""),"Findings Posters - In-Person 1")</f>
        <v>Findings Posters - In-Person 1</v>
      </c>
      <c r="K1384" s="7"/>
      <c r="L1384" s="8">
        <f>IFERROR(__xludf.DUMMYFUNCTION("""COMPUTED_VALUE"""),45866.0)</f>
        <v>45866</v>
      </c>
      <c r="M1384" s="7" t="str">
        <f>IFERROR(__xludf.DUMMYFUNCTION("""COMPUTED_VALUE"""),"18:00-19:30")</f>
        <v>18:00-19:30</v>
      </c>
      <c r="N1384" s="7"/>
    </row>
    <row r="1385">
      <c r="A1385" s="7" t="str">
        <f>IFERROR(__xludf.DUMMYFUNCTION("""COMPUTED_VALUE"""),"5072-FIND")</f>
        <v>5072-FIND</v>
      </c>
      <c r="B1385" s="7" t="str">
        <f>IFERROR(__xludf.DUMMYFUNCTION("""COMPUTED_VALUE"""),"Mosaic-IT: Cost-Free Compositional Data Synthesis for Instruction Tuning")</f>
        <v>Mosaic-IT: Cost-Free Compositional Data Synthesis for Instruction Tuning</v>
      </c>
      <c r="C1385" s="7" t="str">
        <f>IFERROR(__xludf.DUMMYFUNCTION("""COMPUTED_VALUE"""),"Finetuning large language models with a variety of instruction-response pairs has enhanced their capability to understand and follow instructions. Current instruction tuning primarily relies on teacher models or human intervention to generate and refine t"&amp;"he instructions and responses for training, which are costly, non-sustainable, and may lack diversity. In this paper, we introduce Mosaic Instruction Tuning (Mosaic-IT), a human/model-free compositional data synthesis method that can efficiently create ri"&amp;"ch and diverse augmentations from existing instruction tuning data to enhance the LLMs. Mosaic-IT randomly concatenates multiple instruction data into one and trains the model to produce the corresponding responses with predefined higher-level meta-instru"&amp;"ctions to strengthen its multi-step instruction-following and format-following skills. Our extensive evaluations demonstrate a superior performance and training efficiency of Mosaic-IT, which achieves consistent performance improvements over various bench"&amp;"marks and a 
 reduction in training costs compared with the original instruction tuning.")</f>
        <v>Finetuning large language models with a variety of instruction-response pairs has enhanced their capability to understand and follow instructions. Current instruction tuning primarily relies on teacher models or human intervention to generate and refine the instructions and responses for training, which are costly, non-sustainable, and may lack diversity. In this paper, we introduce Mosaic Instruction Tuning (Mosaic-IT), a human/model-free compositional data synthesis method that can efficiently create rich and diverse augmentations from existing instruction tuning data to enhance the LLMs. Mosaic-IT randomly concatenates multiple instruction data into one and trains the model to produce the corresponding responses with predefined higher-level meta-instructions to strengthen its multi-step instruction-following and format-following skills. Our extensive evaluations demonstrate a superior performance and training efficiency of Mosaic-IT, which achieves consistent performance improvements over various benchmarks and a 
 reduction in training costs compared with the original instruction tuning.</v>
      </c>
      <c r="D1385" s="7" t="str">
        <f>IFERROR(__xludf.DUMMYFUNCTION("""COMPUTED_VALUE"""),"Ming Li")</f>
        <v>Ming Li</v>
      </c>
      <c r="E1385" s="7" t="str">
        <f>IFERROR(__xludf.DUMMYFUNCTION("""COMPUTED_VALUE"""),"Yes")</f>
        <v>Yes</v>
      </c>
      <c r="F1385" s="7" t="str">
        <f>IFERROR(__xludf.DUMMYFUNCTION("""COMPUTED_VALUE"""),"IP-Poster")</f>
        <v>IP-Poster</v>
      </c>
      <c r="G1385" s="7" t="str">
        <f>IFERROR(__xludf.DUMMYFUNCTION("""COMPUTED_VALUE"""),"In-Person")</f>
        <v>In-Person</v>
      </c>
      <c r="H1385" s="7" t="str">
        <f>IFERROR(__xludf.DUMMYFUNCTION("""COMPUTED_VALUE"""),"Hall 4/5")</f>
        <v>Hall 4/5</v>
      </c>
      <c r="I1385" s="7" t="str">
        <f>IFERROR(__xludf.DUMMYFUNCTION("""COMPUTED_VALUE"""),"Session 7: IP-Posters")</f>
        <v>Session 7: IP-Posters</v>
      </c>
      <c r="J1385" s="7" t="str">
        <f>IFERROR(__xludf.DUMMYFUNCTION("""COMPUTED_VALUE"""),"Findings Posters - In-Person 2")</f>
        <v>Findings Posters - In-Person 2</v>
      </c>
      <c r="K1385" s="7"/>
      <c r="L1385" s="8">
        <f>IFERROR(__xludf.DUMMYFUNCTION("""COMPUTED_VALUE"""),45867.0)</f>
        <v>45867</v>
      </c>
      <c r="M1385" s="7" t="str">
        <f>IFERROR(__xludf.DUMMYFUNCTION("""COMPUTED_VALUE"""),"10:30-12:00")</f>
        <v>10:30-12:00</v>
      </c>
      <c r="N1385" s="7"/>
    </row>
    <row r="1386">
      <c r="A1386" s="7" t="str">
        <f>IFERROR(__xludf.DUMMYFUNCTION("""COMPUTED_VALUE"""),"5073-FIND")</f>
        <v>5073-FIND</v>
      </c>
      <c r="B1386" s="7" t="str">
        <f>IFERROR(__xludf.DUMMYFUNCTION("""COMPUTED_VALUE"""),"MAM: Modular Multi-Agent Framework for Multi-Modal Medical Diagnosis via Role-Specialized Collaboration")</f>
        <v>MAM: Modular Multi-Agent Framework for Multi-Modal Medical Diagnosis via Role-Specialized Collaboration</v>
      </c>
      <c r="C1386" s="7" t="str">
        <f>IFERROR(__xludf.DUMMYFUNCTION("""COMPUTED_VALUE"""),"Recent advancements in medical Large Language Models (LLMs) have showcased their powerful reasoning and diagnostic capabilities. Despite their success, current unified multimodal medical LLMs face limitations in knowledge update costs, comprehensiveness, "&amp;"and flexibility. To address these challenges, we introduce the Modular Multi-Agent Framework for Multi-Modal Medical Diagnosis (MAM). Inspired by our empirical findings highlighting the benefits of role assignment and diagnostic discernment in LLMs, MAM d"&amp;"ecomposes the medical diagnostic process into specialized roles: a General Practitioner, Specialist Team, Radiologist, Medical Assistant, and Director, each embodied by an LLM-based agent. This modular and collaborative framework enables efficient knowled"&amp;"ge updates and leverages existing medical LLMs and knowledge bases. Extensive experimental evaluations conducted on a wide range of publicly accessible multimodal medical datasets, incorporating text, image, audio, and video modalities, demonstrate that M"&amp;"AM consistently surpasses the performance of modality-specific LLMs. Notably, MAM achieves significant performance improvements ranging from 18% to 365% compared to baseline models. Our code, data, and prompts are released at URL.")</f>
        <v>Recent advancements in medical Large Language Models (LLMs) have showcased their powerful reasoning and diagnostic capabilities. Despite their success, current unified multimodal medical LLMs face limitations in knowledge update costs, comprehensiveness, and flexibility. To address these challenges, we introduce the Modular Multi-Agent Framework for Multi-Modal Medical Diagnosis (MAM). Inspired by our empirical findings highlighting the benefits of role assignment and diagnostic discernment in LLMs, MAM decomposes the medical diagnostic process into specialized roles: a General Practitioner, Specialist Team, Radiologist, Medical Assistant, and Director, each embodied by an LLM-based agent. This modular and collaborative framework enables efficient knowledge updates and leverages existing medical LLMs and knowledge bases. Extensive experimental evaluations conducted on a wide range of publicly accessible multimodal medical datasets, incorporating text, image, audio, and video modalities, demonstrate that MAM consistently surpasses the performance of modality-specific LLMs. Notably, MAM achieves significant performance improvements ranging from 18% to 365% compared to baseline models. Our code, data, and prompts are released at URL.</v>
      </c>
      <c r="D1386" s="7" t="str">
        <f>IFERROR(__xludf.DUMMYFUNCTION("""COMPUTED_VALUE"""),"Yucheng Zhou")</f>
        <v>Yucheng Zhou</v>
      </c>
      <c r="E1386" s="7" t="str">
        <f>IFERROR(__xludf.DUMMYFUNCTION("""COMPUTED_VALUE"""),"#N/A")</f>
        <v>#N/A</v>
      </c>
      <c r="F1386" s="7" t="str">
        <f>IFERROR(__xludf.DUMMYFUNCTION("""COMPUTED_VALUE"""),"Not Pres. ")</f>
        <v>Not Pres. </v>
      </c>
      <c r="G1386" s="7" t="str">
        <f>IFERROR(__xludf.DUMMYFUNCTION("""COMPUTED_VALUE"""),"NP Findings Not Presenting ")</f>
        <v>NP Findings Not Presenting </v>
      </c>
      <c r="H1386" s="7"/>
      <c r="I1386" s="7" t="str">
        <f>IFERROR(__xludf.DUMMYFUNCTION("""COMPUTED_VALUE"""),"NP-Find")</f>
        <v>NP-Find</v>
      </c>
      <c r="J1386" s="7"/>
      <c r="K1386" s="7"/>
      <c r="L1386" s="8"/>
      <c r="M1386" s="7"/>
      <c r="N1386" s="7"/>
    </row>
    <row r="1387">
      <c r="A1387" s="7" t="str">
        <f>IFERROR(__xludf.DUMMYFUNCTION("""COMPUTED_VALUE"""),"5075-FIND")</f>
        <v>5075-FIND</v>
      </c>
      <c r="B1387" s="7" t="str">
        <f>IFERROR(__xludf.DUMMYFUNCTION("""COMPUTED_VALUE"""),"ATLAS: Agent Tuning via Learning Critical Steps")</f>
        <v>ATLAS: Agent Tuning via Learning Critical Steps</v>
      </c>
      <c r="C1387" s="7" t="str">
        <f>IFERROR(__xludf.DUMMYFUNCTION("""COMPUTED_VALUE"""),"Large Language Model (LLM) agents have demonstrated remarkable generalization capabilities across multi-domain tasks. Existing agent tuning approaches typically employ supervised finetuning on entire expert trajectories. However, behavior-cloning of full "&amp;"trajectories can introduce expert bias and weaken generalization to states not covered by the expert data. Additionally, critical steps—such as planning, complex reasoning for intermediate subtasks, and strategic decision-making—are essential to success i"&amp;"n agent tasks, so learning these steps is the key to improving LLM agents. For more effective and efficient agent tuning, we propose ATLAS that identifies the critical steps in expert trajectories and finetunes LLMs solely on these steps with reduced cost"&amp;"s. By steering the training's focus to a few critical steps, our method mitigates the risk of overfitting entire trajectories and promotes generalization across different environments and tasks. In extensive experiments, an LLM finetuned on only 
30% crit"&amp;"ical steps selected by ATLAS outperforms the LLM finetuned on all steps and recent open-source LLM agents. ATLAS maintains and improves base LLM skills as generalist agents interacting with diverse environments.")</f>
        <v>Large Language Model (LLM) agents have demonstrated remarkable generalization capabilities across multi-domain tasks. Existing agent tuning approaches typically employ supervised finetuning on entire expert trajectories. However, behavior-cloning of full trajectories can introduce expert bias and weaken generalization to states not covered by the expert data. Additionally, critical steps—such as planning, complex reasoning for intermediate subtasks, and strategic decision-making—are essential to success in agent tasks, so learning these steps is the key to improving LLM agents. For more effective and efficient agent tuning, we propose ATLAS that identifies the critical steps in expert trajectories and finetunes LLMs solely on these steps with reduced costs. By steering the training's focus to a few critical steps, our method mitigates the risk of overfitting entire trajectories and promotes generalization across different environments and tasks. In extensive experiments, an LLM finetuned on only 
30% critical steps selected by ATLAS outperforms the LLM finetuned on all steps and recent open-source LLM agents. ATLAS maintains and improves base LLM skills as generalist agents interacting with diverse environments.</v>
      </c>
      <c r="D1387" s="7" t="str">
        <f>IFERROR(__xludf.DUMMYFUNCTION("""COMPUTED_VALUE"""),"no presenter")</f>
        <v>no presenter</v>
      </c>
      <c r="E1387" s="7" t="str">
        <f>IFERROR(__xludf.DUMMYFUNCTION("""COMPUTED_VALUE"""),"#N/A")</f>
        <v>#N/A</v>
      </c>
      <c r="F1387" s="7" t="str">
        <f>IFERROR(__xludf.DUMMYFUNCTION("""COMPUTED_VALUE"""),"Not Pres. ")</f>
        <v>Not Pres. </v>
      </c>
      <c r="G1387" s="7" t="str">
        <f>IFERROR(__xludf.DUMMYFUNCTION("""COMPUTED_VALUE"""),"NP Findings Not Presenting ")</f>
        <v>NP Findings Not Presenting </v>
      </c>
      <c r="H1387" s="7"/>
      <c r="I1387" s="7" t="str">
        <f>IFERROR(__xludf.DUMMYFUNCTION("""COMPUTED_VALUE"""),"NP-Find")</f>
        <v>NP-Find</v>
      </c>
      <c r="J1387" s="7"/>
      <c r="K1387" s="7"/>
      <c r="L1387" s="8"/>
      <c r="M1387" s="7"/>
      <c r="N1387" s="7"/>
    </row>
    <row r="1388">
      <c r="A1388" s="7" t="str">
        <f>IFERROR(__xludf.DUMMYFUNCTION("""COMPUTED_VALUE"""),"5081-FIND")</f>
        <v>5081-FIND</v>
      </c>
      <c r="B1388" s="7" t="str">
        <f>IFERROR(__xludf.DUMMYFUNCTION("""COMPUTED_VALUE"""),"TagGen: Enforcing Syntactic Structures with Tag-Based Control")</f>
        <v>TagGen: Enforcing Syntactic Structures with Tag-Based Control</v>
      </c>
      <c r="C1388" s="7" t="str">
        <f>IFERROR(__xludf.DUMMYFUNCTION("""COMPUTED_VALUE"""),"Instruction fine-tuning has made it easier to control language model outputs for tasks like generating text with a specific topic or sentiment. By using targeted prompts with instructions and examples, instruction-tuned models can generally meet these con"&amp;"trol objectives. However, controlling the syntactic structure of the generated text remains a challenge. To address this issue, we introduce TagGen, a novel controlled decoding algorithm based on the parsing-as-tagging framework. TagGen uses syntactic tag"&amp;"gers to guide the generation process, ensuring that each token aligns with the desired syntactic structure as it is generated. Our experiments with GPT2 and Llama3 models show that TagGen significantly improves syntactic accuracy, increasing the F1 score "&amp;"from 8.34 to 34.63 for GPT2-large and from 36.86 to 47.29 for Llama3. These results highlight the complexity of syntactic control and the effectiveness of TagGen in controlling the syntactic structure of the text, offering a promising approach for applica"&amp;"tions where precise control over syntax is essential.")</f>
        <v>Instruction fine-tuning has made it easier to control language model outputs for tasks like generating text with a specific topic or sentiment. By using targeted prompts with instructions and examples, instruction-tuned models can generally meet these control objectives. However, controlling the syntactic structure of the generated text remains a challenge. To address this issue, we introduce TagGen, a novel controlled decoding algorithm based on the parsing-as-tagging framework. TagGen uses syntactic taggers to guide the generation process, ensuring that each token aligns with the desired syntactic structure as it is generated. Our experiments with GPT2 and Llama3 models show that TagGen significantly improves syntactic accuracy, increasing the F1 score from 8.34 to 34.63 for GPT2-large and from 36.86 to 47.29 for Llama3. These results highlight the complexity of syntactic control and the effectiveness of TagGen in controlling the syntactic structure of the text, offering a promising approach for applications where precise control over syntax is essential.</v>
      </c>
      <c r="D1388" s="7" t="str">
        <f>IFERROR(__xludf.DUMMYFUNCTION("""COMPUTED_VALUE"""),"Vicky Xefteri")</f>
        <v>Vicky Xefteri</v>
      </c>
      <c r="E1388" s="7" t="str">
        <f>IFERROR(__xludf.DUMMYFUNCTION("""COMPUTED_VALUE"""),"Yes")</f>
        <v>Yes</v>
      </c>
      <c r="F1388" s="7" t="str">
        <f>IFERROR(__xludf.DUMMYFUNCTION("""COMPUTED_VALUE"""),"IP-Poster")</f>
        <v>IP-Poster</v>
      </c>
      <c r="G1388" s="7" t="str">
        <f>IFERROR(__xludf.DUMMYFUNCTION("""COMPUTED_VALUE"""),"In-Person")</f>
        <v>In-Person</v>
      </c>
      <c r="H1388" s="7" t="str">
        <f>IFERROR(__xludf.DUMMYFUNCTION("""COMPUTED_VALUE"""),"Hall 4/5")</f>
        <v>Hall 4/5</v>
      </c>
      <c r="I1388" s="7" t="str">
        <f>IFERROR(__xludf.DUMMYFUNCTION("""COMPUTED_VALUE"""),"Session 10: IP-Posters")</f>
        <v>Session 10: IP-Posters</v>
      </c>
      <c r="J1388" s="7" t="str">
        <f>IFERROR(__xludf.DUMMYFUNCTION("""COMPUTED_VALUE"""),"Findings Posters - In-Person 3")</f>
        <v>Findings Posters - In-Person 3</v>
      </c>
      <c r="K1388" s="7"/>
      <c r="L1388" s="8">
        <f>IFERROR(__xludf.DUMMYFUNCTION("""COMPUTED_VALUE"""),45867.0)</f>
        <v>45867</v>
      </c>
      <c r="M1388" s="7" t="str">
        <f>IFERROR(__xludf.DUMMYFUNCTION("""COMPUTED_VALUE"""),"16:00-17:30")</f>
        <v>16:00-17:30</v>
      </c>
      <c r="N1388" s="7"/>
    </row>
    <row r="1389">
      <c r="A1389" s="7" t="str">
        <f>IFERROR(__xludf.DUMMYFUNCTION("""COMPUTED_VALUE"""),"5090-FIND")</f>
        <v>5090-FIND</v>
      </c>
      <c r="B1389" s="7" t="str">
        <f>IFERROR(__xludf.DUMMYFUNCTION("""COMPUTED_VALUE"""),"Small Models Struggle to Learn from Strong Reasoners")</f>
        <v>Small Models Struggle to Learn from Strong Reasoners</v>
      </c>
      <c r="C1389" s="7" t="str">
        <f>IFERROR(__xludf.DUMMYFUNCTION("""COMPUTED_VALUE"""),"Large language models (LLMs) excel in complex reasoning tasks, and distilling their reasoning capabilities into smaller models has shown promise. However, we uncover an interesting phenomenon, which we term the Small Model Learnability Gap: small models ("&amp;"
3B parameters) do not consistently benefit from long chain-of-thought (CoT) reasoning or distillation from larger models. Instead, they perform better when fine-tuned on shorter, simpler reasoning chains that better align with their intrinsic learning ca"&amp;"pacity. To address this, we propose Mix Distillation, a simple yet effective strategy that balances reasoning complexity by combining long and short CoT examples or reasoning from both larger and smaller models. Our experiments demonstrate that Mix Distil"&amp;"lation significantly improves small model reasoning performance compared to training on either data alone. These findings highlight the limitations of direct strong model distillation and underscore the importance of adapting reasoning complexity for effe"&amp;"ctive reasoning capability transfer.")</f>
        <v>Large language models (LLMs) excel in complex reasoning tasks, and distilling their reasoning capabilities into smaller models has shown promise. However, we uncover an interesting phenomenon, which we term the Small Model Learnability Gap: small models (
3B parameters) do not consistently benefit from long chain-of-thought (CoT) reasoning or distillation from larger models. Instead, they perform better when fine-tuned on shorter, simpler reasoning chains that better align with their intrinsic learning capacity. To address this, we propose Mix Distillation, a simple yet effective strategy that balances reasoning complexity by combining long and short CoT examples or reasoning from both larger and smaller models. Our experiments demonstrate that Mix Distillation significantly improves small model reasoning performance compared to training on either data alone. These findings highlight the limitations of direct strong model distillation and underscore the importance of adapting reasoning complexity for effective reasoning capability transfer.</v>
      </c>
      <c r="D1389" s="7" t="str">
        <f>IFERROR(__xludf.DUMMYFUNCTION("""COMPUTED_VALUE"""),"Yuetai Li")</f>
        <v>Yuetai Li</v>
      </c>
      <c r="E1389" s="7" t="str">
        <f>IFERROR(__xludf.DUMMYFUNCTION("""COMPUTED_VALUE"""),"yes")</f>
        <v>yes</v>
      </c>
      <c r="F1389" s="7" t="str">
        <f>IFERROR(__xludf.DUMMYFUNCTION("""COMPUTED_VALUE"""),"IP-Poster")</f>
        <v>IP-Poster</v>
      </c>
      <c r="G1389" s="7" t="str">
        <f>IFERROR(__xludf.DUMMYFUNCTION("""COMPUTED_VALUE"""),"In-Person")</f>
        <v>In-Person</v>
      </c>
      <c r="H1389" s="7" t="str">
        <f>IFERROR(__xludf.DUMMYFUNCTION("""COMPUTED_VALUE"""),"Hall 4/5")</f>
        <v>Hall 4/5</v>
      </c>
      <c r="I1389" s="7" t="str">
        <f>IFERROR(__xludf.DUMMYFUNCTION("""COMPUTED_VALUE"""),"Session 10: IP-Posters")</f>
        <v>Session 10: IP-Posters</v>
      </c>
      <c r="J1389" s="7" t="str">
        <f>IFERROR(__xludf.DUMMYFUNCTION("""COMPUTED_VALUE"""),"Findings Posters - In-Person 3")</f>
        <v>Findings Posters - In-Person 3</v>
      </c>
      <c r="K1389" s="7"/>
      <c r="L1389" s="8">
        <f>IFERROR(__xludf.DUMMYFUNCTION("""COMPUTED_VALUE"""),45867.0)</f>
        <v>45867</v>
      </c>
      <c r="M1389" s="7" t="str">
        <f>IFERROR(__xludf.DUMMYFUNCTION("""COMPUTED_VALUE"""),"16:00-17:30")</f>
        <v>16:00-17:30</v>
      </c>
      <c r="N1389" s="7"/>
    </row>
    <row r="1390">
      <c r="A1390" s="7" t="str">
        <f>IFERROR(__xludf.DUMMYFUNCTION("""COMPUTED_VALUE"""),"5091-FIND")</f>
        <v>5091-FIND</v>
      </c>
      <c r="B1390" s="7" t="str">
        <f>IFERROR(__xludf.DUMMYFUNCTION("""COMPUTED_VALUE"""),"Sparse Rewards Can Self-Train Dialogue Agents")</f>
        <v>Sparse Rewards Can Self-Train Dialogue Agents</v>
      </c>
      <c r="C1390" s="7" t="str">
        <f>IFERROR(__xludf.DUMMYFUNCTION("""COMPUTED_VALUE"""),"Recent advancements in state-of-the-art (SOTA) Large Language Model (LLM) agents, especially in multi-turn dialogue tasks, have been primarily driven by supervised fine-tuning and high-quality human feedback. However, as base LLM models continue to improv"&amp;"e, acquiring meaningful human feedback has become increasingly challenging and costly. In certain domains, base LLM agents may eventually exceed human capabilities, making traditional feedback-driven methods impractical. In this paper, we introduce a nove"&amp;"l self-improvement paradigm that empowers LLM agents to autonomously enhance their performance without external human feedback. Our method, Juxtaposed Outcomes for Simulation Harvesting (JOSH), is a self-alignment algorithm that leverages a sparse reward "&amp;"simulation environment to extract ideal behaviors and further train the LLM on its own outputs. We present ToolWOZ, a sparse reward tool-calling simulation environment derived from MultiWOZ. We demonstrate that models trained with JOSH, both small and fro"&amp;"ntier, significantly improve tool-based interactions while preserving general model capabilities across diverse benchmarks. Our code and data are publicly available on GitHub.")</f>
        <v>Recent advancements in state-of-the-art (SOTA) Large Language Model (LLM) agents, especially in multi-turn dialogue tasks, have been primarily driven by supervised fine-tuning and high-quality human feedback. However, as base LLM models continue to improve, acquiring meaningful human feedback has become increasingly challenging and costly. In certain domains, base LLM agents may eventually exceed human capabilities, making traditional feedback-driven methods impractical. In this paper, we introduce a novel self-improvement paradigm that empowers LLM agents to autonomously enhance their performance without external human feedback. Our method, Juxtaposed Outcomes for Simulation Harvesting (JOSH), is a self-alignment algorithm that leverages a sparse reward simulation environment to extract ideal behaviors and further train the LLM on its own outputs. We present ToolWOZ, a sparse reward tool-calling simulation environment derived from MultiWOZ. We demonstrate that models trained with JOSH, both small and frontier, significantly improve tool-based interactions while preserving general model capabilities across diverse benchmarks. Our code and data are publicly available on GitHub.</v>
      </c>
      <c r="D1390" s="7" t="str">
        <f>IFERROR(__xludf.DUMMYFUNCTION("""COMPUTED_VALUE"""),"Barrett Martin Lattimer")</f>
        <v>Barrett Martin Lattimer</v>
      </c>
      <c r="E1390" s="7" t="str">
        <f>IFERROR(__xludf.DUMMYFUNCTION("""COMPUTED_VALUE"""),"Yes")</f>
        <v>Yes</v>
      </c>
      <c r="F1390" s="7" t="str">
        <f>IFERROR(__xludf.DUMMYFUNCTION("""COMPUTED_VALUE"""),"IP-Poster")</f>
        <v>IP-Poster</v>
      </c>
      <c r="G1390" s="7" t="str">
        <f>IFERROR(__xludf.DUMMYFUNCTION("""COMPUTED_VALUE"""),"In-Person")</f>
        <v>In-Person</v>
      </c>
      <c r="H1390" s="7" t="str">
        <f>IFERROR(__xludf.DUMMYFUNCTION("""COMPUTED_VALUE"""),"Hall 4/5")</f>
        <v>Hall 4/5</v>
      </c>
      <c r="I1390" s="7" t="str">
        <f>IFERROR(__xludf.DUMMYFUNCTION("""COMPUTED_VALUE"""),"Session 5 :IP-Posters Find ")</f>
        <v>Session 5 :IP-Posters Find </v>
      </c>
      <c r="J1390" s="7" t="str">
        <f>IFERROR(__xludf.DUMMYFUNCTION("""COMPUTED_VALUE"""),"Findings Posters - In-Person 1")</f>
        <v>Findings Posters - In-Person 1</v>
      </c>
      <c r="K1390" s="7"/>
      <c r="L1390" s="8">
        <f>IFERROR(__xludf.DUMMYFUNCTION("""COMPUTED_VALUE"""),45866.0)</f>
        <v>45866</v>
      </c>
      <c r="M1390" s="7" t="str">
        <f>IFERROR(__xludf.DUMMYFUNCTION("""COMPUTED_VALUE"""),"18:00-19:30")</f>
        <v>18:00-19:30</v>
      </c>
      <c r="N1390" s="7"/>
    </row>
    <row r="1391">
      <c r="A1391" s="7" t="str">
        <f>IFERROR(__xludf.DUMMYFUNCTION("""COMPUTED_VALUE"""),"5100-FIND")</f>
        <v>5100-FIND</v>
      </c>
      <c r="B1391" s="7" t="str">
        <f>IFERROR(__xludf.DUMMYFUNCTION("""COMPUTED_VALUE"""),"REUBEN: REsampling-based Uncertainty Bounds for Evaluating NLP")</f>
        <v>REUBEN: REsampling-based Uncertainty Bounds for Evaluating NLP</v>
      </c>
      <c r="C1391" s="7" t="str">
        <f>IFERROR(__xludf.DUMMYFUNCTION("""COMPUTED_VALUE"""),"In this paper, we introduce a set of resampling-based methods for quantifying uncertainty in multilingual NLP evaluation. Through connections to statistics and sampling theory, we show how experimental variation in performance scores arises from both mode"&amp;"l- and data-related sources and how using both sources is necessary to avoid substantially underestimating the overall uncertainty. Using multilingual named entity recognition and LLM-powered machine translation as example tasks, we also demonstrate how r"&amp;"esampling methods are useful for computing distributions for various quantities used in leaderboards such as average or median performance, pairwise differences between models and rankings.")</f>
        <v>In this paper, we introduce a set of resampling-based methods for quantifying uncertainty in multilingual NLP evaluation. Through connections to statistics and sampling theory, we show how experimental variation in performance scores arises from both model- and data-related sources and how using both sources is necessary to avoid substantially underestimating the overall uncertainty. Using multilingual named entity recognition and LLM-powered machine translation as example tasks, we also demonstrate how resampling methods are useful for computing distributions for various quantities used in leaderboards such as average or median performance, pairwise differences between models and rankings.</v>
      </c>
      <c r="D1391" s="7" t="str">
        <f>IFERROR(__xludf.DUMMYFUNCTION("""COMPUTED_VALUE"""),"-")</f>
        <v>-</v>
      </c>
      <c r="E1391" s="7" t="str">
        <f>IFERROR(__xludf.DUMMYFUNCTION("""COMPUTED_VALUE"""),"#N/A")</f>
        <v>#N/A</v>
      </c>
      <c r="F1391" s="7" t="str">
        <f>IFERROR(__xludf.DUMMYFUNCTION("""COMPUTED_VALUE"""),"Not Pres. ")</f>
        <v>Not Pres. </v>
      </c>
      <c r="G1391" s="7" t="str">
        <f>IFERROR(__xludf.DUMMYFUNCTION("""COMPUTED_VALUE"""),"NP Findings Not Presenting ")</f>
        <v>NP Findings Not Presenting </v>
      </c>
      <c r="H1391" s="7"/>
      <c r="I1391" s="7" t="str">
        <f>IFERROR(__xludf.DUMMYFUNCTION("""COMPUTED_VALUE"""),"NP-Find")</f>
        <v>NP-Find</v>
      </c>
      <c r="J1391" s="7"/>
      <c r="K1391" s="7"/>
      <c r="L1391" s="8"/>
      <c r="M1391" s="7"/>
      <c r="N1391" s="7"/>
    </row>
    <row r="1392">
      <c r="A1392" s="7" t="str">
        <f>IFERROR(__xludf.DUMMYFUNCTION("""COMPUTED_VALUE"""),"5103-FIND")</f>
        <v>5103-FIND</v>
      </c>
      <c r="B1392" s="7" t="str">
        <f>IFERROR(__xludf.DUMMYFUNCTION("""COMPUTED_VALUE"""),"Almost AI, Almost Human: The Challenge of Detecting AI-Polished Writing")</f>
        <v>Almost AI, Almost Human: The Challenge of Detecting AI-Polished Writing</v>
      </c>
      <c r="C1392" s="7" t="str">
        <f>IFERROR(__xludf.DUMMYFUNCTION("""COMPUTED_VALUE"""),"The growing use of large language models (LLMs) for text generation has led to widespread concerns about AI-generated content detection. However, an overlooked challenge is AI-polished text, where human-written content undergoes subtle refinements using A"&amp;"I tools. This raises a critical question: should minimally polished text be classified as AI-generated? Such classification can lead to false plagiarism accusations and misleading claims about AI prevalence in online content. In this study, we systematica"&amp;"lly evaluate eleven state-of-the-art AI-text detectors using our 'AI-Polished-Text Evaluation (APT-Eval)' dataset, which contains 15K samples refined at varying AI-involvement levels. Our findings reveal that detectors frequently flag even minimally polis"&amp;"hed text as AI-generated, struggle to differentiate between degrees of AI involvement, and exhibit biases against older and smaller models. These limitations highlight the urgent need for more nuanced detection methodologies.")</f>
        <v>The growing use of large language models (LLMs) for text generation has led to widespread concerns about AI-generated content detection. However, an overlooked challenge is AI-polished text, where human-written content undergoes subtle refinements using AI tools. This raises a critical question: should minimally polished text be classified as AI-generated? Such classification can lead to false plagiarism accusations and misleading claims about AI prevalence in online content. In this study, we systematically evaluate eleven state-of-the-art AI-text detectors using our 'AI-Polished-Text Evaluation (APT-Eval)' dataset, which contains 15K samples refined at varying AI-involvement levels. Our findings reveal that detectors frequently flag even minimally polished text as AI-generated, struggle to differentiate between degrees of AI involvement, and exhibit biases against older and smaller models. These limitations highlight the urgent need for more nuanced detection methodologies.</v>
      </c>
      <c r="D1392" s="7" t="str">
        <f>IFERROR(__xludf.DUMMYFUNCTION("""COMPUTED_VALUE"""),"Shoumik Saha")</f>
        <v>Shoumik Saha</v>
      </c>
      <c r="E1392" s="7" t="str">
        <f>IFERROR(__xludf.DUMMYFUNCTION("""COMPUTED_VALUE"""),"Yes")</f>
        <v>Yes</v>
      </c>
      <c r="F1392" s="7" t="str">
        <f>IFERROR(__xludf.DUMMYFUNCTION("""COMPUTED_VALUE"""),"V-Presentation")</f>
        <v>V-Presentation</v>
      </c>
      <c r="G1392" s="7" t="str">
        <f>IFERROR(__xludf.DUMMYFUNCTION("""COMPUTED_VALUE"""),"Virtual/Gather")</f>
        <v>Virtual/Gather</v>
      </c>
      <c r="H1392" s="7" t="str">
        <f>IFERROR(__xludf.DUMMYFUNCTION("""COMPUTED_VALUE"""),"Gather")</f>
        <v>Gather</v>
      </c>
      <c r="I1392" s="7" t="str">
        <f>IFERROR(__xludf.DUMMYFUNCTION("""COMPUTED_VALUE"""),"Session5: V-Gather Find")</f>
        <v>Session5: V-Gather Find</v>
      </c>
      <c r="J1392" s="7" t="str">
        <f>IFERROR(__xludf.DUMMYFUNCTION("""COMPUTED_VALUE"""),"Findings Posters - Virtual")</f>
        <v>Findings Posters - Virtual</v>
      </c>
      <c r="K1392" s="7"/>
      <c r="L1392" s="8">
        <f>IFERROR(__xludf.DUMMYFUNCTION("""COMPUTED_VALUE"""),45866.0)</f>
        <v>45866</v>
      </c>
      <c r="M1392" s="7" t="str">
        <f>IFERROR(__xludf.DUMMYFUNCTION("""COMPUTED_VALUE"""),"18:00-19:30")</f>
        <v>18:00-19:30</v>
      </c>
      <c r="N1392" s="7"/>
    </row>
    <row r="1393">
      <c r="A1393" s="7" t="str">
        <f>IFERROR(__xludf.DUMMYFUNCTION("""COMPUTED_VALUE"""),"5106-FIND")</f>
        <v>5106-FIND</v>
      </c>
      <c r="B1393" s="7" t="str">
        <f>IFERROR(__xludf.DUMMYFUNCTION("""COMPUTED_VALUE"""),"When AI Writes Like Humans: Capturing the Emergent Patterns of Literary Judgment via Intrinsic Textual Metrics")</f>
        <v>When AI Writes Like Humans: Capturing the Emergent Patterns of Literary Judgment via Intrinsic Textual Metrics</v>
      </c>
      <c r="C1393" s="7" t="str">
        <f>IFERROR(__xludf.DUMMYFUNCTION("""COMPUTED_VALUE"""),"As Large Language Models (LLMs) increasingly produce human-quality text, understanding how readers perceive and evaluate AI-generated literature becomes critical. This paper investigates the interplay between measurable textual features and reader prefere"&amp;"nces in the context of short stories. We analyze multiple datasets where readers (ranging from literary experts to lay audiences) evaluated both human-authored and LLM-generated texts. We propose to model reader's preferences as weighted combinations of i"&amp;"ntrinsic textual features such as coherence, sentiment volatility, thematic entropy, etc. Results show that (1) when LLM-generated text closely approximates the feature distributions of human text, readers struggle to distinguish them; (2) expert and non-"&amp;"expert readers prioritize distinctly different textual features, revealing systematic variations in literary judgment; and (3) these preference patterns are remarkably stable across diverse datasets. Our framework provides a step towards understanding and"&amp;" potentially tailoring AI-generated literature to meet the expectations of specific audiences.")</f>
        <v>As Large Language Models (LLMs) increasingly produce human-quality text, understanding how readers perceive and evaluate AI-generated literature becomes critical. This paper investigates the interplay between measurable textual features and reader preferences in the context of short stories. We analyze multiple datasets where readers (ranging from literary experts to lay audiences) evaluated both human-authored and LLM-generated texts. We propose to model reader's preferences as weighted combinations of intrinsic textual features such as coherence, sentiment volatility, thematic entropy, etc. Results show that (1) when LLM-generated text closely approximates the feature distributions of human text, readers struggle to distinguish them; (2) expert and non-expert readers prioritize distinctly different textual features, revealing systematic variations in literary judgment; and (3) these preference patterns are remarkably stable across diverse datasets. Our framework provides a step towards understanding and potentially tailoring AI-generated literature to meet the expectations of specific audiences.</v>
      </c>
      <c r="D1393" s="7" t="str">
        <f>IFERROR(__xludf.DUMMYFUNCTION("""COMPUTED_VALUE"""),"Guillermo Marco")</f>
        <v>Guillermo Marco</v>
      </c>
      <c r="E1393" s="7" t="str">
        <f>IFERROR(__xludf.DUMMYFUNCTION("""COMPUTED_VALUE"""),"Yes")</f>
        <v>Yes</v>
      </c>
      <c r="F1393" s="7" t="str">
        <f>IFERROR(__xludf.DUMMYFUNCTION("""COMPUTED_VALUE"""),"IP-Poster")</f>
        <v>IP-Poster</v>
      </c>
      <c r="G1393" s="7" t="str">
        <f>IFERROR(__xludf.DUMMYFUNCTION("""COMPUTED_VALUE"""),"In-Person")</f>
        <v>In-Person</v>
      </c>
      <c r="H1393" s="7" t="str">
        <f>IFERROR(__xludf.DUMMYFUNCTION("""COMPUTED_VALUE"""),"Hall 4/5")</f>
        <v>Hall 4/5</v>
      </c>
      <c r="I1393" s="7" t="str">
        <f>IFERROR(__xludf.DUMMYFUNCTION("""COMPUTED_VALUE"""),"Session 12: IP-Posters")</f>
        <v>Session 12: IP-Posters</v>
      </c>
      <c r="J1393" s="7" t="str">
        <f>IFERROR(__xludf.DUMMYFUNCTION("""COMPUTED_VALUE"""),"Findings Posters - In-Person 4")</f>
        <v>Findings Posters - In-Person 4</v>
      </c>
      <c r="K1393" s="7"/>
      <c r="L1393" s="8">
        <f>IFERROR(__xludf.DUMMYFUNCTION("""COMPUTED_VALUE"""),45868.0)</f>
        <v>45868</v>
      </c>
      <c r="M1393" s="7" t="str">
        <f>IFERROR(__xludf.DUMMYFUNCTION("""COMPUTED_VALUE"""),"11:00-12:30")</f>
        <v>11:00-12:30</v>
      </c>
      <c r="N1393" s="7"/>
    </row>
    <row r="1394">
      <c r="A1394" s="7" t="str">
        <f>IFERROR(__xludf.DUMMYFUNCTION("""COMPUTED_VALUE"""),"5117-FIND")</f>
        <v>5117-FIND</v>
      </c>
      <c r="B1394" s="7" t="str">
        <f>IFERROR(__xludf.DUMMYFUNCTION("""COMPUTED_VALUE"""),"Summary Factual Inconsistency Detection Based on LLMs Enhanced by Universal Information Extraction")</f>
        <v>Summary Factual Inconsistency Detection Based on LLMs Enhanced by Universal Information Extraction</v>
      </c>
      <c r="C1394" s="7" t="str">
        <f>IFERROR(__xludf.DUMMYFUNCTION("""COMPUTED_VALUE"""),"Automatic text summarization has a potential flaw that affects the factuality of summaries. Recently, Large Language Models (LLMs) have been introduced as detectors for factual inconsistencies in summaries. However, LLM-based methods rely on reasoning cap"&amp;"abilities and face challenges in terms of efficiency and explainability. We focus on decoupling LLMs' information extraction and reasoning capabilities to address prominent challenges, and propose a novel framework, UIEFID (Universal Information Extractio"&amp;"n-enhanced Factual Inconsistency Detection). Our idea is to define a self-adaptive structured schema to guide fine-tuned LLMs in extracting unified structured information from documents and summaries, ultimately detecting the origins of inconsistencies in"&amp;" extraction information. The evaluation on 5 open-source models shows that UIEFID not only enhances the detection accuracy on the AGGREFACT benchmark but also significantly reduces redundant reasoning.")</f>
        <v>Automatic text summarization has a potential flaw that affects the factuality of summaries. Recently, Large Language Models (LLMs) have been introduced as detectors for factual inconsistencies in summaries. However, LLM-based methods rely on reasoning capabilities and face challenges in terms of efficiency and explainability. We focus on decoupling LLMs' information extraction and reasoning capabilities to address prominent challenges, and propose a novel framework, UIEFID (Universal Information Extraction-enhanced Factual Inconsistency Detection). Our idea is to define a self-adaptive structured schema to guide fine-tuned LLMs in extracting unified structured information from documents and summaries, ultimately detecting the origins of inconsistencies in extraction information. The evaluation on 5 open-source models shows that UIEFID not only enhances the detection accuracy on the AGGREFACT benchmark but also significantly reduces redundant reasoning.</v>
      </c>
      <c r="D1394" s="7" t="str">
        <f>IFERROR(__xludf.DUMMYFUNCTION("""COMPUTED_VALUE"""),"Anguo Li
Lei Yu")</f>
        <v>Anguo Li
Lei Yu</v>
      </c>
      <c r="E1394" s="7" t="str">
        <f>IFERROR(__xludf.DUMMYFUNCTION("""COMPUTED_VALUE"""),"Yes")</f>
        <v>Yes</v>
      </c>
      <c r="F1394" s="7" t="str">
        <f>IFERROR(__xludf.DUMMYFUNCTION("""COMPUTED_VALUE"""),"V-Presentation")</f>
        <v>V-Presentation</v>
      </c>
      <c r="G1394" s="7" t="str">
        <f>IFERROR(__xludf.DUMMYFUNCTION("""COMPUTED_VALUE"""),"Virtual/Gather")</f>
        <v>Virtual/Gather</v>
      </c>
      <c r="H1394" s="7" t="str">
        <f>IFERROR(__xludf.DUMMYFUNCTION("""COMPUTED_VALUE"""),"Gather")</f>
        <v>Gather</v>
      </c>
      <c r="I1394" s="7" t="str">
        <f>IFERROR(__xludf.DUMMYFUNCTION("""COMPUTED_VALUE"""),"Session5: V-Gather Find")</f>
        <v>Session5: V-Gather Find</v>
      </c>
      <c r="J1394" s="7" t="str">
        <f>IFERROR(__xludf.DUMMYFUNCTION("""COMPUTED_VALUE"""),"Findings Posters - Virtual")</f>
        <v>Findings Posters - Virtual</v>
      </c>
      <c r="K1394" s="7"/>
      <c r="L1394" s="8">
        <f>IFERROR(__xludf.DUMMYFUNCTION("""COMPUTED_VALUE"""),45866.0)</f>
        <v>45866</v>
      </c>
      <c r="M1394" s="7" t="str">
        <f>IFERROR(__xludf.DUMMYFUNCTION("""COMPUTED_VALUE"""),"18:00-19:30")</f>
        <v>18:00-19:30</v>
      </c>
      <c r="N1394" s="7"/>
    </row>
    <row r="1395">
      <c r="A1395" s="7" t="str">
        <f>IFERROR(__xludf.DUMMYFUNCTION("""COMPUTED_VALUE"""),"5118-FIND")</f>
        <v>5118-FIND</v>
      </c>
      <c r="B1395" s="7" t="str">
        <f>IFERROR(__xludf.DUMMYFUNCTION("""COMPUTED_VALUE"""),"ELI-Why: Evaluating the Pedagogical Utility of LLM Explanations")</f>
        <v>ELI-Why: Evaluating the Pedagogical Utility of LLM Explanations</v>
      </c>
      <c r="C1395" s="7" t="str">
        <f>IFERROR(__xludf.DUMMYFUNCTION("""COMPUTED_VALUE"""),"Language models today are widely used in education, yet their ability to tailor responses for learners with varied informational needs and knowledge backgrounds remains under-explored. To this end, we introduce ELI-Why, a benchmark of 13.4K ""Why"" questi"&amp;"ons to assess the pedagogical capabilities of LLMs. We then conduct two extensive human studies to assess the utility of LLM-generated explanatory answers (explanations) on our benchmark, tailored to three distinct educational grades: elementary, high-sch"&amp;"ool and graduate school. In our first study, human raters assume the role of an ""educator"" to assess model explanations' fit to different educational grades. We find that GPT-4-generated explanations match their intended educational background only 50% "&amp;"of the time, compared to 79% for human-curated explanations. In our second study, human raters assume the role of a learner to assess if an explanation fits their own informational needs. Results show that users deemed GPT-4-generated explanations relativ"&amp;"ely 20% less suited to their informational needs, particularly for advanced learners. Additionally, automated evaluation metrics reveal that GPT-4 explanations for different informational needs remain indistinguishable in their grade-level, limiting their"&amp;" pedagogical effectiveness. These findings suggest that LLMs' ability to follow inference-time instructions alone is insufficient for producing high-utility explanations, tailored to users' informational needs.")</f>
        <v>Language models today are widely used in education, yet their ability to tailor responses for learners with varied informational needs and knowledge backgrounds remains under-explored. To this end, we introduce ELI-Why, a benchmark of 13.4K "Why" questions to assess the pedagogical capabilities of LLMs. We then conduct two extensive human studies to assess the utility of LLM-generated explanatory answers (explanations) on our benchmark, tailored to three distinct educational grades: elementary, high-school and graduate school. In our first study, human raters assume the role of an "educator" to assess model explanations' fit to different educational grades. We find that GPT-4-generated explanations match their intended educational background only 50% of the time, compared to 79% for human-curated explanations. In our second study, human raters assume the role of a learner to assess if an explanation fits their own informational needs. Results show that users deemed GPT-4-generated explanations relatively 20% less suited to their informational needs, particularly for advanced learners. Additionally, automated evaluation metrics reveal that GPT-4 explanations for different informational needs remain indistinguishable in their grade-level, limiting their pedagogical effectiveness. These findings suggest that LLMs' ability to follow inference-time instructions alone is insufficient for producing high-utility explanations, tailored to users' informational needs.</v>
      </c>
      <c r="D1395" s="7" t="str">
        <f>IFERROR(__xludf.DUMMYFUNCTION("""COMPUTED_VALUE"""),"Brihi Joshi")</f>
        <v>Brihi Joshi</v>
      </c>
      <c r="E1395" s="7" t="str">
        <f>IFERROR(__xludf.DUMMYFUNCTION("""COMPUTED_VALUE"""),"Yes")</f>
        <v>Yes</v>
      </c>
      <c r="F1395" s="7" t="str">
        <f>IFERROR(__xludf.DUMMYFUNCTION("""COMPUTED_VALUE"""),"IP-Poster")</f>
        <v>IP-Poster</v>
      </c>
      <c r="G1395" s="7" t="str">
        <f>IFERROR(__xludf.DUMMYFUNCTION("""COMPUTED_VALUE"""),"In-Person")</f>
        <v>In-Person</v>
      </c>
      <c r="H1395" s="7" t="str">
        <f>IFERROR(__xludf.DUMMYFUNCTION("""COMPUTED_VALUE"""),"Hall 4/5")</f>
        <v>Hall 4/5</v>
      </c>
      <c r="I1395" s="7" t="str">
        <f>IFERROR(__xludf.DUMMYFUNCTION("""COMPUTED_VALUE"""),"Session 10: IP-Posters")</f>
        <v>Session 10: IP-Posters</v>
      </c>
      <c r="J1395" s="7" t="str">
        <f>IFERROR(__xludf.DUMMYFUNCTION("""COMPUTED_VALUE"""),"Findings Posters - In-Person 3")</f>
        <v>Findings Posters - In-Person 3</v>
      </c>
      <c r="K1395" s="7"/>
      <c r="L1395" s="8">
        <f>IFERROR(__xludf.DUMMYFUNCTION("""COMPUTED_VALUE"""),45867.0)</f>
        <v>45867</v>
      </c>
      <c r="M1395" s="7" t="str">
        <f>IFERROR(__xludf.DUMMYFUNCTION("""COMPUTED_VALUE"""),"16:00-17:30")</f>
        <v>16:00-17:30</v>
      </c>
      <c r="N1395" s="7"/>
    </row>
    <row r="1396">
      <c r="A1396" s="7" t="str">
        <f>IFERROR(__xludf.DUMMYFUNCTION("""COMPUTED_VALUE"""),"5120-FIND")</f>
        <v>5120-FIND</v>
      </c>
      <c r="B1396" s="7" t="str">
        <f>IFERROR(__xludf.DUMMYFUNCTION("""COMPUTED_VALUE"""),"Beyond Generation: Leveraging LLM Creativity to Overcome Label Bias in Classification")</f>
        <v>Beyond Generation: Leveraging LLM Creativity to Overcome Label Bias in Classification</v>
      </c>
      <c r="C1396" s="7" t="str">
        <f>IFERROR(__xludf.DUMMYFUNCTION("""COMPUTED_VALUE"""),"Large Language Models (LLMs) exhibit impressive capabilities in In-Context Learning (ICL) but are prone to label bias—an undesirable tendency to favor certain answers. Existing calibration methods mitigate bias by leveraging in-domain data, yet such data "&amp;"is often unavailable in real-world scenarios. To address this limitation, we propose SDC (Synthetic Data Calibration), a simple-yet-effective approach that generates synthetic in-domain data from a few in-context demonstrations and utilizes it for calibra"&amp;"tion. By approximating the benefits of real in-domain data, SDC effectively reduces label bias without requiring access to actual domain-specific inputs. Experimental evaluations on 279 classification and multiple-choice tasks from the Super-NaturalInstru"&amp;"ctions benchmark. The results show that SDC significantly reduces label bias, achieving an average Bias Score reduction of 57.5%, and outperforming all competitive baselines. Moreover, when combined with Leave-One-Out Calibration (LOOC), \model further im"&amp;"proves performance, underscoring its effectiveness and generalizability in enhancing the reliability of LLMs.")</f>
        <v>Large Language Models (LLMs) exhibit impressive capabilities in In-Context Learning (ICL) but are prone to label bias—an undesirable tendency to favor certain answers. Existing calibration methods mitigate bias by leveraging in-domain data, yet such data is often unavailable in real-world scenarios. To address this limitation, we propose SDC (Synthetic Data Calibration), a simple-yet-effective approach that generates synthetic in-domain data from a few in-context demonstrations and utilizes it for calibration. By approximating the benefits of real in-domain data, SDC effectively reduces label bias without requiring access to actual domain-specific inputs. Experimental evaluations on 279 classification and multiple-choice tasks from the Super-NaturalInstructions benchmark. The results show that SDC significantly reduces label bias, achieving an average Bias Score reduction of 57.5%, and outperforming all competitive baselines. Moreover, when combined with Leave-One-Out Calibration (LOOC), \model further improves performance, underscoring its effectiveness and generalizability in enhancing the reliability of LLMs.</v>
      </c>
      <c r="D1396" s="7" t="str">
        <f>IFERROR(__xludf.DUMMYFUNCTION("""COMPUTED_VALUE"""),"N/A")</f>
        <v>N/A</v>
      </c>
      <c r="E1396" s="7" t="str">
        <f>IFERROR(__xludf.DUMMYFUNCTION("""COMPUTED_VALUE"""),"#N/A")</f>
        <v>#N/A</v>
      </c>
      <c r="F1396" s="7" t="str">
        <f>IFERROR(__xludf.DUMMYFUNCTION("""COMPUTED_VALUE"""),"Not Pres. ")</f>
        <v>Not Pres. </v>
      </c>
      <c r="G1396" s="7" t="str">
        <f>IFERROR(__xludf.DUMMYFUNCTION("""COMPUTED_VALUE"""),"NP Findings Not Presenting ")</f>
        <v>NP Findings Not Presenting </v>
      </c>
      <c r="H1396" s="7"/>
      <c r="I1396" s="7" t="str">
        <f>IFERROR(__xludf.DUMMYFUNCTION("""COMPUTED_VALUE"""),"NP-Find")</f>
        <v>NP-Find</v>
      </c>
      <c r="J1396" s="7"/>
      <c r="K1396" s="7"/>
      <c r="L1396" s="8"/>
      <c r="M1396" s="7"/>
      <c r="N1396" s="7"/>
    </row>
    <row r="1397">
      <c r="A1397" s="7" t="str">
        <f>IFERROR(__xludf.DUMMYFUNCTION("""COMPUTED_VALUE"""),"5122-FIND")</f>
        <v>5122-FIND</v>
      </c>
      <c r="B1397" s="7" t="str">
        <f>IFERROR(__xludf.DUMMYFUNCTION("""COMPUTED_VALUE"""),"CogSteer: Cognition-Inspired Selective Layer Intervention for Efficiently Steering Large Language Models")</f>
        <v>CogSteer: Cognition-Inspired Selective Layer Intervention for Efficiently Steering Large Language Models</v>
      </c>
      <c r="C1397" s="7" t="str">
        <f>IFERROR(__xludf.DUMMYFUNCTION("""COMPUTED_VALUE"""),"Large Language Models (LLMs) achieve remarkable performance through pretraining on extensive data. This enables efficient adaptation to diverse downstream tasks. However, the lack of interpretability in their underlying mechanisms limits the ability to ef"&amp;"fectively steer LLMs for specific applications. In this work, we investigate the intrinsic mechanisms of LLMs from a cognitive perspective using eye movement measures. Specifically, we analyze the layer-wise correlation between human cognitive indicators "&amp;"and LLM representations. Building on these insights, we propose a heuristic approach for selecting the optimal steering layer to modulate LLM semantics. To this end, we introduce an efficient selective layer intervention based on prominent parameter-effic"&amp;"ient fine-tuning methods, which conventionally adjust either all layers or only the final layer. Additionally, we present an implicit layer contrastive intervention during inference to steer LLMs away from toxic outputs. Extensive experiments on natural l"&amp;"anguage understanding, reasoning, and generation tasks, conducted on GPT-2, LLaMa2-7B, and Mixtral-7B, demonstrate the effectiveness and efficiency of our approach. As a model-agnostic framework, it enhances the interpretability of LLMs while improving ef"&amp;"ficiency for safe deployment.")</f>
        <v>Large Language Models (LLMs) achieve remarkable performance through pretraining on extensive data. This enables efficient adaptation to diverse downstream tasks. However, the lack of interpretability in their underlying mechanisms limits the ability to effectively steer LLMs for specific applications. In this work, we investigate the intrinsic mechanisms of LLMs from a cognitive perspective using eye movement measures. Specifically, we analyze the layer-wise correlation between human cognitive indicators and LLM representations. Building on these insights, we propose a heuristic approach for selecting the optimal steering layer to modulate LLM semantics. To this end, we introduce an efficient selective layer intervention based on prominent parameter-efficient fine-tuning methods, which conventionally adjust either all layers or only the final layer. Additionally, we present an implicit layer contrastive intervention during inference to steer LLMs away from toxic outputs. Extensive experiments on natural language understanding, reasoning, and generation tasks, conducted on GPT-2, LLaMa2-7B, and Mixtral-7B, demonstrate the effectiveness and efficiency of our approach. As a model-agnostic framework, it enhances the interpretability of LLMs while improving efficiency for safe deployment.</v>
      </c>
      <c r="D1397" s="7" t="str">
        <f>IFERROR(__xludf.DUMMYFUNCTION("""COMPUTED_VALUE"""),"Xintong Wang and Jingheng Pan")</f>
        <v>Xintong Wang and Jingheng Pan</v>
      </c>
      <c r="E1397" s="7" t="str">
        <f>IFERROR(__xludf.DUMMYFUNCTION("""COMPUTED_VALUE"""),"Yes")</f>
        <v>Yes</v>
      </c>
      <c r="F1397" s="7" t="str">
        <f>IFERROR(__xludf.DUMMYFUNCTION("""COMPUTED_VALUE"""),"IP-Poster")</f>
        <v>IP-Poster</v>
      </c>
      <c r="G1397" s="7" t="str">
        <f>IFERROR(__xludf.DUMMYFUNCTION("""COMPUTED_VALUE"""),"In-Person")</f>
        <v>In-Person</v>
      </c>
      <c r="H1397" s="7" t="str">
        <f>IFERROR(__xludf.DUMMYFUNCTION("""COMPUTED_VALUE"""),"Hall 4/5")</f>
        <v>Hall 4/5</v>
      </c>
      <c r="I1397" s="7" t="str">
        <f>IFERROR(__xludf.DUMMYFUNCTION("""COMPUTED_VALUE"""),"Session 7: IP-Posters")</f>
        <v>Session 7: IP-Posters</v>
      </c>
      <c r="J1397" s="7" t="str">
        <f>IFERROR(__xludf.DUMMYFUNCTION("""COMPUTED_VALUE"""),"Findings Posters - In-Person 2")</f>
        <v>Findings Posters - In-Person 2</v>
      </c>
      <c r="K1397" s="7"/>
      <c r="L1397" s="8">
        <f>IFERROR(__xludf.DUMMYFUNCTION("""COMPUTED_VALUE"""),45867.0)</f>
        <v>45867</v>
      </c>
      <c r="M1397" s="7" t="str">
        <f>IFERROR(__xludf.DUMMYFUNCTION("""COMPUTED_VALUE"""),"10:30-12:00")</f>
        <v>10:30-12:00</v>
      </c>
      <c r="N1397" s="7"/>
    </row>
    <row r="1398">
      <c r="A1398" s="7" t="str">
        <f>IFERROR(__xludf.DUMMYFUNCTION("""COMPUTED_VALUE"""),"5125-FIND")</f>
        <v>5125-FIND</v>
      </c>
      <c r="B1398" s="7" t="str">
        <f>IFERROR(__xludf.DUMMYFUNCTION("""COMPUTED_VALUE"""),"PASTEL : Polarity-Aware Sentiment Triplet Extraction with LLM-as-a-Judge")</f>
        <v>PASTEL : Polarity-Aware Sentiment Triplet Extraction with LLM-as-a-Judge</v>
      </c>
      <c r="C1398" s="7" t="str">
        <f>IFERROR(__xludf.DUMMYFUNCTION("""COMPUTED_VALUE"""),"Aspect Sentiment Triplet Extraction (ASTE) is a subtask of Aspect-Based Sentiment Analysis (ABSA) that aims to extract aspect terms, corresponding opinion terms, and their associated sentiment polarities from text. Current end-to-end approaches, whether e"&amp;"mploying Large Language Models (LLMs) or complex neural network structures, struggle to effectively model the complex latent relationships between aspects and opinions. Therefore, in this work, we propose Polarity-Aware Sentiment Triplet Extraction with L"&amp;"LM-as-a-judge (PASTEL), a novel pipeline which decomposes the ASTE task into structured subtasks. We employ finetuned LLMs to separately extract the aspect and opinion terms, incorporating a polarity-aware mechanism to enhance opinion extraction. After ge"&amp;"nerating a candidate set through the Cartesian product of the extracted aspect and opinion-sentiment sets, we leverage an LLM-as-a-Judge to validate and prune these candidates. Experimental evaluations demonstrate that PASTEL outperforms existing baseline"&amp;"s. Our findings highlight the necessity of modular decomposition in complex sentiment analysis tasks to fully exploit the capabilities of current LLMs.")</f>
        <v>Aspect Sentiment Triplet Extraction (ASTE) is a subtask of Aspect-Based Sentiment Analysis (ABSA) that aims to extract aspect terms, corresponding opinion terms, and their associated sentiment polarities from text. Current end-to-end approaches, whether employing Large Language Models (LLMs) or complex neural network structures, struggle to effectively model the complex latent relationships between aspects and opinions. Therefore, in this work, we propose Polarity-Aware Sentiment Triplet Extraction with LLM-as-a-judge (PASTEL), a novel pipeline which decomposes the ASTE task into structured subtasks. We employ finetuned LLMs to separately extract the aspect and opinion terms, incorporating a polarity-aware mechanism to enhance opinion extraction. After generating a candidate set through the Cartesian product of the extracted aspect and opinion-sentiment sets, we leverage an LLM-as-a-Judge to validate and prune these candidates. Experimental evaluations demonstrate that PASTEL outperforms existing baselines. Our findings highlight the necessity of modular decomposition in complex sentiment analysis tasks to fully exploit the capabilities of current LLMs.</v>
      </c>
      <c r="D1398" s="7" t="str">
        <f>IFERROR(__xludf.DUMMYFUNCTION("""COMPUTED_VALUE"""),"-")</f>
        <v>-</v>
      </c>
      <c r="E1398" s="7" t="str">
        <f>IFERROR(__xludf.DUMMYFUNCTION("""COMPUTED_VALUE"""),"#N/A")</f>
        <v>#N/A</v>
      </c>
      <c r="F1398" s="7" t="str">
        <f>IFERROR(__xludf.DUMMYFUNCTION("""COMPUTED_VALUE"""),"Not Pres. ")</f>
        <v>Not Pres. </v>
      </c>
      <c r="G1398" s="7" t="str">
        <f>IFERROR(__xludf.DUMMYFUNCTION("""COMPUTED_VALUE"""),"NP Findings Not Presenting ")</f>
        <v>NP Findings Not Presenting </v>
      </c>
      <c r="H1398" s="7"/>
      <c r="I1398" s="7" t="str">
        <f>IFERROR(__xludf.DUMMYFUNCTION("""COMPUTED_VALUE"""),"NP-Find")</f>
        <v>NP-Find</v>
      </c>
      <c r="J1398" s="7"/>
      <c r="K1398" s="7"/>
      <c r="L1398" s="8"/>
      <c r="M1398" s="7"/>
      <c r="N1398" s="7"/>
    </row>
    <row r="1399">
      <c r="A1399" s="7" t="str">
        <f>IFERROR(__xludf.DUMMYFUNCTION("""COMPUTED_VALUE"""),"5126-FIND")</f>
        <v>5126-FIND</v>
      </c>
      <c r="B1399" s="7" t="str">
        <f>IFERROR(__xludf.DUMMYFUNCTION("""COMPUTED_VALUE"""),"COSMIC: Generalized Refusal Identification in LLM Activations")</f>
        <v>COSMIC: Generalized Refusal Identification in LLM Activations</v>
      </c>
      <c r="C1399" s="7" t="str">
        <f>IFERROR(__xludf.DUMMYFUNCTION("""COMPUTED_VALUE"""),"Large Language Models encode behaviors like refusal within their activation space, but identifying these behaviors remains challenging. Existing methods depend on predefined refusal templates detectable in output tokens or manual review. We introduce **CO"&amp;"SMIC** (Cosine Similarity Metrics for Inversion of Concepts), an automated framework for direction selection that optimally identifies steering directions and target layers using cosine similarity, entirely independent of output text. COSMIC achieves stee"&amp;"ring effectiveness comparable to prior work without any prior knowledge or assumptions of a model’s refusal behavior such as the use of certain refusal tokens. Additionally, COSMIC successfully identifies refusal directions in adversarial scenarios and mo"&amp;"dels with weak safety alignment, demonstrating its robustness across diverse settings.")</f>
        <v>Large Language Models encode behaviors like refusal within their activation space, but identifying these behaviors remains challenging. Existing methods depend on predefined refusal templates detectable in output tokens or manual review. We introduce **COSMIC** (Cosine Similarity Metrics for Inversion of Concepts), an automated framework for direction selection that optimally identifies steering directions and target layers using cosine similarity, entirely independent of output text. COSMIC achieves steering effectiveness comparable to prior work without any prior knowledge or assumptions of a model’s refusal behavior such as the use of certain refusal tokens. Additionally, COSMIC successfully identifies refusal directions in adversarial scenarios and models with weak safety alignment, demonstrating its robustness across diverse settings.</v>
      </c>
      <c r="D1399" s="7" t="str">
        <f>IFERROR(__xludf.DUMMYFUNCTION("""COMPUTED_VALUE"""),"Vincent Siu")</f>
        <v>Vincent Siu</v>
      </c>
      <c r="E1399" s="7" t="str">
        <f>IFERROR(__xludf.DUMMYFUNCTION("""COMPUTED_VALUE"""),"Yes")</f>
        <v>Yes</v>
      </c>
      <c r="F1399" s="7" t="str">
        <f>IFERROR(__xludf.DUMMYFUNCTION("""COMPUTED_VALUE"""),"IP-Poster")</f>
        <v>IP-Poster</v>
      </c>
      <c r="G1399" s="7" t="str">
        <f>IFERROR(__xludf.DUMMYFUNCTION("""COMPUTED_VALUE"""),"In-Person")</f>
        <v>In-Person</v>
      </c>
      <c r="H1399" s="7" t="str">
        <f>IFERROR(__xludf.DUMMYFUNCTION("""COMPUTED_VALUE"""),"Hall 4/5")</f>
        <v>Hall 4/5</v>
      </c>
      <c r="I1399" s="7" t="str">
        <f>IFERROR(__xludf.DUMMYFUNCTION("""COMPUTED_VALUE"""),"Session 12: IP-Posters")</f>
        <v>Session 12: IP-Posters</v>
      </c>
      <c r="J1399" s="7" t="str">
        <f>IFERROR(__xludf.DUMMYFUNCTION("""COMPUTED_VALUE"""),"Findings Posters - In-Person 4")</f>
        <v>Findings Posters - In-Person 4</v>
      </c>
      <c r="K1399" s="7"/>
      <c r="L1399" s="8">
        <f>IFERROR(__xludf.DUMMYFUNCTION("""COMPUTED_VALUE"""),45868.0)</f>
        <v>45868</v>
      </c>
      <c r="M1399" s="7" t="str">
        <f>IFERROR(__xludf.DUMMYFUNCTION("""COMPUTED_VALUE"""),"11:00-12:30")</f>
        <v>11:00-12:30</v>
      </c>
      <c r="N1399" s="7"/>
    </row>
    <row r="1400">
      <c r="A1400" s="7" t="str">
        <f>IFERROR(__xludf.DUMMYFUNCTION("""COMPUTED_VALUE"""),"5137-FIND")</f>
        <v>5137-FIND</v>
      </c>
      <c r="B1400" s="7" t="str">
        <f>IFERROR(__xludf.DUMMYFUNCTION("""COMPUTED_VALUE"""),"Red Queen: Exposing Latent Multi-Turn Risks in Large Language Models")</f>
        <v>Red Queen: Exposing Latent Multi-Turn Risks in Large Language Models</v>
      </c>
      <c r="C1400" s="7" t="str">
        <f>IFERROR(__xludf.DUMMYFUNCTION("""COMPUTED_VALUE"""),"The rapid advancement of large language models (LLMs) has unlocked diverse opportunities across domains and applications but has also raised concerns about their tendency to generate harmful responses under jailbreak attacks. However, most existing jailbr"&amp;"eak strategies are single-turn with explicit malicious intent, failing to reflect the real-world scenario where interactions can be multi-turn and users can conceal their intents. Recent studies on Theory of Mind (ToM) reveal that LLMs often struggle to i"&amp;"nfer users’ latent intent in such scenarios. Building on these limitations, we propose a novel jailbreak attack, RED QUEEN ATTACK, which constructs a multi-turn scenario, concealing the malicious intent under the guise of preventing harm. We generate 56k "&amp;"multi-turn concealment data points across 40 scenarios and 14 harmful categories, evaluating four LLM families of different sizes. Results show all models are vulnerable to RED QUEEN ATTACK, reaching 87.6% attack success rate (ASR) on GPT-4o and 77.1% on "&amp;"Llama3-70B. Compared to prior jailbreak attacks, the RED QUEEN ATTACK achieves superior performance on nine out of ten models, with ASR improvements ranging from 2% to 64%. Further analysis reveals that larger models exhibit greater vulnerability to our a"&amp;"ttack, primarily due to the combination of multi-turn structures and concealment strategies. To enhance safety, we propose RED QUEEN GUARD, a mitigation strategy reducing ASR to below 1% while maintaining model performance on standard benchmarks. We relea"&amp;"se all materials to support further research.")</f>
        <v>The rapid advancement of large language models (LLMs) has unlocked diverse opportunities across domains and applications but has also raised concerns about their tendency to generate harmful responses under jailbreak attacks. However, most existing jailbreak strategies are single-turn with explicit malicious intent, failing to reflect the real-world scenario where interactions can be multi-turn and users can conceal their intents. Recent studies on Theory of Mind (ToM) reveal that LLMs often struggle to infer users’ latent intent in such scenarios. Building on these limitations, we propose a novel jailbreak attack, RED QUEEN ATTACK, which constructs a multi-turn scenario, concealing the malicious intent under the guise of preventing harm. We generate 56k multi-turn concealment data points across 40 scenarios and 14 harmful categories, evaluating four LLM families of different sizes. Results show all models are vulnerable to RED QUEEN ATTACK, reaching 87.6% attack success rate (ASR) on GPT-4o and 77.1% on Llama3-70B. Compared to prior jailbreak attacks, the RED QUEEN ATTACK achieves superior performance on nine out of ten models, with ASR improvements ranging from 2% to 64%. Further analysis reveals that larger models exhibit greater vulnerability to our attack, primarily due to the combination of multi-turn structures and concealment strategies. To enhance safety, we propose RED QUEEN GUARD, a mitigation strategy reducing ASR to below 1% while maintaining model performance on standard benchmarks. We release all materials to support further research.</v>
      </c>
      <c r="D1400" s="7" t="str">
        <f>IFERROR(__xludf.DUMMYFUNCTION("""COMPUTED_VALUE"""),"Yifan Jiang")</f>
        <v>Yifan Jiang</v>
      </c>
      <c r="E1400" s="7" t="str">
        <f>IFERROR(__xludf.DUMMYFUNCTION("""COMPUTED_VALUE"""),"N/A")</f>
        <v>N/A</v>
      </c>
      <c r="F1400" s="7" t="str">
        <f>IFERROR(__xludf.DUMMYFUNCTION("""COMPUTED_VALUE"""),"Not Pres. ")</f>
        <v>Not Pres. </v>
      </c>
      <c r="G1400" s="7"/>
      <c r="H1400" s="7"/>
      <c r="I1400" s="7" t="str">
        <f>IFERROR(__xludf.DUMMYFUNCTION("""COMPUTED_VALUE"""),"NP-Find")</f>
        <v>NP-Find</v>
      </c>
      <c r="J1400" s="7"/>
      <c r="K1400" s="7"/>
      <c r="L1400" s="8"/>
      <c r="M1400" s="7"/>
      <c r="N1400" s="7"/>
    </row>
    <row r="1401">
      <c r="A1401" s="7" t="str">
        <f>IFERROR(__xludf.DUMMYFUNCTION("""COMPUTED_VALUE"""),"5142-FIND")</f>
        <v>5142-FIND</v>
      </c>
      <c r="B1401" s="7" t="str">
        <f>IFERROR(__xludf.DUMMYFUNCTION("""COMPUTED_VALUE"""),"MDBench: A Synthetic Multi-Document Reasoning Benchmark Generated with Knowledge Guidance")</f>
        <v>MDBench: A Synthetic Multi-Document Reasoning Benchmark Generated with Knowledge Guidance</v>
      </c>
      <c r="C1401" s="7" t="str">
        <f>IFERROR(__xludf.DUMMYFUNCTION("""COMPUTED_VALUE"""),"Natural language processing evaluation has made significant progress, largely driven by the proliferation of powerful large language mod-els (LLMs). New evaluation benchmarks are of increasing priority as the reasoning capabilities of LLMs are expanding a"&amp;"t a rapid pace. In particular, while multi-document (MD) reasoning is an area of extreme relevance given LLM capabilities in handling longer-context inputs, few benchmarks exist to rigorously examine model behavior in this setting. Moreover, the multi-doc"&amp;"ument setting is historically challenging for benchmark creation due to the expensive cost of annotating long inputs. In this work, we introduce MDBench, a new dataset for evaluating LLMs on the task of multi-document reasoning. Notably, MDBench is create"&amp;"d through a novel synthetic generation process, allowing us to controllably and efficiently generate challenging document sets and the corresponding question-answer (QA) examples. Our novel technique operates on condensed structured seed knowledge, modify"&amp;"ing it through LLM-assisted edits to induce MD-specific reasoning challenges. We then convert this structured knowledge into a natural text surface form, generating a document set and corresponding QA example. We analyze the behavior of popular LLMs and p"&amp;"rompting techniques, finding that MDBench poses significant challenges for all methods, even with relatively short document sets. We also see our knowledge-guided generation technique (1) allows us to readily perform targeted analysis of MD-specific reaso"&amp;"ning capabilities and (2) can be adapted quickly to account for new challenges and future modeling improvements.")</f>
        <v>Natural language processing evaluation has made significant progress, largely driven by the proliferation of powerful large language mod-els (LLMs). New evaluation benchmarks are of increasing priority as the reasoning capabilities of LLMs are expanding at a rapid pace. In particular, while multi-document (MD) reasoning is an area of extreme relevance given LLM capabilities in handling longer-context inputs, few benchmarks exist to rigorously examine model behavior in this setting. Moreover, the multi-document setting is historically challenging for benchmark creation due to the expensive cost of annotating long inputs. In this work, we introduce MDBench, a new dataset for evaluating LLMs on the task of multi-document reasoning. Notably, MDBench is created through a novel synthetic generation process, allowing us to controllably and efficiently generate challenging document sets and the corresponding question-answer (QA) examples. Our novel technique operates on condensed structured seed knowledge, modifying it through LLM-assisted edits to induce MD-specific reasoning challenges. We then convert this structured knowledge into a natural text surface form, generating a document set and corresponding QA example. We analyze the behavior of popular LLMs and prompting techniques, finding that MDBench poses significant challenges for all methods, even with relatively short document sets. We also see our knowledge-guided generation technique (1) allows us to readily perform targeted analysis of MD-specific reasoning capabilities and (2) can be adapted quickly to account for new challenges and future modeling improvements.</v>
      </c>
      <c r="D1401" s="7" t="str">
        <f>IFERROR(__xludf.DUMMYFUNCTION("""COMPUTED_VALUE"""),"Joseph J. Peper")</f>
        <v>Joseph J. Peper</v>
      </c>
      <c r="E1401" s="7" t="str">
        <f>IFERROR(__xludf.DUMMYFUNCTION("""COMPUTED_VALUE"""),"Yes")</f>
        <v>Yes</v>
      </c>
      <c r="F1401" s="7" t="str">
        <f>IFERROR(__xludf.DUMMYFUNCTION("""COMPUTED_VALUE"""),"IP-Poster")</f>
        <v>IP-Poster</v>
      </c>
      <c r="G1401" s="7" t="str">
        <f>IFERROR(__xludf.DUMMYFUNCTION("""COMPUTED_VALUE"""),"In-Person")</f>
        <v>In-Person</v>
      </c>
      <c r="H1401" s="7" t="str">
        <f>IFERROR(__xludf.DUMMYFUNCTION("""COMPUTED_VALUE"""),"Hall 4/5")</f>
        <v>Hall 4/5</v>
      </c>
      <c r="I1401" s="7" t="str">
        <f>IFERROR(__xludf.DUMMYFUNCTION("""COMPUTED_VALUE"""),"Session 7: IP-Posters")</f>
        <v>Session 7: IP-Posters</v>
      </c>
      <c r="J1401" s="7" t="str">
        <f>IFERROR(__xludf.DUMMYFUNCTION("""COMPUTED_VALUE"""),"Findings Posters - In-Person 2")</f>
        <v>Findings Posters - In-Person 2</v>
      </c>
      <c r="K1401" s="7"/>
      <c r="L1401" s="8">
        <f>IFERROR(__xludf.DUMMYFUNCTION("""COMPUTED_VALUE"""),45867.0)</f>
        <v>45867</v>
      </c>
      <c r="M1401" s="7" t="str">
        <f>IFERROR(__xludf.DUMMYFUNCTION("""COMPUTED_VALUE"""),"10:30-12:00")</f>
        <v>10:30-12:00</v>
      </c>
      <c r="N1401" s="7"/>
    </row>
    <row r="1402">
      <c r="A1402" s="7" t="str">
        <f>IFERROR(__xludf.DUMMYFUNCTION("""COMPUTED_VALUE"""),"5162-FIND")</f>
        <v>5162-FIND</v>
      </c>
      <c r="B1402" s="7" t="str">
        <f>IFERROR(__xludf.DUMMYFUNCTION("""COMPUTED_VALUE"""),"DiaLLM: EHR-Enhanced Clinical Conversational System for Clinical Test Recommendation and Diagnosis Prediction")</f>
        <v>DiaLLM: EHR-Enhanced Clinical Conversational System for Clinical Test Recommendation and Diagnosis Prediction</v>
      </c>
      <c r="C1402" s="7" t="str">
        <f>IFERROR(__xludf.DUMMYFUNCTION("""COMPUTED_VALUE"""),"Recent advances in Large Language Models (LLMs) have led to remarkable progresses in medical consultation.
However, existing medical LLMs overlook the essential role of Electronic Health Records (EHR) and focus primarily on diagnosis recommendation, limit"&amp;"ing their clinical applicability. We propose DiaLLM, the first medical LLM that integrates heterogeneous EHR data into clinically grounded dialogues, enabling clinical test recommendation, result interpretation, and diagnosis prediction to better align wi"&amp;"th real-world medical practice. To construct clinically grounded dialogues from EHR, we design a Clinical Test Reference (CTR) strategy that maps each clinical code to its corresponding description and classifies test results as ""normal"" or ""abnormal"""&amp;".
Additionally, DiaLLM employs a reinforcement learning framework for evidence acquisition and automated diagnosis. 
To handle the large action space, we introduce a reject sampling strategy to reduce redundancy and improve exploration efficiency. Further"&amp;"more, a confirmation reward and a class-sensitive diagnosis reward are designed to guide accurate diagnosis prediction.
Extensive experimental results demonstrate that DiaLLM outperforms baselines in clinical test recommendation and diagnosis prediction. "&amp;"
Our anonymous code is  here\footnote{\url{https://anonymous.4open.science/r/DiaLLM-E3B3}}.")</f>
        <v>Recent advances in Large Language Models (LLMs) have led to remarkable progresses in medical consultation.
However, existing medical LLMs overlook the essential role of Electronic Health Records (EHR) and focus primarily on diagnosis recommendation, limiting their clinical applicability. We propose DiaLLM, the first medical LLM that integrates heterogeneous EHR data into clinically grounded dialogues, enabling clinical test recommendation, result interpretation, and diagnosis prediction to better align with real-world medical practice. To construct clinically grounded dialogues from EHR, we design a Clinical Test Reference (CTR) strategy that maps each clinical code to its corresponding description and classifies test results as "normal" or "abnormal".
Additionally, DiaLLM employs a reinforcement learning framework for evidence acquisition and automated diagnosis. 
To handle the large action space, we introduce a reject sampling strategy to reduce redundancy and improve exploration efficiency. Furthermore, a confirmation reward and a class-sensitive diagnosis reward are designed to guide accurate diagnosis prediction.
Extensive experimental results demonstrate that DiaLLM outperforms baselines in clinical test recommendation and diagnosis prediction. 
Our anonymous code is  here\footnote{\url{https://anonymous.4open.science/r/DiaLLM-E3B3}}.</v>
      </c>
      <c r="D1402" s="7" t="str">
        <f>IFERROR(__xludf.DUMMYFUNCTION("""COMPUTED_VALUE"""),"Weijieying Ren")</f>
        <v>Weijieying Ren</v>
      </c>
      <c r="E1402" s="7" t="str">
        <f>IFERROR(__xludf.DUMMYFUNCTION("""COMPUTED_VALUE"""),"Yes")</f>
        <v>Yes</v>
      </c>
      <c r="F1402" s="7" t="str">
        <f>IFERROR(__xludf.DUMMYFUNCTION("""COMPUTED_VALUE"""),"V-Presentation")</f>
        <v>V-Presentation</v>
      </c>
      <c r="G1402" s="7" t="str">
        <f>IFERROR(__xludf.DUMMYFUNCTION("""COMPUTED_VALUE"""),"Virtual/Gather")</f>
        <v>Virtual/Gather</v>
      </c>
      <c r="H1402" s="7" t="str">
        <f>IFERROR(__xludf.DUMMYFUNCTION("""COMPUTED_VALUE"""),"Gather")</f>
        <v>Gather</v>
      </c>
      <c r="I1402" s="7" t="str">
        <f>IFERROR(__xludf.DUMMYFUNCTION("""COMPUTED_VALUE"""),"Session5: V-Gather Find")</f>
        <v>Session5: V-Gather Find</v>
      </c>
      <c r="J1402" s="7" t="str">
        <f>IFERROR(__xludf.DUMMYFUNCTION("""COMPUTED_VALUE"""),"Findings Posters - Virtual")</f>
        <v>Findings Posters - Virtual</v>
      </c>
      <c r="K1402" s="7"/>
      <c r="L1402" s="8">
        <f>IFERROR(__xludf.DUMMYFUNCTION("""COMPUTED_VALUE"""),45866.0)</f>
        <v>45866</v>
      </c>
      <c r="M1402" s="7" t="str">
        <f>IFERROR(__xludf.DUMMYFUNCTION("""COMPUTED_VALUE"""),"18:00-19:30")</f>
        <v>18:00-19:30</v>
      </c>
      <c r="N1402" s="7"/>
    </row>
    <row r="1403">
      <c r="A1403" s="7" t="str">
        <f>IFERROR(__xludf.DUMMYFUNCTION("""COMPUTED_VALUE"""),"5168-FIND")</f>
        <v>5168-FIND</v>
      </c>
      <c r="B1403" s="7" t="str">
        <f>IFERROR(__xludf.DUMMYFUNCTION("""COMPUTED_VALUE"""),"Can Hallucination Correction Improve Video-Language Alignment?")</f>
        <v>Can Hallucination Correction Improve Video-Language Alignment?</v>
      </c>
      <c r="C1403" s="7" t="str">
        <f>IFERROR(__xludf.DUMMYFUNCTION("""COMPUTED_VALUE"""),"Large Vision-Language Models often generate hallucinated content that is not grounded in its visual inputs. While prior work focuses on mitigating hallucinations, we instead explore leveraging hallucination correction as a training objective to improve vi"&amp;"deo-language alignment. We introduce HACA, a self-training framework learning to correct hallucinations in descriptions that do not align with the video content. By identifying and correcting inconsistencies, HACA enhances the model’s ability to align vid"&amp;"eo and textual representations for spatio-temporal reasoning. Our experimental results show consistent gains in video-caption binding and text-to-video retrieval tasks, demonstrating that hallucination correction-inspired tasks serve as an effective strat"&amp;"egy for improving vision and language alignment.")</f>
        <v>Large Vision-Language Models often generate hallucinated content that is not grounded in its visual inputs. While prior work focuses on mitigating hallucinations, we instead explore leveraging hallucination correction as a training objective to improve video-language alignment. We introduce HACA, a self-training framework learning to correct hallucinations in descriptions that do not align with the video content. By identifying and correcting inconsistencies, HACA enhances the model’s ability to align video and textual representations for spatio-temporal reasoning. Our experimental results show consistent gains in video-caption binding and text-to-video retrieval tasks, demonstrating that hallucination correction-inspired tasks serve as an effective strategy for improving vision and language alignment.</v>
      </c>
      <c r="D1403" s="7" t="str">
        <f>IFERROR(__xludf.DUMMYFUNCTION("""COMPUTED_VALUE"""),"Lingjun Zhao")</f>
        <v>Lingjun Zhao</v>
      </c>
      <c r="E1403" s="7" t="str">
        <f>IFERROR(__xludf.DUMMYFUNCTION("""COMPUTED_VALUE"""),"N/A")</f>
        <v>N/A</v>
      </c>
      <c r="F1403" s="7" t="str">
        <f>IFERROR(__xludf.DUMMYFUNCTION("""COMPUTED_VALUE"""),"Not Pres. ")</f>
        <v>Not Pres. </v>
      </c>
      <c r="G1403" s="7" t="str">
        <f>IFERROR(__xludf.DUMMYFUNCTION("""COMPUTED_VALUE"""),"NP Findings Not Presenting ")</f>
        <v>NP Findings Not Presenting </v>
      </c>
      <c r="H1403" s="7"/>
      <c r="I1403" s="7"/>
      <c r="J1403" s="7"/>
      <c r="K1403" s="7"/>
      <c r="L1403" s="8"/>
      <c r="M1403" s="7"/>
      <c r="N1403" s="7"/>
    </row>
    <row r="1404">
      <c r="A1404" s="7" t="str">
        <f>IFERROR(__xludf.DUMMYFUNCTION("""COMPUTED_VALUE"""),"5177-FIND")</f>
        <v>5177-FIND</v>
      </c>
      <c r="B1404" s="7" t="str">
        <f>IFERROR(__xludf.DUMMYFUNCTION("""COMPUTED_VALUE"""),"IMPARA-GED: Grammatical Error Detection is Boosting Reference-free Grammatical Error Quality Estimator")</f>
        <v>IMPARA-GED: Grammatical Error Detection is Boosting Reference-free Grammatical Error Quality Estimator</v>
      </c>
      <c r="C1404" s="7" t="str">
        <f>IFERROR(__xludf.DUMMYFUNCTION("""COMPUTED_VALUE"""),"We propose IMPARA-GED, a novel reference-free automatic grammatical error correction (GEC) evaluation method with grammatical error detection (GED) capabilities. We focus on the quality estimator of IMPARA, an existing automatic GEC evaluation method, and"&amp;" construct that of IMPARA-GED using a pre-trained language model with enhanced GED capabilities. Experimental results on SEEDA, a meta-evaluation dataset for automatic GEC evaluation methods, demonstrate that IMPARA-GED achieves the highest correlation wi"&amp;"th human sentence-level evaluations.")</f>
        <v>We propose IMPARA-GED, a novel reference-free automatic grammatical error correction (GEC) evaluation method with grammatical error detection (GED) capabilities. We focus on the quality estimator of IMPARA, an existing automatic GEC evaluation method, and construct that of IMPARA-GED using a pre-trained language model with enhanced GED capabilities. Experimental results on SEEDA, a meta-evaluation dataset for automatic GEC evaluation methods, demonstrate that IMPARA-GED achieves the highest correlation with human sentence-level evaluations.</v>
      </c>
      <c r="D1404" s="7" t="str">
        <f>IFERROR(__xludf.DUMMYFUNCTION("""COMPUTED_VALUE"""),"Yusuke Sakai")</f>
        <v>Yusuke Sakai</v>
      </c>
      <c r="E1404" s="7" t="str">
        <f>IFERROR(__xludf.DUMMYFUNCTION("""COMPUTED_VALUE"""),"Yes")</f>
        <v>Yes</v>
      </c>
      <c r="F1404" s="7" t="str">
        <f>IFERROR(__xludf.DUMMYFUNCTION("""COMPUTED_VALUE"""),"IP-Poster")</f>
        <v>IP-Poster</v>
      </c>
      <c r="G1404" s="7" t="str">
        <f>IFERROR(__xludf.DUMMYFUNCTION("""COMPUTED_VALUE"""),"In-Person")</f>
        <v>In-Person</v>
      </c>
      <c r="H1404" s="7" t="str">
        <f>IFERROR(__xludf.DUMMYFUNCTION("""COMPUTED_VALUE"""),"Hall 4/5")</f>
        <v>Hall 4/5</v>
      </c>
      <c r="I1404" s="7" t="str">
        <f>IFERROR(__xludf.DUMMYFUNCTION("""COMPUTED_VALUE"""),"Session 12: IP-Posters")</f>
        <v>Session 12: IP-Posters</v>
      </c>
      <c r="J1404" s="7" t="str">
        <f>IFERROR(__xludf.DUMMYFUNCTION("""COMPUTED_VALUE"""),"Findings Posters - In-Person 4")</f>
        <v>Findings Posters - In-Person 4</v>
      </c>
      <c r="K1404" s="7"/>
      <c r="L1404" s="8">
        <f>IFERROR(__xludf.DUMMYFUNCTION("""COMPUTED_VALUE"""),45868.0)</f>
        <v>45868</v>
      </c>
      <c r="M1404" s="7" t="str">
        <f>IFERROR(__xludf.DUMMYFUNCTION("""COMPUTED_VALUE"""),"11:00-12:30")</f>
        <v>11:00-12:30</v>
      </c>
      <c r="N1404" s="7"/>
    </row>
    <row r="1405">
      <c r="A1405" s="7" t="str">
        <f>IFERROR(__xludf.DUMMYFUNCTION("""COMPUTED_VALUE"""),"5178-FIND")</f>
        <v>5178-FIND</v>
      </c>
      <c r="B1405" s="7" t="str">
        <f>IFERROR(__xludf.DUMMYFUNCTION("""COMPUTED_VALUE"""),"Do Language Models Mirror Human Confidence? Exploring Psychological Insights to Address Overconfidence in LLMs")</f>
        <v>Do Language Models Mirror Human Confidence? Exploring Psychological Insights to Address Overconfidence in LLMs</v>
      </c>
      <c r="C1405" s="7" t="str">
        <f>IFERROR(__xludf.DUMMYFUNCTION("""COMPUTED_VALUE"""),"Psychology research has shown that humans are poor at estimating their performance on tasks, tending towards underconfidence on easy tasks and overconfidence on difficult tasks. We examine three LLMs, Llama-3-70B-instruct, Claude-3-Sonnet, and GPT-4o, on "&amp;"a range of QA tasks of varying difficulty, and show that models exhibit subtle differences from human patterns of overconfidence: less sensitive to task difficulty, and when prompted to answer based on different personas---e.g., expert vs layman, or diffe"&amp;"rent race, gender, and ages---the models will respond with stereotypically biased confidence estimations even though their underlying answer accuracy remains the same. Based on these observations, we propose a novel method, Answer-Free Confidence Estimati"&amp;"on (AFCE), for improving confidence calibration and LLM interpretability in these settings. AFCE is a self-assessment method that employs two stages of prompting, first eliciting only confidence scores on questions without answers, then asking separately "&amp;"for the answer. Experiments on MMLU and GPQA datasets spanning subjects and difficulty show that AFCE significantly improves confidence calibration performance for the most difficult problems where overconfidence is most pronounced.")</f>
        <v>Psychology research has shown that humans are poor at estimating their performance on tasks, tending towards underconfidence on easy tasks and overconfidence on difficult tasks. We examine three LLMs, Llama-3-70B-instruct, Claude-3-Sonnet, and GPT-4o, on a range of QA tasks of varying difficulty, and show that models exhibit subtle differences from human patterns of overconfidence: less sensitive to task difficulty, and when prompted to answer based on different personas---e.g., expert vs layman, or different race, gender, and ages---the models will respond with stereotypically biased confidence estimations even though their underlying answer accuracy remains the same. Based on these observations, we propose a novel method, Answer-Free Confidence Estimation (AFCE), for improving confidence calibration and LLM interpretability in these settings. AFCE is a self-assessment method that employs two stages of prompting, first eliciting only confidence scores on questions without answers, then asking separately for the answer. Experiments on MMLU and GPQA datasets spanning subjects and difficulty show that AFCE significantly improves confidence calibration performance for the most difficult problems where overconfidence is most pronounced.</v>
      </c>
      <c r="D1405" s="7" t="str">
        <f>IFERROR(__xludf.DUMMYFUNCTION("""COMPUTED_VALUE"""),"Bingbing Wen")</f>
        <v>Bingbing Wen</v>
      </c>
      <c r="E1405" s="7" t="str">
        <f>IFERROR(__xludf.DUMMYFUNCTION("""COMPUTED_VALUE"""),"Yes")</f>
        <v>Yes</v>
      </c>
      <c r="F1405" s="7" t="str">
        <f>IFERROR(__xludf.DUMMYFUNCTION("""COMPUTED_VALUE"""),"IP-Poster")</f>
        <v>IP-Poster</v>
      </c>
      <c r="G1405" s="7" t="str">
        <f>IFERROR(__xludf.DUMMYFUNCTION("""COMPUTED_VALUE"""),"In-Person")</f>
        <v>In-Person</v>
      </c>
      <c r="H1405" s="7" t="str">
        <f>IFERROR(__xludf.DUMMYFUNCTION("""COMPUTED_VALUE"""),"Hall 4/5")</f>
        <v>Hall 4/5</v>
      </c>
      <c r="I1405" s="7" t="str">
        <f>IFERROR(__xludf.DUMMYFUNCTION("""COMPUTED_VALUE"""),"Session 12: IP-Posters")</f>
        <v>Session 12: IP-Posters</v>
      </c>
      <c r="J1405" s="7" t="str">
        <f>IFERROR(__xludf.DUMMYFUNCTION("""COMPUTED_VALUE"""),"Findings Posters - In-Person 4")</f>
        <v>Findings Posters - In-Person 4</v>
      </c>
      <c r="K1405" s="7"/>
      <c r="L1405" s="8">
        <f>IFERROR(__xludf.DUMMYFUNCTION("""COMPUTED_VALUE"""),45868.0)</f>
        <v>45868</v>
      </c>
      <c r="M1405" s="7" t="str">
        <f>IFERROR(__xludf.DUMMYFUNCTION("""COMPUTED_VALUE"""),"11:00-12:30")</f>
        <v>11:00-12:30</v>
      </c>
      <c r="N1405" s="7"/>
    </row>
    <row r="1406">
      <c r="A1406" s="7" t="str">
        <f>IFERROR(__xludf.DUMMYFUNCTION("""COMPUTED_VALUE"""),"5189-FIND")</f>
        <v>5189-FIND</v>
      </c>
      <c r="B1406" s="7" t="str">
        <f>IFERROR(__xludf.DUMMYFUNCTION("""COMPUTED_VALUE"""),"Why Multi-Interest Fairness Matters: Hypergraph Contrastive Multi-Interest Learning for Fair Conversational Recommender System")</f>
        <v>Why Multi-Interest Fairness Matters: Hypergraph Contrastive Multi-Interest Learning for Fair Conversational Recommender System</v>
      </c>
      <c r="C1406" s="7" t="str">
        <f>IFERROR(__xludf.DUMMYFUNCTION("""COMPUTED_VALUE"""),"Unfairness is a well-known challenge in Recommender Systems (RSs), often resulting in biased outcomes that disadvantage users or items based on attributes such as gender, race, age, or popularity. Although some approaches have started to improve fairness "&amp;"recommendation in offline or static contexts, the issue of unfairness often exacerbates over time, leading to significant problems like the Matthew effect, filter bubbles, and echo chambers. To address these challenges, we proposed a novel framework, Hype"&amp;"rgraph Contrastive Multi-Interest Learning for Fair Conversational Recommender System (HyFairCRS), aiming to promote multi-interest diversity fairness in dynamic and interactive Conversational Recommender Systems (CRSs). HyFairCRS first captures a wide ra"&amp;"nge of user interests by establishing diverse hypergraphs through contrastive learning. These interests are then utilized in conversations to generate informative responses and ensure fair item predictions within the dynamic user-system feedback loop. Exp"&amp;"eriments on two CRS-based datasets show that HyFairCRS achieves a new state-of-the-art performance while effectively alleviating unfairness.")</f>
        <v>Unfairness is a well-known challenge in Recommender Systems (RSs), often resulting in biased outcomes that disadvantage users or items based on attributes such as gender, race, age, or popularity. Although some approaches have started to improve fairness recommendation in offline or static contexts, the issue of unfairness often exacerbates over time, leading to significant problems like the Matthew effect, filter bubbles, and echo chambers. To address these challenges, we proposed a novel framework, Hypergraph Contrastive Multi-Interest Learning for Fair Conversational Recommender System (HyFairCRS), aiming to promote multi-interest diversity fairness in dynamic and interactive Conversational Recommender Systems (CRSs). HyFairCRS first captures a wide range of user interests by establishing diverse hypergraphs through contrastive learning. These interests are then utilized in conversations to generate informative responses and ensure fair item predictions within the dynamic user-system feedback loop. Experiments on two CRS-based datasets show that HyFairCRS achieves a new state-of-the-art performance while effectively alleviating unfairness.</v>
      </c>
      <c r="D1406" s="7" t="str">
        <f>IFERROR(__xludf.DUMMYFUNCTION("""COMPUTED_VALUE"""),"Yongsen Zheng")</f>
        <v>Yongsen Zheng</v>
      </c>
      <c r="E1406" s="7" t="str">
        <f>IFERROR(__xludf.DUMMYFUNCTION("""COMPUTED_VALUE"""),"Yes")</f>
        <v>Yes</v>
      </c>
      <c r="F1406" s="7" t="str">
        <f>IFERROR(__xludf.DUMMYFUNCTION("""COMPUTED_VALUE"""),"IP-Poster")</f>
        <v>IP-Poster</v>
      </c>
      <c r="G1406" s="7" t="str">
        <f>IFERROR(__xludf.DUMMYFUNCTION("""COMPUTED_VALUE"""),"In-Person")</f>
        <v>In-Person</v>
      </c>
      <c r="H1406" s="7" t="str">
        <f>IFERROR(__xludf.DUMMYFUNCTION("""COMPUTED_VALUE"""),"Hall 4/5")</f>
        <v>Hall 4/5</v>
      </c>
      <c r="I1406" s="7" t="str">
        <f>IFERROR(__xludf.DUMMYFUNCTION("""COMPUTED_VALUE"""),"Session 5 :IP-Posters Find ")</f>
        <v>Session 5 :IP-Posters Find </v>
      </c>
      <c r="J1406" s="7" t="str">
        <f>IFERROR(__xludf.DUMMYFUNCTION("""COMPUTED_VALUE"""),"Findings Posters - In-Person 1")</f>
        <v>Findings Posters - In-Person 1</v>
      </c>
      <c r="K1406" s="7"/>
      <c r="L1406" s="8">
        <f>IFERROR(__xludf.DUMMYFUNCTION("""COMPUTED_VALUE"""),45866.0)</f>
        <v>45866</v>
      </c>
      <c r="M1406" s="7" t="str">
        <f>IFERROR(__xludf.DUMMYFUNCTION("""COMPUTED_VALUE"""),"18:00-19:30")</f>
        <v>18:00-19:30</v>
      </c>
      <c r="N1406" s="7"/>
    </row>
    <row r="1407">
      <c r="A1407" s="7" t="str">
        <f>IFERROR(__xludf.DUMMYFUNCTION("""COMPUTED_VALUE"""),"5201-FIND")</f>
        <v>5201-FIND</v>
      </c>
      <c r="B1407" s="7" t="str">
        <f>IFERROR(__xludf.DUMMYFUNCTION("""COMPUTED_VALUE"""),"Cautious Next Token Prediction")</f>
        <v>Cautious Next Token Prediction</v>
      </c>
      <c r="C1407" s="7" t="str">
        <f>IFERROR(__xludf.DUMMYFUNCTION("""COMPUTED_VALUE"""),"Next token prediction paradigm has been prevailing for autoregressive models in the era of LLMs. The current default sampling choice for popular LLMs is temperature scaling together with nucleus sampling to balance diversity and coherence. Nevertheless, s"&amp;"uch approach leads to inferior performance in various NLP tasks when the model is not certain about testing questions. To this end, we propose a brand new training-free decoding strategy, dubbed as Cautious Next Token Prediction (CNTP). In the decoding pr"&amp;"ocess, if the model has comparatively high prediction entropy at a certain step, we sample multiple trials starting from the step independently and stop when encountering any punctuation. Then we select the trial with the lowest perplexity score viewed as"&amp;" the most probable and reliable trial path given the model's capacity. The trial number is negatively correlated with the prediction confidence, i.e., the less confident the model is, the more trials it should sample. This is consistent with human beings'"&amp;" behaviour: when feeling uncertain or unconfident, one tends to think more creatively, exploring multiple thinking paths, to cautiously select the path one feels most confident about. Extensive experiments on both LLMs and MLLMs show that our proposed CNT"&amp;"P approach outperforms existing standard decoding strategies consistently by a clear margin. Moreover, the integration of CNTP with self consistency can further improve over vanilla self consistency. We believe our proposed CNTP has the potential to becom"&amp;"e one of the default choices for LLM decoding. Code will be released.")</f>
        <v>Next token prediction paradigm has been prevailing for autoregressive models in the era of LLMs. The current default sampling choice for popular LLMs is temperature scaling together with nucleus sampling to balance diversity and coherence. Nevertheless, such approach leads to inferior performance in various NLP tasks when the model is not certain about testing questions. To this end, we propose a brand new training-free decoding strategy, dubbed as Cautious Next Token Prediction (CNTP). In the decoding process, if the model has comparatively high prediction entropy at a certain step, we sample multiple trials starting from the step independently and stop when encountering any punctuation. Then we select the trial with the lowest perplexity score viewed as the most probable and reliable trial path given the model's capacity. The trial number is negatively correlated with the prediction confidence, i.e., the less confident the model is, the more trials it should sample. This is consistent with human beings' behaviour: when feeling uncertain or unconfident, one tends to think more creatively, exploring multiple thinking paths, to cautiously select the path one feels most confident about. Extensive experiments on both LLMs and MLLMs show that our proposed CNTP approach outperforms existing standard decoding strategies consistently by a clear margin. Moreover, the integration of CNTP with self consistency can further improve over vanilla self consistency. We believe our proposed CNTP has the potential to become one of the default choices for LLM decoding. Code will be released.</v>
      </c>
      <c r="D1407" s="7" t="str">
        <f>IFERROR(__xludf.DUMMYFUNCTION("""COMPUTED_VALUE"""),"NA")</f>
        <v>NA</v>
      </c>
      <c r="E1407" s="7" t="str">
        <f>IFERROR(__xludf.DUMMYFUNCTION("""COMPUTED_VALUE"""),"#N/A")</f>
        <v>#N/A</v>
      </c>
      <c r="F1407" s="7" t="str">
        <f>IFERROR(__xludf.DUMMYFUNCTION("""COMPUTED_VALUE"""),"Not Pres. ")</f>
        <v>Not Pres. </v>
      </c>
      <c r="G1407" s="7" t="str">
        <f>IFERROR(__xludf.DUMMYFUNCTION("""COMPUTED_VALUE"""),"NP Findings Not Presenting ")</f>
        <v>NP Findings Not Presenting </v>
      </c>
      <c r="H1407" s="7"/>
      <c r="I1407" s="7" t="str">
        <f>IFERROR(__xludf.DUMMYFUNCTION("""COMPUTED_VALUE"""),"NP-Find")</f>
        <v>NP-Find</v>
      </c>
      <c r="J1407" s="7"/>
      <c r="K1407" s="7"/>
      <c r="L1407" s="8"/>
      <c r="M1407" s="7"/>
      <c r="N1407" s="7"/>
    </row>
    <row r="1408">
      <c r="A1408" s="7" t="str">
        <f>IFERROR(__xludf.DUMMYFUNCTION("""COMPUTED_VALUE"""),"5203-FIND")</f>
        <v>5203-FIND</v>
      </c>
      <c r="B1408" s="7" t="str">
        <f>IFERROR(__xludf.DUMMYFUNCTION("""COMPUTED_VALUE"""),"Reasoning with Graphs: Structuring Implicit Knowledge to Enhance LLMs Reasoning")</f>
        <v>Reasoning with Graphs: Structuring Implicit Knowledge to Enhance LLMs Reasoning</v>
      </c>
      <c r="C1408" s="7" t="str">
        <f>IFERROR(__xludf.DUMMYFUNCTION("""COMPUTED_VALUE"""),"Large language models (LLMs) have demonstrated remarkable success across a wide range of tasks; however, they still encounter challenges in reasoning tasks that require understanding and inferring relationships between distinct pieces of information withi"&amp;"n text sequences. This challenge is particularly pronounced in tasks involving multi-step processes, such as logical reasoning and multi-hop question answering, where understanding implicit relationships between entities and leveraging multi-hop connectio"&amp;"ns in the given context are crucial. Graphs, as fundamental data structures, explicitly represent pairwise relationships between entities, thereby offering the potential to enhance LLMs' reasoning capabilities. External graphs have proven effective in sup"&amp;"porting LLMs across multiple tasks. However, in many reasoning tasks, no pre-existing graph structure is provided. Can we structure implicit knowledge derived from context into graphs to assist LLMs in reasoning? In this paper, we propose Reasoning with G"&amp;"raphs (RwG) by first constructing explicit graphs from the context and then leveraging these graphs to enhance LLM reasoning performance on reasoning tasks. Extensive experiments demonstrate the effectiveness of the proposed method in improving both logic"&amp;"al reasoning and multi-hop question answering tasks.")</f>
        <v>Large language models (LLMs) have demonstrated remarkable success across a wide range of tasks; however, they still encounter challenges in reasoning tasks that require understanding and inferring relationships between distinct pieces of information within text sequences. This challenge is particularly pronounced in tasks involving multi-step processes, such as logical reasoning and multi-hop question answering, where understanding implicit relationships between entities and leveraging multi-hop connections in the given context are crucial. Graphs, as fundamental data structures, explicitly represent pairwise relationships between entities, thereby offering the potential to enhance LLMs' reasoning capabilities. External graphs have proven effective in supporting LLMs across multiple tasks. However, in many reasoning tasks, no pre-existing graph structure is provided. Can we structure implicit knowledge derived from context into graphs to assist LLMs in reasoning? In this paper, we propose Reasoning with Graphs (RwG) by first constructing explicit graphs from the context and then leveraging these graphs to enhance LLM reasoning performance on reasoning tasks. Extensive experiments demonstrate the effectiveness of the proposed method in improving both logical reasoning and multi-hop question answering tasks.</v>
      </c>
      <c r="D1408" s="7" t="str">
        <f>IFERROR(__xludf.DUMMYFUNCTION("""COMPUTED_VALUE"""),"Haoyu Han")</f>
        <v>Haoyu Han</v>
      </c>
      <c r="E1408" s="7" t="str">
        <f>IFERROR(__xludf.DUMMYFUNCTION("""COMPUTED_VALUE"""),"#N/A")</f>
        <v>#N/A</v>
      </c>
      <c r="F1408" s="7" t="str">
        <f>IFERROR(__xludf.DUMMYFUNCTION("""COMPUTED_VALUE"""),"Not Pres. ")</f>
        <v>Not Pres. </v>
      </c>
      <c r="G1408" s="7" t="str">
        <f>IFERROR(__xludf.DUMMYFUNCTION("""COMPUTED_VALUE"""),"NP Findings Not Presenting ")</f>
        <v>NP Findings Not Presenting </v>
      </c>
      <c r="H1408" s="7"/>
      <c r="I1408" s="7" t="str">
        <f>IFERROR(__xludf.DUMMYFUNCTION("""COMPUTED_VALUE"""),"NP-Find")</f>
        <v>NP-Find</v>
      </c>
      <c r="J1408" s="7"/>
      <c r="K1408" s="7"/>
      <c r="L1408" s="8"/>
      <c r="M1408" s="7"/>
      <c r="N1408" s="7"/>
    </row>
    <row r="1409">
      <c r="A1409" s="7" t="str">
        <f>IFERROR(__xludf.DUMMYFUNCTION("""COMPUTED_VALUE"""),"5204-FIND")</f>
        <v>5204-FIND</v>
      </c>
      <c r="B1409" s="7" t="str">
        <f>IFERROR(__xludf.DUMMYFUNCTION("""COMPUTED_VALUE"""),"Enhancing Medical Dialogue Generation through Knowledge Refinement and Dynamic Prompt Adjustment")</f>
        <v>Enhancing Medical Dialogue Generation through Knowledge Refinement and Dynamic Prompt Adjustment</v>
      </c>
      <c r="C1409" s="7" t="str">
        <f>IFERROR(__xludf.DUMMYFUNCTION("""COMPUTED_VALUE"""),"Medical dialogue systems (MDS) have emerged as crucial online platforms for enhancing healthcare by enabling multi-turn, context-aware conversations with patients. However, current MDS often encounter two main challenges: (1) accurately tracking the evolv"&amp;"ing health state of a patient across multiple dialogue turns and (2) generating contextually accurate and personalized responses tailored to each patient’s evolving condition.
To address these limitations, we propose a novel Medical dialogue system with "&amp;"knowledge Refining and dynamic prompt adjustment (MedRef). First, we design a variational knowledge refining mechanism to filter out irrelevant or noisy information from retrieved medical data, resulting in more accurate predictions of critical medical en"&amp;"tities such as symptoms, diagnoses, and treatments. Additionally, we design a comprehensive prompt structure that incorporates not only the dialogue history and retrieved knowledge but also the predicted entities and actions for guiding the upcoming respo"&amp;"nse. To further enhance adaptability, we develop a dynamic prompt adjustment method that continuously adapts prompts in real-time based on the patient's condition and refined knowledge, ensuring that the generated responses remain both context-aware and m"&amp;"edically accurate as the conversation progresses. Extensive experiments are conducted on two widely used benchmarks, MedDG and KaMed, demonstrating the superiority of our MedRef in both text generation quality and medical entity accuracy compared to vario"&amp;"us state-of-the-art baselines. These findings highlight the potential of MedRef to significantly improve the quality and reliability of MDS, paving the way for more context-aware and medically sound interactions in healthcare settings.")</f>
        <v>Medical dialogue systems (MDS) have emerged as crucial online platforms for enhancing healthcare by enabling multi-turn, context-aware conversations with patients. However, current MDS often encounter two main challenges: (1) accurately tracking the evolving health state of a patient across multiple dialogue turns and (2) generating contextually accurate and personalized responses tailored to each patient’s evolving condition.
To address these limitations, we propose a novel Medical dialogue system with knowledge Refining and dynamic prompt adjustment (MedRef). First, we design a variational knowledge refining mechanism to filter out irrelevant or noisy information from retrieved medical data, resulting in more accurate predictions of critical medical entities such as symptoms, diagnoses, and treatments. Additionally, we design a comprehensive prompt structure that incorporates not only the dialogue history and retrieved knowledge but also the predicted entities and actions for guiding the upcoming response. To further enhance adaptability, we develop a dynamic prompt adjustment method that continuously adapts prompts in real-time based on the patient's condition and refined knowledge, ensuring that the generated responses remain both context-aware and medically accurate as the conversation progresses. Extensive experiments are conducted on two widely used benchmarks, MedDG and KaMed, demonstrating the superiority of our MedRef in both text generation quality and medical entity accuracy compared to various state-of-the-art baselines. These findings highlight the potential of MedRef to significantly improve the quality and reliability of MDS, paving the way for more context-aware and medically sound interactions in healthcare settings.</v>
      </c>
      <c r="D1409" s="7" t="str">
        <f>IFERROR(__xludf.DUMMYFUNCTION("""COMPUTED_VALUE"""),"NA")</f>
        <v>NA</v>
      </c>
      <c r="E1409" s="7" t="str">
        <f>IFERROR(__xludf.DUMMYFUNCTION("""COMPUTED_VALUE"""),"#N/A")</f>
        <v>#N/A</v>
      </c>
      <c r="F1409" s="7" t="str">
        <f>IFERROR(__xludf.DUMMYFUNCTION("""COMPUTED_VALUE"""),"Not Pres. ")</f>
        <v>Not Pres. </v>
      </c>
      <c r="G1409" s="7" t="str">
        <f>IFERROR(__xludf.DUMMYFUNCTION("""COMPUTED_VALUE"""),"NP Findings Not Presenting ")</f>
        <v>NP Findings Not Presenting </v>
      </c>
      <c r="H1409" s="7"/>
      <c r="I1409" s="7" t="str">
        <f>IFERROR(__xludf.DUMMYFUNCTION("""COMPUTED_VALUE"""),"NP-Find")</f>
        <v>NP-Find</v>
      </c>
      <c r="J1409" s="7"/>
      <c r="K1409" s="7"/>
      <c r="L1409" s="8"/>
      <c r="M1409" s="7"/>
      <c r="N1409" s="7"/>
    </row>
    <row r="1410">
      <c r="A1410" s="7" t="str">
        <f>IFERROR(__xludf.DUMMYFUNCTION("""COMPUTED_VALUE"""),"5208-FIND")</f>
        <v>5208-FIND</v>
      </c>
      <c r="B1410" s="7" t="str">
        <f>IFERROR(__xludf.DUMMYFUNCTION("""COMPUTED_VALUE"""),"Feature-Level Insights into Artificial Text Detection with Sparse Autoencoders")</f>
        <v>Feature-Level Insights into Artificial Text Detection with Sparse Autoencoders</v>
      </c>
      <c r="C1410" s="7" t="str">
        <f>IFERROR(__xludf.DUMMYFUNCTION("""COMPUTED_VALUE"""),"Artificial Text Detection (ATD) is becoming increasingly important with the rise of advanced Large Language Models (LLMs). Despite numerous efforts, no single algorithm performs consistently well across different types of unseen text or guarantees effecti"&amp;"ve generalization to new LLMs. Interpretability plays a crucial role in achieving this goal. In this study, we enhance ATD interpretability by using Sparse Autoencoders (SAE) to extract features from Gemma-2-2b’s residual stream. We identify both interpre"&amp;"table and efficient features, analyzing their semantics and relevance through domain- and model-specific statistics, a steering approach, and manual or LLM-based interpretation. Our methods offer valuable insights into how texts from various models differ"&amp;" from human-written content. We show that modern LLMs have a distinct writing style, especially in information-dense domains, even though they can produce human-like outputs with personalized prompts.")</f>
        <v>Artificial Text Detection (ATD) is becoming increasingly important with the rise of advanced Large Language Models (LLMs). Despite numerous efforts, no single algorithm performs consistently well across different types of unseen text or guarantees effective generalization to new LLMs. Interpretability plays a crucial role in achieving this goal. In this study, we enhance ATD interpretability by using Sparse Autoencoders (SAE) to extract features from Gemma-2-2b’s residual stream. We identify both interpretable and efficient features, analyzing their semantics and relevance through domain- and model-specific statistics, a steering approach, and manual or LLM-based interpretation. Our methods offer valuable insights into how texts from various models differ from human-written content. We show that modern LLMs have a distinct writing style, especially in information-dense domains, even though they can produce human-like outputs with personalized prompts.</v>
      </c>
      <c r="D1410" s="7" t="str">
        <f>IFERROR(__xludf.DUMMYFUNCTION("""COMPUTED_VALUE"""),"Kristian Kuznetsov")</f>
        <v>Kristian Kuznetsov</v>
      </c>
      <c r="E1410" s="7" t="str">
        <f>IFERROR(__xludf.DUMMYFUNCTION("""COMPUTED_VALUE"""),"N/A")</f>
        <v>N/A</v>
      </c>
      <c r="F1410" s="7" t="str">
        <f>IFERROR(__xludf.DUMMYFUNCTION("""COMPUTED_VALUE"""),"Not Pres. ")</f>
        <v>Not Pres. </v>
      </c>
      <c r="G1410" s="7" t="str">
        <f>IFERROR(__xludf.DUMMYFUNCTION("""COMPUTED_VALUE"""),"NP Findings Not Presenting ")</f>
        <v>NP Findings Not Presenting </v>
      </c>
      <c r="H1410" s="7"/>
      <c r="I1410" s="7"/>
      <c r="J1410" s="7"/>
      <c r="K1410" s="7"/>
      <c r="L1410" s="8"/>
      <c r="M1410" s="7"/>
      <c r="N1410" s="7"/>
    </row>
    <row r="1411">
      <c r="A1411" s="7" t="str">
        <f>IFERROR(__xludf.DUMMYFUNCTION("""COMPUTED_VALUE"""),"5212-FIND")</f>
        <v>5212-FIND</v>
      </c>
      <c r="B1411" s="7" t="str">
        <f>IFERROR(__xludf.DUMMYFUNCTION("""COMPUTED_VALUE"""),"Low-Resource Grammatical Error Correction: Selective Data Augmentation with Round-Trip Machine Translation")</f>
        <v>Low-Resource Grammatical Error Correction: Selective Data Augmentation with Round-Trip Machine Translation</v>
      </c>
      <c r="C1411" s="7" t="str">
        <f>IFERROR(__xludf.DUMMYFUNCTION("""COMPUTED_VALUE"""),"State-of-the-art methods for grammatical error correction require large amounts of parallel data for training. Due to lack of gold-labeled data, techniques that create synthetic training data have become popular. We show that models trained on such data t"&amp;"end to correct a limited range of grammar and spelling mistakes that involve character-level changes, but perform poorly on (more complex) phenomena that require word-level changes. We propose to address the gap in performance on such errors by generating"&amp;" synthetic data through selective data augmentation via round-trip machine translation. We show that the proposed technique, SeLex-RT is capable of generating mistakes that are similar to those observed with language learners. Using the approach with two "&amp;"types of state-of-the-art learning frameworks and two languages (Russian and Ukrainian), we achieve substantial improvements, compared to training on synthetic data produced with standard techniques. The method is especially effective in low-resource sett"&amp;"ings. Analysis of the output reveals that models trained on data noisified using round-trip translation are capable of making word-level changes and correct lexical errors common with language learners.")</f>
        <v>State-of-the-art methods for grammatical error correction require large amounts of parallel data for training. Due to lack of gold-labeled data, techniques that create synthetic training data have become popular. We show that models trained on such data tend to correct a limited range of grammar and spelling mistakes that involve character-level changes, but perform poorly on (more complex) phenomena that require word-level changes. We propose to address the gap in performance on such errors by generating synthetic data through selective data augmentation via round-trip machine translation. We show that the proposed technique, SeLex-RT is capable of generating mistakes that are similar to those observed with language learners. Using the approach with two types of state-of-the-art learning frameworks and two languages (Russian and Ukrainian), we achieve substantial improvements, compared to training on synthetic data produced with standard techniques. The method is especially effective in low-resource settings. Analysis of the output reveals that models trained on data noisified using round-trip translation are capable of making word-level changes and correct lexical errors common with language learners.</v>
      </c>
      <c r="D1411" s="7" t="str">
        <f>IFERROR(__xludf.DUMMYFUNCTION("""COMPUTED_VALUE"""),"Alla Rozovskaya")</f>
        <v>Alla Rozovskaya</v>
      </c>
      <c r="E1411" s="7" t="str">
        <f>IFERROR(__xludf.DUMMYFUNCTION("""COMPUTED_VALUE"""),"Yes")</f>
        <v>Yes</v>
      </c>
      <c r="F1411" s="7" t="str">
        <f>IFERROR(__xludf.DUMMYFUNCTION("""COMPUTED_VALUE"""),"IP-Poster")</f>
        <v>IP-Poster</v>
      </c>
      <c r="G1411" s="7" t="str">
        <f>IFERROR(__xludf.DUMMYFUNCTION("""COMPUTED_VALUE"""),"In-Person")</f>
        <v>In-Person</v>
      </c>
      <c r="H1411" s="7" t="str">
        <f>IFERROR(__xludf.DUMMYFUNCTION("""COMPUTED_VALUE"""),"Hall 4/5")</f>
        <v>Hall 4/5</v>
      </c>
      <c r="I1411" s="7" t="str">
        <f>IFERROR(__xludf.DUMMYFUNCTION("""COMPUTED_VALUE"""),"Session 12: IP-Posters")</f>
        <v>Session 12: IP-Posters</v>
      </c>
      <c r="J1411" s="7" t="str">
        <f>IFERROR(__xludf.DUMMYFUNCTION("""COMPUTED_VALUE"""),"Findings Posters - In-Person 4")</f>
        <v>Findings Posters - In-Person 4</v>
      </c>
      <c r="K1411" s="7"/>
      <c r="L1411" s="8">
        <f>IFERROR(__xludf.DUMMYFUNCTION("""COMPUTED_VALUE"""),45868.0)</f>
        <v>45868</v>
      </c>
      <c r="M1411" s="7" t="str">
        <f>IFERROR(__xludf.DUMMYFUNCTION("""COMPUTED_VALUE"""),"11:00-12:30")</f>
        <v>11:00-12:30</v>
      </c>
      <c r="N1411" s="7"/>
    </row>
    <row r="1412">
      <c r="A1412" s="7" t="str">
        <f>IFERROR(__xludf.DUMMYFUNCTION("""COMPUTED_VALUE"""),"5213-FIND")</f>
        <v>5213-FIND</v>
      </c>
      <c r="B1412" s="7" t="str">
        <f>IFERROR(__xludf.DUMMYFUNCTION("""COMPUTED_VALUE"""),"Just Put a Human in the Loop? Investigating LLM-Assisted Annotation for Subjective Tasks")</f>
        <v>Just Put a Human in the Loop? Investigating LLM-Assisted Annotation for Subjective Tasks</v>
      </c>
      <c r="C1412" s="7" t="str">
        <f>IFERROR(__xludf.DUMMYFUNCTION("""COMPUTED_VALUE"""),"LLM use in annotation is becoming widespread, and given LLMs’ overall promising performance and speed, putting humans in the loop to simply “review"" LLM annotations can be tempting. In subjective tasks with multiple plausible answers, this can impact bot"&amp;"h evaluation of LLM performance, and analysis using these labels in a social science task downstream. In a pre-registered experiment with 350 unique annotators and 7,000 annotations across 4 conditions, 2 models, and 2 datasets, we find that presenting cr"&amp;"owdworkers with LLM-generated annotation suggestions did not make them faster annotators, but did improve their self-reported confidence in the task. More importantly, annotators strongly took the LLM suggestions, significantly changing the label distribu"&amp;"tion compared to the baseline. We show that when these labels created with LLM assistance are used to evaluate LLM performance, reported model performance significantly increases. We show how changes in label distributions as a result of LLM assistance ca"&amp;"n affect conclusions drawn by analyzing even “human-approved"" LLM-annotated datasets. We believe our work underlines the importance of understanding the impact of LLM-assisted annotation on subjective, qualitative tasks, on the creation of gold data for "&amp;"training and testing, and on the evaluation of NLP systems on subjective tasks.")</f>
        <v>LLM use in annotation is becoming widespread, and given LLMs’ overall promising performance and speed, putting humans in the loop to simply “review" LLM annotations can be tempting. In subjective tasks with multiple plausible answers, this can impact both evaluation of LLM performance, and analysis using these labels in a social science task downstream. In a pre-registered experiment with 350 unique annotators and 7,000 annotations across 4 conditions, 2 models, and 2 datasets, we find that presenting crowdworkers with LLM-generated annotation suggestions did not make them faster annotators, but did improve their self-reported confidence in the task. More importantly, annotators strongly took the LLM suggestions, significantly changing the label distribution compared to the baseline. We show that when these labels created with LLM assistance are used to evaluate LLM performance, reported model performance significantly increases. We show how changes in label distributions as a result of LLM assistance can affect conclusions drawn by analyzing even “human-approved" LLM-annotated datasets. We believe our work underlines the importance of understanding the impact of LLM-assisted annotation on subjective, qualitative tasks, on the creation of gold data for training and testing, and on the evaluation of NLP systems on subjective tasks.</v>
      </c>
      <c r="D1412" s="7" t="str">
        <f>IFERROR(__xludf.DUMMYFUNCTION("""COMPUTED_VALUE"""),"Jad Kabbara")</f>
        <v>Jad Kabbara</v>
      </c>
      <c r="E1412" s="7" t="str">
        <f>IFERROR(__xludf.DUMMYFUNCTION("""COMPUTED_VALUE"""),"N/A")</f>
        <v>N/A</v>
      </c>
      <c r="F1412" s="7" t="str">
        <f>IFERROR(__xludf.DUMMYFUNCTION("""COMPUTED_VALUE"""),"Not Pres. ")</f>
        <v>Not Pres. </v>
      </c>
      <c r="G1412" s="7" t="str">
        <f>IFERROR(__xludf.DUMMYFUNCTION("""COMPUTED_VALUE"""),"NP Findings Not Presenting ")</f>
        <v>NP Findings Not Presenting </v>
      </c>
      <c r="H1412" s="7"/>
      <c r="I1412" s="7"/>
      <c r="J1412" s="7"/>
      <c r="K1412" s="7"/>
      <c r="L1412" s="8"/>
      <c r="M1412" s="7"/>
      <c r="N1412" s="7"/>
    </row>
    <row r="1413">
      <c r="A1413" s="7" t="str">
        <f>IFERROR(__xludf.DUMMYFUNCTION("""COMPUTED_VALUE"""),"5219-FIND")</f>
        <v>5219-FIND</v>
      </c>
      <c r="B1413" s="7" t="str">
        <f>IFERROR(__xludf.DUMMYFUNCTION("""COMPUTED_VALUE"""),"Research Community Perspectives on ""Intelligence"" and Large Language Models")</f>
        <v>Research Community Perspectives on "Intelligence" and Large Language Models</v>
      </c>
      <c r="C1413" s="7" t="str">
        <f>IFERROR(__xludf.DUMMYFUNCTION("""COMPUTED_VALUE"""),"Despite the widespread use of 'artificial intelligence' (AI) framing in Natural Language Processing (NLP) research, it is not clear what researchers mean by ''intelligence''. To that end, we present the results of a survey on the notion of ''intelligence'"&amp;"' among researchers and its role in the research agenda. The survey elicited complete responses from 303 researchers from a variety of fields including NLP, Machine Learning (ML), Cognitive Science, Linguistics, and Neuroscience.
We identify 3 criteria of"&amp;" intelligence that the community agrees on the most: generalization, adaptability, \&amp; reasoning.
Our results suggests that the perception of the current NLP systems as ''intelligent'' is a minority position (29%).
Furthermore, only 16.2% of the respondent"&amp;"s see developing intelligent systems as a research goal, and these respondents are more likely to consider the current systems intelligent.")</f>
        <v>Despite the widespread use of 'artificial intelligence' (AI) framing in Natural Language Processing (NLP) research, it is not clear what researchers mean by ''intelligence''. To that end, we present the results of a survey on the notion of ''intelligence'' among researchers and its role in the research agenda. The survey elicited complete responses from 303 researchers from a variety of fields including NLP, Machine Learning (ML), Cognitive Science, Linguistics, and Neuroscience.
We identify 3 criteria of intelligence that the community agrees on the most: generalization, adaptability, \&amp; reasoning.
Our results suggests that the perception of the current NLP systems as ''intelligent'' is a minority position (29%).
Furthermore, only 16.2% of the respondents see developing intelligent systems as a research goal, and these respondents are more likely to consider the current systems intelligent.</v>
      </c>
      <c r="D1413" s="7" t="str">
        <f>IFERROR(__xludf.DUMMYFUNCTION("""COMPUTED_VALUE"""),"Bertram Højer")</f>
        <v>Bertram Højer</v>
      </c>
      <c r="E1413" s="7" t="str">
        <f>IFERROR(__xludf.DUMMYFUNCTION("""COMPUTED_VALUE"""),"yes")</f>
        <v>yes</v>
      </c>
      <c r="F1413" s="7" t="str">
        <f>IFERROR(__xludf.DUMMYFUNCTION("""COMPUTED_VALUE"""),"IP-Poster")</f>
        <v>IP-Poster</v>
      </c>
      <c r="G1413" s="7" t="str">
        <f>IFERROR(__xludf.DUMMYFUNCTION("""COMPUTED_VALUE"""),"In-Person")</f>
        <v>In-Person</v>
      </c>
      <c r="H1413" s="7" t="str">
        <f>IFERROR(__xludf.DUMMYFUNCTION("""COMPUTED_VALUE"""),"Hall 4/5")</f>
        <v>Hall 4/5</v>
      </c>
      <c r="I1413" s="7" t="str">
        <f>IFERROR(__xludf.DUMMYFUNCTION("""COMPUTED_VALUE"""),"Session 5 :IP-Posters Find ")</f>
        <v>Session 5 :IP-Posters Find </v>
      </c>
      <c r="J1413" s="7" t="str">
        <f>IFERROR(__xludf.DUMMYFUNCTION("""COMPUTED_VALUE"""),"Findings Posters - In-Person 1")</f>
        <v>Findings Posters - In-Person 1</v>
      </c>
      <c r="K1413" s="7"/>
      <c r="L1413" s="8">
        <f>IFERROR(__xludf.DUMMYFUNCTION("""COMPUTED_VALUE"""),45866.0)</f>
        <v>45866</v>
      </c>
      <c r="M1413" s="7" t="str">
        <f>IFERROR(__xludf.DUMMYFUNCTION("""COMPUTED_VALUE"""),"18:00-19:30")</f>
        <v>18:00-19:30</v>
      </c>
      <c r="N1413" s="7"/>
    </row>
    <row r="1414">
      <c r="A1414" s="7" t="str">
        <f>IFERROR(__xludf.DUMMYFUNCTION("""COMPUTED_VALUE"""),"5221-FIND")</f>
        <v>5221-FIND</v>
      </c>
      <c r="B1414" s="7" t="str">
        <f>IFERROR(__xludf.DUMMYFUNCTION("""COMPUTED_VALUE"""),"LEMONADE: A Large Multilingual Expert-Annotated Abstractive Event Dataset for the Real World")</f>
        <v>LEMONADE: A Large Multilingual Expert-Annotated Abstractive Event Dataset for the Real World</v>
      </c>
      <c r="C1414" s="7" t="str">
        <f>IFERROR(__xludf.DUMMYFUNCTION("""COMPUTED_VALUE"""),"Coding, the method of labeling and organizing qualitative data, is commonly used in social science studies. For example, to provide an understanding of political violence around the world, an international non-profit group, ACLED (Armed Conflict Location "&amp;"and Event Data), has been collecting and coding reports of protests and conflicts for over a decade. Using this high-quality manually collected data, we create ACLED-DS, a dataset of 45,426 armed conflict events spanning 22 languages and 172 countries, wi"&amp;"th extensive coverage of region-specific entities.
Building on this real-world dataset, we motivate a modification to the traditional event extraction task. We propose the task of abstractive event extraction (AEE) and entity linking: events are extracte"&amp;"d by a holistic understanding of the entire document, and all event arguments are normalized. This formulation simplifies applications such as aggregating information from diverse sources in different languages to understand global trends and patterns.
W"&amp;"e introduce a novel zero-shot AEE system Zest based on large language models. On ACLED-DS, Zest achieves 77.6% and 82.9% 
 on event detection and abstractive event argument extraction respectively. Zest outperforms GoLLIE, a state-of-the-art information e"&amp;"xtraction model, even when tested on English data and after GoLLIE is fine-tuned on 12,000 examples. For the event linking subtask, Zest achieves 40.8% compared to 11.0% of OneNet, a strong LLM-based baseline. While these results establish Zest as a stron"&amp;"g baseline for this new dataset, they also highlight important challenges in entity linking within this global and highly specialized context.")</f>
        <v>Coding, the method of labeling and organizing qualitative data, is commonly used in social science studies. For example, to provide an understanding of political violence around the world, an international non-profit group, ACLED (Armed Conflict Location and Event Data), has been collecting and coding reports of protests and conflicts for over a decade. Using this high-quality manually collected data, we create ACLED-DS, a dataset of 45,426 armed conflict events spanning 22 languages and 172 countries, with extensive coverage of region-specific entities.
Building on this real-world dataset, we motivate a modification to the traditional event extraction task. We propose the task of abstractive event extraction (AEE) and entity linking: events are extracted by a holistic understanding of the entire document, and all event arguments are normalized. This formulation simplifies applications such as aggregating information from diverse sources in different languages to understand global trends and patterns.
We introduce a novel zero-shot AEE system Zest based on large language models. On ACLED-DS, Zest achieves 77.6% and 82.9% 
 on event detection and abstractive event argument extraction respectively. Zest outperforms GoLLIE, a state-of-the-art information extraction model, even when tested on English data and after GoLLIE is fine-tuned on 12,000 examples. For the event linking subtask, Zest achieves 40.8% compared to 11.0% of OneNet, a strong LLM-based baseline. While these results establish Zest as a strong baseline for this new dataset, they also highlight important challenges in entity linking within this global and highly specialized context.</v>
      </c>
      <c r="D1414" s="7" t="str">
        <f>IFERROR(__xludf.DUMMYFUNCTION("""COMPUTED_VALUE"""),"-")</f>
        <v>-</v>
      </c>
      <c r="E1414" s="7" t="str">
        <f>IFERROR(__xludf.DUMMYFUNCTION("""COMPUTED_VALUE"""),"#N/A")</f>
        <v>#N/A</v>
      </c>
      <c r="F1414" s="7" t="str">
        <f>IFERROR(__xludf.DUMMYFUNCTION("""COMPUTED_VALUE"""),"Not Pres. ")</f>
        <v>Not Pres. </v>
      </c>
      <c r="G1414" s="7" t="str">
        <f>IFERROR(__xludf.DUMMYFUNCTION("""COMPUTED_VALUE"""),"NP Findings Not Presenting ")</f>
        <v>NP Findings Not Presenting </v>
      </c>
      <c r="H1414" s="7"/>
      <c r="I1414" s="7" t="str">
        <f>IFERROR(__xludf.DUMMYFUNCTION("""COMPUTED_VALUE"""),"NP-Find")</f>
        <v>NP-Find</v>
      </c>
      <c r="J1414" s="7"/>
      <c r="K1414" s="7"/>
      <c r="L1414" s="8"/>
      <c r="M1414" s="7"/>
      <c r="N1414" s="7"/>
    </row>
    <row r="1415">
      <c r="A1415" s="7" t="str">
        <f>IFERROR(__xludf.DUMMYFUNCTION("""COMPUTED_VALUE"""),"5224-FIND")</f>
        <v>5224-FIND</v>
      </c>
      <c r="B1415" s="7" t="str">
        <f>IFERROR(__xludf.DUMMYFUNCTION("""COMPUTED_VALUE"""),"Memorization vs. Reasoning: Updating LLMs with New Knowledge")</f>
        <v>Memorization vs. Reasoning: Updating LLMs with New Knowledge</v>
      </c>
      <c r="C1415" s="7" t="str">
        <f>IFERROR(__xludf.DUMMYFUNCTION("""COMPUTED_VALUE"""),"Large language model (LLM) parameters store massive amounts of pre-training knowledge, but it is unclear how to continually update them to reflect changes in the real world. Both dataset and methodology works in existing literature focus on the entity-sub"&amp;"stitution framework which does not capture the breadth of complex real world updates. In this paper, we first introduce Knowledge Update Playground (KUP) to automatically construct a training corpus with realistic and complex updates to study this problem"&amp;"s. Next, we introduce a novel approach, memory recall training (MRT), that trains the model to explicitly surface and condition on ""recalled"" knowledge both at train and test time. Our results show that the KUP benchmark is challenging for existing cont"&amp;"inued pre-training (CPT) approaches; LLMs after CPT still prefer outdated knowledge &gt;40% of the time. Using our proposed MRT training approach significantly improves performance across datasets and evaluation settings (58.9 -&gt; 71.0 for LLaMA-3.1-8B). Over"&amp;"all, we show that our KUP dataset, particularly an indirect probing evaluation setting, serves as a challenging testbed to facilitate future research.")</f>
        <v>Large language model (LLM) parameters store massive amounts of pre-training knowledge, but it is unclear how to continually update them to reflect changes in the real world. Both dataset and methodology works in existing literature focus on the entity-substitution framework which does not capture the breadth of complex real world updates. In this paper, we first introduce Knowledge Update Playground (KUP) to automatically construct a training corpus with realistic and complex updates to study this problems. Next, we introduce a novel approach, memory recall training (MRT), that trains the model to explicitly surface and condition on "recalled" knowledge both at train and test time. Our results show that the KUP benchmark is challenging for existing continued pre-training (CPT) approaches; LLMs after CPT still prefer outdated knowledge &gt;40% of the time. Using our proposed MRT training approach significantly improves performance across datasets and evaluation settings (58.9 -&gt; 71.0 for LLaMA-3.1-8B). Overall, we show that our KUP dataset, particularly an indirect probing evaluation setting, serves as a challenging testbed to facilitate future research.</v>
      </c>
      <c r="D1415" s="7" t="str">
        <f>IFERROR(__xludf.DUMMYFUNCTION("""COMPUTED_VALUE"""),"Aochong Oliver Li")</f>
        <v>Aochong Oliver Li</v>
      </c>
      <c r="E1415" s="7" t="str">
        <f>IFERROR(__xludf.DUMMYFUNCTION("""COMPUTED_VALUE"""),"Yes")</f>
        <v>Yes</v>
      </c>
      <c r="F1415" s="7" t="str">
        <f>IFERROR(__xludf.DUMMYFUNCTION("""COMPUTED_VALUE"""),"V-Presentation")</f>
        <v>V-Presentation</v>
      </c>
      <c r="G1415" s="7" t="str">
        <f>IFERROR(__xludf.DUMMYFUNCTION("""COMPUTED_VALUE"""),"Virtual/Gather")</f>
        <v>Virtual/Gather</v>
      </c>
      <c r="H1415" s="7" t="str">
        <f>IFERROR(__xludf.DUMMYFUNCTION("""COMPUTED_VALUE"""),"Gather")</f>
        <v>Gather</v>
      </c>
      <c r="I1415" s="7" t="str">
        <f>IFERROR(__xludf.DUMMYFUNCTION("""COMPUTED_VALUE"""),"Session5: V-Gather Find")</f>
        <v>Session5: V-Gather Find</v>
      </c>
      <c r="J1415" s="7" t="str">
        <f>IFERROR(__xludf.DUMMYFUNCTION("""COMPUTED_VALUE"""),"Findings Posters - Virtual")</f>
        <v>Findings Posters - Virtual</v>
      </c>
      <c r="K1415" s="7"/>
      <c r="L1415" s="8">
        <f>IFERROR(__xludf.DUMMYFUNCTION("""COMPUTED_VALUE"""),45866.0)</f>
        <v>45866</v>
      </c>
      <c r="M1415" s="7" t="str">
        <f>IFERROR(__xludf.DUMMYFUNCTION("""COMPUTED_VALUE"""),"18:00-19:30")</f>
        <v>18:00-19:30</v>
      </c>
      <c r="N1415" s="7"/>
    </row>
    <row r="1416">
      <c r="A1416" s="7" t="str">
        <f>IFERROR(__xludf.DUMMYFUNCTION("""COMPUTED_VALUE"""),"5225-FIND")</f>
        <v>5225-FIND</v>
      </c>
      <c r="B1416" s="7" t="str">
        <f>IFERROR(__xludf.DUMMYFUNCTION("""COMPUTED_VALUE"""),"CourtEval: A Courtroom-Based Multi-Agent Evaluation Framework")</f>
        <v>CourtEval: A Courtroom-Based Multi-Agent Evaluation Framework</v>
      </c>
      <c r="C1416" s="7" t="str">
        <f>IFERROR(__xludf.DUMMYFUNCTION("""COMPUTED_VALUE"""),"Automated evaluation is crucial for assessing the quality of natural language text, especially in open-ended generation tasks, given the costly and time-consuming nature of human evaluation. Existing automatic evaluation metrics like ROUGE and BLEU often "&amp;"show low correlation with human judgments. As large language models (LLMs) continue to evolve, researchers have explored their use as alternatives to human evaluators. Although single-agent approaches have shown potential, results indicate that further pr"&amp;"ogress is required to close the gap between their performance and the quality of human assessments. Acknowledging that human evaluations involve multiple annotators, the multi-agent approach allows LLMs to collaborate, enhancing efficiency and effectivene"&amp;"ss in handling complex tasks. In this paper, we present CourtEval, a novel Multi-Agent Evaluation Framework modeled after courtroom dynamics. Each agent takes on a distinct role: the Grader, similar to a judge, assigns an initial score; the Critic, like a"&amp;" prosecutor, challenges this score; and the Defender, akin to a defense attorney, defends it. Based on the input from both the Critic and Defender, the Grader re-evaluates the score, leading to a more balanced and fair final decision through this adversar"&amp;"ial process. CourtEval substantially outperforms the previous state-of-the-art methods in two meta-evaluation benchmarks in NLG evaluation, SummEval and TopicalChat.")</f>
        <v>Automated evaluation is crucial for assessing the quality of natural language text, especially in open-ended generation tasks, given the costly and time-consuming nature of human evaluation. Existing automatic evaluation metrics like ROUGE and BLEU often show low correlation with human judgments. As large language models (LLMs) continue to evolve, researchers have explored their use as alternatives to human evaluators. Although single-agent approaches have shown potential, results indicate that further progress is required to close the gap between their performance and the quality of human assessments. Acknowledging that human evaluations involve multiple annotators, the multi-agent approach allows LLMs to collaborate, enhancing efficiency and effectiveness in handling complex tasks. In this paper, we present CourtEval, a novel Multi-Agent Evaluation Framework modeled after courtroom dynamics. Each agent takes on a distinct role: the Grader, similar to a judge, assigns an initial score; the Critic, like a prosecutor, challenges this score; and the Defender, akin to a defense attorney, defends it. Based on the input from both the Critic and Defender, the Grader re-evaluates the score, leading to a more balanced and fair final decision through this adversarial process. CourtEval substantially outperforms the previous state-of-the-art methods in two meta-evaluation benchmarks in NLG evaluation, SummEval and TopicalChat.</v>
      </c>
      <c r="D1416" s="7" t="str">
        <f>IFERROR(__xludf.DUMMYFUNCTION("""COMPUTED_VALUE"""),"Sandeep Kumar")</f>
        <v>Sandeep Kumar</v>
      </c>
      <c r="E1416" s="7" t="str">
        <f>IFERROR(__xludf.DUMMYFUNCTION("""COMPUTED_VALUE"""),"Yes")</f>
        <v>Yes</v>
      </c>
      <c r="F1416" s="7" t="str">
        <f>IFERROR(__xludf.DUMMYFUNCTION("""COMPUTED_VALUE"""),"V-Presentation")</f>
        <v>V-Presentation</v>
      </c>
      <c r="G1416" s="7" t="str">
        <f>IFERROR(__xludf.DUMMYFUNCTION("""COMPUTED_VALUE"""),"Virtual/Gather")</f>
        <v>Virtual/Gather</v>
      </c>
      <c r="H1416" s="7" t="str">
        <f>IFERROR(__xludf.DUMMYFUNCTION("""COMPUTED_VALUE"""),"Gather")</f>
        <v>Gather</v>
      </c>
      <c r="I1416" s="7" t="str">
        <f>IFERROR(__xludf.DUMMYFUNCTION("""COMPUTED_VALUE"""),"Session5: V-Gather Find")</f>
        <v>Session5: V-Gather Find</v>
      </c>
      <c r="J1416" s="7" t="str">
        <f>IFERROR(__xludf.DUMMYFUNCTION("""COMPUTED_VALUE"""),"Findings Posters - Virtual")</f>
        <v>Findings Posters - Virtual</v>
      </c>
      <c r="K1416" s="7"/>
      <c r="L1416" s="8">
        <f>IFERROR(__xludf.DUMMYFUNCTION("""COMPUTED_VALUE"""),45866.0)</f>
        <v>45866</v>
      </c>
      <c r="M1416" s="7" t="str">
        <f>IFERROR(__xludf.DUMMYFUNCTION("""COMPUTED_VALUE"""),"18:00-19:30")</f>
        <v>18:00-19:30</v>
      </c>
      <c r="N1416" s="7"/>
    </row>
    <row r="1417">
      <c r="A1417" s="7" t="str">
        <f>IFERROR(__xludf.DUMMYFUNCTION("""COMPUTED_VALUE"""),"5228-FIND")</f>
        <v>5228-FIND</v>
      </c>
      <c r="B1417" s="7" t="str">
        <f>IFERROR(__xludf.DUMMYFUNCTION("""COMPUTED_VALUE"""),"Multilingual Definition Modeling")</f>
        <v>Multilingual Definition Modeling</v>
      </c>
      <c r="C1417" s="7" t="str">
        <f>IFERROR(__xludf.DUMMYFUNCTION("""COMPUTED_VALUE"""),"In this paper, we propose the first multilingual study on definition modeling. We use monolingual dictionary data for four new languages (Spanish, French, Portuguese, and German) and perform an in-depth empirical study to test the performance of pre-train"&amp;"ed multilingual language models on definition modeling of monosemic words when finetuned on this data. Furthermore, we use a zero-shot approach to test the multilingual capabilities of two popular chat-based Large Language Models (LLMs) in the task. Resul"&amp;"ts show that multilingual language models can perform on-pair with English but cannot leverage potential cross-lingual synergies, with LLMs generally offering better performance overall. A comprehensive human evaluation of the LLM-generated definition hig"&amp;"hlights the zero and few-shot capabilities of these models in this new task, also showing their shortcomings. Finally, we show that performance on our task via BERTScore strongly correlates to the performance on multilingual LLM benchmarks, suggesting tha"&amp;"t our task offers a viable compute-constrained, stable and natural alternative to these.")</f>
        <v>In this paper, we propose the first multilingual study on definition modeling. We use monolingual dictionary data for four new languages (Spanish, French, Portuguese, and German) and perform an in-depth empirical study to test the performance of pre-trained multilingual language models on definition modeling of monosemic words when finetuned on this data. Furthermore, we use a zero-shot approach to test the multilingual capabilities of two popular chat-based Large Language Models (LLMs) in the task. Results show that multilingual language models can perform on-pair with English but cannot leverage potential cross-lingual synergies, with LLMs generally offering better performance overall. A comprehensive human evaluation of the LLM-generated definition highlights the zero and few-shot capabilities of these models in this new task, also showing their shortcomings. Finally, we show that performance on our task via BERTScore strongly correlates to the performance on multilingual LLM benchmarks, suggesting that our task offers a viable compute-constrained, stable and natural alternative to these.</v>
      </c>
      <c r="D1417" s="7" t="str">
        <f>IFERROR(__xludf.DUMMYFUNCTION("""COMPUTED_VALUE"""),"Edison Marrese-Taylor")</f>
        <v>Edison Marrese-Taylor</v>
      </c>
      <c r="E1417" s="7" t="str">
        <f>IFERROR(__xludf.DUMMYFUNCTION("""COMPUTED_VALUE"""),"Yes")</f>
        <v>Yes</v>
      </c>
      <c r="F1417" s="7" t="str">
        <f>IFERROR(__xludf.DUMMYFUNCTION("""COMPUTED_VALUE"""),"IP-Poster")</f>
        <v>IP-Poster</v>
      </c>
      <c r="G1417" s="7" t="str">
        <f>IFERROR(__xludf.DUMMYFUNCTION("""COMPUTED_VALUE"""),"In-Person")</f>
        <v>In-Person</v>
      </c>
      <c r="H1417" s="7" t="str">
        <f>IFERROR(__xludf.DUMMYFUNCTION("""COMPUTED_VALUE"""),"Hall 4/5")</f>
        <v>Hall 4/5</v>
      </c>
      <c r="I1417" s="7" t="str">
        <f>IFERROR(__xludf.DUMMYFUNCTION("""COMPUTED_VALUE"""),"Session 5 :IP-Posters Find ")</f>
        <v>Session 5 :IP-Posters Find </v>
      </c>
      <c r="J1417" s="7" t="str">
        <f>IFERROR(__xludf.DUMMYFUNCTION("""COMPUTED_VALUE"""),"Findings Posters - In-Person 1")</f>
        <v>Findings Posters - In-Person 1</v>
      </c>
      <c r="K1417" s="7"/>
      <c r="L1417" s="8">
        <f>IFERROR(__xludf.DUMMYFUNCTION("""COMPUTED_VALUE"""),45866.0)</f>
        <v>45866</v>
      </c>
      <c r="M1417" s="7" t="str">
        <f>IFERROR(__xludf.DUMMYFUNCTION("""COMPUTED_VALUE"""),"18:00-19:30")</f>
        <v>18:00-19:30</v>
      </c>
      <c r="N1417" s="7"/>
    </row>
    <row r="1418">
      <c r="A1418" s="7" t="str">
        <f>IFERROR(__xludf.DUMMYFUNCTION("""COMPUTED_VALUE"""),"5232-FIND")</f>
        <v>5232-FIND</v>
      </c>
      <c r="B1418" s="7" t="str">
        <f>IFERROR(__xludf.DUMMYFUNCTION("""COMPUTED_VALUE"""),"Human Bias in the Face of AI: The Role of Human Judgement in AI Generated Text Evaluation")</f>
        <v>Human Bias in the Face of AI: The Role of Human Judgement in AI Generated Text Evaluation</v>
      </c>
      <c r="C1418" s="7" t="str">
        <f>IFERROR(__xludf.DUMMYFUNCTION("""COMPUTED_VALUE"""),"As AI advances in text generation, human trust in AI generated content remains constrained by biases that go beyond concerns of accuracy. This study explores how bias shapes the perception of AI versus human generated content. Through three experiments in"&amp;"volving text rephrasing, news article summarization, and persuasive writing, we investigated how human raters respond to labeled and unlabeled content. While the raters could not differentiate the two types of texts in the blind test, they overwhelmingly "&amp;"favored content labeled as ""Human Generated,"" over those labeled ""AI Generated,"" by a preference score of over 30%. We observed the same pattern even when the labels were deliberately swapped. This human bias against AI has broader societal and cognit"&amp;"ive implications, as it undervalues AI performance. This study highlights the limitations of human judgment in interacting with AI and offers a foundation for improving human-AI collaboration, especially in creative fields.")</f>
        <v>As AI advances in text generation, human trust in AI generated content remains constrained by biases that go beyond concerns of accuracy. This study explores how bias shapes the perception of AI versus human generated content. Through three experiments involving text rephrasing, news article summarization, and persuasive writing, we investigated how human raters respond to labeled and unlabeled content. While the raters could not differentiate the two types of texts in the blind test, they overwhelmingly favored content labeled as "Human Generated," over those labeled "AI Generated," by a preference score of over 30%. We observed the same pattern even when the labels were deliberately swapped. This human bias against AI has broader societal and cognitive implications, as it undervalues AI performance. This study highlights the limitations of human judgment in interacting with AI and offers a foundation for improving human-AI collaboration, especially in creative fields.</v>
      </c>
      <c r="D1418" s="7" t="str">
        <f>IFERROR(__xludf.DUMMYFUNCTION("""COMPUTED_VALUE"""),"Tiffany Zhu")</f>
        <v>Tiffany Zhu</v>
      </c>
      <c r="E1418" s="7" t="str">
        <f>IFERROR(__xludf.DUMMYFUNCTION("""COMPUTED_VALUE"""),"Yes")</f>
        <v>Yes</v>
      </c>
      <c r="F1418" s="7" t="str">
        <f>IFERROR(__xludf.DUMMYFUNCTION("""COMPUTED_VALUE"""),"V-Presentation")</f>
        <v>V-Presentation</v>
      </c>
      <c r="G1418" s="7" t="str">
        <f>IFERROR(__xludf.DUMMYFUNCTION("""COMPUTED_VALUE"""),"Virtual/Gather")</f>
        <v>Virtual/Gather</v>
      </c>
      <c r="H1418" s="7" t="str">
        <f>IFERROR(__xludf.DUMMYFUNCTION("""COMPUTED_VALUE"""),"Gather")</f>
        <v>Gather</v>
      </c>
      <c r="I1418" s="7" t="str">
        <f>IFERROR(__xludf.DUMMYFUNCTION("""COMPUTED_VALUE"""),"Session5: V-Gather Find")</f>
        <v>Session5: V-Gather Find</v>
      </c>
      <c r="J1418" s="7" t="str">
        <f>IFERROR(__xludf.DUMMYFUNCTION("""COMPUTED_VALUE"""),"Findings Posters - Virtual")</f>
        <v>Findings Posters - Virtual</v>
      </c>
      <c r="K1418" s="7"/>
      <c r="L1418" s="8">
        <f>IFERROR(__xludf.DUMMYFUNCTION("""COMPUTED_VALUE"""),45866.0)</f>
        <v>45866</v>
      </c>
      <c r="M1418" s="7" t="str">
        <f>IFERROR(__xludf.DUMMYFUNCTION("""COMPUTED_VALUE"""),"18:00-19:30")</f>
        <v>18:00-19:30</v>
      </c>
      <c r="N1418" s="7"/>
    </row>
    <row r="1419">
      <c r="A1419" s="7" t="str">
        <f>IFERROR(__xludf.DUMMYFUNCTION("""COMPUTED_VALUE"""),"5238-FIND")</f>
        <v>5238-FIND</v>
      </c>
      <c r="B1419" s="7" t="str">
        <f>IFERROR(__xludf.DUMMYFUNCTION("""COMPUTED_VALUE"""),"Redundancy, Isotropy, and Intrinsic Dimensionality of Prompt-based Text Embeddings")</f>
        <v>Redundancy, Isotropy, and Intrinsic Dimensionality of Prompt-based Text Embeddings</v>
      </c>
      <c r="C1419" s="7" t="str">
        <f>IFERROR(__xludf.DUMMYFUNCTION("""COMPUTED_VALUE"""),"Prompt-based text embedding models, which generate task-specific embeddings upon receiving tailored prompts, have recently demonstrated remarkable performance. However, their resulting embeddings often have thousands of dimensions, leading to high storage"&amp;" costs and increased computational costs of embedding-based operations. In this paper, we investigate how post-hoc dimensionality reduction applied to the embeddings affects the performance of various tasks that leverage these embeddings, specifically cla"&amp;"ssification, clustering, retrieval, and semantic textual similarity (STS) tasks. Our experiments show that even a naive dimensionality reduction, which keeps only the first 25% of the dimensions of the embeddings, results in a very slight performance degr"&amp;"adation, indicating that these embeddings are highly redundant. Notably, for classification and clustering, even when embeddings are reduced to less than 0.5% of the original dimensionality the performance degradation is very small. To quantitatively anal"&amp;"yze this redundancy, we perform an analysis based on the intrinsic dimensionality and isotropy of the embeddings. Our analysis reveals that embeddings for classification and clustering, which are considered to have very high dimensional redundancy, exhibi"&amp;"t lower intrinsic dimensionality and less isotropy compared with those for retrieval and STS.")</f>
        <v>Prompt-based text embedding models, which generate task-specific embeddings upon receiving tailored prompts, have recently demonstrated remarkable performance. However, their resulting embeddings often have thousands of dimensions, leading to high storage costs and increased computational costs of embedding-based operations. In this paper, we investigate how post-hoc dimensionality reduction applied to the embeddings affects the performance of various tasks that leverage these embeddings, specifically classification, clustering, retrieval, and semantic textual similarity (STS) tasks. Our experiments show that even a naive dimensionality reduction, which keeps only the first 25% of the dimensions of the embeddings, results in a very slight performance degradation, indicating that these embeddings are highly redundant. Notably, for classification and clustering, even when embeddings are reduced to less than 0.5% of the original dimensionality the performance degradation is very small. To quantitatively analyze this redundancy, we perform an analysis based on the intrinsic dimensionality and isotropy of the embeddings. Our analysis reveals that embeddings for classification and clustering, which are considered to have very high dimensional redundancy, exhibit lower intrinsic dimensionality and less isotropy compared with those for retrieval and STS.</v>
      </c>
      <c r="D1419" s="7" t="str">
        <f>IFERROR(__xludf.DUMMYFUNCTION("""COMPUTED_VALUE"""),"Hayato Tsukagoshi")</f>
        <v>Hayato Tsukagoshi</v>
      </c>
      <c r="E1419" s="7" t="str">
        <f>IFERROR(__xludf.DUMMYFUNCTION("""COMPUTED_VALUE"""),"Yes")</f>
        <v>Yes</v>
      </c>
      <c r="F1419" s="7" t="str">
        <f>IFERROR(__xludf.DUMMYFUNCTION("""COMPUTED_VALUE"""),"IP-Poster")</f>
        <v>IP-Poster</v>
      </c>
      <c r="G1419" s="7" t="str">
        <f>IFERROR(__xludf.DUMMYFUNCTION("""COMPUTED_VALUE"""),"In-Person")</f>
        <v>In-Person</v>
      </c>
      <c r="H1419" s="7" t="str">
        <f>IFERROR(__xludf.DUMMYFUNCTION("""COMPUTED_VALUE"""),"Hall 4/5")</f>
        <v>Hall 4/5</v>
      </c>
      <c r="I1419" s="7" t="str">
        <f>IFERROR(__xludf.DUMMYFUNCTION("""COMPUTED_VALUE"""),"Session 5 :IP-Posters Find ")</f>
        <v>Session 5 :IP-Posters Find </v>
      </c>
      <c r="J1419" s="7" t="str">
        <f>IFERROR(__xludf.DUMMYFUNCTION("""COMPUTED_VALUE"""),"Findings Posters - In-Person 1")</f>
        <v>Findings Posters - In-Person 1</v>
      </c>
      <c r="K1419" s="7"/>
      <c r="L1419" s="8">
        <f>IFERROR(__xludf.DUMMYFUNCTION("""COMPUTED_VALUE"""),45866.0)</f>
        <v>45866</v>
      </c>
      <c r="M1419" s="7" t="str">
        <f>IFERROR(__xludf.DUMMYFUNCTION("""COMPUTED_VALUE"""),"18:00-19:30")</f>
        <v>18:00-19:30</v>
      </c>
      <c r="N1419" s="7"/>
    </row>
    <row r="1420">
      <c r="A1420" s="7" t="str">
        <f>IFERROR(__xludf.DUMMYFUNCTION("""COMPUTED_VALUE"""),"5242-FIND")</f>
        <v>5242-FIND</v>
      </c>
      <c r="B1420" s="7" t="str">
        <f>IFERROR(__xludf.DUMMYFUNCTION("""COMPUTED_VALUE"""),"Harnessing Whisper for Prosodic Stress Analysis")</f>
        <v>Harnessing Whisper for Prosodic Stress Analysis</v>
      </c>
      <c r="C1420" s="7" t="str">
        <f>IFERROR(__xludf.DUMMYFUNCTION("""COMPUTED_VALUE"""),"Prosody affects how people produce and understand language, yet studies of how it does so have been hindered by the lack of efficient tools for analyzing prosodic stress. We fine-tune OpenAI Whisper large-v2, a state-of-the-art speech recognition model, t"&amp;"o recognize phrasal, lexical, and contrastive stress using a small, carefully annotated dataset. Our results show that Whisper can learn distinct, gender-specific stress patterns to achieve near-human and super-human accuracy in stress classification and "&amp;"transfer its learning from one type of stress to another, surpassing traditional machine learning models. Furthermore, we explore how acoustic context influences its performance and propose a novel black-box evaluation method for characterizing the decisi"&amp;"on boundaries used by Whisper for prosodic stress interpretation. These findings open new avenues for large-scale, automated prosody research with implications for linguistic theory and speech processing.")</f>
        <v>Prosody affects how people produce and understand language, yet studies of how it does so have been hindered by the lack of efficient tools for analyzing prosodic stress. We fine-tune OpenAI Whisper large-v2, a state-of-the-art speech recognition model, to recognize phrasal, lexical, and contrastive stress using a small, carefully annotated dataset. Our results show that Whisper can learn distinct, gender-specific stress patterns to achieve near-human and super-human accuracy in stress classification and transfer its learning from one type of stress to another, surpassing traditional machine learning models. Furthermore, we explore how acoustic context influences its performance and propose a novel black-box evaluation method for characterizing the decision boundaries used by Whisper for prosodic stress interpretation. These findings open new avenues for large-scale, automated prosody research with implications for linguistic theory and speech processing.</v>
      </c>
      <c r="D1420" s="7" t="str">
        <f>IFERROR(__xludf.DUMMYFUNCTION("""COMPUTED_VALUE"""),"Samuel S. Sohn")</f>
        <v>Samuel S. Sohn</v>
      </c>
      <c r="E1420" s="7" t="str">
        <f>IFERROR(__xludf.DUMMYFUNCTION("""COMPUTED_VALUE"""),"Yes")</f>
        <v>Yes</v>
      </c>
      <c r="F1420" s="7" t="str">
        <f>IFERROR(__xludf.DUMMYFUNCTION("""COMPUTED_VALUE"""),"Not Pres. ")</f>
        <v>Not Pres. </v>
      </c>
      <c r="G1420" s="7" t="str">
        <f>IFERROR(__xludf.DUMMYFUNCTION("""COMPUTED_VALUE"""),"NP Findings Not Presenting ")</f>
        <v>NP Findings Not Presenting </v>
      </c>
      <c r="H1420" s="7"/>
      <c r="I1420" s="7"/>
      <c r="J1420" s="7"/>
      <c r="K1420" s="7"/>
      <c r="L1420" s="8"/>
      <c r="M1420" s="7"/>
      <c r="N1420" s="7"/>
    </row>
    <row r="1421">
      <c r="A1421" s="7" t="str">
        <f>IFERROR(__xludf.DUMMYFUNCTION("""COMPUTED_VALUE"""),"5248-FIND")</f>
        <v>5248-FIND</v>
      </c>
      <c r="B1421" s="7" t="str">
        <f>IFERROR(__xludf.DUMMYFUNCTION("""COMPUTED_VALUE"""),"Can You Share Your Story? Modeling Clients' Metacognition and Openness for LLM Therapist Evaluation")</f>
        <v>Can You Share Your Story? Modeling Clients' Metacognition and Openness for LLM Therapist Evaluation</v>
      </c>
      <c r="C1421" s="7" t="str">
        <f>IFERROR(__xludf.DUMMYFUNCTION("""COMPUTED_VALUE"""),"Understanding clients’ thoughts and beliefs is fundamental in counseling, yet current evaluations of LLM therapists often fail to assess this ability. Existing evaluation methods rely on client simulators that clearly disclose internal states to the thera"&amp;"pist, making it difficult to determine whether an LLM therapist can uncover unexpressed perspectives. To address this limitation, we introduce MindVoyager, a novel evaluation framework featuring a controllable and realistic client simulator which dynamica"&amp;"lly adapts itself based on the ongoing counseling session, offering a more realistic and challenging evaluation environment. We further introduce evaluation metrics that assess the exploration ability of LLM therapists by measuring their thorough understa"&amp;"nding of client's beliefs and thoughts.")</f>
        <v>Understanding clients’ thoughts and beliefs is fundamental in counseling, yet current evaluations of LLM therapists often fail to assess this ability. Existing evaluation methods rely on client simulators that clearly disclose internal states to the therapist, making it difficult to determine whether an LLM therapist can uncover unexpressed perspectives. To address this limitation, we introduce MindVoyager, a novel evaluation framework featuring a controllable and realistic client simulator which dynamically adapts itself based on the ongoing counseling session, offering a more realistic and challenging evaluation environment. We further introduce evaluation metrics that assess the exploration ability of LLM therapists by measuring their thorough understanding of client's beliefs and thoughts.</v>
      </c>
      <c r="D1421" s="7" t="str">
        <f>IFERROR(__xludf.DUMMYFUNCTION("""COMPUTED_VALUE"""),"N/A")</f>
        <v>N/A</v>
      </c>
      <c r="E1421" s="7" t="str">
        <f>IFERROR(__xludf.DUMMYFUNCTION("""COMPUTED_VALUE"""),"#N/A")</f>
        <v>#N/A</v>
      </c>
      <c r="F1421" s="7" t="str">
        <f>IFERROR(__xludf.DUMMYFUNCTION("""COMPUTED_VALUE"""),"Not Pres. ")</f>
        <v>Not Pres. </v>
      </c>
      <c r="G1421" s="7" t="str">
        <f>IFERROR(__xludf.DUMMYFUNCTION("""COMPUTED_VALUE"""),"NP Findings Not Presenting ")</f>
        <v>NP Findings Not Presenting </v>
      </c>
      <c r="H1421" s="7"/>
      <c r="I1421" s="7" t="str">
        <f>IFERROR(__xludf.DUMMYFUNCTION("""COMPUTED_VALUE"""),"NP-Find")</f>
        <v>NP-Find</v>
      </c>
      <c r="J1421" s="7"/>
      <c r="K1421" s="7"/>
      <c r="L1421" s="8"/>
      <c r="M1421" s="7"/>
      <c r="N1421" s="7"/>
    </row>
    <row r="1422">
      <c r="A1422" s="7" t="str">
        <f>IFERROR(__xludf.DUMMYFUNCTION("""COMPUTED_VALUE"""),"5249-FIND")</f>
        <v>5249-FIND</v>
      </c>
      <c r="B1422" s="7" t="str">
        <f>IFERROR(__xludf.DUMMYFUNCTION("""COMPUTED_VALUE"""),"Dictionaries to the Rescue: Cross-Lingual Vocabulary Transfer for Low-Resource Languages Using Bilingual Dictionaries")</f>
        <v>Dictionaries to the Rescue: Cross-Lingual Vocabulary Transfer for Low-Resource Languages Using Bilingual Dictionaries</v>
      </c>
      <c r="C1422" s="7" t="str">
        <f>IFERROR(__xludf.DUMMYFUNCTION("""COMPUTED_VALUE"""),"Cross-lingual vocabulary transfer plays a promising role in adapting pre-trained language models to new languages, including low-resource languages. Existing approaches that utilize monolingual or parallel corpora face challenges when applied to languages"&amp;" with limited resources. In this work, we propose a simple yet effective vocabulary transfer method that utilizes bilingual dictionaries, which are available for many languages, thanks to descriptive linguists. Our proposed method leverages a property of "&amp;"BPE tokenizers where removing a subword from the vocabulary causes a fallback to shorter subwords. The embeddings of target subwords are estimated iteratively by progressively removing them from the tokenizer. The experimental results show that our approa"&amp;"ch outperforms existing methods for low-resource languages, demonstrating the effectiveness of a dictionary-based approach for cross-lingual vocabulary transfer.")</f>
        <v>Cross-lingual vocabulary transfer plays a promising role in adapting pre-trained language models to new languages, including low-resource languages. Existing approaches that utilize monolingual or parallel corpora face challenges when applied to languages with limited resources. In this work, we propose a simple yet effective vocabulary transfer method that utilizes bilingual dictionaries, which are available for many languages, thanks to descriptive linguists. Our proposed method leverages a property of BPE tokenizers where removing a subword from the vocabulary causes a fallback to shorter subwords. The embeddings of target subwords are estimated iteratively by progressively removing them from the tokenizer. The experimental results show that our approach outperforms existing methods for low-resource languages, demonstrating the effectiveness of a dictionary-based approach for cross-lingual vocabulary transfer.</v>
      </c>
      <c r="D1422" s="7" t="str">
        <f>IFERROR(__xludf.DUMMYFUNCTION("""COMPUTED_VALUE"""),"Haruki Sakajo")</f>
        <v>Haruki Sakajo</v>
      </c>
      <c r="E1422" s="7" t="str">
        <f>IFERROR(__xludf.DUMMYFUNCTION("""COMPUTED_VALUE"""),"Yes")</f>
        <v>Yes</v>
      </c>
      <c r="F1422" s="7" t="str">
        <f>IFERROR(__xludf.DUMMYFUNCTION("""COMPUTED_VALUE"""),"IP-Poster")</f>
        <v>IP-Poster</v>
      </c>
      <c r="G1422" s="7" t="str">
        <f>IFERROR(__xludf.DUMMYFUNCTION("""COMPUTED_VALUE"""),"In-Person")</f>
        <v>In-Person</v>
      </c>
      <c r="H1422" s="7" t="str">
        <f>IFERROR(__xludf.DUMMYFUNCTION("""COMPUTED_VALUE"""),"Hall 4/5")</f>
        <v>Hall 4/5</v>
      </c>
      <c r="I1422" s="7" t="str">
        <f>IFERROR(__xludf.DUMMYFUNCTION("""COMPUTED_VALUE"""),"Session 10: IP-Posters")</f>
        <v>Session 10: IP-Posters</v>
      </c>
      <c r="J1422" s="7" t="str">
        <f>IFERROR(__xludf.DUMMYFUNCTION("""COMPUTED_VALUE"""),"Findings Posters - In-Person 3")</f>
        <v>Findings Posters - In-Person 3</v>
      </c>
      <c r="K1422" s="7"/>
      <c r="L1422" s="8">
        <f>IFERROR(__xludf.DUMMYFUNCTION("""COMPUTED_VALUE"""),45867.0)</f>
        <v>45867</v>
      </c>
      <c r="M1422" s="7" t="str">
        <f>IFERROR(__xludf.DUMMYFUNCTION("""COMPUTED_VALUE"""),"16:00-17:30")</f>
        <v>16:00-17:30</v>
      </c>
      <c r="N1422" s="7"/>
    </row>
    <row r="1423">
      <c r="A1423" s="7" t="str">
        <f>IFERROR(__xludf.DUMMYFUNCTION("""COMPUTED_VALUE"""),"5253-FIND")</f>
        <v>5253-FIND</v>
      </c>
      <c r="B1423" s="7" t="str">
        <f>IFERROR(__xludf.DUMMYFUNCTION("""COMPUTED_VALUE"""),"GradNormIR: When Should We Update the Dense Retriever in Evolving Corpora?")</f>
        <v>GradNormIR: When Should We Update the Dense Retriever in Evolving Corpora?</v>
      </c>
      <c r="C1423" s="7" t="str">
        <f>IFERROR(__xludf.DUMMYFUNCTION("""COMPUTED_VALUE"""),"A dense retriever learns text embeddings to fetch relevant documents from a database in response to queries. However, real-world document streams constantly evolve, often diverging from the retriever's original training distribution. Indexing these docume"&amp;"nts without preemptive measures (e.g., updating or retraining) can lead to retrieval failures for future test queries. Hence, it is crucial to detect when to update dense retrievers before those test queries arrive, ensuring the retrieval system's mainten"&amp;"ance. To address this challenge, we introduce a novel task of predicting whether a given corpus is out-of-domain (OOD) for a dense retriever before indexing. This task enables us to assess whether using the current retriever on the given corpus creates vu"&amp;"lnerabilities for future test queries. We propose GradNormIR, a novel unsupervised method that leverages gradient norms to detect OOD documents within a given corpus. Experiments on the BEIR benchmark demonstrate that our method facilitates timely retriev"&amp;"er updates in evolving corpora, providing valuable guidance for building an efficient and robust retriever system.")</f>
        <v>A dense retriever learns text embeddings to fetch relevant documents from a database in response to queries. However, real-world document streams constantly evolve, often diverging from the retriever's original training distribution. Indexing these documents without preemptive measures (e.g., updating or retraining) can lead to retrieval failures for future test queries. Hence, it is crucial to detect when to update dense retrievers before those test queries arrive, ensuring the retrieval system's maintenance. To address this challenge, we introduce a novel task of predicting whether a given corpus is out-of-domain (OOD) for a dense retriever before indexing. This task enables us to assess whether using the current retriever on the given corpus creates vulnerabilities for future test queries. We propose GradNormIR, a novel unsupervised method that leverages gradient norms to detect OOD documents within a given corpus. Experiments on the BEIR benchmark demonstrate that our method facilitates timely retriever updates in evolving corpora, providing valuable guidance for building an efficient and robust retriever system.</v>
      </c>
      <c r="D1423" s="7" t="str">
        <f>IFERROR(__xludf.DUMMYFUNCTION("""COMPUTED_VALUE"""),"Dayoon Ko")</f>
        <v>Dayoon Ko</v>
      </c>
      <c r="E1423" s="7" t="str">
        <f>IFERROR(__xludf.DUMMYFUNCTION("""COMPUTED_VALUE"""),"Yes")</f>
        <v>Yes</v>
      </c>
      <c r="F1423" s="7" t="str">
        <f>IFERROR(__xludf.DUMMYFUNCTION("""COMPUTED_VALUE"""),"IP-Poster")</f>
        <v>IP-Poster</v>
      </c>
      <c r="G1423" s="7" t="str">
        <f>IFERROR(__xludf.DUMMYFUNCTION("""COMPUTED_VALUE"""),"In-Person")</f>
        <v>In-Person</v>
      </c>
      <c r="H1423" s="7" t="str">
        <f>IFERROR(__xludf.DUMMYFUNCTION("""COMPUTED_VALUE"""),"Hall 4/5")</f>
        <v>Hall 4/5</v>
      </c>
      <c r="I1423" s="7" t="str">
        <f>IFERROR(__xludf.DUMMYFUNCTION("""COMPUTED_VALUE"""),"Session 5 :IP-Posters Find ")</f>
        <v>Session 5 :IP-Posters Find </v>
      </c>
      <c r="J1423" s="7" t="str">
        <f>IFERROR(__xludf.DUMMYFUNCTION("""COMPUTED_VALUE"""),"Findings Posters - In-Person 1")</f>
        <v>Findings Posters - In-Person 1</v>
      </c>
      <c r="K1423" s="7"/>
      <c r="L1423" s="8">
        <f>IFERROR(__xludf.DUMMYFUNCTION("""COMPUTED_VALUE"""),45866.0)</f>
        <v>45866</v>
      </c>
      <c r="M1423" s="7" t="str">
        <f>IFERROR(__xludf.DUMMYFUNCTION("""COMPUTED_VALUE"""),"18:00-19:30")</f>
        <v>18:00-19:30</v>
      </c>
      <c r="N1423" s="7"/>
    </row>
    <row r="1424">
      <c r="A1424" s="7" t="str">
        <f>IFERROR(__xludf.DUMMYFUNCTION("""COMPUTED_VALUE"""),"5264-FIND")</f>
        <v>5264-FIND</v>
      </c>
      <c r="B1424" s="7" t="str">
        <f>IFERROR(__xludf.DUMMYFUNCTION("""COMPUTED_VALUE"""),"The Million Authors Corpus: A Cross-Lingual and Cross-Domain Wikipedia Dataset for Authorship Verification")</f>
        <v>The Million Authors Corpus: A Cross-Lingual and Cross-Domain Wikipedia Dataset for Authorship Verification</v>
      </c>
      <c r="C1424" s="7" t="str">
        <f>IFERROR(__xludf.DUMMYFUNCTION("""COMPUTED_VALUE"""),"Authorship verification (AV) is a crucial task for applications like identity verification, plagiarism detection, and AI-generated text identification. However, datasets for training and evaluating AV models are primarily in English and primarily in a sin"&amp;"gle domain. This precludes analysis of AV techniques for generalizability and can cause seemingly valid AV solutions to, in fact, rely on topic-based features rather than actual authorship features. To address this limitation, we introduce the Million Aut"&amp;"hors Corpus (), a novel dataset encompassing contributions from dozens of languages on Wikipedia. It includes only long and contiguous textual chunks taken from Wikipedia edits and links those texts to their authors. includes 60.08M textual chunks, contri"&amp;"buted by 1.29M Wikipedia authors. It enables broad-scale cross-lingual and cross-domain AV evaluation to ensure accurate analysis of model capabilities that are not overly optimistic. We provide baseline evaluations using state-of-the-art AV models as wel"&amp;"l as information retrieval models that are not AV-specific in order to demonstrate 's unique cross-lingual and cross-domain ablation capabilities.")</f>
        <v>Authorship verification (AV) is a crucial task for applications like identity verification, plagiarism detection, and AI-generated text identification. However, datasets for training and evaluating AV models are primarily in English and primarily in a single domain. This precludes analysis of AV techniques for generalizability and can cause seemingly valid AV solutions to, in fact, rely on topic-based features rather than actual authorship features. To address this limitation, we introduce the Million Authors Corpus (), a novel dataset encompassing contributions from dozens of languages on Wikipedia. It includes only long and contiguous textual chunks taken from Wikipedia edits and links those texts to their authors. includes 60.08M textual chunks, contributed by 1.29M Wikipedia authors. It enables broad-scale cross-lingual and cross-domain AV evaluation to ensure accurate analysis of model capabilities that are not overly optimistic. We provide baseline evaluations using state-of-the-art AV models as well as information retrieval models that are not AV-specific in order to demonstrate 's unique cross-lingual and cross-domain ablation capabilities.</v>
      </c>
      <c r="D1424" s="7" t="str">
        <f>IFERROR(__xludf.DUMMYFUNCTION("""COMPUTED_VALUE"""),"Prof. David Jurgens")</f>
        <v>Prof. David Jurgens</v>
      </c>
      <c r="E1424" s="7" t="str">
        <f>IFERROR(__xludf.DUMMYFUNCTION("""COMPUTED_VALUE"""),"Yes")</f>
        <v>Yes</v>
      </c>
      <c r="F1424" s="7" t="str">
        <f>IFERROR(__xludf.DUMMYFUNCTION("""COMPUTED_VALUE"""),"IP-Poster")</f>
        <v>IP-Poster</v>
      </c>
      <c r="G1424" s="7" t="str">
        <f>IFERROR(__xludf.DUMMYFUNCTION("""COMPUTED_VALUE"""),"In-Person")</f>
        <v>In-Person</v>
      </c>
      <c r="H1424" s="7" t="str">
        <f>IFERROR(__xludf.DUMMYFUNCTION("""COMPUTED_VALUE"""),"Hall 4/5")</f>
        <v>Hall 4/5</v>
      </c>
      <c r="I1424" s="7" t="str">
        <f>IFERROR(__xludf.DUMMYFUNCTION("""COMPUTED_VALUE"""),"Session 12: IP-Posters")</f>
        <v>Session 12: IP-Posters</v>
      </c>
      <c r="J1424" s="7" t="str">
        <f>IFERROR(__xludf.DUMMYFUNCTION("""COMPUTED_VALUE"""),"Findings Posters - In-Person 4")</f>
        <v>Findings Posters - In-Person 4</v>
      </c>
      <c r="K1424" s="7"/>
      <c r="L1424" s="8">
        <f>IFERROR(__xludf.DUMMYFUNCTION("""COMPUTED_VALUE"""),45868.0)</f>
        <v>45868</v>
      </c>
      <c r="M1424" s="7" t="str">
        <f>IFERROR(__xludf.DUMMYFUNCTION("""COMPUTED_VALUE"""),"11:00-12:30")</f>
        <v>11:00-12:30</v>
      </c>
      <c r="N1424" s="7"/>
    </row>
    <row r="1425">
      <c r="A1425" s="7" t="str">
        <f>IFERROR(__xludf.DUMMYFUNCTION("""COMPUTED_VALUE"""),"5266-FIND")</f>
        <v>5266-FIND</v>
      </c>
      <c r="B1425" s="7" t="str">
        <f>IFERROR(__xludf.DUMMYFUNCTION("""COMPUTED_VALUE"""),"BridG MT: Enhancing LLMs' Machine Translation Capabilities with Sentence Bridging and Gradual MT")</f>
        <v>BridG MT: Enhancing LLMs' Machine Translation Capabilities with Sentence Bridging and Gradual MT</v>
      </c>
      <c r="C1425" s="7" t="str">
        <f>IFERROR(__xludf.DUMMYFUNCTION("""COMPUTED_VALUE"""),"Recent Large Language Models (LLMs) have demonstrated impressive translation performance without requiring fine-tuning on additional parallel corpora. However, they still face significant challenges in certain scenarios, particularly when translating low-"&amp;"resource languages. A common approach to address this issue is to provide external knowledge, such as few-shot examples, to assist LLMs in translating specific source sentences. However, this method is fundamentally limited by the quality or quantity of r"&amp;"elevant sources, which cannot always be guaranteed. To reduce LLMs' reliance on external sources, we propose BridG MT, a method that combines Sentence Bridging, which generates a sequence of sentences as a bridge that gradually transition from easy-to-tra"&amp;"nslate to more difficult, and Gradual MT, which sequentially translates these sentences using earlier translations as few-shot examples for subsequent ones. Experiments conducted on four LLMs across seven languages demonstrate that our method effectively "&amp;"enhances translation performance, achieving results that cannot be attained by simply providing a large number of few-shot examples.")</f>
        <v>Recent Large Language Models (LLMs) have demonstrated impressive translation performance without requiring fine-tuning on additional parallel corpora. However, they still face significant challenges in certain scenarios, particularly when translating low-resource languages. A common approach to address this issue is to provide external knowledge, such as few-shot examples, to assist LLMs in translating specific source sentences. However, this method is fundamentally limited by the quality or quantity of relevant sources, which cannot always be guaranteed. To reduce LLMs' reliance on external sources, we propose BridG MT, a method that combines Sentence Bridging, which generates a sequence of sentences as a bridge that gradually transition from easy-to-translate to more difficult, and Gradual MT, which sequentially translates these sentences using earlier translations as few-shot examples for subsequent ones. Experiments conducted on four LLMs across seven languages demonstrate that our method effectively enhances translation performance, achieving results that cannot be attained by simply providing a large number of few-shot examples.</v>
      </c>
      <c r="D1425" s="7" t="str">
        <f>IFERROR(__xludf.DUMMYFUNCTION("""COMPUTED_VALUE"""),"Seungwoo Choi")</f>
        <v>Seungwoo Choi</v>
      </c>
      <c r="E1425" s="7" t="str">
        <f>IFERROR(__xludf.DUMMYFUNCTION("""COMPUTED_VALUE"""),"Yes")</f>
        <v>Yes</v>
      </c>
      <c r="F1425" s="7" t="str">
        <f>IFERROR(__xludf.DUMMYFUNCTION("""COMPUTED_VALUE"""),"IP-Poster")</f>
        <v>IP-Poster</v>
      </c>
      <c r="G1425" s="7" t="str">
        <f>IFERROR(__xludf.DUMMYFUNCTION("""COMPUTED_VALUE"""),"In-Person")</f>
        <v>In-Person</v>
      </c>
      <c r="H1425" s="7" t="str">
        <f>IFERROR(__xludf.DUMMYFUNCTION("""COMPUTED_VALUE"""),"Hall 4/5")</f>
        <v>Hall 4/5</v>
      </c>
      <c r="I1425" s="7" t="str">
        <f>IFERROR(__xludf.DUMMYFUNCTION("""COMPUTED_VALUE"""),"Session 10: IP-Posters")</f>
        <v>Session 10: IP-Posters</v>
      </c>
      <c r="J1425" s="7" t="str">
        <f>IFERROR(__xludf.DUMMYFUNCTION("""COMPUTED_VALUE"""),"Findings Posters - In-Person 3")</f>
        <v>Findings Posters - In-Person 3</v>
      </c>
      <c r="K1425" s="7"/>
      <c r="L1425" s="8">
        <f>IFERROR(__xludf.DUMMYFUNCTION("""COMPUTED_VALUE"""),45867.0)</f>
        <v>45867</v>
      </c>
      <c r="M1425" s="7" t="str">
        <f>IFERROR(__xludf.DUMMYFUNCTION("""COMPUTED_VALUE"""),"16:00-17:30")</f>
        <v>16:00-17:30</v>
      </c>
      <c r="N1425" s="7"/>
    </row>
    <row r="1426">
      <c r="A1426" s="7" t="str">
        <f>IFERROR(__xludf.DUMMYFUNCTION("""COMPUTED_VALUE"""),"5267-FIND")</f>
        <v>5267-FIND</v>
      </c>
      <c r="B1426" s="7" t="str">
        <f>IFERROR(__xludf.DUMMYFUNCTION("""COMPUTED_VALUE"""),"Text2World: Benchmarking Large Language Models for Symbolic World Model Generation")</f>
        <v>Text2World: Benchmarking Large Language Models for Symbolic World Model Generation</v>
      </c>
      <c r="C1426" s="7" t="str">
        <f>IFERROR(__xludf.DUMMYFUNCTION("""COMPUTED_VALUE"""),"Recently, there has been growing interest in leveraging large language models (LLMs) to generate symbolic world models from textual descriptions. Although LLMs have been extensively explored in the context of world modeling, prior studies encountered seve"&amp;"ral challenges, including evaluation randomness, dependence on indirect metrics, and a limited domain scope. To address these limitations, we introduce a novel benchmark, Text2World, based on planning domain definition language (PDDL), featuring hundreds "&amp;"of diverse domains and employing multi-criteria, execution-based metrics for a more robust evaluation. We benchmark current LLMs using Text2World and find that reasoning models trained with large-scale reinforcement learning outperform others. However, ev"&amp;"en the best-performing model still demonstrates limited capabilities in world modeling. Building on these insights, we examine several promising strategies to enhance the world modeling capabilities of LLMs, including test-time scaling, agent training, an"&amp;"d more. We hope that Text2World can serve as a crucial resource, laying the groundwork for future research in leveraging LLMs as world models.")</f>
        <v>Recently, there has been growing interest in leveraging large language models (LLMs) to generate symbolic world models from textual descriptions. Although LLMs have been extensively explored in the context of world modeling, prior studies encountered several challenges, including evaluation randomness, dependence on indirect metrics, and a limited domain scope. To address these limitations, we introduce a novel benchmark, Text2World, based on planning domain definition language (PDDL), featuring hundreds of diverse domains and employing multi-criteria, execution-based metrics for a more robust evaluation. We benchmark current LLMs using Text2World and find that reasoning models trained with large-scale reinforcement learning outperform others. However, even the best-performing model still demonstrates limited capabilities in world modeling. Building on these insights, we examine several promising strategies to enhance the world modeling capabilities of LLMs, including test-time scaling, agent training, and more. We hope that Text2World can serve as a crucial resource, laying the groundwork for future research in leveraging LLMs as world models.</v>
      </c>
      <c r="D1426" s="7" t="str">
        <f>IFERROR(__xludf.DUMMYFUNCTION("""COMPUTED_VALUE"""),"Mengkang Hu")</f>
        <v>Mengkang Hu</v>
      </c>
      <c r="E1426" s="7" t="str">
        <f>IFERROR(__xludf.DUMMYFUNCTION("""COMPUTED_VALUE"""),"Yes")</f>
        <v>Yes</v>
      </c>
      <c r="F1426" s="7" t="str">
        <f>IFERROR(__xludf.DUMMYFUNCTION("""COMPUTED_VALUE"""),"IP-Poster")</f>
        <v>IP-Poster</v>
      </c>
      <c r="G1426" s="7" t="str">
        <f>IFERROR(__xludf.DUMMYFUNCTION("""COMPUTED_VALUE"""),"In-Person")</f>
        <v>In-Person</v>
      </c>
      <c r="H1426" s="7" t="str">
        <f>IFERROR(__xludf.DUMMYFUNCTION("""COMPUTED_VALUE"""),"Hall 4/5")</f>
        <v>Hall 4/5</v>
      </c>
      <c r="I1426" s="7" t="str">
        <f>IFERROR(__xludf.DUMMYFUNCTION("""COMPUTED_VALUE"""),"Session 12: IP-Posters")</f>
        <v>Session 12: IP-Posters</v>
      </c>
      <c r="J1426" s="7" t="str">
        <f>IFERROR(__xludf.DUMMYFUNCTION("""COMPUTED_VALUE"""),"Findings Posters - In-Person 4")</f>
        <v>Findings Posters - In-Person 4</v>
      </c>
      <c r="K1426" s="7"/>
      <c r="L1426" s="8">
        <f>IFERROR(__xludf.DUMMYFUNCTION("""COMPUTED_VALUE"""),45868.0)</f>
        <v>45868</v>
      </c>
      <c r="M1426" s="7" t="str">
        <f>IFERROR(__xludf.DUMMYFUNCTION("""COMPUTED_VALUE"""),"11:00-12:30")</f>
        <v>11:00-12:30</v>
      </c>
      <c r="N1426" s="7"/>
    </row>
    <row r="1427">
      <c r="A1427" s="7" t="str">
        <f>IFERROR(__xludf.DUMMYFUNCTION("""COMPUTED_VALUE"""),"5271-FIND")</f>
        <v>5271-FIND</v>
      </c>
      <c r="B1427" s="7" t="str">
        <f>IFERROR(__xludf.DUMMYFUNCTION("""COMPUTED_VALUE"""),"Shiny Inputs, Shiny Outputs? Unveiling the Halo Effect in MultiModal LLMs")</f>
        <v>Shiny Inputs, Shiny Outputs? Unveiling the Halo Effect in MultiModal LLMs</v>
      </c>
      <c r="C1427" s="7" t="str">
        <f>IFERROR(__xludf.DUMMYFUNCTION("""COMPUTED_VALUE"""),"This study investigates the halo effect in AI-driven hiring evaluations using Large Language Models (LLMs) and Multimodal Large Language Models (MLLMs). Through experiments with hypothetical job applications, we examined how these models' evaluations are "&amp;"influenced by non-job-related information including extracurricular activities, social media images, and video interview backgrounds. By analyzing models' responses to Likert-scale questions across different competency dimensions, we found that AI models "&amp;"exhibit significant halo effects, particularly in image-based evaluations, while text-based assessments showed more resistance to bias. The findings demonstrate that supplementary multimodal information can substantially influence AI hiring decisions, hig"&amp;"hlighting potential risks in AI-based recruitment systems.")</f>
        <v>This study investigates the halo effect in AI-driven hiring evaluations using Large Language Models (LLMs) and Multimodal Large Language Models (MLLMs). Through experiments with hypothetical job applications, we examined how these models' evaluations are influenced by non-job-related information including extracurricular activities, social media images, and video interview backgrounds. By analyzing models' responses to Likert-scale questions across different competency dimensions, we found that AI models exhibit significant halo effects, particularly in image-based evaluations, while text-based assessments showed more resistance to bias. The findings demonstrate that supplementary multimodal information can substantially influence AI hiring decisions, highlighting potential risks in AI-based recruitment systems.</v>
      </c>
      <c r="D1427" s="7" t="str">
        <f>IFERROR(__xludf.DUMMYFUNCTION("""COMPUTED_VALUE"""),"Kyusik Kim, Jeongwoo Ryu")</f>
        <v>Kyusik Kim, Jeongwoo Ryu</v>
      </c>
      <c r="E1427" s="7" t="str">
        <f>IFERROR(__xludf.DUMMYFUNCTION("""COMPUTED_VALUE"""),"Yes")</f>
        <v>Yes</v>
      </c>
      <c r="F1427" s="7" t="str">
        <f>IFERROR(__xludf.DUMMYFUNCTION("""COMPUTED_VALUE"""),"IP-Poster")</f>
        <v>IP-Poster</v>
      </c>
      <c r="G1427" s="7" t="str">
        <f>IFERROR(__xludf.DUMMYFUNCTION("""COMPUTED_VALUE"""),"In-Person")</f>
        <v>In-Person</v>
      </c>
      <c r="H1427" s="7" t="str">
        <f>IFERROR(__xludf.DUMMYFUNCTION("""COMPUTED_VALUE"""),"Hall 4/5")</f>
        <v>Hall 4/5</v>
      </c>
      <c r="I1427" s="7" t="str">
        <f>IFERROR(__xludf.DUMMYFUNCTION("""COMPUTED_VALUE"""),"Session 10: IP-Posters")</f>
        <v>Session 10: IP-Posters</v>
      </c>
      <c r="J1427" s="7" t="str">
        <f>IFERROR(__xludf.DUMMYFUNCTION("""COMPUTED_VALUE"""),"Findings Posters - In-Person 3")</f>
        <v>Findings Posters - In-Person 3</v>
      </c>
      <c r="K1427" s="7"/>
      <c r="L1427" s="8">
        <f>IFERROR(__xludf.DUMMYFUNCTION("""COMPUTED_VALUE"""),45867.0)</f>
        <v>45867</v>
      </c>
      <c r="M1427" s="7" t="str">
        <f>IFERROR(__xludf.DUMMYFUNCTION("""COMPUTED_VALUE"""),"16:00-17:30")</f>
        <v>16:00-17:30</v>
      </c>
      <c r="N1427" s="7"/>
    </row>
    <row r="1428">
      <c r="A1428" s="7" t="str">
        <f>IFERROR(__xludf.DUMMYFUNCTION("""COMPUTED_VALUE"""),"5272-FIND")</f>
        <v>5272-FIND</v>
      </c>
      <c r="B1428" s="7" t="str">
        <f>IFERROR(__xludf.DUMMYFUNCTION("""COMPUTED_VALUE"""),"CoT-UQ: Improving Response-wise Uncertainty Quantification in LLMs with Chain-of-Thought")</f>
        <v>CoT-UQ: Improving Response-wise Uncertainty Quantification in LLMs with Chain-of-Thought</v>
      </c>
      <c r="C1428" s="7" t="str">
        <f>IFERROR(__xludf.DUMMYFUNCTION("""COMPUTED_VALUE"""),"Large language models (LLMs) excel in many tasks but struggle to accurately quantify uncertainty in their generated responses. This limitation makes it challenging to detect misinformation and ensure reliable decision-making. Existing uncertainty quantifi"&amp;"cation (UQ) methods for LLMs are primarily prompt-wise rather than response-wise, often requiring multiple response samples, which leads to inefficiency. Moreover, LLMs have been shown to be overconfident, particularly when using reasoning steps to derive"&amp;" their answers. In this work, we introduce a novel approach to quantify response-wise uncertainty by integrating LLMs’ inherent reasoning capabilities through Chain-of-Thought (CoT) into the UQ process. Our CoT-UQ framework captures critical information d"&amp;"uring inference by extracting keywords from each reasoning step and assessing their importance to the final answer. The uncertainty scores of keywords are then aggregated based on their significance to produce a final uncertainty estimate. We conduct exte"&amp;"nsive experiments based on LLaMA Family with model 
sizes varying from 8B to 13B across logical and mathematical reasoning tasks. Experimental results demonstrate that CoT-UQ significantly outperforms existing UQ methods, achieving an average improvement "&amp;"of 5.9% AUROC compared to current UQ methods.")</f>
        <v>Large language models (LLMs) excel in many tasks but struggle to accurately quantify uncertainty in their generated responses. This limitation makes it challenging to detect misinformation and ensure reliable decision-making. Existing uncertainty quantification (UQ) methods for LLMs are primarily prompt-wise rather than response-wise, often requiring multiple response samples, which leads to inefficiency. Moreover, LLMs have been shown to be overconfident, particularly when using reasoning steps to derive their answers. In this work, we introduce a novel approach to quantify response-wise uncertainty by integrating LLMs’ inherent reasoning capabilities through Chain-of-Thought (CoT) into the UQ process. Our CoT-UQ framework captures critical information during inference by extracting keywords from each reasoning step and assessing their importance to the final answer. The uncertainty scores of keywords are then aggregated based on their significance to produce a final uncertainty estimate. We conduct extensive experiments based on LLaMA Family with model 
sizes varying from 8B to 13B across logical and mathematical reasoning tasks. Experimental results demonstrate that CoT-UQ significantly outperforms existing UQ methods, achieving an average improvement of 5.9% AUROC compared to current UQ methods.</v>
      </c>
      <c r="D1428" s="7" t="str">
        <f>IFERROR(__xludf.DUMMYFUNCTION("""COMPUTED_VALUE"""),"N/A")</f>
        <v>N/A</v>
      </c>
      <c r="E1428" s="7" t="str">
        <f>IFERROR(__xludf.DUMMYFUNCTION("""COMPUTED_VALUE"""),"#N/A")</f>
        <v>#N/A</v>
      </c>
      <c r="F1428" s="7" t="str">
        <f>IFERROR(__xludf.DUMMYFUNCTION("""COMPUTED_VALUE"""),"Not Pres. ")</f>
        <v>Not Pres. </v>
      </c>
      <c r="G1428" s="7" t="str">
        <f>IFERROR(__xludf.DUMMYFUNCTION("""COMPUTED_VALUE"""),"NP Findings Not Presenting ")</f>
        <v>NP Findings Not Presenting </v>
      </c>
      <c r="H1428" s="7"/>
      <c r="I1428" s="7" t="str">
        <f>IFERROR(__xludf.DUMMYFUNCTION("""COMPUTED_VALUE"""),"NP-Find")</f>
        <v>NP-Find</v>
      </c>
      <c r="J1428" s="7"/>
      <c r="K1428" s="7"/>
      <c r="L1428" s="8"/>
      <c r="M1428" s="7"/>
      <c r="N1428" s="7"/>
    </row>
    <row r="1429">
      <c r="A1429" s="7" t="str">
        <f>IFERROR(__xludf.DUMMYFUNCTION("""COMPUTED_VALUE"""),"5276-FIND")</f>
        <v>5276-FIND</v>
      </c>
      <c r="B1429" s="7" t="str">
        <f>IFERROR(__xludf.DUMMYFUNCTION("""COMPUTED_VALUE"""),"ADO: Automatic Data Optimization for Inputs in LLM Prompts")</f>
        <v>ADO: Automatic Data Optimization for Inputs in LLM Prompts</v>
      </c>
      <c r="C1429" s="7" t="str">
        <f>IFERROR(__xludf.DUMMYFUNCTION("""COMPUTED_VALUE"""),"This study explores a novel approach to enhance the performance of Large Language Models (LLMs) through the optimization of input data within prompts. While previous research has primarily focused on refining instruction components and augmenting input da"&amp;"ta with in-context examples, our work investigates the potential benefits of optimizing the input data itself. We introduce a two-pronged strategy for input data optimization: content engineering and structural reformulation. Content engineering involves "&amp;"imputing missing values, removing irrelevant attributes, and enriching profiles by generating additional information inferred from existing attributes. Subsequent to content engineering, structural reformulation is applied to optimize the presentation of "&amp;"the modified content to LLMs, given their sensitivity to input format. Our findings suggest that these optimizations can significantly improve the performance of LLMs in various tasks, offering a promising avenue for future research in prompt engineering."&amp;" The source code is available at https://github.com/glin2229/Automatic-Data-Optimization.")</f>
        <v>This study explores a novel approach to enhance the performance of Large Language Models (LLMs) through the optimization of input data within prompts. While previous research has primarily focused on refining instruction components and augmenting input data with in-context examples, our work investigates the potential benefits of optimizing the input data itself. We introduce a two-pronged strategy for input data optimization: content engineering and structural reformulation. Content engineering involves imputing missing values, removing irrelevant attributes, and enriching profiles by generating additional information inferred from existing attributes. Subsequent to content engineering, structural reformulation is applied to optimize the presentation of the modified content to LLMs, given their sensitivity to input format. Our findings suggest that these optimizations can significantly improve the performance of LLMs in various tasks, offering a promising avenue for future research in prompt engineering. The source code is available at https://github.com/glin2229/Automatic-Data-Optimization.</v>
      </c>
      <c r="D1429" s="7" t="str">
        <f>IFERROR(__xludf.DUMMYFUNCTION("""COMPUTED_VALUE"""),"Sam Lin")</f>
        <v>Sam Lin</v>
      </c>
      <c r="E1429" s="7" t="str">
        <f>IFERROR(__xludf.DUMMYFUNCTION("""COMPUTED_VALUE"""),"Yes")</f>
        <v>Yes</v>
      </c>
      <c r="F1429" s="7" t="str">
        <f>IFERROR(__xludf.DUMMYFUNCTION("""COMPUTED_VALUE"""),"V-Presentation")</f>
        <v>V-Presentation</v>
      </c>
      <c r="G1429" s="7" t="str">
        <f>IFERROR(__xludf.DUMMYFUNCTION("""COMPUTED_VALUE"""),"Virtual/Gather")</f>
        <v>Virtual/Gather</v>
      </c>
      <c r="H1429" s="7" t="str">
        <f>IFERROR(__xludf.DUMMYFUNCTION("""COMPUTED_VALUE"""),"Gather")</f>
        <v>Gather</v>
      </c>
      <c r="I1429" s="7" t="str">
        <f>IFERROR(__xludf.DUMMYFUNCTION("""COMPUTED_VALUE"""),"Session5: V-Gather Find")</f>
        <v>Session5: V-Gather Find</v>
      </c>
      <c r="J1429" s="7" t="str">
        <f>IFERROR(__xludf.DUMMYFUNCTION("""COMPUTED_VALUE"""),"Findings Posters - Virtual")</f>
        <v>Findings Posters - Virtual</v>
      </c>
      <c r="K1429" s="7"/>
      <c r="L1429" s="8">
        <f>IFERROR(__xludf.DUMMYFUNCTION("""COMPUTED_VALUE"""),45866.0)</f>
        <v>45866</v>
      </c>
      <c r="M1429" s="7" t="str">
        <f>IFERROR(__xludf.DUMMYFUNCTION("""COMPUTED_VALUE"""),"18:00-19:30")</f>
        <v>18:00-19:30</v>
      </c>
      <c r="N1429" s="7"/>
    </row>
    <row r="1430">
      <c r="A1430" s="7" t="str">
        <f>IFERROR(__xludf.DUMMYFUNCTION("""COMPUTED_VALUE"""),"5286-FIND")</f>
        <v>5286-FIND</v>
      </c>
      <c r="B1430" s="7" t="str">
        <f>IFERROR(__xludf.DUMMYFUNCTION("""COMPUTED_VALUE"""),"Large Language Models Still Exhibit Bias in Long Text")</f>
        <v>Large Language Models Still Exhibit Bias in Long Text</v>
      </c>
      <c r="C1430" s="7" t="str">
        <f>IFERROR(__xludf.DUMMYFUNCTION("""COMPUTED_VALUE"""),"Existing fairness benchmarks for large language models (LLMs) primarily focus on simple tasks, such as multiple-choice questions, overlooking biases that may arise in more complex scenarios like long-text generation. To address this gap, we introduce the "&amp;"Long Text Fairness Test (LTF-TEST), a framework that evaluates biases in LLMs through essay-style prompts. LTF-TEST covers 14 topics and 10 demographic axes, including gender and race, resulting in 11,948 samples. By assessing both model responses and the"&amp;" reasoning behind them, LTF-TEST uncovers subtle biases that are difficult to detect in simple responses. In our evaluation of five recent LLMs, including GPT-4o and LLaMA3, we identify two key patterns of bias. First, these models frequently favor certai"&amp;"n demographic groups in their responses. Second, they show excessive sensitivity toward traditionally disadvantaged groups, often providing overly protective responses while neglecting others. To mitigate these biases, we propose REGARD-FT, a finetuning a"&amp;"pproach that pairs biased prompts with neutral responses. REGARD-FT reduces gender bias by 34.6% and improves performance by 1.4 percentage points on the BBQ benchmark, offering a promising approach to addressing biases in long-text generation tasks.")</f>
        <v>Existing fairness benchmarks for large language models (LLMs) primarily focus on simple tasks, such as multiple-choice questions, overlooking biases that may arise in more complex scenarios like long-text generation. To address this gap, we introduce the Long Text Fairness Test (LTF-TEST), a framework that evaluates biases in LLMs through essay-style prompts. LTF-TEST covers 14 topics and 10 demographic axes, including gender and race, resulting in 11,948 samples. By assessing both model responses and the reasoning behind them, LTF-TEST uncovers subtle biases that are difficult to detect in simple responses. In our evaluation of five recent LLMs, including GPT-4o and LLaMA3, we identify two key patterns of bias. First, these models frequently favor certain demographic groups in their responses. Second, they show excessive sensitivity toward traditionally disadvantaged groups, often providing overly protective responses while neglecting others. To mitigate these biases, we propose REGARD-FT, a finetuning approach that pairs biased prompts with neutral responses. REGARD-FT reduces gender bias by 34.6% and improves performance by 1.4 percentage points on the BBQ benchmark, offering a promising approach to addressing biases in long-text generation tasks.</v>
      </c>
      <c r="D1430" s="7" t="str">
        <f>IFERROR(__xludf.DUMMYFUNCTION("""COMPUTED_VALUE"""),"Wonje Jeung")</f>
        <v>Wonje Jeung</v>
      </c>
      <c r="E1430" s="7" t="str">
        <f>IFERROR(__xludf.DUMMYFUNCTION("""COMPUTED_VALUE"""),"Yes")</f>
        <v>Yes</v>
      </c>
      <c r="F1430" s="7" t="str">
        <f>IFERROR(__xludf.DUMMYFUNCTION("""COMPUTED_VALUE"""),"IP-Poster")</f>
        <v>IP-Poster</v>
      </c>
      <c r="G1430" s="7" t="str">
        <f>IFERROR(__xludf.DUMMYFUNCTION("""COMPUTED_VALUE"""),"In-Person")</f>
        <v>In-Person</v>
      </c>
      <c r="H1430" s="7" t="str">
        <f>IFERROR(__xludf.DUMMYFUNCTION("""COMPUTED_VALUE"""),"Hall 4/5")</f>
        <v>Hall 4/5</v>
      </c>
      <c r="I1430" s="7" t="str">
        <f>IFERROR(__xludf.DUMMYFUNCTION("""COMPUTED_VALUE"""),"Session 10: IP-Posters")</f>
        <v>Session 10: IP-Posters</v>
      </c>
      <c r="J1430" s="7" t="str">
        <f>IFERROR(__xludf.DUMMYFUNCTION("""COMPUTED_VALUE"""),"Findings Posters - In-Person 3")</f>
        <v>Findings Posters - In-Person 3</v>
      </c>
      <c r="K1430" s="7"/>
      <c r="L1430" s="8">
        <f>IFERROR(__xludf.DUMMYFUNCTION("""COMPUTED_VALUE"""),45867.0)</f>
        <v>45867</v>
      </c>
      <c r="M1430" s="7" t="str">
        <f>IFERROR(__xludf.DUMMYFUNCTION("""COMPUTED_VALUE"""),"16:00-17:30")</f>
        <v>16:00-17:30</v>
      </c>
      <c r="N1430" s="7"/>
    </row>
    <row r="1431">
      <c r="A1431" s="7" t="str">
        <f>IFERROR(__xludf.DUMMYFUNCTION("""COMPUTED_VALUE"""),"5293-FIND")</f>
        <v>5293-FIND</v>
      </c>
      <c r="B1431" s="7" t="str">
        <f>IFERROR(__xludf.DUMMYFUNCTION("""COMPUTED_VALUE"""),"Do Vision-Language Models Have Internal World Models? Towards an Atomic Evaluation")</f>
        <v>Do Vision-Language Models Have Internal World Models? Towards an Atomic Evaluation</v>
      </c>
      <c r="C1431" s="7" t="str">
        <f>IFERROR(__xludf.DUMMYFUNCTION("""COMPUTED_VALUE"""),"Internal world models (WMs) enable agents to understand the world's state and predict transitions, serving as the basis for advanced deliberative reasoning. Recent large Vision-Language Models (VLMs), such as GPT-4o and Gemini, exhibit potential as genera"&amp;"l-purpose WMs. While the latest studies have evaluated and shown limitations in specific capabilities such as visual understanding, a systematic evaluation of VLMs' fundamental WM abilities remains absent. Drawing on comparative psychology and cognitive s"&amp;"cience, we propose a two-stage framework that assesses Perception (visual, spatial, temporal, quantitative, and motion) and Prediction (mechanistic simulation, transitive inference, compositional inference) to provide an atomic evaluation of VLMs as WMs. "&amp;"Guided by this framework, we introduce WM-ABench, a large-scale benchmark comprising 23 fine-grained evaluation dimensions across 6 diverse simulated environments with controlled counterfactual simulations. Through 517 controlled experiments on 11 latest "&amp;"commercial and open-source VLMs, we find that these models exhibit striking limitations in basic world model abilities. For instance, all models perform at near-random accuracy when distinguishing motion trajectories. Additionally, they lack disentangled "&amp;"understanding---e.g., they tend to believe blue objects move faster than green ones. More rich results and analyses reveal significant gaps between VLMs and human-level world modeling.")</f>
        <v>Internal world models (WMs) enable agents to understand the world's state and predict transitions, serving as the basis for advanced deliberative reasoning. Recent large Vision-Language Models (VLMs), such as GPT-4o and Gemini, exhibit potential as general-purpose WMs. While the latest studies have evaluated and shown limitations in specific capabilities such as visual understanding, a systematic evaluation of VLMs' fundamental WM abilities remains absent. Drawing on comparative psychology and cognitive science, we propose a two-stage framework that assesses Perception (visual, spatial, temporal, quantitative, and motion) and Prediction (mechanistic simulation, transitive inference, compositional inference) to provide an atomic evaluation of VLMs as WMs. Guided by this framework, we introduce WM-ABench, a large-scale benchmark comprising 23 fine-grained evaluation dimensions across 6 diverse simulated environments with controlled counterfactual simulations. Through 517 controlled experiments on 11 latest commercial and open-source VLMs, we find that these models exhibit striking limitations in basic world model abilities. For instance, all models perform at near-random accuracy when distinguishing motion trajectories. Additionally, they lack disentangled understanding---e.g., they tend to believe blue objects move faster than green ones. More rich results and analyses reveal significant gaps between VLMs and human-level world modeling.</v>
      </c>
      <c r="D1431" s="7" t="str">
        <f>IFERROR(__xludf.DUMMYFUNCTION("""COMPUTED_VALUE"""),"Qiyue Gao")</f>
        <v>Qiyue Gao</v>
      </c>
      <c r="E1431" s="7" t="str">
        <f>IFERROR(__xludf.DUMMYFUNCTION("""COMPUTED_VALUE"""),"Yes")</f>
        <v>Yes</v>
      </c>
      <c r="F1431" s="7" t="str">
        <f>IFERROR(__xludf.DUMMYFUNCTION("""COMPUTED_VALUE"""),"V-Presentation")</f>
        <v>V-Presentation</v>
      </c>
      <c r="G1431" s="7" t="str">
        <f>IFERROR(__xludf.DUMMYFUNCTION("""COMPUTED_VALUE"""),"Virtual/Gather")</f>
        <v>Virtual/Gather</v>
      </c>
      <c r="H1431" s="7" t="str">
        <f>IFERROR(__xludf.DUMMYFUNCTION("""COMPUTED_VALUE"""),"Gather")</f>
        <v>Gather</v>
      </c>
      <c r="I1431" s="7" t="str">
        <f>IFERROR(__xludf.DUMMYFUNCTION("""COMPUTED_VALUE"""),"Session5: V-Gather Find")</f>
        <v>Session5: V-Gather Find</v>
      </c>
      <c r="J1431" s="7" t="str">
        <f>IFERROR(__xludf.DUMMYFUNCTION("""COMPUTED_VALUE"""),"Findings Posters - Virtual")</f>
        <v>Findings Posters - Virtual</v>
      </c>
      <c r="K1431" s="7"/>
      <c r="L1431" s="8">
        <f>IFERROR(__xludf.DUMMYFUNCTION("""COMPUTED_VALUE"""),45866.0)</f>
        <v>45866</v>
      </c>
      <c r="M1431" s="7" t="str">
        <f>IFERROR(__xludf.DUMMYFUNCTION("""COMPUTED_VALUE"""),"18:00-19:30")</f>
        <v>18:00-19:30</v>
      </c>
      <c r="N1431" s="7"/>
    </row>
    <row r="1432">
      <c r="A1432" s="7" t="str">
        <f>IFERROR(__xludf.DUMMYFUNCTION("""COMPUTED_VALUE"""),"5306-FIND")</f>
        <v>5306-FIND</v>
      </c>
      <c r="B1432" s="7" t="str">
        <f>IFERROR(__xludf.DUMMYFUNCTION("""COMPUTED_VALUE"""),"Protecting Users From Themselves: Safeguarding Contextual Privacy in Interactions with Conversational Agents")</f>
        <v>Protecting Users From Themselves: Safeguarding Contextual Privacy in Interactions with Conversational Agents</v>
      </c>
      <c r="C1432" s="7" t="str">
        <f>IFERROR(__xludf.DUMMYFUNCTION("""COMPUTED_VALUE"""),"Conversational agents are increasingly woven into individuals' personal lives, yet users often underestimate the privacy risks involved. The moment users share information with these agents (e.g., LLMs), their private information becomes vulnerable to exp"&amp;"osure. In this paper, we characterize the notion of contextual privacy for user interactions with LLMs. It aims to minimize privacy risks by ensuring that users (sender) disclose only information that is both relevant and necessary for achieving their int"&amp;"ended goals when interacting with LLMs (untrusted receivers). Through a formative design user study, we observe how even ""privacy-conscious"" users inadvertently reveal sensitive information through indirect disclosures.
Based on insights from this stud"&amp;"y, we propose a locally-deployable framework that operates between users and LLMs, and identifies and reformulates out-of-context information in user prompts. Our evaluation using examples from ShareGPT shows that lightweight models can effectively implem"&amp;"ent this framework, achieving strong gains in contextual privacy while preserving the user's intended interaction goals through different approaches to classify information relevant to the intended goals.")</f>
        <v>Conversational agents are increasingly woven into individuals' personal lives, yet users often underestimate the privacy risks involved. The moment users share information with these agents (e.g., LLMs), their private information becomes vulnerable to exposure. In this paper, we characterize the notion of contextual privacy for user interactions with LLMs. It aims to minimize privacy risks by ensuring that users (sender) disclose only information that is both relevant and necessary for achieving their intended goals when interacting with LLMs (untrusted receivers). Through a formative design user study, we observe how even "privacy-conscious" users inadvertently reveal sensitive information through indirect disclosures.
Based on insights from this study, we propose a locally-deployable framework that operates between users and LLMs, and identifies and reformulates out-of-context information in user prompts. Our evaluation using examples from ShareGPT shows that lightweight models can effectively implement this framework, achieving strong gains in contextual privacy while preserving the user's intended interaction goals through different approaches to classify information relevant to the intended goals.</v>
      </c>
      <c r="D1432" s="7" t="str">
        <f>IFERROR(__xludf.DUMMYFUNCTION("""COMPUTED_VALUE"""),"Keerthiram Murugesan")</f>
        <v>Keerthiram Murugesan</v>
      </c>
      <c r="E1432" s="7" t="str">
        <f>IFERROR(__xludf.DUMMYFUNCTION("""COMPUTED_VALUE"""),"Yes")</f>
        <v>Yes</v>
      </c>
      <c r="F1432" s="7" t="str">
        <f>IFERROR(__xludf.DUMMYFUNCTION("""COMPUTED_VALUE"""),"V-Presentation")</f>
        <v>V-Presentation</v>
      </c>
      <c r="G1432" s="7" t="str">
        <f>IFERROR(__xludf.DUMMYFUNCTION("""COMPUTED_VALUE"""),"Virtual/Gather")</f>
        <v>Virtual/Gather</v>
      </c>
      <c r="H1432" s="7" t="str">
        <f>IFERROR(__xludf.DUMMYFUNCTION("""COMPUTED_VALUE"""),"Gather")</f>
        <v>Gather</v>
      </c>
      <c r="I1432" s="7" t="str">
        <f>IFERROR(__xludf.DUMMYFUNCTION("""COMPUTED_VALUE"""),"Session5: V-Gather Find")</f>
        <v>Session5: V-Gather Find</v>
      </c>
      <c r="J1432" s="7" t="str">
        <f>IFERROR(__xludf.DUMMYFUNCTION("""COMPUTED_VALUE"""),"Findings Posters - Virtual")</f>
        <v>Findings Posters - Virtual</v>
      </c>
      <c r="K1432" s="7"/>
      <c r="L1432" s="8">
        <f>IFERROR(__xludf.DUMMYFUNCTION("""COMPUTED_VALUE"""),45866.0)</f>
        <v>45866</v>
      </c>
      <c r="M1432" s="7" t="str">
        <f>IFERROR(__xludf.DUMMYFUNCTION("""COMPUTED_VALUE"""),"18:00-19:30")</f>
        <v>18:00-19:30</v>
      </c>
      <c r="N1432" s="7"/>
    </row>
    <row r="1433">
      <c r="A1433" s="7" t="str">
        <f>IFERROR(__xludf.DUMMYFUNCTION("""COMPUTED_VALUE"""),"5309-FIND")</f>
        <v>5309-FIND</v>
      </c>
      <c r="B1433" s="7" t="str">
        <f>IFERROR(__xludf.DUMMYFUNCTION("""COMPUTED_VALUE"""),"Enhancing Persona Consistency for LLMs’ Role-Playing using Persona-Aware Contrastive Learning")</f>
        <v>Enhancing Persona Consistency for LLMs’ Role-Playing using Persona-Aware Contrastive Learning</v>
      </c>
      <c r="C1433" s="7" t="str">
        <f>IFERROR(__xludf.DUMMYFUNCTION("""COMPUTED_VALUE"""),"In recent years, large language models (LLMs) have achieved breakthrough progress in many dialogue generation tasks. However, their lack of emotion and fine-grained role awareness limits the model's ability to provide personalized and diverse interactions"&amp;" further. Current methods face high costs in collecting high-quality annotated data for scenarios such as role-playing, and traditional human alignment methods are difficult to deploy due to the inherent diversity of model behavior in role-playing scenari"&amp;"os. Inspired by the alignment of models for safety behaviors through RLHF (Reinforcement Learning from Human Feedback), in this paper, we revisit model role-playing behavior from the perspective of persona alignment and propose a novel annotation-free fra"&amp;"mework named Persona-Aware Contrastive Learning (PCL) to align LLMs' behavior during role-playing, enhancing the model's role consistency. Specifically, we first design a role chain method to encourage the model to self-question based on the role characte"&amp;"ristics and dialogue context to adjust personality consistency. Then, we further enhance the model's role-playing strategy through iterative adversarial modeling between the use of role characteristics and not. Experiments on both black-box and white-box "&amp;"LLMs show that LLMs equipped with PCL significantly outperform vanilla LLMs under automatic evaluation methods (CharEval &amp; GPT-4) and human expert evaluation.")</f>
        <v>In recent years, large language models (LLMs) have achieved breakthrough progress in many dialogue generation tasks. However, their lack of emotion and fine-grained role awareness limits the model's ability to provide personalized and diverse interactions further. Current methods face high costs in collecting high-quality annotated data for scenarios such as role-playing, and traditional human alignment methods are difficult to deploy due to the inherent diversity of model behavior in role-playing scenarios. Inspired by the alignment of models for safety behaviors through RLHF (Reinforcement Learning from Human Feedback), in this paper, we revisit model role-playing behavior from the perspective of persona alignment and propose a novel annotation-free framework named Persona-Aware Contrastive Learning (PCL) to align LLMs' behavior during role-playing, enhancing the model's role consistency. Specifically, we first design a role chain method to encourage the model to self-question based on the role characteristics and dialogue context to adjust personality consistency. Then, we further enhance the model's role-playing strategy through iterative adversarial modeling between the use of role characteristics and not. Experiments on both black-box and white-box LLMs show that LLMs equipped with PCL significantly outperform vanilla LLMs under automatic evaluation methods (CharEval &amp; GPT-4) and human expert evaluation.</v>
      </c>
      <c r="D1433" s="7" t="str">
        <f>IFERROR(__xludf.DUMMYFUNCTION("""COMPUTED_VALUE"""),"Ke Ji")</f>
        <v>Ke Ji</v>
      </c>
      <c r="E1433" s="7" t="str">
        <f>IFERROR(__xludf.DUMMYFUNCTION("""COMPUTED_VALUE"""),"#N/A")</f>
        <v>#N/A</v>
      </c>
      <c r="F1433" s="7" t="str">
        <f>IFERROR(__xludf.DUMMYFUNCTION("""COMPUTED_VALUE"""),"Not Pres. ")</f>
        <v>Not Pres. </v>
      </c>
      <c r="G1433" s="7" t="str">
        <f>IFERROR(__xludf.DUMMYFUNCTION("""COMPUTED_VALUE"""),"NP Findings Not Presenting ")</f>
        <v>NP Findings Not Presenting </v>
      </c>
      <c r="H1433" s="7"/>
      <c r="I1433" s="7" t="str">
        <f>IFERROR(__xludf.DUMMYFUNCTION("""COMPUTED_VALUE"""),"NP-Find")</f>
        <v>NP-Find</v>
      </c>
      <c r="J1433" s="7"/>
      <c r="K1433" s="7"/>
      <c r="L1433" s="8"/>
      <c r="M1433" s="7"/>
      <c r="N1433" s="7"/>
    </row>
    <row r="1434">
      <c r="A1434" s="7" t="str">
        <f>IFERROR(__xludf.DUMMYFUNCTION("""COMPUTED_VALUE"""),"5311-FIND")</f>
        <v>5311-FIND</v>
      </c>
      <c r="B1434" s="7" t="str">
        <f>IFERROR(__xludf.DUMMYFUNCTION("""COMPUTED_VALUE"""),"M$^{2}$-TabFact: Multi-Document Multi-Modal Fact Verification with Visual and Textual Representations of Tabular Data")</f>
        <v>M$^{2}$-TabFact: Multi-Document Multi-Modal Fact Verification with Visual and Textual Representations of Tabular Data</v>
      </c>
      <c r="C1434" s="7" t="str">
        <f>IFERROR(__xludf.DUMMYFUNCTION("""COMPUTED_VALUE"""),"Tabular data is used to store information in many real-world systems ranging from finance to healthcare. However, such structured data is often communicated to humans in visually interpretable formats (e.g. charts and textual paragraphs), making it impera"&amp;"tive that fact-checking models should be able to reason over multiple pieces of structured evidence presented across different modalities. In this paper, we propose Multi-Document Multi-Modal Table-based Fact Verification (
M$^{2}$-TabFact), a challenging"&amp;" fact verification task that requires jointly reasoning over visual and textual representations of structured data. We design an automatic data generation pipeline that converts existing tabular data into descriptive visual and textual evidence. We then u"&amp;"se Large Language Models to generate complex claims that depend on multi-document, multi-modal evidence. In total, we create  8,856 pairs of complex claims and multi-modal evidence through this procedure and systematically evaluate 
M$^{2}$-TabFact with a"&amp;" set of strong vision-language models (VLM). We find that existing VLMs have large gaps in fact verification performance compared to humans. Moreover, we find that they are imbalanced when it comes to their ability to handle reason about different modalit"&amp;"ies, and currently struggle to reason about information extracted from multiple documents.")</f>
        <v>Tabular data is used to store information in many real-world systems ranging from finance to healthcare. However, such structured data is often communicated to humans in visually interpretable formats (e.g. charts and textual paragraphs), making it imperative that fact-checking models should be able to reason over multiple pieces of structured evidence presented across different modalities. In this paper, we propose Multi-Document Multi-Modal Table-based Fact Verification (
M$^{2}$-TabFact), a challenging fact verification task that requires jointly reasoning over visual and textual representations of structured data. We design an automatic data generation pipeline that converts existing tabular data into descriptive visual and textual evidence. We then use Large Language Models to generate complex claims that depend on multi-document, multi-modal evidence. In total, we create  8,856 pairs of complex claims and multi-modal evidence through this procedure and systematically evaluate 
M$^{2}$-TabFact with a set of strong vision-language models (VLM). We find that existing VLMs have large gaps in fact verification performance compared to humans. Moreover, we find that they are imbalanced when it comes to their ability to handle reason about different modalities, and currently struggle to reason about information extracted from multiple documents.</v>
      </c>
      <c r="D1434" s="7" t="str">
        <f>IFERROR(__xludf.DUMMYFUNCTION("""COMPUTED_VALUE"""),"Mingyang Zhou")</f>
        <v>Mingyang Zhou</v>
      </c>
      <c r="E1434" s="7" t="str">
        <f>IFERROR(__xludf.DUMMYFUNCTION("""COMPUTED_VALUE"""),"#N/A")</f>
        <v>#N/A</v>
      </c>
      <c r="F1434" s="7" t="str">
        <f>IFERROR(__xludf.DUMMYFUNCTION("""COMPUTED_VALUE"""),"Not Pres. ")</f>
        <v>Not Pres. </v>
      </c>
      <c r="G1434" s="7" t="str">
        <f>IFERROR(__xludf.DUMMYFUNCTION("""COMPUTED_VALUE"""),"NP Findings Not Presenting ")</f>
        <v>NP Findings Not Presenting </v>
      </c>
      <c r="H1434" s="7"/>
      <c r="I1434" s="7" t="str">
        <f>IFERROR(__xludf.DUMMYFUNCTION("""COMPUTED_VALUE"""),"NP-Find")</f>
        <v>NP-Find</v>
      </c>
      <c r="J1434" s="7"/>
      <c r="K1434" s="7"/>
      <c r="L1434" s="8"/>
      <c r="M1434" s="7"/>
      <c r="N1434" s="7"/>
    </row>
    <row r="1435">
      <c r="A1435" s="7" t="str">
        <f>IFERROR(__xludf.DUMMYFUNCTION("""COMPUTED_VALUE"""),"5319-FIND")</f>
        <v>5319-FIND</v>
      </c>
      <c r="B1435" s="7" t="str">
        <f>IFERROR(__xludf.DUMMYFUNCTION("""COMPUTED_VALUE"""),"Fuzzy Speculative Decoding for a Tunable Accuracy-Runtime Tradeoff")</f>
        <v>Fuzzy Speculative Decoding for a Tunable Accuracy-Runtime Tradeoff</v>
      </c>
      <c r="C1435" s="7" t="str">
        <f>IFERROR(__xludf.DUMMYFUNCTION("""COMPUTED_VALUE"""),"Speculative Decoding (SD) enforces strict distributional equivalence to the target model, limiting potential speed ups as distributions of near-equivalence achieve comparable outcomes in many cases. Furthermore, enforcing distributional equivalence means "&amp;"that users are unable to trade deviations from the target model distribution for further inference speed gains. To address these limitations, we introduce Fuzzy Speculative Decoding (FSD) - a decoding algorithm that generalizes SD by accepting candidate t"&amp;"okens purely based on the divergences between the target and draft model distributions. By allowing for controlled divergence from the target model, FSD enables users to flexibly trade generation quality for inference speed. Across several benchmarks, our"&amp;" method is able to achieve significant runtime improvements of over 5 tokens per second faster than SD at only an approximate 2% absolute reduction in benchmark accuracy. In many cases, FSD is even able to match SD benchmark accuracy at over 2 tokens per "&amp;"second faster, demonstrating that distributional equivalence is not necessary to maintain target model performance.")</f>
        <v>Speculative Decoding (SD) enforces strict distributional equivalence to the target model, limiting potential speed ups as distributions of near-equivalence achieve comparable outcomes in many cases. Furthermore, enforcing distributional equivalence means that users are unable to trade deviations from the target model distribution for further inference speed gains. To address these limitations, we introduce Fuzzy Speculative Decoding (FSD) - a decoding algorithm that generalizes SD by accepting candidate tokens purely based on the divergences between the target and draft model distributions. By allowing for controlled divergence from the target model, FSD enables users to flexibly trade generation quality for inference speed. Across several benchmarks, our method is able to achieve significant runtime improvements of over 5 tokens per second faster than SD at only an approximate 2% absolute reduction in benchmark accuracy. In many cases, FSD is even able to match SD benchmark accuracy at over 2 tokens per second faster, demonstrating that distributional equivalence is not necessary to maintain target model performance.</v>
      </c>
      <c r="D1435" s="7" t="str">
        <f>IFERROR(__xludf.DUMMYFUNCTION("""COMPUTED_VALUE"""),"Maximilian Holsman")</f>
        <v>Maximilian Holsman</v>
      </c>
      <c r="E1435" s="7" t="str">
        <f>IFERROR(__xludf.DUMMYFUNCTION("""COMPUTED_VALUE"""),"Yes")</f>
        <v>Yes</v>
      </c>
      <c r="F1435" s="7" t="str">
        <f>IFERROR(__xludf.DUMMYFUNCTION("""COMPUTED_VALUE"""),"IP-Poster")</f>
        <v>IP-Poster</v>
      </c>
      <c r="G1435" s="7" t="str">
        <f>IFERROR(__xludf.DUMMYFUNCTION("""COMPUTED_VALUE"""),"In-Person")</f>
        <v>In-Person</v>
      </c>
      <c r="H1435" s="7" t="str">
        <f>IFERROR(__xludf.DUMMYFUNCTION("""COMPUTED_VALUE"""),"Hall 4/5")</f>
        <v>Hall 4/5</v>
      </c>
      <c r="I1435" s="7" t="str">
        <f>IFERROR(__xludf.DUMMYFUNCTION("""COMPUTED_VALUE"""),"Session 7: IP-Posters")</f>
        <v>Session 7: IP-Posters</v>
      </c>
      <c r="J1435" s="7" t="str">
        <f>IFERROR(__xludf.DUMMYFUNCTION("""COMPUTED_VALUE"""),"Findings Posters - In-Person 2")</f>
        <v>Findings Posters - In-Person 2</v>
      </c>
      <c r="K1435" s="7"/>
      <c r="L1435" s="8">
        <f>IFERROR(__xludf.DUMMYFUNCTION("""COMPUTED_VALUE"""),45867.0)</f>
        <v>45867</v>
      </c>
      <c r="M1435" s="7" t="str">
        <f>IFERROR(__xludf.DUMMYFUNCTION("""COMPUTED_VALUE"""),"10:30-12:00")</f>
        <v>10:30-12:00</v>
      </c>
      <c r="N1435" s="7"/>
    </row>
    <row r="1436">
      <c r="A1436" s="7" t="str">
        <f>IFERROR(__xludf.DUMMYFUNCTION("""COMPUTED_VALUE"""),"5321-FIND")</f>
        <v>5321-FIND</v>
      </c>
      <c r="B1436" s="7" t="str">
        <f>IFERROR(__xludf.DUMMYFUNCTION("""COMPUTED_VALUE"""),"PLAY2PROMPT: Zero-shot Tool Instruction Optimization for LLM Agents via Tool Play")</f>
        <v>PLAY2PROMPT: Zero-shot Tool Instruction Optimization for LLM Agents via Tool Play</v>
      </c>
      <c r="C1436" s="7" t="str">
        <f>IFERROR(__xludf.DUMMYFUNCTION("""COMPUTED_VALUE"""),"Large language models (LLMs) are increasingly integrated with specialized external tools, yet many tasks demand zero-shot tool usage with minimal or noisy documentation. Existing solutions rely on manual rewriting or labeled data for validation, making th"&amp;"em inapplicable in true zero-shot settings. To address these challenges, we propose PLAY2PROMPT, an automated framework that systematically ""plays"" with each tool to explore its input-output behaviors. Through this iterative trial-and-error process, PLA"&amp;"Y2PROMPT refines tool documentation and generates usage examples without any labeled data. These examples not only guide LLM inference but also serve as validation to further enhance tool utilization. Extensive experiments on real-world tasks demonstrate "&amp;"that PLAY2PROMPT significantly improves zero-shot tool performance across both open and closed models, offering a scalable and effective solution for domain-specific tool integration.")</f>
        <v>Large language models (LLMs) are increasingly integrated with specialized external tools, yet many tasks demand zero-shot tool usage with minimal or noisy documentation. Existing solutions rely on manual rewriting or labeled data for validation, making them inapplicable in true zero-shot settings. To address these challenges, we propose PLAY2PROMPT, an automated framework that systematically "plays" with each tool to explore its input-output behaviors. Through this iterative trial-and-error process, PLAY2PROMPT refines tool documentation and generates usage examples without any labeled data. These examples not only guide LLM inference but also serve as validation to further enhance tool utilization. Extensive experiments on real-world tasks demonstrate that PLAY2PROMPT significantly improves zero-shot tool performance across both open and closed models, offering a scalable and effective solution for domain-specific tool integration.</v>
      </c>
      <c r="D1436" s="7" t="str">
        <f>IFERROR(__xludf.DUMMYFUNCTION("""COMPUTED_VALUE"""),"Wei Fang")</f>
        <v>Wei Fang</v>
      </c>
      <c r="E1436" s="7" t="str">
        <f>IFERROR(__xludf.DUMMYFUNCTION("""COMPUTED_VALUE"""),"Yes")</f>
        <v>Yes</v>
      </c>
      <c r="F1436" s="7" t="str">
        <f>IFERROR(__xludf.DUMMYFUNCTION("""COMPUTED_VALUE"""),"IP-Poster")</f>
        <v>IP-Poster</v>
      </c>
      <c r="G1436" s="7" t="str">
        <f>IFERROR(__xludf.DUMMYFUNCTION("""COMPUTED_VALUE"""),"In-Person")</f>
        <v>In-Person</v>
      </c>
      <c r="H1436" s="7" t="str">
        <f>IFERROR(__xludf.DUMMYFUNCTION("""COMPUTED_VALUE"""),"Hall 4/5")</f>
        <v>Hall 4/5</v>
      </c>
      <c r="I1436" s="7" t="str">
        <f>IFERROR(__xludf.DUMMYFUNCTION("""COMPUTED_VALUE"""),"Session 10: IP-Posters")</f>
        <v>Session 10: IP-Posters</v>
      </c>
      <c r="J1436" s="7" t="str">
        <f>IFERROR(__xludf.DUMMYFUNCTION("""COMPUTED_VALUE"""),"Findings Posters - In-Person 3")</f>
        <v>Findings Posters - In-Person 3</v>
      </c>
      <c r="K1436" s="7"/>
      <c r="L1436" s="8">
        <f>IFERROR(__xludf.DUMMYFUNCTION("""COMPUTED_VALUE"""),45867.0)</f>
        <v>45867</v>
      </c>
      <c r="M1436" s="7" t="str">
        <f>IFERROR(__xludf.DUMMYFUNCTION("""COMPUTED_VALUE"""),"16:00-17:30")</f>
        <v>16:00-17:30</v>
      </c>
      <c r="N1436" s="7"/>
    </row>
    <row r="1437">
      <c r="A1437" s="7" t="str">
        <f>IFERROR(__xludf.DUMMYFUNCTION("""COMPUTED_VALUE"""),"5322-FIND")</f>
        <v>5322-FIND</v>
      </c>
      <c r="B1437" s="7" t="str">
        <f>IFERROR(__xludf.DUMMYFUNCTION("""COMPUTED_VALUE"""),"Towards the Pedagogical Steering of Large Language Models for Tutoring: A Case Study with Modeling Productive Failure")</f>
        <v>Towards the Pedagogical Steering of Large Language Models for Tutoring: A Case Study with Modeling Productive Failure</v>
      </c>
      <c r="C1437" s="7" t="str">
        <f>IFERROR(__xludf.DUMMYFUNCTION("""COMPUTED_VALUE"""),"One-to-one tutoring is one of the most efficient methods of teaching. With the growing popularity of Large Language Models (LLMs), there have been efforts to create LLM-based conversational tutors which can expand the benefits of one-to-one tutoring to ev"&amp;"eryone. However, current LLMs are trained primarily to be helpful assistants and lack crucial pedagogical skills. For example, they often quickly reveal the solution to the student and fail to plan for a richer multi-turn pedagogical interaction.
To use "&amp;"LLMs in pedagogical settings, they need to be steered to use effective teaching strategies: a problem we introduce as Pedagogical Steering. We develop StratL, an algorithm to optimize LLM prompts and steer it to follow a predefined multi-turn tutoring pla"&amp;"n represented as a transition graph.
As a case study, we create a prototype tutor for high school math following Productive Failure (PF), an advanced and effective learning design. To validate our approach in a real-world setting, we run a field study wi"&amp;"th 17 high school students in Singapore and show that StratL succeeds in steering the LLM to follow the PF tutoring strategy. Finally, we highlight challenges in Pedagogical Steering of LLMs and offer opportunities for further improvements by publishing a"&amp;" dataset of PF problems and our code.")</f>
        <v>One-to-one tutoring is one of the most efficient methods of teaching. With the growing popularity of Large Language Models (LLMs), there have been efforts to create LLM-based conversational tutors which can expand the benefits of one-to-one tutoring to everyone. However, current LLMs are trained primarily to be helpful assistants and lack crucial pedagogical skills. For example, they often quickly reveal the solution to the student and fail to plan for a richer multi-turn pedagogical interaction.
To use LLMs in pedagogical settings, they need to be steered to use effective teaching strategies: a problem we introduce as Pedagogical Steering. We develop StratL, an algorithm to optimize LLM prompts and steer it to follow a predefined multi-turn tutoring plan represented as a transition graph.
As a case study, we create a prototype tutor for high school math following Productive Failure (PF), an advanced and effective learning design. To validate our approach in a real-world setting, we run a field study with 17 high school students in Singapore and show that StratL succeeds in steering the LLM to follow the PF tutoring strategy. Finally, we highlight challenges in Pedagogical Steering of LLMs and offer opportunities for further improvements by publishing a dataset of PF problems and our code.</v>
      </c>
      <c r="D1437" s="7" t="str">
        <f>IFERROR(__xludf.DUMMYFUNCTION("""COMPUTED_VALUE"""),"Romain Puech")</f>
        <v>Romain Puech</v>
      </c>
      <c r="E1437" s="7" t="str">
        <f>IFERROR(__xludf.DUMMYFUNCTION("""COMPUTED_VALUE"""),"Yes")</f>
        <v>Yes</v>
      </c>
      <c r="F1437" s="7" t="str">
        <f>IFERROR(__xludf.DUMMYFUNCTION("""COMPUTED_VALUE"""),"IP-Poster")</f>
        <v>IP-Poster</v>
      </c>
      <c r="G1437" s="7" t="str">
        <f>IFERROR(__xludf.DUMMYFUNCTION("""COMPUTED_VALUE"""),"In-Person")</f>
        <v>In-Person</v>
      </c>
      <c r="H1437" s="7" t="str">
        <f>IFERROR(__xludf.DUMMYFUNCTION("""COMPUTED_VALUE"""),"Hall 4/5")</f>
        <v>Hall 4/5</v>
      </c>
      <c r="I1437" s="7" t="str">
        <f>IFERROR(__xludf.DUMMYFUNCTION("""COMPUTED_VALUE"""),"Session 5 :IP-Posters Find ")</f>
        <v>Session 5 :IP-Posters Find </v>
      </c>
      <c r="J1437" s="7" t="str">
        <f>IFERROR(__xludf.DUMMYFUNCTION("""COMPUTED_VALUE"""),"Findings Posters - In-Person 1")</f>
        <v>Findings Posters - In-Person 1</v>
      </c>
      <c r="K1437" s="7"/>
      <c r="L1437" s="8">
        <f>IFERROR(__xludf.DUMMYFUNCTION("""COMPUTED_VALUE"""),45866.0)</f>
        <v>45866</v>
      </c>
      <c r="M1437" s="7" t="str">
        <f>IFERROR(__xludf.DUMMYFUNCTION("""COMPUTED_VALUE"""),"18:00-19:30")</f>
        <v>18:00-19:30</v>
      </c>
      <c r="N1437" s="7"/>
    </row>
    <row r="1438">
      <c r="A1438" s="7" t="str">
        <f>IFERROR(__xludf.DUMMYFUNCTION("""COMPUTED_VALUE"""),"5327-FIND")</f>
        <v>5327-FIND</v>
      </c>
      <c r="B1438" s="7" t="str">
        <f>IFERROR(__xludf.DUMMYFUNCTION("""COMPUTED_VALUE"""),"Spotting Out-of-Character Behavior: Atomic-Level Evaluation of Persona Fidelity in Open-Ended Generation")</f>
        <v>Spotting Out-of-Character Behavior: Atomic-Level Evaluation of Persona Fidelity in Open-Ended Generation</v>
      </c>
      <c r="C1438" s="7" t="str">
        <f>IFERROR(__xludf.DUMMYFUNCTION("""COMPUTED_VALUE"""),"Ensuring persona fidelity in large language models (LLMs) is essential for maintaining coherent and engaging human-AI interactions. However, LLMs often exhibit Out-of-Character (OOC) behavior, where generated responses deviate from an assigned persona, le"&amp;"ading to inconsistencies that affect model reliability. Existing evaluation methods typically assign single scores to entire responses, struggling to capture subtle persona misalignment, particularly in long-form text generation. To address this limitatio"&amp;"n, we propose an atomic-level evaluation framework that quantifies persona fidelity at a finer granularity. Our three key metrics measure the degree of persona alignment and consistency within and across generations. Our approach enables a more precise an"&amp;"d realistic assessment of persona fidelity by identifying subtle deviations that real users would encounter. Through our experiments, we demonstrate that our framework effectively detects persona inconsistencies that prior methods overlook. By analyzing p"&amp;"ersona fidelity across diverse tasks and personality types, we reveal how task structure and persona desirability influence model adaptability, highlighting challenges in maintaining consistent persona expression.")</f>
        <v>Ensuring persona fidelity in large language models (LLMs) is essential for maintaining coherent and engaging human-AI interactions. However, LLMs often exhibit Out-of-Character (OOC) behavior, where generated responses deviate from an assigned persona, leading to inconsistencies that affect model reliability. Existing evaluation methods typically assign single scores to entire responses, struggling to capture subtle persona misalignment, particularly in long-form text generation. To address this limitation, we propose an atomic-level evaluation framework that quantifies persona fidelity at a finer granularity. Our three key metrics measure the degree of persona alignment and consistency within and across generations. Our approach enables a more precise and realistic assessment of persona fidelity by identifying subtle deviations that real users would encounter. Through our experiments, we demonstrate that our framework effectively detects persona inconsistencies that prior methods overlook. By analyzing persona fidelity across diverse tasks and personality types, we reveal how task structure and persona desirability influence model adaptability, highlighting challenges in maintaining consistent persona expression.</v>
      </c>
      <c r="D1438" s="7" t="str">
        <f>IFERROR(__xludf.DUMMYFUNCTION("""COMPUTED_VALUE"""),"Jisu Shin")</f>
        <v>Jisu Shin</v>
      </c>
      <c r="E1438" s="7" t="str">
        <f>IFERROR(__xludf.DUMMYFUNCTION("""COMPUTED_VALUE"""),"Yes")</f>
        <v>Yes</v>
      </c>
      <c r="F1438" s="7" t="str">
        <f>IFERROR(__xludf.DUMMYFUNCTION("""COMPUTED_VALUE"""),"IP-Poster")</f>
        <v>IP-Poster</v>
      </c>
      <c r="G1438" s="7" t="str">
        <f>IFERROR(__xludf.DUMMYFUNCTION("""COMPUTED_VALUE"""),"In-Person")</f>
        <v>In-Person</v>
      </c>
      <c r="H1438" s="7" t="str">
        <f>IFERROR(__xludf.DUMMYFUNCTION("""COMPUTED_VALUE"""),"Hall 4/5")</f>
        <v>Hall 4/5</v>
      </c>
      <c r="I1438" s="7" t="str">
        <f>IFERROR(__xludf.DUMMYFUNCTION("""COMPUTED_VALUE"""),"Session 12: IP-Posters")</f>
        <v>Session 12: IP-Posters</v>
      </c>
      <c r="J1438" s="7" t="str">
        <f>IFERROR(__xludf.DUMMYFUNCTION("""COMPUTED_VALUE"""),"Findings Posters - In-Person 4")</f>
        <v>Findings Posters - In-Person 4</v>
      </c>
      <c r="K1438" s="7"/>
      <c r="L1438" s="8">
        <f>IFERROR(__xludf.DUMMYFUNCTION("""COMPUTED_VALUE"""),45868.0)</f>
        <v>45868</v>
      </c>
      <c r="M1438" s="7" t="str">
        <f>IFERROR(__xludf.DUMMYFUNCTION("""COMPUTED_VALUE"""),"11:00-12:30")</f>
        <v>11:00-12:30</v>
      </c>
      <c r="N1438" s="7"/>
    </row>
    <row r="1439">
      <c r="A1439" s="7" t="str">
        <f>IFERROR(__xludf.DUMMYFUNCTION("""COMPUTED_VALUE"""),"5345-FIND")</f>
        <v>5345-FIND</v>
      </c>
      <c r="B1439" s="7" t="str">
        <f>IFERROR(__xludf.DUMMYFUNCTION("""COMPUTED_VALUE"""),"What Language Do Non-English-Centric Large Language Models Think in?")</f>
        <v>What Language Do Non-English-Centric Large Language Models Think in?</v>
      </c>
      <c r="C1439" s="7" t="str">
        <f>IFERROR(__xludf.DUMMYFUNCTION("""COMPUTED_VALUE"""),"In this study, we investigate whether non-English-centric large language models, `think' in their specialized language. Specifically, we analyze how intermediate layer representations, when projected into the vocabulary space, favor certain languages duri"&amp;"ng generation—termed as latent languages. We categorize non-English-centric models into two groups: CPMs, which are English-centric models with continued pre-training on its specialized language, and BLMs, which are pre-trained on a balanced mix of multip"&amp;"le languages from scratch. Our findings reveal that while English-centric models rely exclusively on English as their latent language, non-English-centric models activate multiple latent languages, dynamically selecting the most similar one based on both "&amp;"the source and target languages. This also influences responses to culture difference questions, reducing English-centric biases in non-English models. This study deepens our understanding of language representation in non-English-centric LLMs, shedding l"&amp;"ight on the intricate dynamics of multilingual processing at the representational level.")</f>
        <v>In this study, we investigate whether non-English-centric large language models, `think' in their specialized language. Specifically, we analyze how intermediate layer representations, when projected into the vocabulary space, favor certain languages during generation—termed as latent languages. We categorize non-English-centric models into two groups: CPMs, which are English-centric models with continued pre-training on its specialized language, and BLMs, which are pre-trained on a balanced mix of multiple languages from scratch. Our findings reveal that while English-centric models rely exclusively on English as their latent language, non-English-centric models activate multiple latent languages, dynamically selecting the most similar one based on both the source and target languages. This also influences responses to culture difference questions, reducing English-centric biases in non-English models. This study deepens our understanding of language representation in non-English-centric LLMs, shedding light on the intricate dynamics of multilingual processing at the representational level.</v>
      </c>
      <c r="D1439" s="7" t="str">
        <f>IFERROR(__xludf.DUMMYFUNCTION("""COMPUTED_VALUE"""),"Chengzhi Zhong")</f>
        <v>Chengzhi Zhong</v>
      </c>
      <c r="E1439" s="7" t="str">
        <f>IFERROR(__xludf.DUMMYFUNCTION("""COMPUTED_VALUE"""),"Yes")</f>
        <v>Yes</v>
      </c>
      <c r="F1439" s="7" t="str">
        <f>IFERROR(__xludf.DUMMYFUNCTION("""COMPUTED_VALUE"""),"IP-Poster")</f>
        <v>IP-Poster</v>
      </c>
      <c r="G1439" s="7" t="str">
        <f>IFERROR(__xludf.DUMMYFUNCTION("""COMPUTED_VALUE"""),"In-Person")</f>
        <v>In-Person</v>
      </c>
      <c r="H1439" s="7" t="str">
        <f>IFERROR(__xludf.DUMMYFUNCTION("""COMPUTED_VALUE"""),"Hall 4/5")</f>
        <v>Hall 4/5</v>
      </c>
      <c r="I1439" s="7" t="str">
        <f>IFERROR(__xludf.DUMMYFUNCTION("""COMPUTED_VALUE"""),"Session 5 :IP-Posters Find ")</f>
        <v>Session 5 :IP-Posters Find </v>
      </c>
      <c r="J1439" s="7" t="str">
        <f>IFERROR(__xludf.DUMMYFUNCTION("""COMPUTED_VALUE"""),"Findings Posters - In-Person 1")</f>
        <v>Findings Posters - In-Person 1</v>
      </c>
      <c r="K1439" s="7"/>
      <c r="L1439" s="8">
        <f>IFERROR(__xludf.DUMMYFUNCTION("""COMPUTED_VALUE"""),45866.0)</f>
        <v>45866</v>
      </c>
      <c r="M1439" s="7" t="str">
        <f>IFERROR(__xludf.DUMMYFUNCTION("""COMPUTED_VALUE"""),"18:00-19:30")</f>
        <v>18:00-19:30</v>
      </c>
      <c r="N1439" s="7"/>
    </row>
    <row r="1440">
      <c r="A1440" s="7" t="str">
        <f>IFERROR(__xludf.DUMMYFUNCTION("""COMPUTED_VALUE"""),"5353-FIND")</f>
        <v>5353-FIND</v>
      </c>
      <c r="B1440" s="7" t="str">
        <f>IFERROR(__xludf.DUMMYFUNCTION("""COMPUTED_VALUE"""),"T5Score: A Methodology for Automatically Assessing the Quality of LLM Generated Multi-Document Topic Sets")</f>
        <v>T5Score: A Methodology for Automatically Assessing the Quality of LLM Generated Multi-Document Topic Sets</v>
      </c>
      <c r="C1440" s="7" t="str">
        <f>IFERROR(__xludf.DUMMYFUNCTION("""COMPUTED_VALUE"""),"Using LLMs for Multi-Document Topic Extraction has recently gained popularity due to their apparent high-quality outputs, expressiveness, and ease of use. However, most existing evaluation practices are not designed for LLM-generated topics and result in "&amp;"low inter-annotator agreement scores, hindering the reliable use of LLMs for the task. To address this, we introduce T5Score, an evaluation methodology that decomposes the quality of a topic set into quantifiable aspects, measurable through easy-to-perfor"&amp;"m annotation tasks. This framing enables a convenient, manual or automatic, evaluation procedure resulting in a strong inter-annotator agreement score.To substantiate our methodology and claims, we perform extensive experimentation on multiple datasets an"&amp;"d report the results.")</f>
        <v>Using LLMs for Multi-Document Topic Extraction has recently gained popularity due to their apparent high-quality outputs, expressiveness, and ease of use. However, most existing evaluation practices are not designed for LLM-generated topics and result in low inter-annotator agreement scores, hindering the reliable use of LLMs for the task. To address this, we introduce T5Score, an evaluation methodology that decomposes the quality of a topic set into quantifiable aspects, measurable through easy-to-perform annotation tasks. This framing enables a convenient, manual or automatic, evaluation procedure resulting in a strong inter-annotator agreement score.To substantiate our methodology and claims, we perform extensive experimentation on multiple datasets and report the results.</v>
      </c>
      <c r="D1440" s="7" t="str">
        <f>IFERROR(__xludf.DUMMYFUNCTION("""COMPUTED_VALUE"""),"Itamar Trainin")</f>
        <v>Itamar Trainin</v>
      </c>
      <c r="E1440" s="7" t="str">
        <f>IFERROR(__xludf.DUMMYFUNCTION("""COMPUTED_VALUE"""),"Yes")</f>
        <v>Yes</v>
      </c>
      <c r="F1440" s="7" t="str">
        <f>IFERROR(__xludf.DUMMYFUNCTION("""COMPUTED_VALUE"""),"IP-Poster")</f>
        <v>IP-Poster</v>
      </c>
      <c r="G1440" s="7" t="str">
        <f>IFERROR(__xludf.DUMMYFUNCTION("""COMPUTED_VALUE"""),"In-Person")</f>
        <v>In-Person</v>
      </c>
      <c r="H1440" s="7" t="str">
        <f>IFERROR(__xludf.DUMMYFUNCTION("""COMPUTED_VALUE"""),"Hall 4/5")</f>
        <v>Hall 4/5</v>
      </c>
      <c r="I1440" s="7" t="str">
        <f>IFERROR(__xludf.DUMMYFUNCTION("""COMPUTED_VALUE"""),"Session 12: IP-Posters")</f>
        <v>Session 12: IP-Posters</v>
      </c>
      <c r="J1440" s="7" t="str">
        <f>IFERROR(__xludf.DUMMYFUNCTION("""COMPUTED_VALUE"""),"Findings Posters - In-Person 4")</f>
        <v>Findings Posters - In-Person 4</v>
      </c>
      <c r="K1440" s="7"/>
      <c r="L1440" s="8">
        <f>IFERROR(__xludf.DUMMYFUNCTION("""COMPUTED_VALUE"""),45868.0)</f>
        <v>45868</v>
      </c>
      <c r="M1440" s="7" t="str">
        <f>IFERROR(__xludf.DUMMYFUNCTION("""COMPUTED_VALUE"""),"11:00-12:30")</f>
        <v>11:00-12:30</v>
      </c>
      <c r="N1440" s="7"/>
    </row>
    <row r="1441">
      <c r="A1441" s="7" t="str">
        <f>IFERROR(__xludf.DUMMYFUNCTION("""COMPUTED_VALUE"""),"5354-FIND")</f>
        <v>5354-FIND</v>
      </c>
      <c r="B1441" s="7" t="str">
        <f>IFERROR(__xludf.DUMMYFUNCTION("""COMPUTED_VALUE"""),"Uncertainty Aware Contrastive Decoding")</f>
        <v>Uncertainty Aware Contrastive Decoding</v>
      </c>
      <c r="C1441" s="7" t="str">
        <f>IFERROR(__xludf.DUMMYFUNCTION("""COMPUTED_VALUE"""),"Large language models excel in a wide range of natural language processing tasks, but generating factually accurate and consistent outputs remains a challenge. To improve text reliability, Contrastive Decoding refines token selection by leveraging differe"&amp;"nces between an expert and base model, penalizing low-quality token choices. While the effectiveness of Contrastive Decoding varies depending on the model architecture and input characteristics, research on how to optimally determine the weighting of each"&amp;" model remains insufficient. We propose Uncertainty-Aware Contrastive Decoding (UCD), which introduces a negative energy function as an uncertainty measure in contrastive decoding. This energy, defined as the negative log-sum-exp over logits, is theoretic"&amp;"ally decomposed into entropy and expected logit, and a cumulative formulation is applied to capture the sequential nature of uncertainty during generation.} By leveraging cumulative uncertainty, UCD dynamically weights model contributions, stabilizing mod"&amp;"el reliance and enhancing robustness across diverse tasks. We validate our method through extensive experiments on hallucination detection, commonsense reasoning, and domain-specific benchmarks, demonstrating that UCD significantly improves factual accura"&amp;"cy and reliability over existing decoding methods. Finally, we provide a theoretical analysis showing that our energy function serves as a well-defined uncertainty metric capturing model confidence.")</f>
        <v>Large language models excel in a wide range of natural language processing tasks, but generating factually accurate and consistent outputs remains a challenge. To improve text reliability, Contrastive Decoding refines token selection by leveraging differences between an expert and base model, penalizing low-quality token choices. While the effectiveness of Contrastive Decoding varies depending on the model architecture and input characteristics, research on how to optimally determine the weighting of each model remains insufficient. We propose Uncertainty-Aware Contrastive Decoding (UCD), which introduces a negative energy function as an uncertainty measure in contrastive decoding. This energy, defined as the negative log-sum-exp over logits, is theoretically decomposed into entropy and expected logit, and a cumulative formulation is applied to capture the sequential nature of uncertainty during generation.} By leveraging cumulative uncertainty, UCD dynamically weights model contributions, stabilizing model reliance and enhancing robustness across diverse tasks. We validate our method through extensive experiments on hallucination detection, commonsense reasoning, and domain-specific benchmarks, demonstrating that UCD significantly improves factual accuracy and reliability over existing decoding methods. Finally, we provide a theoretical analysis showing that our energy function serves as a well-defined uncertainty metric capturing model confidence.</v>
      </c>
      <c r="D1441" s="7" t="str">
        <f>IFERROR(__xludf.DUMMYFUNCTION("""COMPUTED_VALUE"""),"I do not plan to present (findings authors)")</f>
        <v>I do not plan to present (findings authors)</v>
      </c>
      <c r="E1441" s="7" t="str">
        <f>IFERROR(__xludf.DUMMYFUNCTION("""COMPUTED_VALUE"""),"#N/A")</f>
        <v>#N/A</v>
      </c>
      <c r="F1441" s="7" t="str">
        <f>IFERROR(__xludf.DUMMYFUNCTION("""COMPUTED_VALUE"""),"Not Pres. ")</f>
        <v>Not Pres. </v>
      </c>
      <c r="G1441" s="7" t="str">
        <f>IFERROR(__xludf.DUMMYFUNCTION("""COMPUTED_VALUE"""),"NP Findings Not Presenting ")</f>
        <v>NP Findings Not Presenting </v>
      </c>
      <c r="H1441" s="7"/>
      <c r="I1441" s="7" t="str">
        <f>IFERROR(__xludf.DUMMYFUNCTION("""COMPUTED_VALUE"""),"NP-Find")</f>
        <v>NP-Find</v>
      </c>
      <c r="J1441" s="7"/>
      <c r="K1441" s="7"/>
      <c r="L1441" s="8"/>
      <c r="M1441" s="7"/>
      <c r="N1441" s="7"/>
    </row>
    <row r="1442">
      <c r="A1442" s="7" t="str">
        <f>IFERROR(__xludf.DUMMYFUNCTION("""COMPUTED_VALUE"""),"5355-FIND")</f>
        <v>5355-FIND</v>
      </c>
      <c r="B1442" s="7" t="str">
        <f>IFERROR(__xludf.DUMMYFUNCTION("""COMPUTED_VALUE"""),"GEMS: Generation-Based Event Argument Extraction via Multi-perspective Prompts and Ontology Steering")</f>
        <v>GEMS: Generation-Based Event Argument Extraction via Multi-perspective Prompts and Ontology Steering</v>
      </c>
      <c r="C1442" s="7" t="str">
        <f>IFERROR(__xludf.DUMMYFUNCTION("""COMPUTED_VALUE"""),"Generative methods significantly advance event argument extraction by probabilistically generating event argument sequences in a structured format. However, existing approaches primarily rely on a single prompt to generate event arguments in a fixed, pred"&amp;"etermined order. Such a rigid approach overlooks the complex structural and dynamic interdependencies among event arguments. In this work, we present GEMS, a multi-prompt learning framework that Generates Event arguments via Multi-perspective prompts and "&amp;"ontology Steering. Specifically, GEMS utilizes multiple unfilled prompts for each sentence, predicting event arguments in varying sequences to explicitly capture the interrelationships between arguments. These predictions are subsequently aggregated using"&amp;" a voting mechanism. Furthermore, an ontology-driven steering mechanism is proposed to ensure that the generated arguments are contextually appropriate and consistent with event-specific knowledge. Extensive experiments on two benchmark datasets demonstra"&amp;"te that GEMS achieves state-of-the-art performance, particularly in low-resource settings. The source code is available at: https://github.com/AONE-NLP/EAE-GEMS")</f>
        <v>Generative methods significantly advance event argument extraction by probabilistically generating event argument sequences in a structured format. However, existing approaches primarily rely on a single prompt to generate event arguments in a fixed, predetermined order. Such a rigid approach overlooks the complex structural and dynamic interdependencies among event arguments. In this work, we present GEMS, a multi-prompt learning framework that Generates Event arguments via Multi-perspective prompts and ontology Steering. Specifically, GEMS utilizes multiple unfilled prompts for each sentence, predicting event arguments in varying sequences to explicitly capture the interrelationships between arguments. These predictions are subsequently aggregated using a voting mechanism. Furthermore, an ontology-driven steering mechanism is proposed to ensure that the generated arguments are contextually appropriate and consistent with event-specific knowledge. Extensive experiments on two benchmark datasets demonstrate that GEMS achieves state-of-the-art performance, particularly in low-resource settings. The source code is available at: https://github.com/AONE-NLP/EAE-GEMS</v>
      </c>
      <c r="D1442" s="7" t="str">
        <f>IFERROR(__xludf.DUMMYFUNCTION("""COMPUTED_VALUE"""),"Run Lin")</f>
        <v>Run Lin</v>
      </c>
      <c r="E1442" s="7" t="str">
        <f>IFERROR(__xludf.DUMMYFUNCTION("""COMPUTED_VALUE"""),"Yes")</f>
        <v>Yes</v>
      </c>
      <c r="F1442" s="7" t="str">
        <f>IFERROR(__xludf.DUMMYFUNCTION("""COMPUTED_VALUE"""),"IP-Poster")</f>
        <v>IP-Poster</v>
      </c>
      <c r="G1442" s="7" t="str">
        <f>IFERROR(__xludf.DUMMYFUNCTION("""COMPUTED_VALUE"""),"In-Person")</f>
        <v>In-Person</v>
      </c>
      <c r="H1442" s="7" t="str">
        <f>IFERROR(__xludf.DUMMYFUNCTION("""COMPUTED_VALUE"""),"Hall 4/5")</f>
        <v>Hall 4/5</v>
      </c>
      <c r="I1442" s="7" t="str">
        <f>IFERROR(__xludf.DUMMYFUNCTION("""COMPUTED_VALUE"""),"Session 5 :IP-Posters Find ")</f>
        <v>Session 5 :IP-Posters Find </v>
      </c>
      <c r="J1442" s="7" t="str">
        <f>IFERROR(__xludf.DUMMYFUNCTION("""COMPUTED_VALUE"""),"Findings Posters - In-Person 1")</f>
        <v>Findings Posters - In-Person 1</v>
      </c>
      <c r="K1442" s="7"/>
      <c r="L1442" s="8">
        <f>IFERROR(__xludf.DUMMYFUNCTION("""COMPUTED_VALUE"""),45866.0)</f>
        <v>45866</v>
      </c>
      <c r="M1442" s="7" t="str">
        <f>IFERROR(__xludf.DUMMYFUNCTION("""COMPUTED_VALUE"""),"18:00-19:30")</f>
        <v>18:00-19:30</v>
      </c>
      <c r="N1442" s="7"/>
    </row>
    <row r="1443">
      <c r="A1443" s="7" t="str">
        <f>IFERROR(__xludf.DUMMYFUNCTION("""COMPUTED_VALUE"""),"5356-FIND")</f>
        <v>5356-FIND</v>
      </c>
      <c r="B1443" s="7" t="str">
        <f>IFERROR(__xludf.DUMMYFUNCTION("""COMPUTED_VALUE"""),"RomanLens: The Role Of Latent Romanization In Multilinguality In LLMs")</f>
        <v>RomanLens: The Role Of Latent Romanization In Multilinguality In LLMs</v>
      </c>
      <c r="C1443" s="7" t="str">
        <f>IFERROR(__xludf.DUMMYFUNCTION("""COMPUTED_VALUE"""),"Large Language Models (LLMs) exhibit remarkable multilingual generalization despite being predominantly trained on English-centric corpora. A fundamental question arises: how do LLMs achieve such robust multilingual capabilities? We take the case of non-R"&amp;"oman script languages, we investigate the role of Romanization—the representation of non-Roman scripts using Roman characters—as a bridge in multilingual processing. Using mechanistic interpretability techniques, we analyze next-token generation and find "&amp;"that intermediate layers frequently represent target words in Romanized form before transitioning to native script, a phenomenon we term Latent Romanization. Further, through activation patching experiments, we demonstrate that LLMs encode semantic concep"&amp;"ts similarly across native and Romanized scripts, suggesting a shared underlying representation. Additionally, for translation into non-Roman script languages, our findings reveal that when the target language is in Romanized form, its representations eme"&amp;"rge earlier in the model’s layers compared to native script. These insights contribute to a deeper understanding of multilingual representation in LLMs and highlight the implicit role of Romanization in facilitating language transfer.")</f>
        <v>Large Language Models (LLMs) exhibit remarkable multilingual generalization despite being predominantly trained on English-centric corpora. A fundamental question arises: how do LLMs achieve such robust multilingual capabilities? We take the case of non-Roman script languages, we investigate the role of Romanization—the representation of non-Roman scripts using Roman characters—as a bridge in multilingual processing. Using mechanistic interpretability techniques, we analyze next-token generation and find that intermediate layers frequently represent target words in Romanized form before transitioning to native script, a phenomenon we term Latent Romanization. Further, through activation patching experiments, we demonstrate that LLMs encode semantic concepts similarly across native and Romanized scripts, suggesting a shared underlying representation. Additionally, for translation into non-Roman script languages, our findings reveal that when the target language is in Romanized form, its representations emerge earlier in the model’s layers compared to native script. These insights contribute to a deeper understanding of multilingual representation in LLMs and highlight the implicit role of Romanization in facilitating language transfer.</v>
      </c>
      <c r="D1443" s="7" t="str">
        <f>IFERROR(__xludf.DUMMYFUNCTION("""COMPUTED_VALUE"""),"Alan Saji")</f>
        <v>Alan Saji</v>
      </c>
      <c r="E1443" s="7" t="str">
        <f>IFERROR(__xludf.DUMMYFUNCTION("""COMPUTED_VALUE"""),"Yes")</f>
        <v>Yes</v>
      </c>
      <c r="F1443" s="7" t="str">
        <f>IFERROR(__xludf.DUMMYFUNCTION("""COMPUTED_VALUE"""),"IP-Poster")</f>
        <v>IP-Poster</v>
      </c>
      <c r="G1443" s="7" t="str">
        <f>IFERROR(__xludf.DUMMYFUNCTION("""COMPUTED_VALUE"""),"In-Person")</f>
        <v>In-Person</v>
      </c>
      <c r="H1443" s="7" t="str">
        <f>IFERROR(__xludf.DUMMYFUNCTION("""COMPUTED_VALUE"""),"Hall 4/5")</f>
        <v>Hall 4/5</v>
      </c>
      <c r="I1443" s="7" t="str">
        <f>IFERROR(__xludf.DUMMYFUNCTION("""COMPUTED_VALUE"""),"Session 12: IP-Posters")</f>
        <v>Session 12: IP-Posters</v>
      </c>
      <c r="J1443" s="7" t="str">
        <f>IFERROR(__xludf.DUMMYFUNCTION("""COMPUTED_VALUE"""),"Findings Posters - In-Person 4")</f>
        <v>Findings Posters - In-Person 4</v>
      </c>
      <c r="K1443" s="7"/>
      <c r="L1443" s="8">
        <f>IFERROR(__xludf.DUMMYFUNCTION("""COMPUTED_VALUE"""),45868.0)</f>
        <v>45868</v>
      </c>
      <c r="M1443" s="7" t="str">
        <f>IFERROR(__xludf.DUMMYFUNCTION("""COMPUTED_VALUE"""),"11:00-12:30")</f>
        <v>11:00-12:30</v>
      </c>
      <c r="N1443" s="7"/>
    </row>
    <row r="1444">
      <c r="A1444" s="7" t="str">
        <f>IFERROR(__xludf.DUMMYFUNCTION("""COMPUTED_VALUE"""),"5357-FIND")</f>
        <v>5357-FIND</v>
      </c>
      <c r="B1444" s="7" t="str">
        <f>IFERROR(__xludf.DUMMYFUNCTION("""COMPUTED_VALUE"""),"7 Points to Tsinghua but 10 Points to 清华? Assessing Large Language Models in Agentic Multilingual National Bias")</f>
        <v>7 Points to Tsinghua but 10 Points to 清华? Assessing Large Language Models in Agentic Multilingual National Bias</v>
      </c>
      <c r="C1444" s="7" t="str">
        <f>IFERROR(__xludf.DUMMYFUNCTION("""COMPUTED_VALUE"""),"Large Language Models have garnered significant attention for their capabilities in multilingual natural language processing, while studies on risks associated with cross biases are limited to immediate context preferences. Cross-language disparities in r"&amp;"easoning-based recommendations remain largely unexplored, with a lack of even descriptive analysis.  
This study is the first to address this gap. 
We test LLM's applicability and capability in providing personalized advice across three key scenarios: uni"&amp;"versity applications, travel, and relocation.
We investigate multilingual bias in state-of-the-art LLMs by analyzing their responses to decision-making tasks across multiple languages. 
We quantify bias in model-generated scores and assess the impact of d"&amp;"emographic factors and reasoning strategies (e.g., Chain-of-Thought prompting) on bias patterns. 
Our findings reveal significant biases in both the scores and the reasoning structure of non-English languages. We also draw future implications for improvin"&amp;"g multilingual alignment in AI systems.")</f>
        <v>Large Language Models have garnered significant attention for their capabilities in multilingual natural language processing, while studies on risks associated with cross biases are limited to immediate context preferences. Cross-language disparities in reasoning-based recommendations remain largely unexplored, with a lack of even descriptive analysis.  
This study is the first to address this gap. 
We test LLM's applicability and capability in providing personalized advice across three key scenarios: university applications, travel, and relocation.
We investigate multilingual bias in state-of-the-art LLMs by analyzing their responses to decision-making tasks across multiple languages. 
We quantify bias in model-generated scores and assess the impact of demographic factors and reasoning strategies (e.g., Chain-of-Thought prompting) on bias patterns. 
Our findings reveal significant biases in both the scores and the reasoning structure of non-English languages. We also draw future implications for improving multilingual alignment in AI systems.</v>
      </c>
      <c r="D1444" s="7" t="str">
        <f>IFERROR(__xludf.DUMMYFUNCTION("""COMPUTED_VALUE"""),"Qianying Liu")</f>
        <v>Qianying Liu</v>
      </c>
      <c r="E1444" s="7" t="str">
        <f>IFERROR(__xludf.DUMMYFUNCTION("""COMPUTED_VALUE"""),"Yes")</f>
        <v>Yes</v>
      </c>
      <c r="F1444" s="7" t="str">
        <f>IFERROR(__xludf.DUMMYFUNCTION("""COMPUTED_VALUE"""),"IP-Poster")</f>
        <v>IP-Poster</v>
      </c>
      <c r="G1444" s="7" t="str">
        <f>IFERROR(__xludf.DUMMYFUNCTION("""COMPUTED_VALUE"""),"In-Person")</f>
        <v>In-Person</v>
      </c>
      <c r="H1444" s="7" t="str">
        <f>IFERROR(__xludf.DUMMYFUNCTION("""COMPUTED_VALUE"""),"Hall 4/5")</f>
        <v>Hall 4/5</v>
      </c>
      <c r="I1444" s="7" t="str">
        <f>IFERROR(__xludf.DUMMYFUNCTION("""COMPUTED_VALUE"""),"Session 10: IP-Posters")</f>
        <v>Session 10: IP-Posters</v>
      </c>
      <c r="J1444" s="7" t="str">
        <f>IFERROR(__xludf.DUMMYFUNCTION("""COMPUTED_VALUE"""),"Findings Posters - In-Person 3")</f>
        <v>Findings Posters - In-Person 3</v>
      </c>
      <c r="K1444" s="7"/>
      <c r="L1444" s="8">
        <f>IFERROR(__xludf.DUMMYFUNCTION("""COMPUTED_VALUE"""),45867.0)</f>
        <v>45867</v>
      </c>
      <c r="M1444" s="7" t="str">
        <f>IFERROR(__xludf.DUMMYFUNCTION("""COMPUTED_VALUE"""),"16:00-17:30")</f>
        <v>16:00-17:30</v>
      </c>
      <c r="N1444" s="7"/>
    </row>
    <row r="1445">
      <c r="A1445" s="7" t="str">
        <f>IFERROR(__xludf.DUMMYFUNCTION("""COMPUTED_VALUE"""),"5379-FIND")</f>
        <v>5379-FIND</v>
      </c>
      <c r="B1445" s="7" t="str">
        <f>IFERROR(__xludf.DUMMYFUNCTION("""COMPUTED_VALUE"""),"Search-in-Context: Efficient Multi-Hop QA over Long Contexts via Monte Carlo Tree Search with Dynamic KV Retrieval")</f>
        <v>Search-in-Context: Efficient Multi-Hop QA over Long Contexts via Monte Carlo Tree Search with Dynamic KV Retrieval</v>
      </c>
      <c r="C1445" s="7" t="str">
        <f>IFERROR(__xludf.DUMMYFUNCTION("""COMPUTED_VALUE"""),"Recent advancements in large language models (LLMs) have demonstrated remarkable capabilities in complex reasoning tasks, such as math problem-solving and code generation. However, multi-hop question answering (MHQA) over long contexts, which demands both"&amp;" robust knowledge-intensive reasoning and efficient processing of lengthy documents, remains a significant challenge. Existing approaches often struggle to balance these requirements, either neglecting explicit reasoning or incurring expensive computation"&amp;"al costs due to full-attention mechanisms over long contexts. To address this, we propose **Search-in-Context (SIC)**, a novel framework that integrates Monte Carlo Tree Search (MCTS) with dynamic key-value (KV) retrieval to enable iterative, context-awar"&amp;"e reasoning. SIC dynamically retrieves critical KV pairs (e.g., 4K tokens) at each step, prioritizing relevant evidence while mitigating the ""lost in the middle"" problem. Furthermore, the paper introduces a Process-Reward Model (PRM) trained on auto-lab"&amp;"eled data to guide the MCTS process with stepwise rewards, promoting high-quality reasoning trajectories without manual annotation. Experiments on three long-context MHQA benchmarks (HotpotQA, 2WikiMultihopQA, MuSiQue) and a counterfactual multi-hop datas"&amp;"et demonstrate SIC’s superiority, achieving state-of-the-art performance while significantly reducing computational overhead.")</f>
        <v>Recent advancements in large language models (LLMs) have demonstrated remarkable capabilities in complex reasoning tasks, such as math problem-solving and code generation. However, multi-hop question answering (MHQA) over long contexts, which demands both robust knowledge-intensive reasoning and efficient processing of lengthy documents, remains a significant challenge. Existing approaches often struggle to balance these requirements, either neglecting explicit reasoning or incurring expensive computational costs due to full-attention mechanisms over long contexts. To address this, we propose **Search-in-Context (SIC)**, a novel framework that integrates Monte Carlo Tree Search (MCTS) with dynamic key-value (KV) retrieval to enable iterative, context-aware reasoning. SIC dynamically retrieves critical KV pairs (e.g., 4K tokens) at each step, prioritizing relevant evidence while mitigating the "lost in the middle" problem. Furthermore, the paper introduces a Process-Reward Model (PRM) trained on auto-labeled data to guide the MCTS process with stepwise rewards, promoting high-quality reasoning trajectories without manual annotation. Experiments on three long-context MHQA benchmarks (HotpotQA, 2WikiMultihopQA, MuSiQue) and a counterfactual multi-hop dataset demonstrate SIC’s superiority, achieving state-of-the-art performance while significantly reducing computational overhead.</v>
      </c>
      <c r="D1445" s="7" t="str">
        <f>IFERROR(__xludf.DUMMYFUNCTION("""COMPUTED_VALUE"""),"Jiabei Chen")</f>
        <v>Jiabei Chen</v>
      </c>
      <c r="E1445" s="7" t="str">
        <f>IFERROR(__xludf.DUMMYFUNCTION("""COMPUTED_VALUE"""),"Yes")</f>
        <v>Yes</v>
      </c>
      <c r="F1445" s="7" t="str">
        <f>IFERROR(__xludf.DUMMYFUNCTION("""COMPUTED_VALUE"""),"IP-Poster")</f>
        <v>IP-Poster</v>
      </c>
      <c r="G1445" s="7" t="str">
        <f>IFERROR(__xludf.DUMMYFUNCTION("""COMPUTED_VALUE"""),"In-Person")</f>
        <v>In-Person</v>
      </c>
      <c r="H1445" s="7" t="str">
        <f>IFERROR(__xludf.DUMMYFUNCTION("""COMPUTED_VALUE"""),"Hall 4/5")</f>
        <v>Hall 4/5</v>
      </c>
      <c r="I1445" s="7" t="str">
        <f>IFERROR(__xludf.DUMMYFUNCTION("""COMPUTED_VALUE"""),"Session 7: IP-Posters")</f>
        <v>Session 7: IP-Posters</v>
      </c>
      <c r="J1445" s="7" t="str">
        <f>IFERROR(__xludf.DUMMYFUNCTION("""COMPUTED_VALUE"""),"Findings Posters - In-Person 2")</f>
        <v>Findings Posters - In-Person 2</v>
      </c>
      <c r="K1445" s="7"/>
      <c r="L1445" s="8">
        <f>IFERROR(__xludf.DUMMYFUNCTION("""COMPUTED_VALUE"""),45867.0)</f>
        <v>45867</v>
      </c>
      <c r="M1445" s="7" t="str">
        <f>IFERROR(__xludf.DUMMYFUNCTION("""COMPUTED_VALUE"""),"10:30-12:00")</f>
        <v>10:30-12:00</v>
      </c>
      <c r="N1445" s="7"/>
    </row>
    <row r="1446">
      <c r="A1446" s="7" t="str">
        <f>IFERROR(__xludf.DUMMYFUNCTION("""COMPUTED_VALUE"""),"5381-FIND")</f>
        <v>5381-FIND</v>
      </c>
      <c r="B1446" s="7" t="str">
        <f>IFERROR(__xludf.DUMMYFUNCTION("""COMPUTED_VALUE"""),"LLM-as-an-Interviewer: Beyond Static Testing Through Dynamic LLM Evaluation")</f>
        <v>LLM-as-an-Interviewer: Beyond Static Testing Through Dynamic LLM Evaluation</v>
      </c>
      <c r="C1446" s="7" t="str">
        <f>IFERROR(__xludf.DUMMYFUNCTION("""COMPUTED_VALUE"""),"We introduce LLM-as-an-Interviewer, a novel paradigm for evaluating large language models (LLMs). This approach leverages multi-turn interactions where the LLM interviewer actively provides feedback on responses and poses follow-up questions to the evalua"&amp;"ted LLM. At the start of the interview, the LLM interviewer dynamically modifies datasets to generate initial questions, mitigating data contamination. We apply the LLM-as-an-Interviewer framework to evaluate six models on the reasoning, factuality and in"&amp;"struction-following tasks. Our results show that the framework effectively provides insights into LLM performance, including the quality of initial responses, adaptability to feedback, and ability to address follow-up queries like clarification or additio"&amp;"nal knowledge requests. The framework also addresses key limitations of conventional methods like LLM-as-a-Judge, including verbosity bias and inconsistency across runs. Finally, we propose the Interview Report, which aggregates insights from the intervie"&amp;"w process, providing examples and a comprehensive analysis of the LLM’s strengths and weaknesses. This report offers a detailed snapshot of the model's real-world applicability.")</f>
        <v>We introduce LLM-as-an-Interviewer, a novel paradigm for evaluating large language models (LLMs). This approach leverages multi-turn interactions where the LLM interviewer actively provides feedback on responses and poses follow-up questions to the evaluated LLM. At the start of the interview, the LLM interviewer dynamically modifies datasets to generate initial questions, mitigating data contamination. We apply the LLM-as-an-Interviewer framework to evaluate six models on the reasoning, factuality and instruction-following tasks. Our results show that the framework effectively provides insights into LLM performance, including the quality of initial responses, adaptability to feedback, and ability to address follow-up queries like clarification or additional knowledge requests. The framework also addresses key limitations of conventional methods like LLM-as-a-Judge, including verbosity bias and inconsistency across runs. Finally, we propose the Interview Report, which aggregates insights from the interview process, providing examples and a comprehensive analysis of the LLM’s strengths and weaknesses. This report offers a detailed snapshot of the model's real-world applicability.</v>
      </c>
      <c r="D1446" s="7" t="str">
        <f>IFERROR(__xludf.DUMMYFUNCTION("""COMPUTED_VALUE"""),"Eunsu Kim")</f>
        <v>Eunsu Kim</v>
      </c>
      <c r="E1446" s="7" t="str">
        <f>IFERROR(__xludf.DUMMYFUNCTION("""COMPUTED_VALUE"""),"Yes")</f>
        <v>Yes</v>
      </c>
      <c r="F1446" s="7" t="str">
        <f>IFERROR(__xludf.DUMMYFUNCTION("""COMPUTED_VALUE"""),"IP-Poster")</f>
        <v>IP-Poster</v>
      </c>
      <c r="G1446" s="7" t="str">
        <f>IFERROR(__xludf.DUMMYFUNCTION("""COMPUTED_VALUE"""),"In-Person")</f>
        <v>In-Person</v>
      </c>
      <c r="H1446" s="7" t="str">
        <f>IFERROR(__xludf.DUMMYFUNCTION("""COMPUTED_VALUE"""),"Hall 4/5")</f>
        <v>Hall 4/5</v>
      </c>
      <c r="I1446" s="7" t="str">
        <f>IFERROR(__xludf.DUMMYFUNCTION("""COMPUTED_VALUE"""),"Session 12: IP-Posters")</f>
        <v>Session 12: IP-Posters</v>
      </c>
      <c r="J1446" s="7" t="str">
        <f>IFERROR(__xludf.DUMMYFUNCTION("""COMPUTED_VALUE"""),"Findings Posters - In-Person 4")</f>
        <v>Findings Posters - In-Person 4</v>
      </c>
      <c r="K1446" s="7"/>
      <c r="L1446" s="8">
        <f>IFERROR(__xludf.DUMMYFUNCTION("""COMPUTED_VALUE"""),45868.0)</f>
        <v>45868</v>
      </c>
      <c r="M1446" s="7" t="str">
        <f>IFERROR(__xludf.DUMMYFUNCTION("""COMPUTED_VALUE"""),"11:00-12:30")</f>
        <v>11:00-12:30</v>
      </c>
      <c r="N1446" s="7"/>
    </row>
    <row r="1447">
      <c r="A1447" s="7" t="str">
        <f>IFERROR(__xludf.DUMMYFUNCTION("""COMPUTED_VALUE"""),"5382-FIND")</f>
        <v>5382-FIND</v>
      </c>
      <c r="B1447" s="7" t="str">
        <f>IFERROR(__xludf.DUMMYFUNCTION("""COMPUTED_VALUE"""),"IntentionESC: An Intention-Centered Framework for Enhancing Emotional Support in Dialogue Systems")</f>
        <v>IntentionESC: An Intention-Centered Framework for Enhancing Emotional Support in Dialogue Systems</v>
      </c>
      <c r="C1447" s="7" t="str">
        <f>IFERROR(__xludf.DUMMYFUNCTION("""COMPUTED_VALUE"""),"In emotional support conversations, unclear intentions can lead supporters to employ inappropriate strategies, inadvertently imposing their expectations or solutions on the seeker. Clearly defined intentions are essential for guiding both the supporter’s "&amp;"motivations and the overall emotional support process. In this paper, we propose the Intention-centered Emotional Support Conversation (IntentionESC) framework, which defines the possible intentions of supporters in emotional support conversations, identi"&amp;"fies key emotional state aspects for inferring these intentions, and maps them to appropriate support strategies. While Large Language Models (LLMs) excel in text generating, they fundamentally operate as probabilistic models trained on extensive datasets"&amp;", lacking a true understanding of human thought processes and intentions. To address this limitation, we introduce the Intention CEntric Chain-of-Thought (ICECoT) mechanism. ICECoT enables LLMs to mimic human reasoning by analyzing emotional states, infer"&amp;"ring intentions, and selecting suitable support strategies, thereby generating more effective emotional support responses. To train the model with ICECoT and integrate expert knowledge, we design an automated annotation pipeline that produces high-quality"&amp;" training data. Furthermore, we develop a comprehensive evaluation scheme to assess emotional support efficacy and conduct extensive experiments to validate our framework. Our data and code will be publically released to facilitate further research.")</f>
        <v>In emotional support conversations, unclear intentions can lead supporters to employ inappropriate strategies, inadvertently imposing their expectations or solutions on the seeker. Clearly defined intentions are essential for guiding both the supporter’s motivations and the overall emotional support process. In this paper, we propose the Intention-centered Emotional Support Conversation (IntentionESC) framework, which defines the possible intentions of supporters in emotional support conversations, identifies key emotional state aspects for inferring these intentions, and maps them to appropriate support strategies. While Large Language Models (LLMs) excel in text generating, they fundamentally operate as probabilistic models trained on extensive datasets, lacking a true understanding of human thought processes and intentions. To address this limitation, we introduce the Intention CEntric Chain-of-Thought (ICECoT) mechanism. ICECoT enables LLMs to mimic human reasoning by analyzing emotional states, inferring intentions, and selecting suitable support strategies, thereby generating more effective emotional support responses. To train the model with ICECoT and integrate expert knowledge, we design an automated annotation pipeline that produces high-quality training data. Furthermore, we develop a comprehensive evaluation scheme to assess emotional support efficacy and conduct extensive experiments to validate our framework. Our data and code will be publically released to facilitate further research.</v>
      </c>
      <c r="D1447" s="7" t="str">
        <f>IFERROR(__xludf.DUMMYFUNCTION("""COMPUTED_VALUE"""),"Xinjie Zhang")</f>
        <v>Xinjie Zhang</v>
      </c>
      <c r="E1447" s="7" t="str">
        <f>IFERROR(__xludf.DUMMYFUNCTION("""COMPUTED_VALUE"""),"N/A")</f>
        <v>N/A</v>
      </c>
      <c r="F1447" s="7" t="str">
        <f>IFERROR(__xludf.DUMMYFUNCTION("""COMPUTED_VALUE"""),"Not Pres. ")</f>
        <v>Not Pres. </v>
      </c>
      <c r="G1447" s="7" t="str">
        <f>IFERROR(__xludf.DUMMYFUNCTION("""COMPUTED_VALUE"""),"NP Findings Not Presenting ")</f>
        <v>NP Findings Not Presenting </v>
      </c>
      <c r="H1447" s="7"/>
      <c r="I1447" s="7"/>
      <c r="J1447" s="7"/>
      <c r="K1447" s="7"/>
      <c r="L1447" s="8"/>
      <c r="M1447" s="7"/>
      <c r="N1447" s="7"/>
    </row>
    <row r="1448">
      <c r="A1448" s="7" t="str">
        <f>IFERROR(__xludf.DUMMYFUNCTION("""COMPUTED_VALUE"""),"5383-FIND")</f>
        <v>5383-FIND</v>
      </c>
      <c r="B1448" s="7" t="str">
        <f>IFERROR(__xludf.DUMMYFUNCTION("""COMPUTED_VALUE"""),"Beyond Context to Cognitive Appraisal: Emotion Reasoning as a Theory of Mind Benchmark for Large Language Models")</f>
        <v>Beyond Context to Cognitive Appraisal: Emotion Reasoning as a Theory of Mind Benchmark for Large Language Models</v>
      </c>
      <c r="C1448" s="7" t="str">
        <f>IFERROR(__xludf.DUMMYFUNCTION("""COMPUTED_VALUE"""),"Datasets used for emotion recognition tasks typically contain overt cues that can be used in predicting the emotions expressed in a text. However, one challenge is that texts sometimes contain covert contextual cues that are rich in affective semantics, w"&amp;"hich warrant higher-order reasoning abilities to infer emotional states, not simply the emotions conveyed. This study advances beyond surface-level perceptual features to investigate how large language models (LLMs) reason about others’ emotional states u"&amp;"sing contextual information, within a Theory-of-Mind (ToM) framework. Grounded in Cognitive Appraisal Theory, we curate a specialized ToM evaluation dataset to assess both forward reasoning—from context to emotion—and backward reasoning—from emotion to in"&amp;"ferred context. We showed that LLMs can reason to a certain extent, although they are poor at associating situational outcomes and appraisals with specific emotions. Our work highlights the need for psychological theories in the training and evaluation of"&amp;" LLMs in the context of emotion reasoning.")</f>
        <v>Datasets used for emotion recognition tasks typically contain overt cues that can be used in predicting the emotions expressed in a text. However, one challenge is that texts sometimes contain covert contextual cues that are rich in affective semantics, which warrant higher-order reasoning abilities to infer emotional states, not simply the emotions conveyed. This study advances beyond surface-level perceptual features to investigate how large language models (LLMs) reason about others’ emotional states using contextual information, within a Theory-of-Mind (ToM) framework. Grounded in Cognitive Appraisal Theory, we curate a specialized ToM evaluation dataset to assess both forward reasoning—from context to emotion—and backward reasoning—from emotion to inferred context. We showed that LLMs can reason to a certain extent, although they are poor at associating situational outcomes and appraisals with specific emotions. Our work highlights the need for psychological theories in the training and evaluation of LLMs in the context of emotion reasoning.</v>
      </c>
      <c r="D1448" s="7" t="str">
        <f>IFERROR(__xludf.DUMMYFUNCTION("""COMPUTED_VALUE"""),"NA")</f>
        <v>NA</v>
      </c>
      <c r="E1448" s="7" t="str">
        <f>IFERROR(__xludf.DUMMYFUNCTION("""COMPUTED_VALUE"""),"#N/A")</f>
        <v>#N/A</v>
      </c>
      <c r="F1448" s="7" t="str">
        <f>IFERROR(__xludf.DUMMYFUNCTION("""COMPUTED_VALUE"""),"Not Pres. ")</f>
        <v>Not Pres. </v>
      </c>
      <c r="G1448" s="7" t="str">
        <f>IFERROR(__xludf.DUMMYFUNCTION("""COMPUTED_VALUE"""),"NP Findings Not Presenting ")</f>
        <v>NP Findings Not Presenting </v>
      </c>
      <c r="H1448" s="7"/>
      <c r="I1448" s="7" t="str">
        <f>IFERROR(__xludf.DUMMYFUNCTION("""COMPUTED_VALUE"""),"NP-Find")</f>
        <v>NP-Find</v>
      </c>
      <c r="J1448" s="7"/>
      <c r="K1448" s="7"/>
      <c r="L1448" s="8"/>
      <c r="M1448" s="7"/>
      <c r="N1448" s="7"/>
    </row>
    <row r="1449">
      <c r="A1449" s="7" t="str">
        <f>IFERROR(__xludf.DUMMYFUNCTION("""COMPUTED_VALUE"""),"5384-FIND")</f>
        <v>5384-FIND</v>
      </c>
      <c r="B1449" s="7" t="str">
        <f>IFERROR(__xludf.DUMMYFUNCTION("""COMPUTED_VALUE"""),"CSTRL: Context-Driven Sequential Transfer Learning for Abstractive Radiology Report Summarization")</f>
        <v>CSTRL: Context-Driven Sequential Transfer Learning for Abstractive Radiology Report Summarization</v>
      </c>
      <c r="C1449" s="7" t="str">
        <f>IFERROR(__xludf.DUMMYFUNCTION("""COMPUTED_VALUE"""),"A radiology report comprises several sections, including the Findings and Impression of the diagnosis. Automatically generating the Impression from the Findings is crucial for reducing radiologists' workload and improving diagnostic accuracy. Pretrained m"&amp;"odels that excel in common abstractive summarization problems encounter challenges when applied to specialized medical domains largely due to the complex terminology and the necessity for accurate clinical context. Such tasks in medical domains demand ext"&amp;"racting core information, avoiding context shifts, and maintaining proper flow. Misuse of medical terms can lead to drastic clinical errors. To address these issues, we introduce a sequential transfer learning that ensures key content extraction and coher"&amp;"ent summarization. Sequential transfer learning often faces challenges like initial parameter decay and knowledge loss, which we resolve with the Fisher matrix regularization. Using MIMIC-CXR and Open-I datasets, our model, CSTRL — Context-driven Sequenti"&amp;"al TRansfer Learning — achieved state-of-the-art performance, showing 56.2% improvement in BLEU-1, 40.5% in BLEU-2, 84.3% in BLEU-3, 28.9% in ROUGE-1, 41.0% in ROUGE-2 and 26.5% in ROGUE-3 score over benchmark studies. We also analyze factual consistency "&amp;"scores while preserving the medical context. Our code is publicly available at TBA.")</f>
        <v>A radiology report comprises several sections, including the Findings and Impression of the diagnosis. Automatically generating the Impression from the Findings is crucial for reducing radiologists' workload and improving diagnostic accuracy. Pretrained models that excel in common abstractive summarization problems encounter challenges when applied to specialized medical domains largely due to the complex terminology and the necessity for accurate clinical context. Such tasks in medical domains demand extracting core information, avoiding context shifts, and maintaining proper flow. Misuse of medical terms can lead to drastic clinical errors. To address these issues, we introduce a sequential transfer learning that ensures key content extraction and coherent summarization. Sequential transfer learning often faces challenges like initial parameter decay and knowledge loss, which we resolve with the Fisher matrix regularization. Using MIMIC-CXR and Open-I datasets, our model, CSTRL — Context-driven Sequential TRansfer Learning — achieved state-of-the-art performance, showing 56.2% improvement in BLEU-1, 40.5% in BLEU-2, 84.3% in BLEU-3, 28.9% in ROUGE-1, 41.0% in ROUGE-2 and 26.5% in ROGUE-3 score over benchmark studies. We also analyze factual consistency scores while preserving the medical context. Our code is publicly available at TBA.</v>
      </c>
      <c r="D1449" s="7" t="str">
        <f>IFERROR(__xludf.DUMMYFUNCTION("""COMPUTED_VALUE"""),"N/A")</f>
        <v>N/A</v>
      </c>
      <c r="E1449" s="7" t="str">
        <f>IFERROR(__xludf.DUMMYFUNCTION("""COMPUTED_VALUE"""),"#N/A")</f>
        <v>#N/A</v>
      </c>
      <c r="F1449" s="7" t="str">
        <f>IFERROR(__xludf.DUMMYFUNCTION("""COMPUTED_VALUE"""),"Not Pres. ")</f>
        <v>Not Pres. </v>
      </c>
      <c r="G1449" s="7" t="str">
        <f>IFERROR(__xludf.DUMMYFUNCTION("""COMPUTED_VALUE"""),"NP Findings Not Presenting ")</f>
        <v>NP Findings Not Presenting </v>
      </c>
      <c r="H1449" s="7"/>
      <c r="I1449" s="7" t="str">
        <f>IFERROR(__xludf.DUMMYFUNCTION("""COMPUTED_VALUE"""),"NP-Find")</f>
        <v>NP-Find</v>
      </c>
      <c r="J1449" s="7"/>
      <c r="K1449" s="7"/>
      <c r="L1449" s="8"/>
      <c r="M1449" s="7"/>
      <c r="N1449" s="7"/>
    </row>
    <row r="1450">
      <c r="A1450" s="7" t="str">
        <f>IFERROR(__xludf.DUMMYFUNCTION("""COMPUTED_VALUE"""),"5393-FIND")</f>
        <v>5393-FIND</v>
      </c>
      <c r="B1450" s="7" t="str">
        <f>IFERROR(__xludf.DUMMYFUNCTION("""COMPUTED_VALUE"""),"Rethinking Prompt-based Debiasing in Large Language Model")</f>
        <v>Rethinking Prompt-based Debiasing in Large Language Model</v>
      </c>
      <c r="C1450" s="7" t="str">
        <f>IFERROR(__xludf.DUMMYFUNCTION("""COMPUTED_VALUE"""),"Investigating bias in large language models (LLMs) is crucial for developing trustworthy AI. While prompt-based through prompt engineering is common, its effectiveness relies on the assumption that models inherently understand biases. Our study systematic"&amp;"ally analyzed this assumption using the BBQ and StereoSet benchmarks on both open-source models as well as commercial GPT model. Experimental results indicate that prompt-based is often superficial; for instance, the Llama2-7B-Chat model misclassified ove"&amp;"r 90% of unbiased content as biased, despite achieving high accuracy in identifying bias issues on the BBQ dataset. Additionally, specific evaluation and question settings in bias benchmarks often lead LLMs to choose ""evasive answers"", disregarding the "&amp;"core of the question and the relevance of the response to the context. Moreover, the apparent success of previous methods may stem from flawed evaluation metrics. Our research highlights a potential ""false prosperity"" in prompt-base efforts and emphasiz"&amp;"es the need to rethink bias evaluation metrics to ensure truly trustworthy AI. We will release our data and code upon acceptance.")</f>
        <v>Investigating bias in large language models (LLMs) is crucial for developing trustworthy AI. While prompt-based through prompt engineering is common, its effectiveness relies on the assumption that models inherently understand biases. Our study systematically analyzed this assumption using the BBQ and StereoSet benchmarks on both open-source models as well as commercial GPT model. Experimental results indicate that prompt-based is often superficial; for instance, the Llama2-7B-Chat model misclassified over 90% of unbiased content as biased, despite achieving high accuracy in identifying bias issues on the BBQ dataset. Additionally, specific evaluation and question settings in bias benchmarks often lead LLMs to choose "evasive answers", disregarding the core of the question and the relevance of the response to the context. Moreover, the apparent success of previous methods may stem from flawed evaluation metrics. Our research highlights a potential "false prosperity" in prompt-base efforts and emphasizes the need to rethink bias evaluation metrics to ensure truly trustworthy AI. We will release our data and code upon acceptance.</v>
      </c>
      <c r="D1450" s="7" t="str">
        <f>IFERROR(__xludf.DUMMYFUNCTION("""COMPUTED_VALUE"""),"Xinyi Yang")</f>
        <v>Xinyi Yang</v>
      </c>
      <c r="E1450" s="7" t="str">
        <f>IFERROR(__xludf.DUMMYFUNCTION("""COMPUTED_VALUE"""),"Yes")</f>
        <v>Yes</v>
      </c>
      <c r="F1450" s="7" t="str">
        <f>IFERROR(__xludf.DUMMYFUNCTION("""COMPUTED_VALUE"""),"V-Presentation")</f>
        <v>V-Presentation</v>
      </c>
      <c r="G1450" s="7" t="str">
        <f>IFERROR(__xludf.DUMMYFUNCTION("""COMPUTED_VALUE"""),"Virtual/Gather")</f>
        <v>Virtual/Gather</v>
      </c>
      <c r="H1450" s="7" t="str">
        <f>IFERROR(__xludf.DUMMYFUNCTION("""COMPUTED_VALUE"""),"Gather")</f>
        <v>Gather</v>
      </c>
      <c r="I1450" s="7" t="str">
        <f>IFERROR(__xludf.DUMMYFUNCTION("""COMPUTED_VALUE"""),"Session5: V-Gather Find")</f>
        <v>Session5: V-Gather Find</v>
      </c>
      <c r="J1450" s="7" t="str">
        <f>IFERROR(__xludf.DUMMYFUNCTION("""COMPUTED_VALUE"""),"Findings Posters - Virtual")</f>
        <v>Findings Posters - Virtual</v>
      </c>
      <c r="K1450" s="7"/>
      <c r="L1450" s="8">
        <f>IFERROR(__xludf.DUMMYFUNCTION("""COMPUTED_VALUE"""),45866.0)</f>
        <v>45866</v>
      </c>
      <c r="M1450" s="7" t="str">
        <f>IFERROR(__xludf.DUMMYFUNCTION("""COMPUTED_VALUE"""),"18:00-19:30")</f>
        <v>18:00-19:30</v>
      </c>
      <c r="N1450" s="7"/>
    </row>
    <row r="1451">
      <c r="A1451" s="7" t="str">
        <f>IFERROR(__xludf.DUMMYFUNCTION("""COMPUTED_VALUE"""),"5394-FIND")</f>
        <v>5394-FIND</v>
      </c>
      <c r="B1451" s="7" t="str">
        <f>IFERROR(__xludf.DUMMYFUNCTION("""COMPUTED_VALUE"""),"Exploring In-context Example Generation for Machine Translation")</f>
        <v>Exploring In-context Example Generation for Machine Translation</v>
      </c>
      <c r="C1451" s="7" t="str">
        <f>IFERROR(__xludf.DUMMYFUNCTION("""COMPUTED_VALUE"""),"Large language models (LLMs) have demonstrated strong performance across various tasks, leveraging their exceptional reasoning abilities with only a few examples.
LLMs have led to a growing body of research in machine translation that focuses on selecting"&amp;" optimal demonstrations.
However, these studies presuppose the presence of a demonstration pool with human-annotated pairs, making them less applicable to low-resource languages where such an assumption is challenging to meet.
To overcome this limitation,"&amp;" this paper explores the research direction of in-context example generation for machine translation.
Specifically, we propose Demonstration Augmentation for Translation (DAT), a simple yet effective approach that generates example pairs without relying o"&amp;"n human-annotated data.
This method builds upon two prior criteria, relevance and diversity, which have been highlighted in previous work as key factors for in-context example selection.
Our experiments and analysis primarily focus on low-resource languag"&amp;"es where human-annotated pairs are scarce. 
For these languages, DAT achieves superior translation quality compared to the baselines.
Furthermore, we investigate the potential of progressively accumulating generated pairs during test time to build and reu"&amp;"se a demonstration pool. 
Code will be public upon acceptance to support research.")</f>
        <v>Large language models (LLMs) have demonstrated strong performance across various tasks, leveraging their exceptional reasoning abilities with only a few examples.
LLMs have led to a growing body of research in machine translation that focuses on selecting optimal demonstrations.
However, these studies presuppose the presence of a demonstration pool with human-annotated pairs, making them less applicable to low-resource languages where such an assumption is challenging to meet.
To overcome this limitation, this paper explores the research direction of in-context example generation for machine translation.
Specifically, we propose Demonstration Augmentation for Translation (DAT), a simple yet effective approach that generates example pairs without relying on human-annotated data.
This method builds upon two prior criteria, relevance and diversity, which have been highlighted in previous work as key factors for in-context example selection.
Our experiments and analysis primarily focus on low-resource languages where human-annotated pairs are scarce. 
For these languages, DAT achieves superior translation quality compared to the baselines.
Furthermore, we investigate the potential of progressively accumulating generated pairs during test time to build and reuse a demonstration pool. 
Code will be public upon acceptance to support research.</v>
      </c>
      <c r="D1451" s="7" t="str">
        <f>IFERROR(__xludf.DUMMYFUNCTION("""COMPUTED_VALUE"""),"-")</f>
        <v>-</v>
      </c>
      <c r="E1451" s="7" t="str">
        <f>IFERROR(__xludf.DUMMYFUNCTION("""COMPUTED_VALUE"""),"#N/A")</f>
        <v>#N/A</v>
      </c>
      <c r="F1451" s="7" t="str">
        <f>IFERROR(__xludf.DUMMYFUNCTION("""COMPUTED_VALUE"""),"Not Pres. ")</f>
        <v>Not Pres. </v>
      </c>
      <c r="G1451" s="7" t="str">
        <f>IFERROR(__xludf.DUMMYFUNCTION("""COMPUTED_VALUE"""),"NP Findings Not Presenting ")</f>
        <v>NP Findings Not Presenting </v>
      </c>
      <c r="H1451" s="7"/>
      <c r="I1451" s="7" t="str">
        <f>IFERROR(__xludf.DUMMYFUNCTION("""COMPUTED_VALUE"""),"NP-Find")</f>
        <v>NP-Find</v>
      </c>
      <c r="J1451" s="7"/>
      <c r="K1451" s="7"/>
      <c r="L1451" s="8"/>
      <c r="M1451" s="7"/>
      <c r="N1451" s="7"/>
    </row>
    <row r="1452">
      <c r="A1452" s="7" t="str">
        <f>IFERROR(__xludf.DUMMYFUNCTION("""COMPUTED_VALUE"""),"5402-FIND")</f>
        <v>5402-FIND</v>
      </c>
      <c r="B1452" s="7" t="str">
        <f>IFERROR(__xludf.DUMMYFUNCTION("""COMPUTED_VALUE"""),"Knowledge Base Construction for Knowledge-Augmented Text-to-SQL")</f>
        <v>Knowledge Base Construction for Knowledge-Augmented Text-to-SQL</v>
      </c>
      <c r="C1452" s="7" t="str">
        <f>IFERROR(__xludf.DUMMYFUNCTION("""COMPUTED_VALUE"""),"Text-to-SQL aims to translate natural language queries into SQL statements, which is practical as it enables anyone to easily retrieve the desired information from databases. Recently, many existing approaches tackle this problem with Large Language Model"&amp;"s (LLMs), leveraging their strong capability in understanding user queries and generating corresponding SQL code. Yet, the parametric knowledge in LLMs might be limited to covering all the diverse and domain-specific queries that require grounding in vari"&amp;"ous database schemas, which makes generated SQLs less accurate oftentimes. To tackle this, we propose constructing the knowledge base for text-to-SQL, a foundational source of knowledge, from which we retrieve and generate the necessary knowledge for give"&amp;"n queries. In particular, unlike existing approaches that either manually annotate knowledge or generate only a few pieces of knowledge for each query, our knowledge base is comprehensive, which is constructed based on a combination of all the available q"&amp;"uestions and their associated database schemas along with their relevant knowledge, and can be reused for unseen databases from different datasets and domains. We validate our approach on multiple text-to-SQL datasets, considering both the overlapping and"&amp;" non-overlapping database scenarios, where it outperforms relevant baselines substantially.")</f>
        <v>Text-to-SQL aims to translate natural language queries into SQL statements, which is practical as it enables anyone to easily retrieve the desired information from databases. Recently, many existing approaches tackle this problem with Large Language Models (LLMs), leveraging their strong capability in understanding user queries and generating corresponding SQL code. Yet, the parametric knowledge in LLMs might be limited to covering all the diverse and domain-specific queries that require grounding in various database schemas, which makes generated SQLs less accurate oftentimes. To tackle this, we propose constructing the knowledge base for text-to-SQL, a foundational source of knowledge, from which we retrieve and generate the necessary knowledge for given queries. In particular, unlike existing approaches that either manually annotate knowledge or generate only a few pieces of knowledge for each query, our knowledge base is comprehensive, which is constructed based on a combination of all the available questions and their associated database schemas along with their relevant knowledge, and can be reused for unseen databases from different datasets and domains. We validate our approach on multiple text-to-SQL datasets, considering both the overlapping and non-overlapping database scenarios, where it outperforms relevant baselines substantially.</v>
      </c>
      <c r="D1452" s="7" t="str">
        <f>IFERROR(__xludf.DUMMYFUNCTION("""COMPUTED_VALUE"""),"Jinheon Baek")</f>
        <v>Jinheon Baek</v>
      </c>
      <c r="E1452" s="7" t="str">
        <f>IFERROR(__xludf.DUMMYFUNCTION("""COMPUTED_VALUE"""),"Yes")</f>
        <v>Yes</v>
      </c>
      <c r="F1452" s="7" t="str">
        <f>IFERROR(__xludf.DUMMYFUNCTION("""COMPUTED_VALUE"""),"IP-Poster")</f>
        <v>IP-Poster</v>
      </c>
      <c r="G1452" s="7" t="str">
        <f>IFERROR(__xludf.DUMMYFUNCTION("""COMPUTED_VALUE"""),"In-Person")</f>
        <v>In-Person</v>
      </c>
      <c r="H1452" s="7" t="str">
        <f>IFERROR(__xludf.DUMMYFUNCTION("""COMPUTED_VALUE"""),"Hall 4/5")</f>
        <v>Hall 4/5</v>
      </c>
      <c r="I1452" s="7" t="str">
        <f>IFERROR(__xludf.DUMMYFUNCTION("""COMPUTED_VALUE"""),"Session 5 :IP-Posters Find ")</f>
        <v>Session 5 :IP-Posters Find </v>
      </c>
      <c r="J1452" s="7" t="str">
        <f>IFERROR(__xludf.DUMMYFUNCTION("""COMPUTED_VALUE"""),"Findings Posters - In-Person 1")</f>
        <v>Findings Posters - In-Person 1</v>
      </c>
      <c r="K1452" s="7"/>
      <c r="L1452" s="8">
        <f>IFERROR(__xludf.DUMMYFUNCTION("""COMPUTED_VALUE"""),45866.0)</f>
        <v>45866</v>
      </c>
      <c r="M1452" s="7" t="str">
        <f>IFERROR(__xludf.DUMMYFUNCTION("""COMPUTED_VALUE"""),"18:00-19:30")</f>
        <v>18:00-19:30</v>
      </c>
      <c r="N1452" s="7"/>
    </row>
    <row r="1453">
      <c r="A1453" s="7" t="str">
        <f>IFERROR(__xludf.DUMMYFUNCTION("""COMPUTED_VALUE"""),"5403-FIND")</f>
        <v>5403-FIND</v>
      </c>
      <c r="B1453" s="7" t="str">
        <f>IFERROR(__xludf.DUMMYFUNCTION("""COMPUTED_VALUE"""),"NBDESCRIB: A Dataset for Text Description Generation from Tables and Code in Jupyter Notebooks with Guidelines")</f>
        <v>NBDESCRIB: A Dataset for Text Description Generation from Tables and Code in Jupyter Notebooks with Guidelines</v>
      </c>
      <c r="C1453" s="7" t="str">
        <f>IFERROR(__xludf.DUMMYFUNCTION("""COMPUTED_VALUE"""),"Generating cell-level descriptions for Jupyter Notebooks, which is a major resource consisting of codes, tables, and descriptions, has been attracting increasing research attention. However, existing methods for Jupyter Notebooks mostly focus on generatin"&amp;"g descriptions from code snippets or table outputs independently. On the other side, descriptions should be personalized as users have different purposes in different scenarios while previous work ignored this situation during description generation. In t"&amp;"his work, we formulate a new task, personalized description generation with code, tables,and user-written guidelines in Jupyter Notebooks. To evaluate this new task, we collect and propose a benchmark, namely NBDESCRIB, containing code, tables, and user-w"&amp;"ritten guidelines as inputs and personalized descriptions as targets. Extensive experiments show that while existing models of text generation are able to generate fluent and readable descriptions, they still struggle to produce factually correct descript"&amp;"ions without user-written guidelines. CodeT5 achieved the highest scores in Orientation (1.27) and Correctness (-0.43) among foundation models in human evaluation, while the ground truth scored higher in Orientation (1.45) and Correctness (1.19). Common e"&amp;"rror patterns involve misalignment with guidelines, incorrect variable values, omission of im-031 portant code information, and reasoning errors.032 Moreover, ablation studies show that adding guidelines significantly enhances performance, both qualitativ"&amp;"ely and quantitatively.")</f>
        <v>Generating cell-level descriptions for Jupyter Notebooks, which is a major resource consisting of codes, tables, and descriptions, has been attracting increasing research attention. However, existing methods for Jupyter Notebooks mostly focus on generating descriptions from code snippets or table outputs independently. On the other side, descriptions should be personalized as users have different purposes in different scenarios while previous work ignored this situation during description generation. In this work, we formulate a new task, personalized description generation with code, tables,and user-written guidelines in Jupyter Notebooks. To evaluate this new task, we collect and propose a benchmark, namely NBDESCRIB, containing code, tables, and user-written guidelines as inputs and personalized descriptions as targets. Extensive experiments show that while existing models of text generation are able to generate fluent and readable descriptions, they still struggle to produce factually correct descriptions without user-written guidelines. CodeT5 achieved the highest scores in Orientation (1.27) and Correctness (-0.43) among foundation models in human evaluation, while the ground truth scored higher in Orientation (1.45) and Correctness (1.19). Common error patterns involve misalignment with guidelines, incorrect variable values, omission of im-031 portant code information, and reasoning errors.032 Moreover, ablation studies show that adding guidelines significantly enhances performance, both qualitatively and quantitatively.</v>
      </c>
      <c r="D1453" s="7" t="str">
        <f>IFERROR(__xludf.DUMMYFUNCTION("""COMPUTED_VALUE"""),"Xuye Liu")</f>
        <v>Xuye Liu</v>
      </c>
      <c r="E1453" s="7" t="str">
        <f>IFERROR(__xludf.DUMMYFUNCTION("""COMPUTED_VALUE"""),"Yes")</f>
        <v>Yes</v>
      </c>
      <c r="F1453" s="7" t="str">
        <f>IFERROR(__xludf.DUMMYFUNCTION("""COMPUTED_VALUE"""),"V-Presentation")</f>
        <v>V-Presentation</v>
      </c>
      <c r="G1453" s="7" t="str">
        <f>IFERROR(__xludf.DUMMYFUNCTION("""COMPUTED_VALUE"""),"Virtual/Gather")</f>
        <v>Virtual/Gather</v>
      </c>
      <c r="H1453" s="7" t="str">
        <f>IFERROR(__xludf.DUMMYFUNCTION("""COMPUTED_VALUE"""),"Gather")</f>
        <v>Gather</v>
      </c>
      <c r="I1453" s="7" t="str">
        <f>IFERROR(__xludf.DUMMYFUNCTION("""COMPUTED_VALUE"""),"Session5: V-Gather Find")</f>
        <v>Session5: V-Gather Find</v>
      </c>
      <c r="J1453" s="7" t="str">
        <f>IFERROR(__xludf.DUMMYFUNCTION("""COMPUTED_VALUE"""),"Findings Posters - Virtual")</f>
        <v>Findings Posters - Virtual</v>
      </c>
      <c r="K1453" s="7"/>
      <c r="L1453" s="8">
        <f>IFERROR(__xludf.DUMMYFUNCTION("""COMPUTED_VALUE"""),45866.0)</f>
        <v>45866</v>
      </c>
      <c r="M1453" s="7" t="str">
        <f>IFERROR(__xludf.DUMMYFUNCTION("""COMPUTED_VALUE"""),"11:00-12:30")</f>
        <v>11:00-12:30</v>
      </c>
      <c r="N1453" s="7"/>
    </row>
    <row r="1454">
      <c r="A1454" s="7" t="str">
        <f>IFERROR(__xludf.DUMMYFUNCTION("""COMPUTED_VALUE"""),"5407-FIND")</f>
        <v>5407-FIND</v>
      </c>
      <c r="B1454" s="7" t="str">
        <f>IFERROR(__xludf.DUMMYFUNCTION("""COMPUTED_VALUE"""),"ECoRAG: Evidentiality-guided Compression for Long Context RAG")</f>
        <v>ECoRAG: Evidentiality-guided Compression for Long Context RAG</v>
      </c>
      <c r="C1454" s="7" t="str">
        <f>IFERROR(__xludf.DUMMYFUNCTION("""COMPUTED_VALUE"""),"Large Language Models (LLMs) have shown remarkable performance in Open-Domain Question Answering (ODQA) by leveraging external documents through Retrieval-Augmented Generation (RAG). To reduce RAG overhead, from longer context, context compression is nece"&amp;"ssary. However, prior compression methods do not focus on filtering out non-evidential information, which limit the performance in LLM-based RAG. We thus propose Evidentiality-guided RAG, or ECoRAG framework. ECoRAG improves LLM performance by compressing"&amp;" retrieved documents based on evidentiality, ensuring whether answer generation is supported by the correct evidence. As additional step, ECoRAG reflects whether the compressed content provides sufficient evidence, and if not, retrieves more until suffici"&amp;"ent. Experiments show that ECoRAG improves LLM performance on ODQA tasks, outperforming existing compression methods. Furthermore, ECoRAG is highly cost-efficient, as it not only reduces latency but also minimizes token usage by retaining only the necessa"&amp;"ry information to generate the correct answer.\footnote{https://anonymous.4open.science/r/ecorag-54BF}")</f>
        <v>Large Language Models (LLMs) have shown remarkable performance in Open-Domain Question Answering (ODQA) by leveraging external documents through Retrieval-Augmented Generation (RAG). To reduce RAG overhead, from longer context, context compression is necessary. However, prior compression methods do not focus on filtering out non-evidential information, which limit the performance in LLM-based RAG. We thus propose Evidentiality-guided RAG, or ECoRAG framework. ECoRAG improves LLM performance by compressing retrieved documents based on evidentiality, ensuring whether answer generation is supported by the correct evidence. As additional step, ECoRAG reflects whether the compressed content provides sufficient evidence, and if not, retrieves more until sufficient. Experiments show that ECoRAG improves LLM performance on ODQA tasks, outperforming existing compression methods. Furthermore, ECoRAG is highly cost-efficient, as it not only reduces latency but also minimizes token usage by retaining only the necessary information to generate the correct answer.\footnote{https://anonymous.4open.science/r/ecorag-54BF}</v>
      </c>
      <c r="D1454" s="7" t="str">
        <f>IFERROR(__xludf.DUMMYFUNCTION("""COMPUTED_VALUE"""),"Yeonseok Jeong")</f>
        <v>Yeonseok Jeong</v>
      </c>
      <c r="E1454" s="7" t="str">
        <f>IFERROR(__xludf.DUMMYFUNCTION("""COMPUTED_VALUE"""),"#N/A")</f>
        <v>#N/A</v>
      </c>
      <c r="F1454" s="7" t="str">
        <f>IFERROR(__xludf.DUMMYFUNCTION("""COMPUTED_VALUE"""),"Not Pres. ")</f>
        <v>Not Pres. </v>
      </c>
      <c r="G1454" s="7" t="str">
        <f>IFERROR(__xludf.DUMMYFUNCTION("""COMPUTED_VALUE"""),"NP Findings Not Presenting ")</f>
        <v>NP Findings Not Presenting </v>
      </c>
      <c r="H1454" s="7"/>
      <c r="I1454" s="7" t="str">
        <f>IFERROR(__xludf.DUMMYFUNCTION("""COMPUTED_VALUE"""),"NP-Find")</f>
        <v>NP-Find</v>
      </c>
      <c r="J1454" s="7"/>
      <c r="K1454" s="7"/>
      <c r="L1454" s="8"/>
      <c r="M1454" s="7"/>
      <c r="N1454" s="7"/>
    </row>
    <row r="1455">
      <c r="A1455" s="7" t="str">
        <f>IFERROR(__xludf.DUMMYFUNCTION("""COMPUTED_VALUE"""),"5435-FIND")</f>
        <v>5435-FIND</v>
      </c>
      <c r="B1455" s="7" t="str">
        <f>IFERROR(__xludf.DUMMYFUNCTION("""COMPUTED_VALUE"""),"From Complexity to Clarity: AI/NLP's Role in Regulatory Compliance")</f>
        <v>From Complexity to Clarity: AI/NLP's Role in Regulatory Compliance</v>
      </c>
      <c r="C1455" s="7" t="str">
        <f>IFERROR(__xludf.DUMMYFUNCTION("""COMPUTED_VALUE"""),"Regulatory compliance is a cornerstone of trust and accountability in critical sectors like finance, healthcare, and technology, yet its complexity poses significant challenges for organizations worldwide. Recent advances in natural language processing, p"&amp;"articularly large language models, have demonstrated remarkable capabilities in text analysis and reasoning, offering promising solutions for automating compliance processes. This survey examines the current state of automated compliance, analyzing key ch"&amp;"allenges and approaches across problem areas. We identify critical limitations in current automated compliance datasets and techniques, including issues of adaptability, completeness, and trust. Looking ahead, we propose research directions to address the"&amp;"se challenges, emphasizing standardized evaluation frameworks and balanced human-AI collaboration.")</f>
        <v>Regulatory compliance is a cornerstone of trust and accountability in critical sectors like finance, healthcare, and technology, yet its complexity poses significant challenges for organizations worldwide. Recent advances in natural language processing, particularly large language models, have demonstrated remarkable capabilities in text analysis and reasoning, offering promising solutions for automating compliance processes. This survey examines the current state of automated compliance, analyzing key challenges and approaches across problem areas. We identify critical limitations in current automated compliance datasets and techniques, including issues of adaptability, completeness, and trust. Looking ahead, we propose research directions to address these challenges, emphasizing standardized evaluation frameworks and balanced human-AI collaboration.</v>
      </c>
      <c r="D1455" s="7" t="str">
        <f>IFERROR(__xludf.DUMMYFUNCTION("""COMPUTED_VALUE"""),"Jivitesh Jain, Nivedhitha Dhanasekaran")</f>
        <v>Jivitesh Jain, Nivedhitha Dhanasekaran</v>
      </c>
      <c r="E1455" s="7" t="str">
        <f>IFERROR(__xludf.DUMMYFUNCTION("""COMPUTED_VALUE"""),"Yes")</f>
        <v>Yes</v>
      </c>
      <c r="F1455" s="7" t="str">
        <f>IFERROR(__xludf.DUMMYFUNCTION("""COMPUTED_VALUE"""),"IP-Poster")</f>
        <v>IP-Poster</v>
      </c>
      <c r="G1455" s="7" t="str">
        <f>IFERROR(__xludf.DUMMYFUNCTION("""COMPUTED_VALUE"""),"In-Person")</f>
        <v>In-Person</v>
      </c>
      <c r="H1455" s="7" t="str">
        <f>IFERROR(__xludf.DUMMYFUNCTION("""COMPUTED_VALUE"""),"Hall 4/5")</f>
        <v>Hall 4/5</v>
      </c>
      <c r="I1455" s="7" t="str">
        <f>IFERROR(__xludf.DUMMYFUNCTION("""COMPUTED_VALUE"""),"Session 12: IP-Posters")</f>
        <v>Session 12: IP-Posters</v>
      </c>
      <c r="J1455" s="7" t="str">
        <f>IFERROR(__xludf.DUMMYFUNCTION("""COMPUTED_VALUE"""),"Findings Posters - In-Person 4")</f>
        <v>Findings Posters - In-Person 4</v>
      </c>
      <c r="K1455" s="7"/>
      <c r="L1455" s="8">
        <f>IFERROR(__xludf.DUMMYFUNCTION("""COMPUTED_VALUE"""),45868.0)</f>
        <v>45868</v>
      </c>
      <c r="M1455" s="7" t="str">
        <f>IFERROR(__xludf.DUMMYFUNCTION("""COMPUTED_VALUE"""),"11:00-12:30")</f>
        <v>11:00-12:30</v>
      </c>
      <c r="N1455" s="7"/>
    </row>
    <row r="1456">
      <c r="A1456" s="7" t="str">
        <f>IFERROR(__xludf.DUMMYFUNCTION("""COMPUTED_VALUE"""),"5436-FIND")</f>
        <v>5436-FIND</v>
      </c>
      <c r="B1456" s="7" t="str">
        <f>IFERROR(__xludf.DUMMYFUNCTION("""COMPUTED_VALUE"""),"EXPERT: An Explainable Image Captioning Evaluation Metric with Structured Explanations")</f>
        <v>EXPERT: An Explainable Image Captioning Evaluation Metric with Structured Explanations</v>
      </c>
      <c r="C1456" s="7" t="str">
        <f>IFERROR(__xludf.DUMMYFUNCTION("""COMPUTED_VALUE"""),"Recent explainable metrics for image captioning aim to provide both scores and explanations for their evaluations. However, these metrics generate explanations without standardized criteria, and the overall quality of the generated explanations remains un"&amp;"verified. In this paper, we propose EXPERT, a reference-free evaluation metric that provides structured explanations based on three fundamental criteria: fluency, relevance, and descriptiveness. By constructing large-scale datasets of high-quality structu"&amp;"red explanations, we develop a two-stage evaluation template to effectively supervise a vision-language model for both scoring and explanation generation. EXPERT achieves state-of-the-art results on benchmark datasets while providing significantly higher-"&amp;"quality explanations than existing metrics, as validated through comprehensive human evaluation.")</f>
        <v>Recent explainable metrics for image captioning aim to provide both scores and explanations for their evaluations. However, these metrics generate explanations without standardized criteria, and the overall quality of the generated explanations remains unverified. In this paper, we propose EXPERT, a reference-free evaluation metric that provides structured explanations based on three fundamental criteria: fluency, relevance, and descriptiveness. By constructing large-scale datasets of high-quality structured explanations, we develop a two-stage evaluation template to effectively supervise a vision-language model for both scoring and explanation generation. EXPERT achieves state-of-the-art results on benchmark datasets while providing significantly higher-quality explanations than existing metrics, as validated through comprehensive human evaluation.</v>
      </c>
      <c r="D1456" s="7" t="str">
        <f>IFERROR(__xludf.DUMMYFUNCTION("""COMPUTED_VALUE"""),"Hyunjong Kim")</f>
        <v>Hyunjong Kim</v>
      </c>
      <c r="E1456" s="7" t="str">
        <f>IFERROR(__xludf.DUMMYFUNCTION("""COMPUTED_VALUE"""),"Yes")</f>
        <v>Yes</v>
      </c>
      <c r="F1456" s="7" t="str">
        <f>IFERROR(__xludf.DUMMYFUNCTION("""COMPUTED_VALUE"""),"IP-Poster")</f>
        <v>IP-Poster</v>
      </c>
      <c r="G1456" s="7" t="str">
        <f>IFERROR(__xludf.DUMMYFUNCTION("""COMPUTED_VALUE"""),"In-Person")</f>
        <v>In-Person</v>
      </c>
      <c r="H1456" s="7" t="str">
        <f>IFERROR(__xludf.DUMMYFUNCTION("""COMPUTED_VALUE"""),"Hall 4/5")</f>
        <v>Hall 4/5</v>
      </c>
      <c r="I1456" s="7" t="str">
        <f>IFERROR(__xludf.DUMMYFUNCTION("""COMPUTED_VALUE"""),"Session 10: IP-Posters")</f>
        <v>Session 10: IP-Posters</v>
      </c>
      <c r="J1456" s="7" t="str">
        <f>IFERROR(__xludf.DUMMYFUNCTION("""COMPUTED_VALUE"""),"Findings Posters - In-Person 3")</f>
        <v>Findings Posters - In-Person 3</v>
      </c>
      <c r="K1456" s="7"/>
      <c r="L1456" s="8">
        <f>IFERROR(__xludf.DUMMYFUNCTION("""COMPUTED_VALUE"""),45867.0)</f>
        <v>45867</v>
      </c>
      <c r="M1456" s="7" t="str">
        <f>IFERROR(__xludf.DUMMYFUNCTION("""COMPUTED_VALUE"""),"16:00-17:30")</f>
        <v>16:00-17:30</v>
      </c>
      <c r="N1456" s="7"/>
    </row>
    <row r="1457">
      <c r="A1457" s="7" t="str">
        <f>IFERROR(__xludf.DUMMYFUNCTION("""COMPUTED_VALUE"""),"5437-FIND")</f>
        <v>5437-FIND</v>
      </c>
      <c r="B1457" s="7" t="str">
        <f>IFERROR(__xludf.DUMMYFUNCTION("""COMPUTED_VALUE"""),"Mind Your Theory: Theory of Mind Goes Deeper Than Reasoning")</f>
        <v>Mind Your Theory: Theory of Mind Goes Deeper Than Reasoning</v>
      </c>
      <c r="C1457" s="7" t="str">
        <f>IFERROR(__xludf.DUMMYFUNCTION("""COMPUTED_VALUE"""),"Theory of Mind (ToM) capabilities in LLMs have recently become a central object of investigation, sparking debates and discussions. In this position paper, we explore many lines of work in different communities in AI and cognitive science. Inspired by cog"&amp;"nitive work, we view ToM tasks as a two-step process: (I) first, determining whether and how to invoke ToM, which includes setting the appropriate Depth of Mentalizing (DoM); and (II) second, applying correct inference given the appropriate DoM. We identi"&amp;"fy that many works about ToM in LLMs, such as benchmarks and add-on modules, tend to unjustly overlook the first step and focus exclusively on the second one, which can be framed as static logic problems. We support our empirical evidence about the diffic"&amp;"ulty of the different steps in existing benchmarks. We conclude with suggestions for improved evaluation of ToM capabilities, inspired by dynamic environments used in cognitive tasks in biological agents.")</f>
        <v>Theory of Mind (ToM) capabilities in LLMs have recently become a central object of investigation, sparking debates and discussions. In this position paper, we explore many lines of work in different communities in AI and cognitive science. Inspired by cognitive work, we view ToM tasks as a two-step process: (I) first, determining whether and how to invoke ToM, which includes setting the appropriate Depth of Mentalizing (DoM); and (II) second, applying correct inference given the appropriate DoM. We identify that many works about ToM in LLMs, such as benchmarks and add-on modules, tend to unjustly overlook the first step and focus exclusively on the second one, which can be framed as static logic problems. We support our empirical evidence about the difficulty of the different steps in existing benchmarks. We conclude with suggestions for improved evaluation of ToM capabilities, inspired by dynamic environments used in cognitive tasks in biological agents.</v>
      </c>
      <c r="D1457" s="7" t="str">
        <f>IFERROR(__xludf.DUMMYFUNCTION("""COMPUTED_VALUE"""),"Eitan Wagner")</f>
        <v>Eitan Wagner</v>
      </c>
      <c r="E1457" s="7" t="str">
        <f>IFERROR(__xludf.DUMMYFUNCTION("""COMPUTED_VALUE"""),"Yes")</f>
        <v>Yes</v>
      </c>
      <c r="F1457" s="7" t="str">
        <f>IFERROR(__xludf.DUMMYFUNCTION("""COMPUTED_VALUE"""),"IP-Poster")</f>
        <v>IP-Poster</v>
      </c>
      <c r="G1457" s="7" t="str">
        <f>IFERROR(__xludf.DUMMYFUNCTION("""COMPUTED_VALUE"""),"In-Person")</f>
        <v>In-Person</v>
      </c>
      <c r="H1457" s="7" t="str">
        <f>IFERROR(__xludf.DUMMYFUNCTION("""COMPUTED_VALUE"""),"Hall 4/5")</f>
        <v>Hall 4/5</v>
      </c>
      <c r="I1457" s="7" t="str">
        <f>IFERROR(__xludf.DUMMYFUNCTION("""COMPUTED_VALUE"""),"Session 5 :IP-Posters Find ")</f>
        <v>Session 5 :IP-Posters Find </v>
      </c>
      <c r="J1457" s="7" t="str">
        <f>IFERROR(__xludf.DUMMYFUNCTION("""COMPUTED_VALUE"""),"Findings Posters - In-Person 1")</f>
        <v>Findings Posters - In-Person 1</v>
      </c>
      <c r="K1457" s="7"/>
      <c r="L1457" s="8">
        <f>IFERROR(__xludf.DUMMYFUNCTION("""COMPUTED_VALUE"""),45866.0)</f>
        <v>45866</v>
      </c>
      <c r="M1457" s="7" t="str">
        <f>IFERROR(__xludf.DUMMYFUNCTION("""COMPUTED_VALUE"""),"18:00-19:30")</f>
        <v>18:00-19:30</v>
      </c>
      <c r="N1457" s="7"/>
    </row>
    <row r="1458">
      <c r="A1458" s="7" t="str">
        <f>IFERROR(__xludf.DUMMYFUNCTION("""COMPUTED_VALUE"""),"5449-FIND")</f>
        <v>5449-FIND</v>
      </c>
      <c r="B1458" s="7" t="str">
        <f>IFERROR(__xludf.DUMMYFUNCTION("""COMPUTED_VALUE"""),"LLMs are Biased Evaluators But Not Biased for Retrieval Augmented Generation")</f>
        <v>LLMs are Biased Evaluators But Not Biased for Retrieval Augmented Generation</v>
      </c>
      <c r="C1458" s="7" t="str">
        <f>IFERROR(__xludf.DUMMYFUNCTION("""COMPUTED_VALUE"""),"Recent studies have demonstrated that large language models (LLMs) exhibit significant biases in evaluation tasks, particularly in preferentially rating and favoring self-generated content. However, the extent to which this bias manifests in fact-oriented"&amp;" tasks, especially within retrieval-augmented generation (RAG) frameworks—where keyword extraction and factual accuracy take precedence over stylistic elements—remains unclear. Our study addresses this knowledge gap by simulating two critical phases of th"&amp;"e RAG framework. In the first phase, LLMs evaluated human-authored and model-generated passages, emulating the pointwise reranking phase. The second phase involves conducting pairwise reading comprehension tests to simulate the generation phase. Contrary "&amp;"to previous findings indicating a self-preference in rating tasks, our results reveal no significant self-preference effect in RAG frameworks. Instead, we observe that factual accuracy significantly influences LLMs’ output, even in the absence of prior kn"&amp;"owledge. These findings are consistent among three common QA datasets (NQ, MARCO, TriviaQA Datasets) and 5 widely adopted language models (GPT-3.5, GPT-4o-mini, Gemini, LLaMA3, and Mistral). Our research contributes to the ongoing discourse on LLM biases "&amp;"and their implications for RAG-based system, offering insights that may inform the development of more robust and unbiased LLM systems.")</f>
        <v>Recent studies have demonstrated that large language models (LLMs) exhibit significant biases in evaluation tasks, particularly in preferentially rating and favoring self-generated content. However, the extent to which this bias manifests in fact-oriented tasks, especially within retrieval-augmented generation (RAG) frameworks—where keyword extraction and factual accuracy take precedence over stylistic elements—remains unclear. Our study addresses this knowledge gap by simulating two critical phases of the RAG framework. In the first phase, LLMs evaluated human-authored and model-generated passages, emulating the pointwise reranking phase. The second phase involves conducting pairwise reading comprehension tests to simulate the generation phase. Contrary to previous findings indicating a self-preference in rating tasks, our results reveal no significant self-preference effect in RAG frameworks. Instead, we observe that factual accuracy significantly influences LLMs’ output, even in the absence of prior knowledge. These findings are consistent among three common QA datasets (NQ, MARCO, TriviaQA Datasets) and 5 widely adopted language models (GPT-3.5, GPT-4o-mini, Gemini, LLaMA3, and Mistral). Our research contributes to the ongoing discourse on LLM biases and their implications for RAG-based system, offering insights that may inform the development of more robust and unbiased LLM systems.</v>
      </c>
      <c r="D1458" s="7" t="str">
        <f>IFERROR(__xludf.DUMMYFUNCTION("""COMPUTED_VALUE"""),"Yen-Shan Chen, Jing Jin")</f>
        <v>Yen-Shan Chen, Jing Jin</v>
      </c>
      <c r="E1458" s="7" t="str">
        <f>IFERROR(__xludf.DUMMYFUNCTION("""COMPUTED_VALUE"""),"Yes")</f>
        <v>Yes</v>
      </c>
      <c r="F1458" s="7" t="str">
        <f>IFERROR(__xludf.DUMMYFUNCTION("""COMPUTED_VALUE"""),"IP-Poster")</f>
        <v>IP-Poster</v>
      </c>
      <c r="G1458" s="7" t="str">
        <f>IFERROR(__xludf.DUMMYFUNCTION("""COMPUTED_VALUE"""),"In-Person")</f>
        <v>In-Person</v>
      </c>
      <c r="H1458" s="7" t="str">
        <f>IFERROR(__xludf.DUMMYFUNCTION("""COMPUTED_VALUE"""),"Hall 4/5")</f>
        <v>Hall 4/5</v>
      </c>
      <c r="I1458" s="7" t="str">
        <f>IFERROR(__xludf.DUMMYFUNCTION("""COMPUTED_VALUE"""),"Session 10: IP-Posters")</f>
        <v>Session 10: IP-Posters</v>
      </c>
      <c r="J1458" s="7" t="str">
        <f>IFERROR(__xludf.DUMMYFUNCTION("""COMPUTED_VALUE"""),"Findings Posters - In-Person 3")</f>
        <v>Findings Posters - In-Person 3</v>
      </c>
      <c r="K1458" s="7"/>
      <c r="L1458" s="8">
        <f>IFERROR(__xludf.DUMMYFUNCTION("""COMPUTED_VALUE"""),45867.0)</f>
        <v>45867</v>
      </c>
      <c r="M1458" s="7" t="str">
        <f>IFERROR(__xludf.DUMMYFUNCTION("""COMPUTED_VALUE"""),"16:00-17:30")</f>
        <v>16:00-17:30</v>
      </c>
      <c r="N1458" s="7"/>
    </row>
    <row r="1459">
      <c r="A1459" s="7" t="str">
        <f>IFERROR(__xludf.DUMMYFUNCTION("""COMPUTED_VALUE"""),"5453-FIND")</f>
        <v>5453-FIND</v>
      </c>
      <c r="B1459" s="7" t="str">
        <f>IFERROR(__xludf.DUMMYFUNCTION("""COMPUTED_VALUE"""),"Standard Quality Criteria Derived from Current NLP Evaluations for Guiding Evaluation Design and Grounding Comparability and AI Compliance Assessments")</f>
        <v>Standard Quality Criteria Derived from Current NLP Evaluations for Guiding Evaluation Design and Grounding Comparability and AI Compliance Assessments</v>
      </c>
      <c r="C1459" s="7" t="str">
        <f>IFERROR(__xludf.DUMMYFUNCTION("""COMPUTED_VALUE"""),"Research shows that two evaluation experiments reporting results for the same quality criterion name (e.g. Fluency) do not necessarily evaluate the same aspect of quality. Not knowing when two evaluations are comparable in this sense means we currently la"&amp;"ck the ability to draw conclusions based on multiple independently conducted evaluations. It is hard to see how this issue can be fully addressed other than by the creation of a standard set of quality criterion names and definitions that the evaluations "&amp;"in use in NLP can be grounded in. Taking a descriptivist approach, the QCET Quality Criteria for Evaluation Taxonomy derives a standard set of quality criterion names and definitions from two surveys of evaluations in NLP, and structures them into a refer"&amp;"ence taxonomy. We present QCET and its uses in (i) establishing comparability of existing evalua- tions, (ii) guiding the design of new evaluations, and (iii) assessing regulation compliance.")</f>
        <v>Research shows that two evaluation experiments reporting results for the same quality criterion name (e.g. Fluency) do not necessarily evaluate the same aspect of quality. Not knowing when two evaluations are comparable in this sense means we currently lack the ability to draw conclusions based on multiple independently conducted evaluations. It is hard to see how this issue can be fully addressed other than by the creation of a standard set of quality criterion names and definitions that the evaluations in use in NLP can be grounded in. Taking a descriptivist approach, the QCET Quality Criteria for Evaluation Taxonomy derives a standard set of quality criterion names and definitions from two surveys of evaluations in NLP, and structures them into a reference taxonomy. We present QCET and its uses in (i) establishing comparability of existing evalua- tions, (ii) guiding the design of new evaluations, and (iii) assessing regulation compliance.</v>
      </c>
      <c r="D1459" s="7" t="str">
        <f>IFERROR(__xludf.DUMMYFUNCTION("""COMPUTED_VALUE"""),"Anya Belz")</f>
        <v>Anya Belz</v>
      </c>
      <c r="E1459" s="7" t="str">
        <f>IFERROR(__xludf.DUMMYFUNCTION("""COMPUTED_VALUE"""),"yes")</f>
        <v>yes</v>
      </c>
      <c r="F1459" s="7" t="str">
        <f>IFERROR(__xludf.DUMMYFUNCTION("""COMPUTED_VALUE"""),"IP-Poster")</f>
        <v>IP-Poster</v>
      </c>
      <c r="G1459" s="7" t="str">
        <f>IFERROR(__xludf.DUMMYFUNCTION("""COMPUTED_VALUE"""),"In-Person")</f>
        <v>In-Person</v>
      </c>
      <c r="H1459" s="7" t="str">
        <f>IFERROR(__xludf.DUMMYFUNCTION("""COMPUTED_VALUE"""),"Hall 4/5")</f>
        <v>Hall 4/5</v>
      </c>
      <c r="I1459" s="7" t="str">
        <f>IFERROR(__xludf.DUMMYFUNCTION("""COMPUTED_VALUE"""),"Session 12: IP-Posters")</f>
        <v>Session 12: IP-Posters</v>
      </c>
      <c r="J1459" s="7" t="str">
        <f>IFERROR(__xludf.DUMMYFUNCTION("""COMPUTED_VALUE"""),"Findings Posters - In-Person 4")</f>
        <v>Findings Posters - In-Person 4</v>
      </c>
      <c r="K1459" s="7"/>
      <c r="L1459" s="8">
        <f>IFERROR(__xludf.DUMMYFUNCTION("""COMPUTED_VALUE"""),45868.0)</f>
        <v>45868</v>
      </c>
      <c r="M1459" s="7" t="str">
        <f>IFERROR(__xludf.DUMMYFUNCTION("""COMPUTED_VALUE"""),"11:00-12:30")</f>
        <v>11:00-12:30</v>
      </c>
      <c r="N1459" s="7"/>
    </row>
    <row r="1460">
      <c r="A1460" s="7" t="str">
        <f>IFERROR(__xludf.DUMMYFUNCTION("""COMPUTED_VALUE"""),"5454-FIND")</f>
        <v>5454-FIND</v>
      </c>
      <c r="B1460" s="7" t="str">
        <f>IFERROR(__xludf.DUMMYFUNCTION("""COMPUTED_VALUE"""),"skLEP: A Slovak General Language Understanding Benchmark")</f>
        <v>skLEP: A Slovak General Language Understanding Benchmark</v>
      </c>
      <c r="C1460" s="7" t="str">
        <f>IFERROR(__xludf.DUMMYFUNCTION("""COMPUTED_VALUE"""),"This paper introduces skLEP, a comprehensive benchmark for evaluating Slovak natural language understanding (NLU) models. The benchmark comprises nine diverse tasks spanning token-level, sentence-pair, and document-level challenges. To create skLEP, we cu"&amp;"rated new datasets and translated established English resources. The paper presents extensive baseline evaluations of various Slovak-specific, multilingual, and English models. Additionally, we release an open-source toolkit and a standardized leaderboard"&amp;" to foster reproducibility and drive future research in Slovak NLU.")</f>
        <v>This paper introduces skLEP, a comprehensive benchmark for evaluating Slovak natural language understanding (NLU) models. The benchmark comprises nine diverse tasks spanning token-level, sentence-pair, and document-level challenges. To create skLEP, we curated new datasets and translated established English resources. The paper presents extensive baseline evaluations of various Slovak-specific, multilingual, and English models. Additionally, we release an open-source toolkit and a standardized leaderboard to foster reproducibility and drive future research in Slovak NLU.</v>
      </c>
      <c r="D1460" s="7" t="str">
        <f>IFERROR(__xludf.DUMMYFUNCTION("""COMPUTED_VALUE"""),"Marek Šuppa")</f>
        <v>Marek Šuppa</v>
      </c>
      <c r="E1460" s="7" t="str">
        <f>IFERROR(__xludf.DUMMYFUNCTION("""COMPUTED_VALUE"""),"Yes")</f>
        <v>Yes</v>
      </c>
      <c r="F1460" s="7" t="str">
        <f>IFERROR(__xludf.DUMMYFUNCTION("""COMPUTED_VALUE"""),"IP-Poster")</f>
        <v>IP-Poster</v>
      </c>
      <c r="G1460" s="7" t="str">
        <f>IFERROR(__xludf.DUMMYFUNCTION("""COMPUTED_VALUE"""),"In-Person")</f>
        <v>In-Person</v>
      </c>
      <c r="H1460" s="7" t="str">
        <f>IFERROR(__xludf.DUMMYFUNCTION("""COMPUTED_VALUE"""),"Hall 4/5")</f>
        <v>Hall 4/5</v>
      </c>
      <c r="I1460" s="7" t="str">
        <f>IFERROR(__xludf.DUMMYFUNCTION("""COMPUTED_VALUE"""),"Session 12: IP-Posters")</f>
        <v>Session 12: IP-Posters</v>
      </c>
      <c r="J1460" s="7" t="str">
        <f>IFERROR(__xludf.DUMMYFUNCTION("""COMPUTED_VALUE"""),"Findings Posters - In-Person 4")</f>
        <v>Findings Posters - In-Person 4</v>
      </c>
      <c r="K1460" s="7"/>
      <c r="L1460" s="8">
        <f>IFERROR(__xludf.DUMMYFUNCTION("""COMPUTED_VALUE"""),45868.0)</f>
        <v>45868</v>
      </c>
      <c r="M1460" s="7" t="str">
        <f>IFERROR(__xludf.DUMMYFUNCTION("""COMPUTED_VALUE"""),"11:00-12:30")</f>
        <v>11:00-12:30</v>
      </c>
      <c r="N1460" s="7"/>
    </row>
    <row r="1461">
      <c r="A1461" s="7" t="str">
        <f>IFERROR(__xludf.DUMMYFUNCTION("""COMPUTED_VALUE"""),"5456-FIND")</f>
        <v>5456-FIND</v>
      </c>
      <c r="B1461" s="7" t="str">
        <f>IFERROR(__xludf.DUMMYFUNCTION("""COMPUTED_VALUE"""),"Can Vision Language Models Understand Mimes?")</f>
        <v>Can Vision Language Models Understand Mimes?</v>
      </c>
      <c r="C1461" s="7" t="str">
        <f>IFERROR(__xludf.DUMMYFUNCTION("""COMPUTED_VALUE"""),"Non-verbal communication (NVC) is an integral part of human language, but it has been overlooked in natural language processing research. Studying NVC in general is challenging because of its high variance in interpretation among individuals and cultures,"&amp;" but mime---the theatrical technique of suggesting intent using only gesture, expression, and movement---is a subset of NVC with much lower human interpretation variance. As a gateway for evaluating vision-language models on their understanding of NVC, we"&amp;" propose Mime Identification-based Multimodal Evaluation (MIME), a gesture recognition task built upon a novel corpus of mimed activity comprising 86 unique gestures with a variety of perturbations applied to the avatar, background, and viewpoint for eval"&amp;"uating recognition robustness. We find that both open-weight and API-based vision-language models perform significantly worse than humans at identifying mimed gestures in MIME, motivating the need for increased research for instilling more robust understa"&amp;"nding of human actions for VLMs.")</f>
        <v>Non-verbal communication (NVC) is an integral part of human language, but it has been overlooked in natural language processing research. Studying NVC in general is challenging because of its high variance in interpretation among individuals and cultures, but mime---the theatrical technique of suggesting intent using only gesture, expression, and movement---is a subset of NVC with much lower human interpretation variance. As a gateway for evaluating vision-language models on their understanding of NVC, we propose Mime Identification-based Multimodal Evaluation (MIME), a gesture recognition task built upon a novel corpus of mimed activity comprising 86 unique gestures with a variety of perturbations applied to the avatar, background, and viewpoint for evaluating recognition robustness. We find that both open-weight and API-based vision-language models perform significantly worse than humans at identifying mimed gestures in MIME, motivating the need for increased research for instilling more robust understanding of human actions for VLMs.</v>
      </c>
      <c r="D1461" s="7" t="str">
        <f>IFERROR(__xludf.DUMMYFUNCTION("""COMPUTED_VALUE"""),"Tejas Srinivasan")</f>
        <v>Tejas Srinivasan</v>
      </c>
      <c r="E1461" s="7" t="str">
        <f>IFERROR(__xludf.DUMMYFUNCTION("""COMPUTED_VALUE"""),"Yes")</f>
        <v>Yes</v>
      </c>
      <c r="F1461" s="7" t="str">
        <f>IFERROR(__xludf.DUMMYFUNCTION("""COMPUTED_VALUE"""),"IP-Poster")</f>
        <v>IP-Poster</v>
      </c>
      <c r="G1461" s="7" t="str">
        <f>IFERROR(__xludf.DUMMYFUNCTION("""COMPUTED_VALUE"""),"In-Person")</f>
        <v>In-Person</v>
      </c>
      <c r="H1461" s="7" t="str">
        <f>IFERROR(__xludf.DUMMYFUNCTION("""COMPUTED_VALUE"""),"Hall 4/5")</f>
        <v>Hall 4/5</v>
      </c>
      <c r="I1461" s="7" t="str">
        <f>IFERROR(__xludf.DUMMYFUNCTION("""COMPUTED_VALUE"""),"Session 10: IP-Posters")</f>
        <v>Session 10: IP-Posters</v>
      </c>
      <c r="J1461" s="7" t="str">
        <f>IFERROR(__xludf.DUMMYFUNCTION("""COMPUTED_VALUE"""),"Findings Posters - In-Person 3")</f>
        <v>Findings Posters - In-Person 3</v>
      </c>
      <c r="K1461" s="7"/>
      <c r="L1461" s="8">
        <f>IFERROR(__xludf.DUMMYFUNCTION("""COMPUTED_VALUE"""),45867.0)</f>
        <v>45867</v>
      </c>
      <c r="M1461" s="7" t="str">
        <f>IFERROR(__xludf.DUMMYFUNCTION("""COMPUTED_VALUE"""),"16:00-17:30")</f>
        <v>16:00-17:30</v>
      </c>
      <c r="N1461" s="7"/>
    </row>
    <row r="1462">
      <c r="A1462" s="7" t="str">
        <f>IFERROR(__xludf.DUMMYFUNCTION("""COMPUTED_VALUE"""),"5464-FIND")</f>
        <v>5464-FIND</v>
      </c>
      <c r="B1462" s="7" t="str">
        <f>IFERROR(__xludf.DUMMYFUNCTION("""COMPUTED_VALUE"""),"Training Language Model to Critique for Better Refinement")</f>
        <v>Training Language Model to Critique for Better Refinement</v>
      </c>
      <c r="C1462" s="7" t="str">
        <f>IFERROR(__xludf.DUMMYFUNCTION("""COMPUTED_VALUE"""),"Large language models (LLMs) have demonstrated remarkable evaluation and critique capabilities, providing insightful feedback and identifying flaws in various tasks. However, limited research has explored which types of critiques are most effective for im"&amp;"proving model responses or how to generate such critiques. To address this gap, we introduce Refinement-oriented Critique Optimization (RCO), a novel framework designed to train critic models using refinement signals. RCO uses a feedback loop where critiq"&amp;"ues, generated by the critic model, guide the actor model in refining its responses. The critique utility (CU) quantifies the effectiveness of these refinements, serving as the reward signal for training the critic model. By focusing on critiques that lea"&amp;"d to better refinements, RCO eliminates the need for direct critique preference assessment, ensuring that critiques driving meaningful improvements are rewarded. We evaluate RCO across five tasks—dialog generation, summarization, question answering, mathe"&amp;"matical reasoning, and code generation—and show that it significantly outperforms traditional methods and open-source models in terms of critique quality and refinement outcomes. Our contributions include the introduction of RCO, a novel supervision schem"&amp;"e based on refined response preferences, and comprehensive experimental results that highlight the method's effectiveness in enhancing LLM critique-refinement loops. Code and data will be publicly available upon acceptance of this paper.")</f>
        <v>Large language models (LLMs) have demonstrated remarkable evaluation and critique capabilities, providing insightful feedback and identifying flaws in various tasks. However, limited research has explored which types of critiques are most effective for improving model responses or how to generate such critiques. To address this gap, we introduce Refinement-oriented Critique Optimization (RCO), a novel framework designed to train critic models using refinement signals. RCO uses a feedback loop where critiques, generated by the critic model, guide the actor model in refining its responses. The critique utility (CU) quantifies the effectiveness of these refinements, serving as the reward signal for training the critic model. By focusing on critiques that lead to better refinements, RCO eliminates the need for direct critique preference assessment, ensuring that critiques driving meaningful improvements are rewarded. We evaluate RCO across five tasks—dialog generation, summarization, question answering, mathematical reasoning, and code generation—and show that it significantly outperforms traditional methods and open-source models in terms of critique quality and refinement outcomes. Our contributions include the introduction of RCO, a novel supervision scheme based on refined response preferences, and comprehensive experimental results that highlight the method's effectiveness in enhancing LLM critique-refinement loops. Code and data will be publicly available upon acceptance of this paper.</v>
      </c>
      <c r="D1462" s="7" t="str">
        <f>IFERROR(__xludf.DUMMYFUNCTION("""COMPUTED_VALUE"""),"Tianshu Yu")</f>
        <v>Tianshu Yu</v>
      </c>
      <c r="E1462" s="7" t="str">
        <f>IFERROR(__xludf.DUMMYFUNCTION("""COMPUTED_VALUE"""),"Yes")</f>
        <v>Yes</v>
      </c>
      <c r="F1462" s="7" t="str">
        <f>IFERROR(__xludf.DUMMYFUNCTION("""COMPUTED_VALUE"""),"V-Presentation")</f>
        <v>V-Presentation</v>
      </c>
      <c r="G1462" s="7" t="str">
        <f>IFERROR(__xludf.DUMMYFUNCTION("""COMPUTED_VALUE"""),"Virtual/Gather")</f>
        <v>Virtual/Gather</v>
      </c>
      <c r="H1462" s="7" t="str">
        <f>IFERROR(__xludf.DUMMYFUNCTION("""COMPUTED_VALUE"""),"Gather")</f>
        <v>Gather</v>
      </c>
      <c r="I1462" s="7" t="str">
        <f>IFERROR(__xludf.DUMMYFUNCTION("""COMPUTED_VALUE"""),"Session5: V-Gather Find")</f>
        <v>Session5: V-Gather Find</v>
      </c>
      <c r="J1462" s="7" t="str">
        <f>IFERROR(__xludf.DUMMYFUNCTION("""COMPUTED_VALUE"""),"Findings Posters - Virtual")</f>
        <v>Findings Posters - Virtual</v>
      </c>
      <c r="K1462" s="7"/>
      <c r="L1462" s="8">
        <f>IFERROR(__xludf.DUMMYFUNCTION("""COMPUTED_VALUE"""),45866.0)</f>
        <v>45866</v>
      </c>
      <c r="M1462" s="7" t="str">
        <f>IFERROR(__xludf.DUMMYFUNCTION("""COMPUTED_VALUE"""),"18:00-19:30")</f>
        <v>18:00-19:30</v>
      </c>
      <c r="N1462" s="7"/>
    </row>
    <row r="1463">
      <c r="A1463" s="7" t="str">
        <f>IFERROR(__xludf.DUMMYFUNCTION("""COMPUTED_VALUE"""),"5488-FIND")</f>
        <v>5488-FIND</v>
      </c>
      <c r="B1463" s="7" t="str">
        <f>IFERROR(__xludf.DUMMYFUNCTION("""COMPUTED_VALUE"""),"Dynamic Task Vector Grouping for Efficient Multi-Task Prompt Tuning")</f>
        <v>Dynamic Task Vector Grouping for Efficient Multi-Task Prompt Tuning</v>
      </c>
      <c r="C1463" s="7" t="str">
        <f>IFERROR(__xludf.DUMMYFUNCTION("""COMPUTED_VALUE"""),"Multi-task prompt tuning utilizes multiple high-resource source tasks to improve performance on low-source target tasks. Existing approaches transfer the soft prompt trained by combining all source tasks or a single “high-similar” source task one-time-onl"&amp;"y. However, we find that the optimal transfer performance often comes from a combination of source tasks, which is neither one nor all. Further, we find that the similarity between source and target tasks also changes dynamically during fine-tuning after "&amp;"transfering, making similarity calculation in the initiation stage inadequate. To address these issues, we propose a method called Dynamic Task Vector Grouping (DTVG), whose core ideas contain (1) measuring the task similarity with task vectors instead of"&amp;" soft prompt, (2) grouping the optimal source task combination based on two metrics: target similarity and knowledge consistency; (3) dynamically updating the combination in each iteration step. Extensive experiments on the 26 NLP datasets under different"&amp;" settings demonstrate that DTVG effectively groups similar source tasks while reducing negative transfer, achieving the start-of-art performance.")</f>
        <v>Multi-task prompt tuning utilizes multiple high-resource source tasks to improve performance on low-source target tasks. Existing approaches transfer the soft prompt trained by combining all source tasks or a single “high-similar” source task one-time-only. However, we find that the optimal transfer performance often comes from a combination of source tasks, which is neither one nor all. Further, we find that the similarity between source and target tasks also changes dynamically during fine-tuning after transfering, making similarity calculation in the initiation stage inadequate. To address these issues, we propose a method called Dynamic Task Vector Grouping (DTVG), whose core ideas contain (1) measuring the task similarity with task vectors instead of soft prompt, (2) grouping the optimal source task combination based on two metrics: target similarity and knowledge consistency; (3) dynamically updating the combination in each iteration step. Extensive experiments on the 26 NLP datasets under different settings demonstrate that DTVG effectively groups similar source tasks while reducing negative transfer, achieving the start-of-art performance.</v>
      </c>
      <c r="D1463" s="7" t="str">
        <f>IFERROR(__xludf.DUMMYFUNCTION("""COMPUTED_VALUE"""),"Peiyi Zhang")</f>
        <v>Peiyi Zhang</v>
      </c>
      <c r="E1463" s="7" t="str">
        <f>IFERROR(__xludf.DUMMYFUNCTION("""COMPUTED_VALUE"""),"Yes")</f>
        <v>Yes</v>
      </c>
      <c r="F1463" s="7" t="str">
        <f>IFERROR(__xludf.DUMMYFUNCTION("""COMPUTED_VALUE"""),"Not Pres. ")</f>
        <v>Not Pres. </v>
      </c>
      <c r="G1463" s="7" t="str">
        <f>IFERROR(__xludf.DUMMYFUNCTION("""COMPUTED_VALUE"""),"NP Findings Not Presenting ")</f>
        <v>NP Findings Not Presenting </v>
      </c>
      <c r="H1463" s="7"/>
      <c r="I1463" s="7"/>
      <c r="J1463" s="7"/>
      <c r="K1463" s="7"/>
      <c r="L1463" s="8"/>
      <c r="M1463" s="7"/>
      <c r="N1463" s="7"/>
    </row>
    <row r="1464">
      <c r="A1464" s="7" t="str">
        <f>IFERROR(__xludf.DUMMYFUNCTION("""COMPUTED_VALUE"""),"5494-FIND")</f>
        <v>5494-FIND</v>
      </c>
      <c r="B1464" s="7" t="str">
        <f>IFERROR(__xludf.DUMMYFUNCTION("""COMPUTED_VALUE"""),"DICE-BENCH: Evaluating the Tool-Use Capabilities of Large Language Models in Multi-Round, Multi-Party Dialogues")</f>
        <v>DICE-BENCH: Evaluating the Tool-Use Capabilities of Large Language Models in Multi-Round, Multi-Party Dialogues</v>
      </c>
      <c r="C1464" s="7" t="str">
        <f>IFERROR(__xludf.DUMMYFUNCTION("""COMPUTED_VALUE"""),"Most function-calling benchmarks focus on single-turn interactions, overlooking the complexity of real-world scenarios. To quantify how existing benchmarks address practical applications, we introduce DICE-SCORE, a metric that evaluates the dispersion of "&amp;"tool-related information throughout the dialogue. Analyzing existing benchmarks through DICE-SCORE reveals notably low scores, highlighting the need for more realistic multi-round, multi-party scenarios. To address this gap, we present DICE-BENCH, a frame"&amp;"work that constructs benchmark datasets by synthesizing conversations through a tool graph that maintains dependencies across rounds and a multi-agent system with distinct personas to enhance dialogue naturalness. The final dataset comprises 1,607 high-DI"&amp;"CE-BENCH instances. Our experiments on 23 LLMs with DICE-BENCH show that significant advances are still required before such models can be deployed effectively in real-world settings.")</f>
        <v>Most function-calling benchmarks focus on single-turn interactions, overlooking the complexity of real-world scenarios. To quantify how existing benchmarks address practical applications, we introduce DICE-SCORE, a metric that evaluates the dispersion of tool-related information throughout the dialogue. Analyzing existing benchmarks through DICE-SCORE reveals notably low scores, highlighting the need for more realistic multi-round, multi-party scenarios. To address this gap, we present DICE-BENCH, a framework that constructs benchmark datasets by synthesizing conversations through a tool graph that maintains dependencies across rounds and a multi-agent system with distinct personas to enhance dialogue naturalness. The final dataset comprises 1,607 high-DICE-BENCH instances. Our experiments on 23 LLMs with DICE-BENCH show that significant advances are still required before such models can be deployed effectively in real-world settings.</v>
      </c>
      <c r="D1464" s="7" t="str">
        <f>IFERROR(__xludf.DUMMYFUNCTION("""COMPUTED_VALUE"""),"Kyochul Jang")</f>
        <v>Kyochul Jang</v>
      </c>
      <c r="E1464" s="7" t="str">
        <f>IFERROR(__xludf.DUMMYFUNCTION("""COMPUTED_VALUE"""),"Yes")</f>
        <v>Yes</v>
      </c>
      <c r="F1464" s="7" t="str">
        <f>IFERROR(__xludf.DUMMYFUNCTION("""COMPUTED_VALUE"""),"IP-Poster")</f>
        <v>IP-Poster</v>
      </c>
      <c r="G1464" s="7" t="str">
        <f>IFERROR(__xludf.DUMMYFUNCTION("""COMPUTED_VALUE"""),"In-Person")</f>
        <v>In-Person</v>
      </c>
      <c r="H1464" s="7" t="str">
        <f>IFERROR(__xludf.DUMMYFUNCTION("""COMPUTED_VALUE"""),"Hall 4/5")</f>
        <v>Hall 4/5</v>
      </c>
      <c r="I1464" s="7" t="str">
        <f>IFERROR(__xludf.DUMMYFUNCTION("""COMPUTED_VALUE"""),"Session 5 :IP-Posters Find ")</f>
        <v>Session 5 :IP-Posters Find </v>
      </c>
      <c r="J1464" s="7" t="str">
        <f>IFERROR(__xludf.DUMMYFUNCTION("""COMPUTED_VALUE"""),"Findings Posters - In-Person 1")</f>
        <v>Findings Posters - In-Person 1</v>
      </c>
      <c r="K1464" s="7"/>
      <c r="L1464" s="8">
        <f>IFERROR(__xludf.DUMMYFUNCTION("""COMPUTED_VALUE"""),45866.0)</f>
        <v>45866</v>
      </c>
      <c r="M1464" s="7" t="str">
        <f>IFERROR(__xludf.DUMMYFUNCTION("""COMPUTED_VALUE"""),"18:00-19:30")</f>
        <v>18:00-19:30</v>
      </c>
      <c r="N1464" s="7"/>
    </row>
    <row r="1465">
      <c r="A1465" s="7" t="str">
        <f>IFERROR(__xludf.DUMMYFUNCTION("""COMPUTED_VALUE"""),"5496-FIND")</f>
        <v>5496-FIND</v>
      </c>
      <c r="B1465" s="7" t="str">
        <f>IFERROR(__xludf.DUMMYFUNCTION("""COMPUTED_VALUE"""),"HASH-RAG: Bridging Deep Hashing with Retriever for Efficient, Fine Retrieval and Augmented Generation")</f>
        <v>HASH-RAG: Bridging Deep Hashing with Retriever for Efficient, Fine Retrieval and Augmented Generation</v>
      </c>
      <c r="C1465" s="7" t="str">
        <f>IFERROR(__xludf.DUMMYFUNCTION("""COMPUTED_VALUE"""),"Retrieval-Augmented Generation (RAG) encounters efficiency challenges when scaling to massive knowledge bases while preserving contextual relevance. We propose Hash-RAG, a framework that integrates deep hashing techniques with systematic optimizations to "&amp;"address these limitations. Our queries directly learn binary hash codes from knowledgebase code, eliminating intermediate feature extraction steps, and significantly reducing storage and computational overhead. Building upon this hash-based efficient retr"&amp;"ieval framework, we establish the foundation for fine-grained chunking. Consequently, we design a Prompt-Guided Chunk-to-Context (PGCC) module that leverages retrieved hash-indexed propositions and their original document segments through prompt engineeri"&amp;"ng to enhance the LLM's contextual awareness. Experimental evaluations on NQ, TriviaQA, and HotpotQA datasets demonstrate that our approach achieves a 90% reduction in retrieval time compared to conventional methods while maintaining considerate recall pe"&amp;"rformance. Additionally, The proposed system outperforms retrieval/non-retrieval baselines by 1.4-4.3% in EM scores.")</f>
        <v>Retrieval-Augmented Generation (RAG) encounters efficiency challenges when scaling to massive knowledge bases while preserving contextual relevance. We propose Hash-RAG, a framework that integrates deep hashing techniques with systematic optimizations to address these limitations. Our queries directly learn binary hash codes from knowledgebase code, eliminating intermediate feature extraction steps, and significantly reducing storage and computational overhead. Building upon this hash-based efficient retrieval framework, we establish the foundation for fine-grained chunking. Consequently, we design a Prompt-Guided Chunk-to-Context (PGCC) module that leverages retrieved hash-indexed propositions and their original document segments through prompt engineering to enhance the LLM's contextual awareness. Experimental evaluations on NQ, TriviaQA, and HotpotQA datasets demonstrate that our approach achieves a 90% reduction in retrieval time compared to conventional methods while maintaining considerate recall performance. Additionally, The proposed system outperforms retrieval/non-retrieval baselines by 1.4-4.3% in EM scores.</v>
      </c>
      <c r="D1465" s="7" t="str">
        <f>IFERROR(__xludf.DUMMYFUNCTION("""COMPUTED_VALUE"""),"Xunlei Chen")</f>
        <v>Xunlei Chen</v>
      </c>
      <c r="E1465" s="7" t="str">
        <f>IFERROR(__xludf.DUMMYFUNCTION("""COMPUTED_VALUE"""),"#N/A")</f>
        <v>#N/A</v>
      </c>
      <c r="F1465" s="7" t="str">
        <f>IFERROR(__xludf.DUMMYFUNCTION("""COMPUTED_VALUE"""),"Not Pres. ")</f>
        <v>Not Pres. </v>
      </c>
      <c r="G1465" s="7" t="str">
        <f>IFERROR(__xludf.DUMMYFUNCTION("""COMPUTED_VALUE"""),"NP Findings Not Presenting ")</f>
        <v>NP Findings Not Presenting </v>
      </c>
      <c r="H1465" s="7"/>
      <c r="I1465" s="7" t="str">
        <f>IFERROR(__xludf.DUMMYFUNCTION("""COMPUTED_VALUE"""),"NP-Find")</f>
        <v>NP-Find</v>
      </c>
      <c r="J1465" s="7"/>
      <c r="K1465" s="7"/>
      <c r="L1465" s="8"/>
      <c r="M1465" s="7"/>
      <c r="N1465" s="7"/>
    </row>
    <row r="1466">
      <c r="A1466" s="7" t="str">
        <f>IFERROR(__xludf.DUMMYFUNCTION("""COMPUTED_VALUE"""),"5497-FIND")</f>
        <v>5497-FIND</v>
      </c>
      <c r="B1466" s="7" t="str">
        <f>IFERROR(__xludf.DUMMYFUNCTION("""COMPUTED_VALUE"""),"A Constrained Text Revision Agent via Iterative Planning and Searching")</f>
        <v>A Constrained Text Revision Agent via Iterative Planning and Searching</v>
      </c>
      <c r="C1466" s="7" t="str">
        <f>IFERROR(__xludf.DUMMYFUNCTION("""COMPUTED_VALUE"""),"Existing text revision systems are capable of generating fluent and coherent text, but struggle with constrained text revision (CTR), which requires adherence to specific constraints. Furthermore, adapting these systems to diverse constraints is challengi"&amp;"ng. To bridge this gap, we introduce TRIPS, a Text Revision agent via Iterative Planning and Searching, focusing on CTR. TRIPS utilizes a planner, a reviser (i.e., a large language model), and adaptable tools to generate revisions tailored to different sc"&amp;"enarios. Specifically, we propose an iterative self-training alignment method to construct the planner, which generates tool usage and text revision plans. Furthermore, we propose Tool-Guided Monte Carlo Tree Search (TG-MCTS), a novel CTR algorithm that e"&amp;"xtends MCTS with tool-guided expansion and evaluation, enabling the search for optimal revision strategies across various scenarios. To evaluate TRIPS, we introduce ConsTRev, a dataset with multi-level constrained instructions for paragraph-level revision"&amp;". Experimental results show that TRIPS outperforms baselines in both constraint adherence and revision quality. Furthermore, TRIPS exhibits robust performance across diverse use cases, including plain text and LaTeX revision.")</f>
        <v>Existing text revision systems are capable of generating fluent and coherent text, but struggle with constrained text revision (CTR), which requires adherence to specific constraints. Furthermore, adapting these systems to diverse constraints is challenging. To bridge this gap, we introduce TRIPS, a Text Revision agent via Iterative Planning and Searching, focusing on CTR. TRIPS utilizes a planner, a reviser (i.e., a large language model), and adaptable tools to generate revisions tailored to different scenarios. Specifically, we propose an iterative self-training alignment method to construct the planner, which generates tool usage and text revision plans. Furthermore, we propose Tool-Guided Monte Carlo Tree Search (TG-MCTS), a novel CTR algorithm that extends MCTS with tool-guided expansion and evaluation, enabling the search for optimal revision strategies across various scenarios. To evaluate TRIPS, we introduce ConsTRev, a dataset with multi-level constrained instructions for paragraph-level revision. Experimental results show that TRIPS outperforms baselines in both constraint adherence and revision quality. Furthermore, TRIPS exhibits robust performance across diverse use cases, including plain text and LaTeX revision.</v>
      </c>
      <c r="D1466" s="7" t="str">
        <f>IFERROR(__xludf.DUMMYFUNCTION("""COMPUTED_VALUE"""),"Hannan Cao")</f>
        <v>Hannan Cao</v>
      </c>
      <c r="E1466" s="7" t="str">
        <f>IFERROR(__xludf.DUMMYFUNCTION("""COMPUTED_VALUE"""),"Yes")</f>
        <v>Yes</v>
      </c>
      <c r="F1466" s="7" t="str">
        <f>IFERROR(__xludf.DUMMYFUNCTION("""COMPUTED_VALUE"""),"IP-Poster")</f>
        <v>IP-Poster</v>
      </c>
      <c r="G1466" s="7" t="str">
        <f>IFERROR(__xludf.DUMMYFUNCTION("""COMPUTED_VALUE"""),"In-Person")</f>
        <v>In-Person</v>
      </c>
      <c r="H1466" s="7" t="str">
        <f>IFERROR(__xludf.DUMMYFUNCTION("""COMPUTED_VALUE"""),"Hall 4/5")</f>
        <v>Hall 4/5</v>
      </c>
      <c r="I1466" s="7" t="str">
        <f>IFERROR(__xludf.DUMMYFUNCTION("""COMPUTED_VALUE"""),"Session 10: IP-Posters")</f>
        <v>Session 10: IP-Posters</v>
      </c>
      <c r="J1466" s="7" t="str">
        <f>IFERROR(__xludf.DUMMYFUNCTION("""COMPUTED_VALUE"""),"Findings Posters - In-Person 3")</f>
        <v>Findings Posters - In-Person 3</v>
      </c>
      <c r="K1466" s="7"/>
      <c r="L1466" s="8">
        <f>IFERROR(__xludf.DUMMYFUNCTION("""COMPUTED_VALUE"""),45867.0)</f>
        <v>45867</v>
      </c>
      <c r="M1466" s="7" t="str">
        <f>IFERROR(__xludf.DUMMYFUNCTION("""COMPUTED_VALUE"""),"16:00-17:30")</f>
        <v>16:00-17:30</v>
      </c>
      <c r="N1466" s="7"/>
    </row>
    <row r="1467">
      <c r="A1467" s="7" t="str">
        <f>IFERROR(__xludf.DUMMYFUNCTION("""COMPUTED_VALUE"""),"5500-FIND")</f>
        <v>5500-FIND</v>
      </c>
      <c r="B1467" s="7" t="str">
        <f>IFERROR(__xludf.DUMMYFUNCTION("""COMPUTED_VALUE"""),"MMRefine: Unveiling the Obstacles to Robust Refinement in Multimodal Large Language Models")</f>
        <v>MMRefine: Unveiling the Obstacles to Robust Refinement in Multimodal Large Language Models</v>
      </c>
      <c r="C1467" s="7" t="str">
        <f>IFERROR(__xludf.DUMMYFUNCTION("""COMPUTED_VALUE"""),"This paper introduces MMRefine, a Multi-Modal Refinement Benchmark designed to evaluate the error refinement capabilities of Multimodal Large Language Models (MLLMs). As the emphasis shifts toward enhancing reasoning during inference, MMRefine provides a "&amp;"framework that assesses refinement beyond final answer accuracy by categorizing errors into diverse levels. The benchmark evaluates MLLMs' abilities to detect and correct errors across six distinct scenarios. Experiments with various open and closed MLLMs"&amp;" reveal refinement bottlenecks and factors impeding performance, highlighting areas for improvement in effective reasoning enhancement.")</f>
        <v>This paper introduces MMRefine, a Multi-Modal Refinement Benchmark designed to evaluate the error refinement capabilities of Multimodal Large Language Models (MLLMs). As the emphasis shifts toward enhancing reasoning during inference, MMRefine provides a framework that assesses refinement beyond final answer accuracy by categorizing errors into diverse levels. The benchmark evaluates MLLMs' abilities to detect and correct errors across six distinct scenarios. Experiments with various open and closed MLLMs reveal refinement bottlenecks and factors impeding performance, highlighting areas for improvement in effective reasoning enhancement.</v>
      </c>
      <c r="D1467" s="7" t="str">
        <f>IFERROR(__xludf.DUMMYFUNCTION("""COMPUTED_VALUE"""),"Gio Paik")</f>
        <v>Gio Paik</v>
      </c>
      <c r="E1467" s="7" t="str">
        <f>IFERROR(__xludf.DUMMYFUNCTION("""COMPUTED_VALUE"""),"Yes")</f>
        <v>Yes</v>
      </c>
      <c r="F1467" s="7" t="str">
        <f>IFERROR(__xludf.DUMMYFUNCTION("""COMPUTED_VALUE"""),"IP-Poster")</f>
        <v>IP-Poster</v>
      </c>
      <c r="G1467" s="7" t="str">
        <f>IFERROR(__xludf.DUMMYFUNCTION("""COMPUTED_VALUE"""),"In-Person")</f>
        <v>In-Person</v>
      </c>
      <c r="H1467" s="7" t="str">
        <f>IFERROR(__xludf.DUMMYFUNCTION("""COMPUTED_VALUE"""),"Hall 4/5")</f>
        <v>Hall 4/5</v>
      </c>
      <c r="I1467" s="7" t="str">
        <f>IFERROR(__xludf.DUMMYFUNCTION("""COMPUTED_VALUE"""),"Session 12: IP-Posters")</f>
        <v>Session 12: IP-Posters</v>
      </c>
      <c r="J1467" s="7" t="str">
        <f>IFERROR(__xludf.DUMMYFUNCTION("""COMPUTED_VALUE"""),"Findings Posters - In-Person 4")</f>
        <v>Findings Posters - In-Person 4</v>
      </c>
      <c r="K1467" s="7"/>
      <c r="L1467" s="8">
        <f>IFERROR(__xludf.DUMMYFUNCTION("""COMPUTED_VALUE"""),45868.0)</f>
        <v>45868</v>
      </c>
      <c r="M1467" s="7" t="str">
        <f>IFERROR(__xludf.DUMMYFUNCTION("""COMPUTED_VALUE"""),"11:00-12:30")</f>
        <v>11:00-12:30</v>
      </c>
      <c r="N1467" s="7"/>
    </row>
    <row r="1468">
      <c r="A1468" s="7" t="str">
        <f>IFERROR(__xludf.DUMMYFUNCTION("""COMPUTED_VALUE"""),"5508-FIND")</f>
        <v>5508-FIND</v>
      </c>
      <c r="B1468" s="7" t="str">
        <f>IFERROR(__xludf.DUMMYFUNCTION("""COMPUTED_VALUE"""),"How Programming Concepts and Neurons Are Shared in Code Language Models")</f>
        <v>How Programming Concepts and Neurons Are Shared in Code Language Models</v>
      </c>
      <c r="C1468" s="7" t="str">
        <f>IFERROR(__xludf.DUMMYFUNCTION("""COMPUTED_VALUE"""),"Several studies have explored the mechanisms of large language models (LLMs) in coding tasks, but most have focused on programming languages (PLs) in a monolingual setting. In this paper, we investigate the relationship between multiple PLs and English in"&amp;" the concept space of LLMs. We perform a few-shot translation task on 21 PL pairs using two Llama-based models. By decoding the embeddings of intermediate layers during this task, we observe that the concept space is closer to English (including PL keywor"&amp;"ds) and assigns higher probabilities to English tokens in the second half of the middle layers, but not in the top layers. We analyze neuron activations for 11 PLs and English, finding that while language-specific neurons are primarily concentrated in the"&amp;" bottom layers, those exclusive to each PL tend to appear in the top layers. For PLs that are highly aligned with multiple other PLs, identifying language-specific neurons is not feasible. These PLs also tend to have a larger keyword set than other PLs an"&amp;"d are closer to the model's concept space regardless of the input/output PL in translation task. Our findings provide insights into how LLMs internally represent PLs, revealing structural patterns in the model's concept space. Code is available at [anon. "&amp;"URL].")</f>
        <v>Several studies have explored the mechanisms of large language models (LLMs) in coding tasks, but most have focused on programming languages (PLs) in a monolingual setting. In this paper, we investigate the relationship between multiple PLs and English in the concept space of LLMs. We perform a few-shot translation task on 21 PL pairs using two Llama-based models. By decoding the embeddings of intermediate layers during this task, we observe that the concept space is closer to English (including PL keywords) and assigns higher probabilities to English tokens in the second half of the middle layers, but not in the top layers. We analyze neuron activations for 11 PLs and English, finding that while language-specific neurons are primarily concentrated in the bottom layers, those exclusive to each PL tend to appear in the top layers. For PLs that are highly aligned with multiple other PLs, identifying language-specific neurons is not feasible. These PLs also tend to have a larger keyword set than other PLs and are closer to the model's concept space regardless of the input/output PL in translation task. Our findings provide insights into how LLMs internally represent PLs, revealing structural patterns in the model's concept space. Code is available at [anon. URL].</v>
      </c>
      <c r="D1468" s="7" t="str">
        <f>IFERROR(__xludf.DUMMYFUNCTION("""COMPUTED_VALUE"""),"Amir Hossein Kargaran")</f>
        <v>Amir Hossein Kargaran</v>
      </c>
      <c r="E1468" s="7" t="str">
        <f>IFERROR(__xludf.DUMMYFUNCTION("""COMPUTED_VALUE"""),"Yes")</f>
        <v>Yes</v>
      </c>
      <c r="F1468" s="7" t="str">
        <f>IFERROR(__xludf.DUMMYFUNCTION("""COMPUTED_VALUE"""),"IP-Poster")</f>
        <v>IP-Poster</v>
      </c>
      <c r="G1468" s="7" t="str">
        <f>IFERROR(__xludf.DUMMYFUNCTION("""COMPUTED_VALUE"""),"In-Person")</f>
        <v>In-Person</v>
      </c>
      <c r="H1468" s="7" t="str">
        <f>IFERROR(__xludf.DUMMYFUNCTION("""COMPUTED_VALUE"""),"Hall 4/5")</f>
        <v>Hall 4/5</v>
      </c>
      <c r="I1468" s="7" t="str">
        <f>IFERROR(__xludf.DUMMYFUNCTION("""COMPUTED_VALUE"""),"Session 12: IP-Posters")</f>
        <v>Session 12: IP-Posters</v>
      </c>
      <c r="J1468" s="7" t="str">
        <f>IFERROR(__xludf.DUMMYFUNCTION("""COMPUTED_VALUE"""),"Findings Posters - In-Person 4")</f>
        <v>Findings Posters - In-Person 4</v>
      </c>
      <c r="K1468" s="7"/>
      <c r="L1468" s="8">
        <f>IFERROR(__xludf.DUMMYFUNCTION("""COMPUTED_VALUE"""),45868.0)</f>
        <v>45868</v>
      </c>
      <c r="M1468" s="7" t="str">
        <f>IFERROR(__xludf.DUMMYFUNCTION("""COMPUTED_VALUE"""),"11:00-12:30")</f>
        <v>11:00-12:30</v>
      </c>
      <c r="N1468" s="7"/>
    </row>
    <row r="1469">
      <c r="A1469" s="7" t="str">
        <f>IFERROR(__xludf.DUMMYFUNCTION("""COMPUTED_VALUE"""),"5511-FIND")</f>
        <v>5511-FIND</v>
      </c>
      <c r="B1469" s="7" t="str">
        <f>IFERROR(__xludf.DUMMYFUNCTION("""COMPUTED_VALUE"""),"DynaQuest: A Dynamic Question Answering Dataset Reflecting Real-World Knowledge Updates")</f>
        <v>DynaQuest: A Dynamic Question Answering Dataset Reflecting Real-World Knowledge Updates</v>
      </c>
      <c r="C1469" s="7" t="str">
        <f>IFERROR(__xludf.DUMMYFUNCTION("""COMPUTED_VALUE"""),"The rapidly changing nature of real-world information presents challenges for large language models (LLMs), which are typically trained on static datasets. This limitation makes it difficult for LLMs to accurately perform tasks that require up-to-date kno"&amp;"wledge, such as time-sensitive question answering (QA). In this paper, we introduce **DynaQuest**, a **Dyna**mic **Quest**ion answering dataset reflecting knowledge updates in the real world. DynaQuest is based on Wikipedia Infoboxes, which are frequently"&amp;" updated to reflect real-world changes. Our dataset is created by automatically identifying and comparing changes between different versions of Wikipedia pages and generating question-answer pairs based on these updates. To address the challenges posed by"&amp;" our dynamic dataset, we propose **CARL**, a **C**ontext-**A**ware **R**einforcement **L**earning framework to improve the performance of LLMs on time-sensitive question answering. We conduct experiments on our collected dataset across recent time periods"&amp;" and demonstrate the effectiveness of our approach. Furthermore, we maintain a dynamic knowledge updating process, providing a periodically evolving benchmark to continually evaluate LLMs' ability to answer time-sensitive questions.")</f>
        <v>The rapidly changing nature of real-world information presents challenges for large language models (LLMs), which are typically trained on static datasets. This limitation makes it difficult for LLMs to accurately perform tasks that require up-to-date knowledge, such as time-sensitive question answering (QA). In this paper, we introduce **DynaQuest**, a **Dyna**mic **Quest**ion answering dataset reflecting knowledge updates in the real world. DynaQuest is based on Wikipedia Infoboxes, which are frequently updated to reflect real-world changes. Our dataset is created by automatically identifying and comparing changes between different versions of Wikipedia pages and generating question-answer pairs based on these updates. To address the challenges posed by our dynamic dataset, we propose **CARL**, a **C**ontext-**A**ware **R**einforcement **L**earning framework to improve the performance of LLMs on time-sensitive question answering. We conduct experiments on our collected dataset across recent time periods and demonstrate the effectiveness of our approach. Furthermore, we maintain a dynamic knowledge updating process, providing a periodically evolving benchmark to continually evaluate LLMs' ability to answer time-sensitive questions.</v>
      </c>
      <c r="D1469" s="7" t="str">
        <f>IFERROR(__xludf.DUMMYFUNCTION("""COMPUTED_VALUE"""),"Qian Lin")</f>
        <v>Qian Lin</v>
      </c>
      <c r="E1469" s="7" t="str">
        <f>IFERROR(__xludf.DUMMYFUNCTION("""COMPUTED_VALUE"""),"Yes")</f>
        <v>Yes</v>
      </c>
      <c r="F1469" s="7" t="str">
        <f>IFERROR(__xludf.DUMMYFUNCTION("""COMPUTED_VALUE"""),"IP-Poster")</f>
        <v>IP-Poster</v>
      </c>
      <c r="G1469" s="7" t="str">
        <f>IFERROR(__xludf.DUMMYFUNCTION("""COMPUTED_VALUE"""),"In-Person")</f>
        <v>In-Person</v>
      </c>
      <c r="H1469" s="7" t="str">
        <f>IFERROR(__xludf.DUMMYFUNCTION("""COMPUTED_VALUE"""),"Hall 4/5")</f>
        <v>Hall 4/5</v>
      </c>
      <c r="I1469" s="7" t="str">
        <f>IFERROR(__xludf.DUMMYFUNCTION("""COMPUTED_VALUE"""),"Session 12: IP-Posters")</f>
        <v>Session 12: IP-Posters</v>
      </c>
      <c r="J1469" s="7" t="str">
        <f>IFERROR(__xludf.DUMMYFUNCTION("""COMPUTED_VALUE"""),"Findings Posters - In-Person 4")</f>
        <v>Findings Posters - In-Person 4</v>
      </c>
      <c r="K1469" s="7"/>
      <c r="L1469" s="8">
        <f>IFERROR(__xludf.DUMMYFUNCTION("""COMPUTED_VALUE"""),45868.0)</f>
        <v>45868</v>
      </c>
      <c r="M1469" s="7" t="str">
        <f>IFERROR(__xludf.DUMMYFUNCTION("""COMPUTED_VALUE"""),"11:00-12:30")</f>
        <v>11:00-12:30</v>
      </c>
      <c r="N1469" s="7"/>
    </row>
    <row r="1470">
      <c r="A1470" s="7" t="str">
        <f>IFERROR(__xludf.DUMMYFUNCTION("""COMPUTED_VALUE"""),"5512-FIND")</f>
        <v>5512-FIND</v>
      </c>
      <c r="B1470" s="7" t="str">
        <f>IFERROR(__xludf.DUMMYFUNCTION("""COMPUTED_VALUE"""),"ProcrustesGPT: Compressing LLMs with Structured Matrices and Orthogonal Transformations")</f>
        <v>ProcrustesGPT: Compressing LLMs with Structured Matrices and Orthogonal Transformations</v>
      </c>
      <c r="C1470" s="7" t="str">
        <f>IFERROR(__xludf.DUMMYFUNCTION("""COMPUTED_VALUE"""),"Large language models (LLMs) demonstrate impressive results in natural language processing tasks, but require a significant amount of computational and memory resources. Structured matrix representations is a promising way for reducing the number of param"&amp;"eters of these models. However, it seems unrealistic to expect that weight matrices of pretrained models can be accurately represented by structured matrices without any fine-tuning. To overcome this issue, we utilize the fact that LLM output is invariant"&amp;" under certain orthogonal transformations of weight matrices. This insight can be leveraged to identify transformations that significantly improve the compressibility of weights within the structured classes. The proposed approach is applicable to various"&amp;" types of structured matrices that support efficient projection operations.")</f>
        <v>Large language models (LLMs) demonstrate impressive results in natural language processing tasks, but require a significant amount of computational and memory resources. Structured matrix representations is a promising way for reducing the number of parameters of these models. However, it seems unrealistic to expect that weight matrices of pretrained models can be accurately represented by structured matrices without any fine-tuning. To overcome this issue, we utilize the fact that LLM output is invariant under certain orthogonal transformations of weight matrices. This insight can be leveraged to identify transformations that significantly improve the compressibility of weights within the structured classes. The proposed approach is applicable to various types of structured matrices that support efficient projection operations.</v>
      </c>
      <c r="D1470" s="7" t="str">
        <f>IFERROR(__xludf.DUMMYFUNCTION("""COMPUTED_VALUE"""),"Ekaterina Grishina")</f>
        <v>Ekaterina Grishina</v>
      </c>
      <c r="E1470" s="7" t="str">
        <f>IFERROR(__xludf.DUMMYFUNCTION("""COMPUTED_VALUE"""),"Yes")</f>
        <v>Yes</v>
      </c>
      <c r="F1470" s="7" t="str">
        <f>IFERROR(__xludf.DUMMYFUNCTION("""COMPUTED_VALUE"""),"V-Presentation")</f>
        <v>V-Presentation</v>
      </c>
      <c r="G1470" s="7" t="str">
        <f>IFERROR(__xludf.DUMMYFUNCTION("""COMPUTED_VALUE"""),"Virtual/Gather")</f>
        <v>Virtual/Gather</v>
      </c>
      <c r="H1470" s="7" t="str">
        <f>IFERROR(__xludf.DUMMYFUNCTION("""COMPUTED_VALUE"""),"Gather")</f>
        <v>Gather</v>
      </c>
      <c r="I1470" s="7" t="str">
        <f>IFERROR(__xludf.DUMMYFUNCTION("""COMPUTED_VALUE"""),"Session5: V-Gather Find")</f>
        <v>Session5: V-Gather Find</v>
      </c>
      <c r="J1470" s="7" t="str">
        <f>IFERROR(__xludf.DUMMYFUNCTION("""COMPUTED_VALUE"""),"Findings Posters - Virtual")</f>
        <v>Findings Posters - Virtual</v>
      </c>
      <c r="K1470" s="7"/>
      <c r="L1470" s="8">
        <f>IFERROR(__xludf.DUMMYFUNCTION("""COMPUTED_VALUE"""),45866.0)</f>
        <v>45866</v>
      </c>
      <c r="M1470" s="7" t="str">
        <f>IFERROR(__xludf.DUMMYFUNCTION("""COMPUTED_VALUE"""),"18:00-19:30")</f>
        <v>18:00-19:30</v>
      </c>
      <c r="N1470" s="7"/>
    </row>
    <row r="1471">
      <c r="A1471" s="7" t="str">
        <f>IFERROR(__xludf.DUMMYFUNCTION("""COMPUTED_VALUE"""),"5522-FIND")</f>
        <v>5522-FIND</v>
      </c>
      <c r="B1471" s="7" t="str">
        <f>IFERROR(__xludf.DUMMYFUNCTION("""COMPUTED_VALUE"""),"Revisiting In-Context Learning with Long Context Language Models")</f>
        <v>Revisiting In-Context Learning with Long Context Language Models</v>
      </c>
      <c r="C1471" s="7" t="str">
        <f>IFERROR(__xludf.DUMMYFUNCTION("""COMPUTED_VALUE"""),"In-Context Learning (ICL) is a technique by which language models make predictions based on examples provided in their input context. Previously, their context window size imposed a limit on the number of examples that can be shown, making example selecti"&amp;"on techniques crucial for identifying the maximally effective set of examples. However, the recent advent of Long Context Language Models (LCLMs) has significantly increased the number of examples that can be included in context, raising an important ques"&amp;"tion of whether ICL performance in a many-shot regime is still sensitive to the method of sample selection. To answer this, we revisit these approaches in the context of LCLMs through extensive experiments on 18 datasets spanning 4 tasks. Surprisingly, we"&amp;" observe that sophisticated example selection techniques do not yield significant improvements over a simple random sample selection method. Instead, we discover that the advent of LCLMs has fundamentally shifted the challenge of ICL from that of selectin"&amp;"g the most effective examples to that of collecting sufficient examples to fill the context window. Specifically, in certain datasets, including all available examples does not fully utilize the context window; however, by augmenting the examples in conte"&amp;"xt with a simple data augmentation approach, we substantially improve ICL performance by 5%.")</f>
        <v>In-Context Learning (ICL) is a technique by which language models make predictions based on examples provided in their input context. Previously, their context window size imposed a limit on the number of examples that can be shown, making example selection techniques crucial for identifying the maximally effective set of examples. However, the recent advent of Long Context Language Models (LCLMs) has significantly increased the number of examples that can be included in context, raising an important question of whether ICL performance in a many-shot regime is still sensitive to the method of sample selection. To answer this, we revisit these approaches in the context of LCLMs through extensive experiments on 18 datasets spanning 4 tasks. Surprisingly, we observe that sophisticated example selection techniques do not yield significant improvements over a simple random sample selection method. Instead, we discover that the advent of LCLMs has fundamentally shifted the challenge of ICL from that of selecting the most effective examples to that of collecting sufficient examples to fill the context window. Specifically, in certain datasets, including all available examples does not fully utilize the context window; however, by augmenting the examples in context with a simple data augmentation approach, we substantially improve ICL performance by 5%.</v>
      </c>
      <c r="D1471" s="7" t="str">
        <f>IFERROR(__xludf.DUMMYFUNCTION("""COMPUTED_VALUE"""),"Jinheon Baek")</f>
        <v>Jinheon Baek</v>
      </c>
      <c r="E1471" s="7" t="str">
        <f>IFERROR(__xludf.DUMMYFUNCTION("""COMPUTED_VALUE"""),"Yes")</f>
        <v>Yes</v>
      </c>
      <c r="F1471" s="7" t="str">
        <f>IFERROR(__xludf.DUMMYFUNCTION("""COMPUTED_VALUE"""),"IP-Poster")</f>
        <v>IP-Poster</v>
      </c>
      <c r="G1471" s="7" t="str">
        <f>IFERROR(__xludf.DUMMYFUNCTION("""COMPUTED_VALUE"""),"In-Person")</f>
        <v>In-Person</v>
      </c>
      <c r="H1471" s="7" t="str">
        <f>IFERROR(__xludf.DUMMYFUNCTION("""COMPUTED_VALUE"""),"Hall 4/5")</f>
        <v>Hall 4/5</v>
      </c>
      <c r="I1471" s="7" t="str">
        <f>IFERROR(__xludf.DUMMYFUNCTION("""COMPUTED_VALUE"""),"Session 12: IP-Posters")</f>
        <v>Session 12: IP-Posters</v>
      </c>
      <c r="J1471" s="7" t="str">
        <f>IFERROR(__xludf.DUMMYFUNCTION("""COMPUTED_VALUE"""),"Findings Posters - In-Person 4")</f>
        <v>Findings Posters - In-Person 4</v>
      </c>
      <c r="K1471" s="7"/>
      <c r="L1471" s="8">
        <f>IFERROR(__xludf.DUMMYFUNCTION("""COMPUTED_VALUE"""),45868.0)</f>
        <v>45868</v>
      </c>
      <c r="M1471" s="7" t="str">
        <f>IFERROR(__xludf.DUMMYFUNCTION("""COMPUTED_VALUE"""),"11:00-12:30")</f>
        <v>11:00-12:30</v>
      </c>
      <c r="N1471" s="7"/>
    </row>
    <row r="1472">
      <c r="A1472" s="7" t="str">
        <f>IFERROR(__xludf.DUMMYFUNCTION("""COMPUTED_VALUE"""),"5546-FIND")</f>
        <v>5546-FIND</v>
      </c>
      <c r="B1472" s="7" t="str">
        <f>IFERROR(__xludf.DUMMYFUNCTION("""COMPUTED_VALUE"""),"Rationalize and Align: Enhancing Writing Assistance with Rationale via Self-Training for Improved Alignment")</f>
        <v>Rationalize and Align: Enhancing Writing Assistance with Rationale via Self-Training for Improved Alignment</v>
      </c>
      <c r="C1472" s="7" t="str">
        <f>IFERROR(__xludf.DUMMYFUNCTION("""COMPUTED_VALUE"""),"A Writing Assistant (WA) is a system that offers writing suggestions based on user instructions. Existing WAs are typically built by training large language models (LLMs) on domain-specific instruction data through supervised fine-tuning (SFT) only. Howev"&amp;"er, SFT optimizes models to match a single reference, failing to capture the inherent flexibility of text editing, where multiple valid revisions exist. Therefore, solely relying on SFT limits WA performance. To address this limitation, we propose the Rat"&amp;"ionalize and Align framework, which enhances the WA performance with rationale (i.e., linguistic explanations) and alignment. Our framework automatically generates the rationale and preference data for writing tasks via distillation and self-training, eli"&amp;"minating the need for human annotation. These data are then leveraged to refine WA using a novel preference optimization method. Empirical results show that our framework significantly improves WA performance. Our WA outperforms both open-source state-of-"&amp;"the-art WAs and the closed-source GPT-4o by 3.9 and 7.1 points on average, respectively, across eight well-established writing-related test sets.")</f>
        <v>A Writing Assistant (WA) is a system that offers writing suggestions based on user instructions. Existing WAs are typically built by training large language models (LLMs) on domain-specific instruction data through supervised fine-tuning (SFT) only. However, SFT optimizes models to match a single reference, failing to capture the inherent flexibility of text editing, where multiple valid revisions exist. Therefore, solely relying on SFT limits WA performance. To address this limitation, we propose the Rationalize and Align framework, which enhances the WA performance with rationale (i.e., linguistic explanations) and alignment. Our framework automatically generates the rationale and preference data for writing tasks via distillation and self-training, eliminating the need for human annotation. These data are then leveraged to refine WA using a novel preference optimization method. Empirical results show that our framework significantly improves WA performance. Our WA outperforms both open-source state-of-the-art WAs and the closed-source GPT-4o by 3.9 and 7.1 points on average, respectively, across eight well-established writing-related test sets.</v>
      </c>
      <c r="D1472" s="7" t="str">
        <f>IFERROR(__xludf.DUMMYFUNCTION("""COMPUTED_VALUE"""),"Hannan Cao")</f>
        <v>Hannan Cao</v>
      </c>
      <c r="E1472" s="7" t="str">
        <f>IFERROR(__xludf.DUMMYFUNCTION("""COMPUTED_VALUE"""),"Yes")</f>
        <v>Yes</v>
      </c>
      <c r="F1472" s="7" t="str">
        <f>IFERROR(__xludf.DUMMYFUNCTION("""COMPUTED_VALUE"""),"IP-Poster")</f>
        <v>IP-Poster</v>
      </c>
      <c r="G1472" s="7" t="str">
        <f>IFERROR(__xludf.DUMMYFUNCTION("""COMPUTED_VALUE"""),"In-Person")</f>
        <v>In-Person</v>
      </c>
      <c r="H1472" s="7" t="str">
        <f>IFERROR(__xludf.DUMMYFUNCTION("""COMPUTED_VALUE"""),"Hall 4/5")</f>
        <v>Hall 4/5</v>
      </c>
      <c r="I1472" s="7" t="str">
        <f>IFERROR(__xludf.DUMMYFUNCTION("""COMPUTED_VALUE"""),"Session 10: IP-Posters")</f>
        <v>Session 10: IP-Posters</v>
      </c>
      <c r="J1472" s="7" t="str">
        <f>IFERROR(__xludf.DUMMYFUNCTION("""COMPUTED_VALUE"""),"Findings Posters - In-Person 3")</f>
        <v>Findings Posters - In-Person 3</v>
      </c>
      <c r="K1472" s="7"/>
      <c r="L1472" s="8">
        <f>IFERROR(__xludf.DUMMYFUNCTION("""COMPUTED_VALUE"""),45867.0)</f>
        <v>45867</v>
      </c>
      <c r="M1472" s="7" t="str">
        <f>IFERROR(__xludf.DUMMYFUNCTION("""COMPUTED_VALUE"""),"16:00-17:30")</f>
        <v>16:00-17:30</v>
      </c>
      <c r="N1472" s="7"/>
    </row>
    <row r="1473">
      <c r="A1473" s="7" t="str">
        <f>IFERROR(__xludf.DUMMYFUNCTION("""COMPUTED_VALUE"""),"5549-FIND")</f>
        <v>5549-FIND</v>
      </c>
      <c r="B1473" s="7" t="str">
        <f>IFERROR(__xludf.DUMMYFUNCTION("""COMPUTED_VALUE"""),"Accelerating Adaptive Retrieval Augmented Generation via Instruction-Driven Representation Reduction of Retrieval Overlaps")</f>
        <v>Accelerating Adaptive Retrieval Augmented Generation via Instruction-Driven Representation Reduction of Retrieval Overlaps</v>
      </c>
      <c r="C1473" s="7" t="str">
        <f>IFERROR(__xludf.DUMMYFUNCTION("""COMPUTED_VALUE"""),"Retrieval-augmented generation (RAG) has emerged as a pivotal method for expanding the knowledge of large language models. To handle complex queries more effectively, researchers developed Adaptive-RAG (A-RAG) to enhance the generated quality through mult"&amp;"iple interactions with external knowledge bases. Despite its effectiveness, A-RAG exacerbates the pre-existing efficiency challenges inherent in RAG, which are attributable to its reliance on multiple iterations of generation. Existing A-RAG approaches pr"&amp;"ocess all retrieved contents from scratch. However, they ignore the situation where there is a significant overlap in the content of the retrieval results across rounds. The overlapping content is redundantly represented, which leads to a large proportion"&amp;" of repeated computations, thus affecting the overall efficiency. To address this issue, this paper introduces a model-agnostic approach that can be generally applied to A-RAG methods, which is dedicated to reducing the redundant representation process ca"&amp;"used by the overlapping of retrieval results. Specifically, we use cache access and parallel generation to speed up the prefilling and decoding stages respectively. Additionally, we also propose an instruction-driven module to further guide the model to m"&amp;"ore effectively attend to each part of the content in a more suitable way for LLMs. Experiments show that our approach achieves 2.79 and 2.33 times significant acceleration on average for prefilling and decoding respectively while maintaining equal genera"&amp;"tion quality.")</f>
        <v>Retrieval-augmented generation (RAG) has emerged as a pivotal method for expanding the knowledge of large language models. To handle complex queries more effectively, researchers developed Adaptive-RAG (A-RAG) to enhance the generated quality through multiple interactions with external knowledge bases. Despite its effectiveness, A-RAG exacerbates the pre-existing efficiency challenges inherent in RAG, which are attributable to its reliance on multiple iterations of generation. Existing A-RAG approaches process all retrieved contents from scratch. However, they ignore the situation where there is a significant overlap in the content of the retrieval results across rounds. The overlapping content is redundantly represented, which leads to a large proportion of repeated computations, thus affecting the overall efficiency. To address this issue, this paper introduces a model-agnostic approach that can be generally applied to A-RAG methods, which is dedicated to reducing the redundant representation process caused by the overlapping of retrieval results. Specifically, we use cache access and parallel generation to speed up the prefilling and decoding stages respectively. Additionally, we also propose an instruction-driven module to further guide the model to more effectively attend to each part of the content in a more suitable way for LLMs. Experiments show that our approach achieves 2.79 and 2.33 times significant acceleration on average for prefilling and decoding respectively while maintaining equal generation quality.</v>
      </c>
      <c r="D1473" s="7" t="str">
        <f>IFERROR(__xludf.DUMMYFUNCTION("""COMPUTED_VALUE"""),"Jie Ou")</f>
        <v>Jie Ou</v>
      </c>
      <c r="E1473" s="7" t="str">
        <f>IFERROR(__xludf.DUMMYFUNCTION("""COMPUTED_VALUE"""),"#N/A")</f>
        <v>#N/A</v>
      </c>
      <c r="F1473" s="7" t="str">
        <f>IFERROR(__xludf.DUMMYFUNCTION("""COMPUTED_VALUE"""),"Not Pres. ")</f>
        <v>Not Pres. </v>
      </c>
      <c r="G1473" s="7" t="str">
        <f>IFERROR(__xludf.DUMMYFUNCTION("""COMPUTED_VALUE"""),"NP Findings Not Presenting ")</f>
        <v>NP Findings Not Presenting </v>
      </c>
      <c r="H1473" s="7"/>
      <c r="I1473" s="7" t="str">
        <f>IFERROR(__xludf.DUMMYFUNCTION("""COMPUTED_VALUE"""),"NP-Find")</f>
        <v>NP-Find</v>
      </c>
      <c r="J1473" s="7"/>
      <c r="K1473" s="7"/>
      <c r="L1473" s="8"/>
      <c r="M1473" s="7"/>
      <c r="N1473" s="7"/>
    </row>
    <row r="1474">
      <c r="A1474" s="7" t="str">
        <f>IFERROR(__xludf.DUMMYFUNCTION("""COMPUTED_VALUE"""),"5551-FIND")</f>
        <v>5551-FIND</v>
      </c>
      <c r="B1474" s="7" t="str">
        <f>IFERROR(__xludf.DUMMYFUNCTION("""COMPUTED_VALUE"""),"MEXA: Multilingual Evaluation of English-Centric LLMs via Cross-Lingual Alignment")</f>
        <v>MEXA: Multilingual Evaluation of English-Centric LLMs via Cross-Lingual Alignment</v>
      </c>
      <c r="C1474" s="7" t="str">
        <f>IFERROR(__xludf.DUMMYFUNCTION("""COMPUTED_VALUE"""),"English-centric large language models (LLMs) often show strong multilingual capabilities. However, the multilingual performance of these models remains unclear and is not thoroughly evaluated for many languages. Most benchmarks for multilinguality focus o"&amp;"n classic NLP tasks or cover a minimal number of languages. We introduce MEXA, a method for assessing the multilingual capabilities of pre-trained English-centric LLMs using parallel sentences, which are available for more languages than existing downstre"&amp;"am tasks. MEXA leverages the fact that English-centric LLMs use English as a kind of pivot language in their intermediate layers. It computes the alignment between English and non-English languages using parallel sentences and uses it to estimate model pe"&amp;"rformance in other languages. We conduct studies using various parallel datasets (FLORES-200 and Bible), models (Llama family, Gemma family, Mistral, and OLMo), and established downstream tasks (Belebele, m-MMLU, and m-ARC). We explore different methods t"&amp;"o compute embeddings in decoder-only models. Our results show that MEXA, in its default settings, achieves a statistically significant average Pearson correlation of 0.90 with three established downstream tasks across nine models and two parallel datasets"&amp;". This suggests that MEXA is a reliable method for estimating the multilingual capabilities of English-centric LLMs, providing a clearer understanding of their multilingual potential and the inner workings of LLMs. Leaderboard [anonymized.url] Code [anony"&amp;"mized.url]")</f>
        <v>English-centric large language models (LLMs) often show strong multilingual capabilities. However, the multilingual performance of these models remains unclear and is not thoroughly evaluated for many languages. Most benchmarks for multilinguality focus on classic NLP tasks or cover a minimal number of languages. We introduce MEXA, a method for assessing the multilingual capabilities of pre-trained English-centric LLMs using parallel sentences, which are available for more languages than existing downstream tasks. MEXA leverages the fact that English-centric LLMs use English as a kind of pivot language in their intermediate layers. It computes the alignment between English and non-English languages using parallel sentences and uses it to estimate model performance in other languages. We conduct studies using various parallel datasets (FLORES-200 and Bible), models (Llama family, Gemma family, Mistral, and OLMo), and established downstream tasks (Belebele, m-MMLU, and m-ARC). We explore different methods to compute embeddings in decoder-only models. Our results show that MEXA, in its default settings, achieves a statistically significant average Pearson correlation of 0.90 with three established downstream tasks across nine models and two parallel datasets. This suggests that MEXA is a reliable method for estimating the multilingual capabilities of English-centric LLMs, providing a clearer understanding of their multilingual potential and the inner workings of LLMs. Leaderboard [anonymized.url] Code [anonymized.url]</v>
      </c>
      <c r="D1474" s="7" t="str">
        <f>IFERROR(__xludf.DUMMYFUNCTION("""COMPUTED_VALUE"""),"Amir Hossein Kargaran")</f>
        <v>Amir Hossein Kargaran</v>
      </c>
      <c r="E1474" s="7" t="str">
        <f>IFERROR(__xludf.DUMMYFUNCTION("""COMPUTED_VALUE"""),"Yes")</f>
        <v>Yes</v>
      </c>
      <c r="F1474" s="7" t="str">
        <f>IFERROR(__xludf.DUMMYFUNCTION("""COMPUTED_VALUE"""),"IP-Poster")</f>
        <v>IP-Poster</v>
      </c>
      <c r="G1474" s="7" t="str">
        <f>IFERROR(__xludf.DUMMYFUNCTION("""COMPUTED_VALUE"""),"In-Person")</f>
        <v>In-Person</v>
      </c>
      <c r="H1474" s="7" t="str">
        <f>IFERROR(__xludf.DUMMYFUNCTION("""COMPUTED_VALUE"""),"Hall 4/5")</f>
        <v>Hall 4/5</v>
      </c>
      <c r="I1474" s="7" t="str">
        <f>IFERROR(__xludf.DUMMYFUNCTION("""COMPUTED_VALUE"""),"Session 5 :IP-Posters Find ")</f>
        <v>Session 5 :IP-Posters Find </v>
      </c>
      <c r="J1474" s="7" t="str">
        <f>IFERROR(__xludf.DUMMYFUNCTION("""COMPUTED_VALUE"""),"Findings Posters - In-Person 1")</f>
        <v>Findings Posters - In-Person 1</v>
      </c>
      <c r="K1474" s="7"/>
      <c r="L1474" s="8">
        <f>IFERROR(__xludf.DUMMYFUNCTION("""COMPUTED_VALUE"""),45866.0)</f>
        <v>45866</v>
      </c>
      <c r="M1474" s="7" t="str">
        <f>IFERROR(__xludf.DUMMYFUNCTION("""COMPUTED_VALUE"""),"18:00-19:30")</f>
        <v>18:00-19:30</v>
      </c>
      <c r="N1474" s="7"/>
    </row>
    <row r="1475">
      <c r="A1475" s="7" t="str">
        <f>IFERROR(__xludf.DUMMYFUNCTION("""COMPUTED_VALUE"""),"5552-FIND")</f>
        <v>5552-FIND</v>
      </c>
      <c r="B1475" s="7" t="str">
        <f>IFERROR(__xludf.DUMMYFUNCTION("""COMPUTED_VALUE"""),"Automated Fine-Grained Mixture-of-Experts Quantization")</f>
        <v>Automated Fine-Grained Mixture-of-Experts Quantization</v>
      </c>
      <c r="C1475" s="7" t="str">
        <f>IFERROR(__xludf.DUMMYFUNCTION("""COMPUTED_VALUE"""),"The Mixture of Experts (MoE) architecture enables efficient model scaling through conditional computation, where only subset of parameters are activated per input. However, this distributed architecture poses unprecedented challenges for model compression"&amp;", as conventional quantization methods optimized for dense networks prove inadequate. This paper introduces a specialized quantization framework for MoE architectures, motivated by our discovery that weight matrices across expert networks exhibit distinct"&amp;"ive channel-wise outlier distributions, necessitating a more nuanced compression approach. Through theoretical analysis incorporating Fisher Information matrices and condition number characteristics, we establish a fundamental relationship between layer f"&amp;"unctionality and quantization sensitivity, demonstrating that down-projection layers inherently demand higher precision compared to up-projection layers. Leveraging these insights, we develop an automated channel-wise quantization framework that dynamical"&amp;"ly determines optimal bit-width allocations while maintaining minimal computational overhead through efficient statistical approximations. When evaluated on the Mixtral-8x7b-v0.1 architecture, our methodology demonstrates a 3.96\% improvement over existin"&amp;"g state-of-the-art approaches across natural language understanding benchmarks, while achieving superior compression ratios. Code is available in supplementary materials.")</f>
        <v>The Mixture of Experts (MoE) architecture enables efficient model scaling through conditional computation, where only subset of parameters are activated per input. However, this distributed architecture poses unprecedented challenges for model compression, as conventional quantization methods optimized for dense networks prove inadequate. This paper introduces a specialized quantization framework for MoE architectures, motivated by our discovery that weight matrices across expert networks exhibit distinctive channel-wise outlier distributions, necessitating a more nuanced compression approach. Through theoretical analysis incorporating Fisher Information matrices and condition number characteristics, we establish a fundamental relationship between layer functionality and quantization sensitivity, demonstrating that down-projection layers inherently demand higher precision compared to up-projection layers. Leveraging these insights, we develop an automated channel-wise quantization framework that dynamically determines optimal bit-width allocations while maintaining minimal computational overhead through efficient statistical approximations. When evaluated on the Mixtral-8x7b-v0.1 architecture, our methodology demonstrates a 3.96\% improvement over existing state-of-the-art approaches across natural language understanding benchmarks, while achieving superior compression ratios. Code is available in supplementary materials.</v>
      </c>
      <c r="D1475" s="7" t="str">
        <f>IFERROR(__xludf.DUMMYFUNCTION("""COMPUTED_VALUE"""),"Zhanhao Xie")</f>
        <v>Zhanhao Xie</v>
      </c>
      <c r="E1475" s="7" t="str">
        <f>IFERROR(__xludf.DUMMYFUNCTION("""COMPUTED_VALUE"""),"#N/A")</f>
        <v>#N/A</v>
      </c>
      <c r="F1475" s="7" t="str">
        <f>IFERROR(__xludf.DUMMYFUNCTION("""COMPUTED_VALUE"""),"Not Pres. ")</f>
        <v>Not Pres. </v>
      </c>
      <c r="G1475" s="7" t="str">
        <f>IFERROR(__xludf.DUMMYFUNCTION("""COMPUTED_VALUE"""),"NP Findings Not Presenting ")</f>
        <v>NP Findings Not Presenting </v>
      </c>
      <c r="H1475" s="7"/>
      <c r="I1475" s="7" t="str">
        <f>IFERROR(__xludf.DUMMYFUNCTION("""COMPUTED_VALUE"""),"NP-Find")</f>
        <v>NP-Find</v>
      </c>
      <c r="J1475" s="7"/>
      <c r="K1475" s="7"/>
      <c r="L1475" s="8"/>
      <c r="M1475" s="7"/>
      <c r="N1475" s="7"/>
    </row>
    <row r="1476">
      <c r="A1476" s="7" t="str">
        <f>IFERROR(__xludf.DUMMYFUNCTION("""COMPUTED_VALUE"""),"5559-FIND")</f>
        <v>5559-FIND</v>
      </c>
      <c r="B1476" s="7" t="str">
        <f>IFERROR(__xludf.DUMMYFUNCTION("""COMPUTED_VALUE"""),"Enhancing Complex Reasoning in Knowledge Graph Question Answering Through Query Graph Approximation")</f>
        <v>Enhancing Complex Reasoning in Knowledge Graph Question Answering Through Query Graph Approximation</v>
      </c>
      <c r="C1476" s="7" t="str">
        <f>IFERROR(__xludf.DUMMYFUNCTION("""COMPUTED_VALUE"""),"Knowledge-grounded question answering (QA) leverages knowledge graphs (KGs) to provide answers based on structured factual data. Existing approaches are mainly divided into Knowledge Graph Question Answering (KGQA) and Complex Query Answering (CQA). Both "&amp;"approaches have limitations: the first struggles when essential triplets related to the questions are missing in the given KG, while the second depends on structured first-order logic queries. To overcome these limitations, we propose a novel framework, t"&amp;"ermed Aqua-QA. Aqua-QA approximates query graphs from natural language questions, enabling reasoning over KGs. We evaluate Aqua-QA on challenging QA tasks where the entities or relations representing the input questions are excluded from the KGs, and comp"&amp;"lex logical reasoning is required to answer natural language questions. Experimental results on these datasets demonstrate that Aqua-QA outperforms existing methods, showcasing its effectiveness in handling complex reasoning tasks in knowledge-grounded QA"&amp;" settings.")</f>
        <v>Knowledge-grounded question answering (QA) leverages knowledge graphs (KGs) to provide answers based on structured factual data. Existing approaches are mainly divided into Knowledge Graph Question Answering (KGQA) and Complex Query Answering (CQA). Both approaches have limitations: the first struggles when essential triplets related to the questions are missing in the given KG, while the second depends on structured first-order logic queries. To overcome these limitations, we propose a novel framework, termed Aqua-QA. Aqua-QA approximates query graphs from natural language questions, enabling reasoning over KGs. We evaluate Aqua-QA on challenging QA tasks where the entities or relations representing the input questions are excluded from the KGs, and complex logical reasoning is required to answer natural language questions. Experimental results on these datasets demonstrate that Aqua-QA outperforms existing methods, showcasing its effectiveness in handling complex reasoning tasks in knowledge-grounded QA settings.</v>
      </c>
      <c r="D1476" s="7" t="str">
        <f>IFERROR(__xludf.DUMMYFUNCTION("""COMPUTED_VALUE"""),"Hongjun Jeong, Minji Kim")</f>
        <v>Hongjun Jeong, Minji Kim</v>
      </c>
      <c r="E1476" s="7" t="str">
        <f>IFERROR(__xludf.DUMMYFUNCTION("""COMPUTED_VALUE"""),"Yes")</f>
        <v>Yes</v>
      </c>
      <c r="F1476" s="7" t="str">
        <f>IFERROR(__xludf.DUMMYFUNCTION("""COMPUTED_VALUE"""),"IP-Poster")</f>
        <v>IP-Poster</v>
      </c>
      <c r="G1476" s="7" t="str">
        <f>IFERROR(__xludf.DUMMYFUNCTION("""COMPUTED_VALUE"""),"In-Person")</f>
        <v>In-Person</v>
      </c>
      <c r="H1476" s="7" t="str">
        <f>IFERROR(__xludf.DUMMYFUNCTION("""COMPUTED_VALUE"""),"Hall 4/5")</f>
        <v>Hall 4/5</v>
      </c>
      <c r="I1476" s="7" t="str">
        <f>IFERROR(__xludf.DUMMYFUNCTION("""COMPUTED_VALUE"""),"Session 7: IP-Posters")</f>
        <v>Session 7: IP-Posters</v>
      </c>
      <c r="J1476" s="7" t="str">
        <f>IFERROR(__xludf.DUMMYFUNCTION("""COMPUTED_VALUE"""),"Findings Posters - In-Person 2")</f>
        <v>Findings Posters - In-Person 2</v>
      </c>
      <c r="K1476" s="7"/>
      <c r="L1476" s="8">
        <f>IFERROR(__xludf.DUMMYFUNCTION("""COMPUTED_VALUE"""),45867.0)</f>
        <v>45867</v>
      </c>
      <c r="M1476" s="7" t="str">
        <f>IFERROR(__xludf.DUMMYFUNCTION("""COMPUTED_VALUE"""),"10:30-12:00")</f>
        <v>10:30-12:00</v>
      </c>
      <c r="N1476" s="7"/>
    </row>
    <row r="1477">
      <c r="A1477" s="7" t="str">
        <f>IFERROR(__xludf.DUMMYFUNCTION("""COMPUTED_VALUE"""),"5-IND")</f>
        <v>5-IND</v>
      </c>
      <c r="B1477" s="7" t="str">
        <f>IFERROR(__xludf.DUMMYFUNCTION("""COMPUTED_VALUE"""),"Boosting Decision-Making Ability of LLMs with Speculative Reward Model Cost-Effectively")</f>
        <v>Boosting Decision-Making Ability of LLMs with Speculative Reward Model Cost-Effectively</v>
      </c>
      <c r="C1477" s="7" t="str">
        <f>IFERROR(__xludf.DUMMYFUNCTION("""COMPUTED_VALUE"""),"Effective decision-making in Large Language Models (LLMs) is essential for handling intricate tasks. However, existing approaches prioritize performance but often overlook the balance between effectiveness and computational cost. To address this, we first"&amp;" introduce the 3E Criteria to systematically assess the cost-effectiveness of search strategies, revealing that existing methods often trade significant efficiency for marginal performance gains. To improve LLM decision-making while maintaining efficiency"&amp;", we propose the Speculative Reward Model (SRM), a plug-and-play framework that seamlessly integrates with existing search strategies. Specifically, SRM employs an external reward assigner to predict optimal actions, reducing reliance on LLMs' internal se"&amp;"lf-evaluation. And a speculative verification mechanism is used to prune suboptimal choices and guide the search toward more promising steps. We evaluate SRM on several complex decision-making tasks including mathematical reasoning, planning and numerical"&amp;" reasoning in specialized domains. Experimental results show that SRM reduces costs to 1/10 of the original search framework on average while maintaining effectiveness.")</f>
        <v>Effective decision-making in Large Language Models (LLMs) is essential for handling intricate tasks. However, existing approaches prioritize performance but often overlook the balance between effectiveness and computational cost. To address this, we first introduce the 3E Criteria to systematically assess the cost-effectiveness of search strategies, revealing that existing methods often trade significant efficiency for marginal performance gains. To improve LLM decision-making while maintaining efficiency, we propose the Speculative Reward Model (SRM), a plug-and-play framework that seamlessly integrates with existing search strategies. Specifically, SRM employs an external reward assigner to predict optimal actions, reducing reliance on LLMs' internal self-evaluation. And a speculative verification mechanism is used to prune suboptimal choices and guide the search toward more promising steps. We evaluate SRM on several complex decision-making tasks including mathematical reasoning, planning and numerical reasoning in specialized domains. Experimental results show that SRM reduces costs to 1/10 of the original search framework on average while maintaining effectiveness.</v>
      </c>
      <c r="D1477" s="7" t="str">
        <f>IFERROR(__xludf.DUMMYFUNCTION("""COMPUTED_VALUE"""),"Jiawei Gu")</f>
        <v>Jiawei Gu</v>
      </c>
      <c r="E1477" s="7" t="str">
        <f>IFERROR(__xludf.DUMMYFUNCTION("""COMPUTED_VALUE"""),"Yes")</f>
        <v>Yes</v>
      </c>
      <c r="F1477" s="7" t="str">
        <f>IFERROR(__xludf.DUMMYFUNCTION("""COMPUTED_VALUE"""),"IP-Oral")</f>
        <v>IP-Oral</v>
      </c>
      <c r="G1477" s="7" t="str">
        <f>IFERROR(__xludf.DUMMYFUNCTION("""COMPUTED_VALUE"""),"In-person")</f>
        <v>In-person</v>
      </c>
      <c r="H1477" s="7" t="str">
        <f>IFERROR(__xludf.DUMMYFUNCTION("""COMPUTED_VALUE"""),"Hall L")</f>
        <v>Hall L</v>
      </c>
      <c r="I1477" s="7" t="str">
        <f>IFERROR(__xludf.DUMMYFUNCTION("""COMPUTED_VALUE"""),"Session 9: IP-Orals")</f>
        <v>Session 9: IP-Orals</v>
      </c>
      <c r="J1477" s="7" t="str">
        <f>IFERROR(__xludf.DUMMYFUNCTION("""COMPUTED_VALUE"""),"Industry 4")</f>
        <v>Industry 4</v>
      </c>
      <c r="K1477" s="7"/>
      <c r="L1477" s="8">
        <f>IFERROR(__xludf.DUMMYFUNCTION("""COMPUTED_VALUE"""),45867.0)</f>
        <v>45867</v>
      </c>
      <c r="M1477" s="7" t="str">
        <f>IFERROR(__xludf.DUMMYFUNCTION("""COMPUTED_VALUE"""),"14:00-15:30")</f>
        <v>14:00-15:30</v>
      </c>
      <c r="N1477" s="7">
        <f>IFERROR(__xludf.DUMMYFUNCTION("""COMPUTED_VALUE"""),1.0)</f>
        <v>1</v>
      </c>
    </row>
    <row r="1478">
      <c r="A1478" s="7" t="str">
        <f>IFERROR(__xludf.DUMMYFUNCTION("""COMPUTED_VALUE"""),"11-IND")</f>
        <v>11-IND</v>
      </c>
      <c r="B1478" s="7" t="str">
        <f>IFERROR(__xludf.DUMMYFUNCTION("""COMPUTED_VALUE"""),"RAVEN: Robust Advertisement Video Violation Temporal Grounding via Reinforcement Reasoning")</f>
        <v>RAVEN: Robust Advertisement Video Violation Temporal Grounding via Reinforcement Reasoning</v>
      </c>
      <c r="C1478" s="7" t="str">
        <f>IFERROR(__xludf.DUMMYFUNCTION("""COMPUTED_VALUE"""),"Advertisement (Ad) video violation detection is critical for ensuring platform compliance, but existing methods struggle with precise temporal grounding, noisy annotations, and limited generalization. We propose RAVEN, a novel framework that integrates cu"&amp;"rriculum reinforcement learning with multimodal large language models (MLLMs) to enhance reasoning and cognitive capabilities for violation detection. RAVEN employs a progressive training strategy, combining precisely and coarsely annotated data, and leve"&amp;"rages Group Relative Policy Optimization (GRPO) to develop emergent reasoning abilities without explicit reasoning annotations. Multiple hierarchical sophisticated reward mechanism ensures precise temporal grounding and consistent category prediction. Exp"&amp;"eriments on industrial datasets and public benchmarks show that RAVEN achieves superior performances in violation category accuracy and temporal interval localization. We also design a pipeline to deploy the RAVEN on the online Ad services, and online A/B"&amp;" testing further validates its practical applicability, with significant improvements in precision and recall. RAVEN also demonstrates strong generalization, mitigating the catastrophic forgetting issue associated with supervised fine-tuning.")</f>
        <v>Advertisement (Ad) video violation detection is critical for ensuring platform compliance, but existing methods struggle with precise temporal grounding, noisy annotations, and limited generalization. We propose RAVEN, a novel framework that integrates curriculum reinforcement learning with multimodal large language models (MLLMs) to enhance reasoning and cognitive capabilities for violation detection. RAVEN employs a progressive training strategy, combining precisely and coarsely annotated data, and leverages Group Relative Policy Optimization (GRPO) to develop emergent reasoning abilities without explicit reasoning annotations. Multiple hierarchical sophisticated reward mechanism ensures precise temporal grounding and consistent category prediction. Experiments on industrial datasets and public benchmarks show that RAVEN achieves superior performances in violation category accuracy and temporal interval localization. We also design a pipeline to deploy the RAVEN on the online Ad services, and online A/B testing further validates its practical applicability, with significant improvements in precision and recall. RAVEN also demonstrates strong generalization, mitigating the catastrophic forgetting issue associated with supervised fine-tuning.</v>
      </c>
      <c r="D1478" s="7" t="str">
        <f>IFERROR(__xludf.DUMMYFUNCTION("""COMPUTED_VALUE"""),"Deyi Ji")</f>
        <v>Deyi Ji</v>
      </c>
      <c r="E1478" s="7" t="str">
        <f>IFERROR(__xludf.DUMMYFUNCTION("""COMPUTED_VALUE"""),"Yes")</f>
        <v>Yes</v>
      </c>
      <c r="F1478" s="7" t="str">
        <f>IFERROR(__xludf.DUMMYFUNCTION("""COMPUTED_VALUE"""),"V-Presentation")</f>
        <v>V-Presentation</v>
      </c>
      <c r="G1478" s="7" t="str">
        <f>IFERROR(__xludf.DUMMYFUNCTION("""COMPUTED_VALUE"""),"Virtual/Gather")</f>
        <v>Virtual/Gather</v>
      </c>
      <c r="H1478" s="7" t="str">
        <f>IFERROR(__xludf.DUMMYFUNCTION("""COMPUTED_VALUE"""),"Zoom")</f>
        <v>Zoom</v>
      </c>
      <c r="I1478" s="7" t="str">
        <f>IFERROR(__xludf.DUMMYFUNCTION("""COMPUTED_VALUE"""),"Session 10: V-Presenations")</f>
        <v>Session 10: V-Presenations</v>
      </c>
      <c r="J1478" s="7" t="str">
        <f>IFERROR(__xludf.DUMMYFUNCTION("""COMPUTED_VALUE"""),"Industry - Virtual Presentations 2")</f>
        <v>Industry - Virtual Presentations 2</v>
      </c>
      <c r="K1478" s="7"/>
      <c r="L1478" s="8">
        <f>IFERROR(__xludf.DUMMYFUNCTION("""COMPUTED_VALUE"""),45867.0)</f>
        <v>45867</v>
      </c>
      <c r="M1478" s="7" t="str">
        <f>IFERROR(__xludf.DUMMYFUNCTION("""COMPUTED_VALUE"""),"16:00-17:30")</f>
        <v>16:00-17:30</v>
      </c>
      <c r="N1478" s="7"/>
    </row>
    <row r="1479">
      <c r="A1479" s="7" t="str">
        <f>IFERROR(__xludf.DUMMYFUNCTION("""COMPUTED_VALUE"""),"15-IND")</f>
        <v>15-IND</v>
      </c>
      <c r="B1479" s="7" t="str">
        <f>IFERROR(__xludf.DUMMYFUNCTION("""COMPUTED_VALUE"""),"DistilQwen2.5: Industrial Practices of Training Distilled Open Lightweight Language Models")</f>
        <v>DistilQwen2.5: Industrial Practices of Training Distilled Open Lightweight Language Models</v>
      </c>
      <c r="C1479" s="7" t="str">
        <f>IFERROR(__xludf.DUMMYFUNCTION("""COMPUTED_VALUE"""),"Enhancing computational efficiency and reducing deployment costs for large language models (LLMs) have become critical challenges in various resource-constrained scenarios. In this work, we present DistilQwen2.5, a family of distilled, lightweight LLMs de"&amp;"rived from the public Qwen2.5 models. These distilled models exhibit enhanced instruction-following capabilities compared to the original models based on a series of distillation techniques that incorporate knowledge from much larger LLMs. In our industri"&amp;"al practice, we first leverage powerful proprietary LLMs with varying capacities as multi-agent teachers to select, rewrite, and refine instruction-response pairs that are more suitable for student LLMs to learn. After standard fine-tuning, we further lev"&amp;"erage a computationally efficient model fusion approach that enables student models to progressively integrate fine-grained hidden knowledge from their teachers. Experimental evaluations demonstrate that the distilled models possess significantly stronger"&amp;" capabilities than their original checkpoints. Additionally, we present use cases to illustrate the applications of our framework in real-world scenarios. To facilitate practical use, we have released all the DistilQwen2.5 models to the open-source commun"&amp;"ity.")</f>
        <v>Enhancing computational efficiency and reducing deployment costs for large language models (LLMs) have become critical challenges in various resource-constrained scenarios. In this work, we present DistilQwen2.5, a family of distilled, lightweight LLMs derived from the public Qwen2.5 models. These distilled models exhibit enhanced instruction-following capabilities compared to the original models based on a series of distillation techniques that incorporate knowledge from much larger LLMs. In our industrial practice, we first leverage powerful proprietary LLMs with varying capacities as multi-agent teachers to select, rewrite, and refine instruction-response pairs that are more suitable for student LLMs to learn. After standard fine-tuning, we further leverage a computationally efficient model fusion approach that enables student models to progressively integrate fine-grained hidden knowledge from their teachers. Experimental evaluations demonstrate that the distilled models possess significantly stronger capabilities than their original checkpoints. Additionally, we present use cases to illustrate the applications of our framework in real-world scenarios. To facilitate practical use, we have released all the DistilQwen2.5 models to the open-source community.</v>
      </c>
      <c r="D1479" s="7" t="str">
        <f>IFERROR(__xludf.DUMMYFUNCTION("""COMPUTED_VALUE"""),"Chengyu Wang")</f>
        <v>Chengyu Wang</v>
      </c>
      <c r="E1479" s="7" t="str">
        <f>IFERROR(__xludf.DUMMYFUNCTION("""COMPUTED_VALUE"""),"Yes")</f>
        <v>Yes</v>
      </c>
      <c r="F1479" s="7" t="str">
        <f>IFERROR(__xludf.DUMMYFUNCTION("""COMPUTED_VALUE"""),"V-Presentation")</f>
        <v>V-Presentation</v>
      </c>
      <c r="G1479" s="7" t="str">
        <f>IFERROR(__xludf.DUMMYFUNCTION("""COMPUTED_VALUE"""),"Virtual/Gather")</f>
        <v>Virtual/Gather</v>
      </c>
      <c r="H1479" s="7" t="str">
        <f>IFERROR(__xludf.DUMMYFUNCTION("""COMPUTED_VALUE"""),"Zoom")</f>
        <v>Zoom</v>
      </c>
      <c r="I1479" s="7" t="str">
        <f>IFERROR(__xludf.DUMMYFUNCTION("""COMPUTED_VALUE"""),"Session 10: V-Presenations")</f>
        <v>Session 10: V-Presenations</v>
      </c>
      <c r="J1479" s="7" t="str">
        <f>IFERROR(__xludf.DUMMYFUNCTION("""COMPUTED_VALUE"""),"Industry - Virtual Presentations 1")</f>
        <v>Industry - Virtual Presentations 1</v>
      </c>
      <c r="K1479" s="7"/>
      <c r="L1479" s="8">
        <f>IFERROR(__xludf.DUMMYFUNCTION("""COMPUTED_VALUE"""),45867.0)</f>
        <v>45867</v>
      </c>
      <c r="M1479" s="7" t="str">
        <f>IFERROR(__xludf.DUMMYFUNCTION("""COMPUTED_VALUE"""),"4:00-5:30 am CEST")</f>
        <v>4:00-5:30 am CEST</v>
      </c>
      <c r="N1479" s="7"/>
    </row>
    <row r="1480">
      <c r="A1480" s="7" t="str">
        <f>IFERROR(__xludf.DUMMYFUNCTION("""COMPUTED_VALUE"""),"26-IND")</f>
        <v>26-IND</v>
      </c>
      <c r="B1480" s="7" t="str">
        <f>IFERROR(__xludf.DUMMYFUNCTION("""COMPUTED_VALUE"""),"SimUSER: Simulating User Behavior with Large Language Models for Recommender System Evaluation")</f>
        <v>SimUSER: Simulating User Behavior with Large Language Models for Recommender System Evaluation</v>
      </c>
      <c r="C1480" s="7" t="str">
        <f>IFERROR(__xludf.DUMMYFUNCTION("""COMPUTED_VALUE"""),"Recommender systems play a central role in numerous real-life applications, yet evaluating their performance remains a significant challenge due to the gap between offline metrics and online behaviors. Given the scarcity and limits (e.g., privacy issues) "&amp;"of real user data, we introduce SimUSER, an agent framework that serves as believable and cost-effective human proxies. SimUSER first identifies self-consistent personas from historical data, enriching user profiles with unique backgrounds and personaliti"&amp;"es. Then, central to this evaluation are users equipped with persona, memory, perception, and brain modules, engaging in interactions with the recommender system. SimUSER exhibits closer alignment with genuine humans than prior work, both at micro and mac"&amp;"ro levels. Additionally, we conduct insightful experiments to explore the effects of thumbnails on click rates, the exposure effect, and the impact of reviews on user engagement. Finally, we refine recommender system parameters based on offline A/B test r"&amp;"esults, resulting in improved user engagement in the real world.")</f>
        <v>Recommender systems play a central role in numerous real-life applications, yet evaluating their performance remains a significant challenge due to the gap between offline metrics and online behaviors. Given the scarcity and limits (e.g., privacy issues) of real user data, we introduce SimUSER, an agent framework that serves as believable and cost-effective human proxies. SimUSER first identifies self-consistent personas from historical data, enriching user profiles with unique backgrounds and personalities. Then, central to this evaluation are users equipped with persona, memory, perception, and brain modules, engaging in interactions with the recommender system. SimUSER exhibits closer alignment with genuine humans than prior work, both at micro and macro levels. Additionally, we conduct insightful experiments to explore the effects of thumbnails on click rates, the exposure effect, and the impact of reviews on user engagement. Finally, we refine recommender system parameters based on offline A/B test results, resulting in improved user engagement in the real world.</v>
      </c>
      <c r="D1480" s="7" t="str">
        <f>IFERROR(__xludf.DUMMYFUNCTION("""COMPUTED_VALUE"""),"Nicolas Bougie")</f>
        <v>Nicolas Bougie</v>
      </c>
      <c r="E1480" s="7" t="str">
        <f>IFERROR(__xludf.DUMMYFUNCTION("""COMPUTED_VALUE"""),"Yes")</f>
        <v>Yes</v>
      </c>
      <c r="F1480" s="7" t="str">
        <f>IFERROR(__xludf.DUMMYFUNCTION("""COMPUTED_VALUE"""),"V-Presentation")</f>
        <v>V-Presentation</v>
      </c>
      <c r="G1480" s="7" t="str">
        <f>IFERROR(__xludf.DUMMYFUNCTION("""COMPUTED_VALUE"""),"Virtual/Gather")</f>
        <v>Virtual/Gather</v>
      </c>
      <c r="H1480" s="7" t="str">
        <f>IFERROR(__xludf.DUMMYFUNCTION("""COMPUTED_VALUE"""),"Zoom")</f>
        <v>Zoom</v>
      </c>
      <c r="I1480" s="7" t="str">
        <f>IFERROR(__xludf.DUMMYFUNCTION("""COMPUTED_VALUE"""),"Session 10: V-Presenations")</f>
        <v>Session 10: V-Presenations</v>
      </c>
      <c r="J1480" s="7" t="str">
        <f>IFERROR(__xludf.DUMMYFUNCTION("""COMPUTED_VALUE"""),"Industry - Virtual Presentations 2")</f>
        <v>Industry - Virtual Presentations 2</v>
      </c>
      <c r="K1480" s="7"/>
      <c r="L1480" s="8">
        <f>IFERROR(__xludf.DUMMYFUNCTION("""COMPUTED_VALUE"""),45867.0)</f>
        <v>45867</v>
      </c>
      <c r="M1480" s="7" t="str">
        <f>IFERROR(__xludf.DUMMYFUNCTION("""COMPUTED_VALUE"""),"16:00-17:30")</f>
        <v>16:00-17:30</v>
      </c>
      <c r="N1480" s="7"/>
    </row>
    <row r="1481">
      <c r="A1481" s="7" t="str">
        <f>IFERROR(__xludf.DUMMYFUNCTION("""COMPUTED_VALUE"""),"33-IND")</f>
        <v>33-IND</v>
      </c>
      <c r="B1481" s="7" t="str">
        <f>IFERROR(__xludf.DUMMYFUNCTION("""COMPUTED_VALUE"""),"Scaling Context, Not Parameters: Training a Compact 7B Language Model for Efficient Long-Context Processing")</f>
        <v>Scaling Context, Not Parameters: Training a Compact 7B Language Model for Efficient Long-Context Processing</v>
      </c>
      <c r="C1481" s="7" t="str">
        <f>IFERROR(__xludf.DUMMYFUNCTION("""COMPUTED_VALUE"""),"We present MegaBeam-Mistral-7B\footnote{\url{https://huggingface.co/aws-prototyping/MegaBeam-Mistral-7B-512k}}, a language model that supports 512K-token context length. Our work addresses practical limitations in long-context training, supporting real-wo"&amp;"rld tasks such as compliance monitoring and verification. Evaluated on three long-context benchmarks, our 7B-parameter model demonstrates superior in-context learning performance on HELMET and robust retrieval and tracing capability on RULER. It is curren"&amp;"tly the only open model to achieve competitive long-range reasoning on BABILong at 512K context length without RAG or targeted fine-tuning. Released as fully open source under the Apache 2.0 license, the model has been downloaded over 100,000 times on Hug"&amp;"ging Face.")</f>
        <v>We present MegaBeam-Mistral-7B\footnote{\url{https://huggingface.co/aws-prototyping/MegaBeam-Mistral-7B-512k}}, a language model that supports 512K-token context length. Our work addresses practical limitations in long-context training, supporting real-world tasks such as compliance monitoring and verification. Evaluated on three long-context benchmarks, our 7B-parameter model demonstrates superior in-context learning performance on HELMET and robust retrieval and tracing capability on RULER. It is currently the only open model to achieve competitive long-range reasoning on BABILong at 512K context length without RAG or targeted fine-tuning. Released as fully open source under the Apache 2.0 license, the model has been downloaded over 100,000 times on Hugging Face.</v>
      </c>
      <c r="D1481" s="7" t="str">
        <f>IFERROR(__xludf.DUMMYFUNCTION("""COMPUTED_VALUE"""),"Chen Wu")</f>
        <v>Chen Wu</v>
      </c>
      <c r="E1481" s="7" t="str">
        <f>IFERROR(__xludf.DUMMYFUNCTION("""COMPUTED_VALUE"""),"Yes")</f>
        <v>Yes</v>
      </c>
      <c r="F1481" s="7" t="str">
        <f>IFERROR(__xludf.DUMMYFUNCTION("""COMPUTED_VALUE"""),"V-Presentation")</f>
        <v>V-Presentation</v>
      </c>
      <c r="G1481" s="7" t="str">
        <f>IFERROR(__xludf.DUMMYFUNCTION("""COMPUTED_VALUE"""),"Virtual/Gather")</f>
        <v>Virtual/Gather</v>
      </c>
      <c r="H1481" s="7" t="str">
        <f>IFERROR(__xludf.DUMMYFUNCTION("""COMPUTED_VALUE"""),"Zoom")</f>
        <v>Zoom</v>
      </c>
      <c r="I1481" s="7" t="str">
        <f>IFERROR(__xludf.DUMMYFUNCTION("""COMPUTED_VALUE"""),"Session 10: V-Presenations")</f>
        <v>Session 10: V-Presenations</v>
      </c>
      <c r="J1481" s="7" t="str">
        <f>IFERROR(__xludf.DUMMYFUNCTION("""COMPUTED_VALUE"""),"Industry - Virtual Presentations 1")</f>
        <v>Industry - Virtual Presentations 1</v>
      </c>
      <c r="K1481" s="7"/>
      <c r="L1481" s="8">
        <f>IFERROR(__xludf.DUMMYFUNCTION("""COMPUTED_VALUE"""),45867.0)</f>
        <v>45867</v>
      </c>
      <c r="M1481" s="7" t="str">
        <f>IFERROR(__xludf.DUMMYFUNCTION("""COMPUTED_VALUE"""),"4:00-5:30 am CEST")</f>
        <v>4:00-5:30 am CEST</v>
      </c>
      <c r="N1481" s="7"/>
    </row>
    <row r="1482">
      <c r="A1482" s="7" t="str">
        <f>IFERROR(__xludf.DUMMYFUNCTION("""COMPUTED_VALUE"""),"42-IND")</f>
        <v>42-IND</v>
      </c>
      <c r="B1482" s="7" t="str">
        <f>IFERROR(__xludf.DUMMYFUNCTION("""COMPUTED_VALUE"""),"MathAgent: Leveraging a Mixture-of-Math-Agent Framework for Real-World Multimodal Mathematical Error Detection")</f>
        <v>MathAgent: Leveraging a Mixture-of-Math-Agent Framework for Real-World Multimodal Mathematical Error Detection</v>
      </c>
      <c r="C1482" s="7" t="str">
        <f>IFERROR(__xludf.DUMMYFUNCTION("""COMPUTED_VALUE"""),"Mathematical error detection in educational settings presents a significant challenge for Multimodal Large Language Models (MLLMs), requiring a sophisticated understanding of both visual and textual mathematical content along with complex reasoning capabi"&amp;"lities. Though effective in mathematical problem-solving, MLLMs often struggle with the nuanced task of **identifying and categorizing student errors in multimodal mathematical contexts**. Therefore, we introduce **MathAgent, a novel Mixture-of-Math-Agent"&amp;" framework** specifically designed to address these challenges. Our approach decomposes error detection into three phases with specialized agents: an image-text consistency validator, a visual semantic interpreter, and an integrative error analyzer. This "&amp;"architecture enables more accurate processing of multimodal mathematical content by explicitly modeling the relationships between multimodal problems and student solution steps. We evaluate MathAgent on real-world educational data, demonstrating approxima"&amp;"tely 5% higher accuracy in error step identification and 3% improvement in error categorization compared to baseline models. Furthermore, MathAgent has been successfully deployed in an educational platform serving over one million K-12 students, achieving"&amp;" nearly 90% student satisfaction while generating significant cost savings by reducing manual error detection.")</f>
        <v>Mathematical error detection in educational settings presents a significant challenge for Multimodal Large Language Models (MLLMs), requiring a sophisticated understanding of both visual and textual mathematical content along with complex reasoning capabilities. Though effective in mathematical problem-solving, MLLMs often struggle with the nuanced task of **identifying and categorizing student errors in multimodal mathematical contexts**. Therefore, we introduce **MathAgent, a novel Mixture-of-Math-Agent framework** specifically designed to address these challenges. Our approach decomposes error detection into three phases with specialized agents: an image-text consistency validator, a visual semantic interpreter, and an integrative error analyzer. This architecture enables more accurate processing of multimodal mathematical content by explicitly modeling the relationships between multimodal problems and student solution steps. We evaluate MathAgent on real-world educational data, demonstrating approximately 5% higher accuracy in error step identification and 3% improvement in error categorization compared to baseline models. Furthermore, MathAgent has been successfully deployed in an educational platform serving over one million K-12 students, achieving nearly 90% student satisfaction while generating significant cost savings by reducing manual error detection.</v>
      </c>
      <c r="D1482" s="7" t="str">
        <f>IFERROR(__xludf.DUMMYFUNCTION("""COMPUTED_VALUE"""),"Yibo Yan")</f>
        <v>Yibo Yan</v>
      </c>
      <c r="E1482" s="7" t="str">
        <f>IFERROR(__xludf.DUMMYFUNCTION("""COMPUTED_VALUE"""),"Yes")</f>
        <v>Yes</v>
      </c>
      <c r="F1482" s="7" t="str">
        <f>IFERROR(__xludf.DUMMYFUNCTION("""COMPUTED_VALUE"""),"IP-Oral")</f>
        <v>IP-Oral</v>
      </c>
      <c r="G1482" s="7" t="str">
        <f>IFERROR(__xludf.DUMMYFUNCTION("""COMPUTED_VALUE"""),"In-person")</f>
        <v>In-person</v>
      </c>
      <c r="H1482" s="7" t="str">
        <f>IFERROR(__xludf.DUMMYFUNCTION("""COMPUTED_VALUE"""),"Hall L")</f>
        <v>Hall L</v>
      </c>
      <c r="I1482" s="7" t="str">
        <f>IFERROR(__xludf.DUMMYFUNCTION("""COMPUTED_VALUE"""),"Session 3: IP-Orals")</f>
        <v>Session 3: IP-Orals</v>
      </c>
      <c r="J1482" s="7" t="str">
        <f>IFERROR(__xludf.DUMMYFUNCTION("""COMPUTED_VALUE"""),"Industry 2")</f>
        <v>Industry 2</v>
      </c>
      <c r="K1482" s="7"/>
      <c r="L1482" s="8"/>
      <c r="M1482" s="7" t="str">
        <f>IFERROR(__xludf.DUMMYFUNCTION("""COMPUTED_VALUE"""),"14:00-15:30")</f>
        <v>14:00-15:30</v>
      </c>
      <c r="N1482" s="7">
        <f>IFERROR(__xludf.DUMMYFUNCTION("""COMPUTED_VALUE"""),1.0)</f>
        <v>1</v>
      </c>
    </row>
    <row r="1483">
      <c r="A1483" s="7" t="str">
        <f>IFERROR(__xludf.DUMMYFUNCTION("""COMPUTED_VALUE"""),"43-IND")</f>
        <v>43-IND</v>
      </c>
      <c r="B1483" s="7" t="str">
        <f>IFERROR(__xludf.DUMMYFUNCTION("""COMPUTED_VALUE"""),"Towards Multi-System Log Anomaly Detection")</f>
        <v>Towards Multi-System Log Anomaly Detection</v>
      </c>
      <c r="C1483" s="7" t="str">
        <f>IFERROR(__xludf.DUMMYFUNCTION("""COMPUTED_VALUE"""),"Despite advances in unsupervised log anomaly detection, current models require dataset-specific training, causing costly procedures, limited scalability, and performance bottlenecks. Furthermore, numerous models lack cognitive reasoning abilities, limitin"&amp;"g their transferability to similar systems. Additionally, these models often encounter the **""identical shortcut""** predicament, erroneously predicting normal classes when confronted with rare anomaly logs due to reconstruction errors. To address these "&amp;"issues, we propose **MLAD**, a novel **M**ulti-system **L**og **A**nomaly **D**etection model incorporating semantic relational reasoning. Specifically, we extract cross-system semantic patterns and encode them as high-dimensional learnable vectors. Subse"&amp;"quently, we revamp attention formulas to discern keyword significance and model the overall distribution through vector space diffusion. Lastly, we employ a Gaussian mixture model to highlight rare word uncertainty, optimizing the vector space with maximu"&amp;"m expectation. Experiments on real-world datasets demonstrate the superiority of MLAD.")</f>
        <v>Despite advances in unsupervised log anomaly detection, current models require dataset-specific training, causing costly procedures, limited scalability, and performance bottlenecks. Furthermore, numerous models lack cognitive reasoning abilities, limiting their transferability to similar systems. Additionally, these models often encounter the **"identical shortcut"** predicament, erroneously predicting normal classes when confronted with rare anomaly logs due to reconstruction errors. To address these issues, we propose **MLAD**, a novel **M**ulti-system **L**og **A**nomaly **D**etection model incorporating semantic relational reasoning. Specifically, we extract cross-system semantic patterns and encode them as high-dimensional learnable vectors. Subsequently, we revamp attention formulas to discern keyword significance and model the overall distribution through vector space diffusion. Lastly, we employ a Gaussian mixture model to highlight rare word uncertainty, optimizing the vector space with maximum expectation. Experiments on real-world datasets demonstrate the superiority of MLAD.</v>
      </c>
      <c r="D1483" s="7" t="str">
        <f>IFERROR(__xludf.DUMMYFUNCTION("""COMPUTED_VALUE"""),"Boyang Wang")</f>
        <v>Boyang Wang</v>
      </c>
      <c r="E1483" s="7" t="str">
        <f>IFERROR(__xludf.DUMMYFUNCTION("""COMPUTED_VALUE"""),"Yes")</f>
        <v>Yes</v>
      </c>
      <c r="F1483" s="7" t="str">
        <f>IFERROR(__xludf.DUMMYFUNCTION("""COMPUTED_VALUE"""),"V-Presentation")</f>
        <v>V-Presentation</v>
      </c>
      <c r="G1483" s="7" t="str">
        <f>IFERROR(__xludf.DUMMYFUNCTION("""COMPUTED_VALUE"""),"Virtual/Gather")</f>
        <v>Virtual/Gather</v>
      </c>
      <c r="H1483" s="7" t="str">
        <f>IFERROR(__xludf.DUMMYFUNCTION("""COMPUTED_VALUE"""),"Zoom")</f>
        <v>Zoom</v>
      </c>
      <c r="I1483" s="7" t="str">
        <f>IFERROR(__xludf.DUMMYFUNCTION("""COMPUTED_VALUE"""),"Session 10: V-Presenations")</f>
        <v>Session 10: V-Presenations</v>
      </c>
      <c r="J1483" s="7" t="str">
        <f>IFERROR(__xludf.DUMMYFUNCTION("""COMPUTED_VALUE"""),"Industry - Virtual Presentations 2")</f>
        <v>Industry - Virtual Presentations 2</v>
      </c>
      <c r="K1483" s="7"/>
      <c r="L1483" s="8">
        <f>IFERROR(__xludf.DUMMYFUNCTION("""COMPUTED_VALUE"""),45867.0)</f>
        <v>45867</v>
      </c>
      <c r="M1483" s="7" t="str">
        <f>IFERROR(__xludf.DUMMYFUNCTION("""COMPUTED_VALUE"""),"16:00-17:30")</f>
        <v>16:00-17:30</v>
      </c>
      <c r="N1483" s="7"/>
    </row>
    <row r="1484">
      <c r="A1484" s="7" t="str">
        <f>IFERROR(__xludf.DUMMYFUNCTION("""COMPUTED_VALUE"""),"47-IND")</f>
        <v>47-IND</v>
      </c>
      <c r="B1484" s="7" t="str">
        <f>IFERROR(__xludf.DUMMYFUNCTION("""COMPUTED_VALUE"""),"LLM-Enhanced Self-Evolving Reinforcement Learning for Multi-Step E-Commerce Payment Fraud Risk Detection")</f>
        <v>LLM-Enhanced Self-Evolving Reinforcement Learning for Multi-Step E-Commerce Payment Fraud Risk Detection</v>
      </c>
      <c r="C1484" s="7" t="str">
        <f>IFERROR(__xludf.DUMMYFUNCTION("""COMPUTED_VALUE"""),"This paper presents a novel approach to e-commerce payment fraud detection by integrating reinforcement learning (RL) with Large Language Models (LLMs). By framing transaction risk as a multi-step Markov Decision Process (MDP), RL optimizes risk detection"&amp;" across multiple payment stages. Crafting effective reward functions, essential for RL model success, typically requires significant human expertise due to the complexity and variability in design. LLMs, with their advanced reasoning and coding capabiliti"&amp;"es, are well-suited to refine these functions, offering improvements over traditional methods. Our approach leverages LLMs to iteratively enhance reward functions, achieving better fraud detection accuracy and demonstrating zero-shot capability. Experimen"&amp;"ts with real-world data confirm the effectiveness, robustness, and resilience of our LLM-enhanced RL framework through long-term evaluations, underscoring the potential of LLMs in advancing industrial RL applications.")</f>
        <v>This paper presents a novel approach to e-commerce payment fraud detection by integrating reinforcement learning (RL) with Large Language Models (LLMs). By framing transaction risk as a multi-step Markov Decision Process (MDP), RL optimizes risk detection across multiple payment stages. Crafting effective reward functions, essential for RL model success, typically requires significant human expertise due to the complexity and variability in design. LLMs, with their advanced reasoning and coding capabilities, are well-suited to refine these functions, offering improvements over traditional methods. Our approach leverages LLMs to iteratively enhance reward functions, achieving better fraud detection accuracy and demonstrating zero-shot capability. Experiments with real-world data confirm the effectiveness, robustness, and resilience of our LLM-enhanced RL framework through long-term evaluations, underscoring the potential of LLMs in advancing industrial RL applications.</v>
      </c>
      <c r="D1484" s="7" t="str">
        <f>IFERROR(__xludf.DUMMYFUNCTION("""COMPUTED_VALUE"""),"Bo Qu")</f>
        <v>Bo Qu</v>
      </c>
      <c r="E1484" s="7" t="str">
        <f>IFERROR(__xludf.DUMMYFUNCTION("""COMPUTED_VALUE"""),"Yes")</f>
        <v>Yes</v>
      </c>
      <c r="F1484" s="7" t="str">
        <f>IFERROR(__xludf.DUMMYFUNCTION("""COMPUTED_VALUE"""),"IP-Oral")</f>
        <v>IP-Oral</v>
      </c>
      <c r="G1484" s="7" t="str">
        <f>IFERROR(__xludf.DUMMYFUNCTION("""COMPUTED_VALUE"""),"In-person")</f>
        <v>In-person</v>
      </c>
      <c r="H1484" s="7" t="str">
        <f>IFERROR(__xludf.DUMMYFUNCTION("""COMPUTED_VALUE"""),"Hall L")</f>
        <v>Hall L</v>
      </c>
      <c r="I1484" s="7" t="str">
        <f>IFERROR(__xludf.DUMMYFUNCTION("""COMPUTED_VALUE"""),"Session 2: IND Oral")</f>
        <v>Session 2: IND Oral</v>
      </c>
      <c r="J1484" s="7" t="str">
        <f>IFERROR(__xludf.DUMMYFUNCTION("""COMPUTED_VALUE"""),"Industry 1")</f>
        <v>Industry 1</v>
      </c>
      <c r="K1484" s="7"/>
      <c r="L1484" s="8"/>
      <c r="M1484" s="7" t="str">
        <f>IFERROR(__xludf.DUMMYFUNCTION("""COMPUTED_VALUE"""),"11:00-12:30")</f>
        <v>11:00-12:30</v>
      </c>
      <c r="N1484" s="7">
        <f>IFERROR(__xludf.DUMMYFUNCTION("""COMPUTED_VALUE"""),3.0)</f>
        <v>3</v>
      </c>
    </row>
    <row r="1485">
      <c r="A1485" s="7" t="str">
        <f>IFERROR(__xludf.DUMMYFUNCTION("""COMPUTED_VALUE"""),"57-IND")</f>
        <v>57-IND</v>
      </c>
      <c r="B1485" s="7" t="str">
        <f>IFERROR(__xludf.DUMMYFUNCTION("""COMPUTED_VALUE"""),"ORMind: A Cognitive-Inspired End-to-End Reasoning Framework for Operations Research")</f>
        <v>ORMind: A Cognitive-Inspired End-to-End Reasoning Framework for Operations Research</v>
      </c>
      <c r="C1485" s="7" t="str">
        <f>IFERROR(__xludf.DUMMYFUNCTION("""COMPUTED_VALUE"""),"Operations research (OR) is widely deployed to solve critical decision-making problems with complex objectives and constraints, impacting manufacturing, logistics, finance, and healthcare outcomes. While Large Language Models (LLMs) have shown promising r"&amp;"esults in various domains, their practical application in industry-relevant operations research (OR) problems presents significant challenges and opportunities. Preliminary industrial applications of LLMs for operations research face two critical deployme"&amp;"nt challenges: 1) Self-correction focuses on code syntax rather than mathematical accuracy, causing costly errors; 2) Complex expert selection creates unpredictable workflows that reduce transparency and increase maintenance costs, making them impractical"&amp;" for time-sensitive business applications. To address these business limitations, we introduce ORMind, a cognitive-inspired framework that enhances optimization through counterfactual reasoning. Our approach emulates human cognition—implementing an end-to"&amp;"-end workflow that systematically transforms requirements into mathematical models and executable solver code. It is currently being tested internally in Lenovo's AI Assistant, with plans to enhance optimization capabilities for both business and consumer"&amp;" customers. Experiments demonstrate that ORMind outperforms existing methods, achieving a 9.5\% improvement on the NL4Opt dataset and a 14.6\% improvement on the ComplexOR dataset.")</f>
        <v>Operations research (OR) is widely deployed to solve critical decision-making problems with complex objectives and constraints, impacting manufacturing, logistics, finance, and healthcare outcomes. While Large Language Models (LLMs) have shown promising results in various domains, their practical application in industry-relevant operations research (OR) problems presents significant challenges and opportunities. Preliminary industrial applications of LLMs for operations research face two critical deployment challenges: 1) Self-correction focuses on code syntax rather than mathematical accuracy, causing costly errors; 2) Complex expert selection creates unpredictable workflows that reduce transparency and increase maintenance costs, making them impractical for time-sensitive business applications. To address these business limitations, we introduce ORMind, a cognitive-inspired framework that enhances optimization through counterfactual reasoning. Our approach emulates human cognition—implementing an end-to-end workflow that systematically transforms requirements into mathematical models and executable solver code. It is currently being tested internally in Lenovo's AI Assistant, with plans to enhance optimization capabilities for both business and consumer customers. Experiments demonstrate that ORMind outperforms existing methods, achieving a 9.5\% improvement on the NL4Opt dataset and a 14.6\% improvement on the ComplexOR dataset.</v>
      </c>
      <c r="D1485" s="7" t="str">
        <f>IFERROR(__xludf.DUMMYFUNCTION("""COMPUTED_VALUE"""),"Zhiyuan Wang")</f>
        <v>Zhiyuan Wang</v>
      </c>
      <c r="E1485" s="7" t="str">
        <f>IFERROR(__xludf.DUMMYFUNCTION("""COMPUTED_VALUE"""),"Yes")</f>
        <v>Yes</v>
      </c>
      <c r="F1485" s="7" t="str">
        <f>IFERROR(__xludf.DUMMYFUNCTION("""COMPUTED_VALUE"""),"V-Presentation")</f>
        <v>V-Presentation</v>
      </c>
      <c r="G1485" s="7" t="str">
        <f>IFERROR(__xludf.DUMMYFUNCTION("""COMPUTED_VALUE"""),"Virtual/Gather")</f>
        <v>Virtual/Gather</v>
      </c>
      <c r="H1485" s="7" t="str">
        <f>IFERROR(__xludf.DUMMYFUNCTION("""COMPUTED_VALUE"""),"Zoom")</f>
        <v>Zoom</v>
      </c>
      <c r="I1485" s="7" t="str">
        <f>IFERROR(__xludf.DUMMYFUNCTION("""COMPUTED_VALUE"""),"Session 10: V-Presenations")</f>
        <v>Session 10: V-Presenations</v>
      </c>
      <c r="J1485" s="7" t="str">
        <f>IFERROR(__xludf.DUMMYFUNCTION("""COMPUTED_VALUE"""),"Industry - Virtual Presentations 1")</f>
        <v>Industry - Virtual Presentations 1</v>
      </c>
      <c r="K1485" s="7"/>
      <c r="L1485" s="8">
        <f>IFERROR(__xludf.DUMMYFUNCTION("""COMPUTED_VALUE"""),45867.0)</f>
        <v>45867</v>
      </c>
      <c r="M1485" s="7" t="str">
        <f>IFERROR(__xludf.DUMMYFUNCTION("""COMPUTED_VALUE"""),"4:00-5:30 am CEST")</f>
        <v>4:00-5:30 am CEST</v>
      </c>
      <c r="N1485" s="7"/>
    </row>
    <row r="1486">
      <c r="A1486" s="7" t="str">
        <f>IFERROR(__xludf.DUMMYFUNCTION("""COMPUTED_VALUE"""),"61-IND")</f>
        <v>61-IND</v>
      </c>
      <c r="B1486" s="7" t="str">
        <f>IFERROR(__xludf.DUMMYFUNCTION("""COMPUTED_VALUE"""),"Multi-Step Generation of Test Specifications using Large Language Models for System-Level Requirements")</f>
        <v>Multi-Step Generation of Test Specifications using Large Language Models for System-Level Requirements</v>
      </c>
      <c r="C1486" s="7" t="str">
        <f>IFERROR(__xludf.DUMMYFUNCTION("""COMPUTED_VALUE"""),"System-level testing is a critical phase in the development of large, safety-dependent systems, such as those in the automotive industry. However, creating test specifications can be a time-consuming and error-prone process. This paper presents an AI-base"&amp;"d assistant to aid users in creating test specifications for system-level requirements. The system mimics the working process of a test developer by utilizing a LLM and an agentic framework, and by introducing intermediate test artifacts - structured inte"&amp;"rmediate representations derived from input requirements. 
 Our user study demonstrates a 30 to 40% reduction in effort required for test development. For test specification generation, our quantitative analysis reveals that iteratively providing the mode"&amp;"l with more targeted information, like examples of similar test specifications, based on comparable requirements and purposes, can boost the performance by up to 30% in ROUGE-L. 
 Overall, our approach has the potential to improve the efficiency, accuracy"&amp;", and reliability of system-level testing and can be applied to various industries where safety and functionality are paramount.")</f>
        <v>System-level testing is a critical phase in the development of large, safety-dependent systems, such as those in the automotive industry. However, creating test specifications can be a time-consuming and error-prone process. This paper presents an AI-based assistant to aid users in creating test specifications for system-level requirements. The system mimics the working process of a test developer by utilizing a LLM and an agentic framework, and by introducing intermediate test artifacts - structured intermediate representations derived from input requirements. 
 Our user study demonstrates a 30 to 40% reduction in effort required for test development. For test specification generation, our quantitative analysis reveals that iteratively providing the model with more targeted information, like examples of similar test specifications, based on comparable requirements and purposes, can boost the performance by up to 30% in ROUGE-L. 
 Overall, our approach has the potential to improve the efficiency, accuracy, and reliability of system-level testing and can be applied to various industries where safety and functionality are paramount.</v>
      </c>
      <c r="D1486" s="7" t="str">
        <f>IFERROR(__xludf.DUMMYFUNCTION("""COMPUTED_VALUE"""),"Anna Hätty")</f>
        <v>Anna Hätty</v>
      </c>
      <c r="E1486" s="7" t="str">
        <f>IFERROR(__xludf.DUMMYFUNCTION("""COMPUTED_VALUE"""),"Yes")</f>
        <v>Yes</v>
      </c>
      <c r="F1486" s="7" t="str">
        <f>IFERROR(__xludf.DUMMYFUNCTION("""COMPUTED_VALUE"""),"IP-Poster")</f>
        <v>IP-Poster</v>
      </c>
      <c r="G1486" s="7" t="str">
        <f>IFERROR(__xludf.DUMMYFUNCTION("""COMPUTED_VALUE"""),"In-person")</f>
        <v>In-person</v>
      </c>
      <c r="H1486" s="7" t="str">
        <f>IFERROR(__xludf.DUMMYFUNCTION("""COMPUTED_VALUE"""),"Hall 4X")</f>
        <v>Hall 4X</v>
      </c>
      <c r="I1486" s="7" t="str">
        <f>IFERROR(__xludf.DUMMYFUNCTION("""COMPUTED_VALUE"""),"Session 10: IP-Posters")</f>
        <v>Session 10: IP-Posters</v>
      </c>
      <c r="J1486" s="7" t="str">
        <f>IFERROR(__xludf.DUMMYFUNCTION("""COMPUTED_VALUE"""),"Industry - In-Person Posters")</f>
        <v>Industry - In-Person Posters</v>
      </c>
      <c r="K1486" s="7"/>
      <c r="L1486" s="8">
        <f>IFERROR(__xludf.DUMMYFUNCTION("""COMPUTED_VALUE"""),45867.0)</f>
        <v>45867</v>
      </c>
      <c r="M1486" s="7" t="str">
        <f>IFERROR(__xludf.DUMMYFUNCTION("""COMPUTED_VALUE"""),"16:00-17:30")</f>
        <v>16:00-17:30</v>
      </c>
      <c r="N1486" s="7"/>
    </row>
    <row r="1487">
      <c r="A1487" s="7" t="str">
        <f>IFERROR(__xludf.DUMMYFUNCTION("""COMPUTED_VALUE"""),"68-IND")</f>
        <v>68-IND</v>
      </c>
      <c r="B1487" s="7" t="str">
        <f>IFERROR(__xludf.DUMMYFUNCTION("""COMPUTED_VALUE"""),"RUBRIC-MQM : Span-Level LLM-as-judge in Machine Translation For High-End Models")</f>
        <v>RUBRIC-MQM : Span-Level LLM-as-judge in Machine Translation For High-End Models</v>
      </c>
      <c r="C1487" s="7" t="str">
        <f>IFERROR(__xludf.DUMMYFUNCTION("""COMPUTED_VALUE"""),"Referred to as LLM-as-judge, a generative large language model (LLM) has demonstrated considerable efficacy as an evaluator in various tasks, including Machine Translation (MT) by predicting scores or identifying error types for individual sentences. Howe"&amp;"ver, its dependability in practical application has yet to be demonstrated, as there is only an approximated match due to the task's open-ended nature. To address this problem, we introduce a straightforward and novel meta-evaluation strategy PromptCUE an"&amp;"d evaluate cutting-edge LLM-as-judge models such as GEMBA-MQM. We identify their fundamental deficits, including certain label biases and the inability to assess near-perfect translations.
 To improve reliability, we investigate more trustworthy and les"&amp;"s biased models using multidimensional prompt engineering. Our findings indicate that the combination of span-level error quantification and a rubric-style prompt tailored to the characteristics of LLMs has efficiently addressed the majority of the challe"&amp;"nges current LLM-as-judge models face. Furthermore, it demonstrates a considerably enhanced alignment with human values. Accordingly, we present Rubric-MQM, the LLM-as-judge for high-end models and an updated version of GEMBA-MQM.")</f>
        <v>Referred to as LLM-as-judge, a generative large language model (LLM) has demonstrated considerable efficacy as an evaluator in various tasks, including Machine Translation (MT) by predicting scores or identifying error types for individual sentences. However, its dependability in practical application has yet to be demonstrated, as there is only an approximated match due to the task's open-ended nature. To address this problem, we introduce a straightforward and novel meta-evaluation strategy PromptCUE and evaluate cutting-edge LLM-as-judge models such as GEMBA-MQM. We identify their fundamental deficits, including certain label biases and the inability to assess near-perfect translations.
 To improve reliability, we investigate more trustworthy and less biased models using multidimensional prompt engineering. Our findings indicate that the combination of span-level error quantification and a rubric-style prompt tailored to the characteristics of LLMs has efficiently addressed the majority of the challenges current LLM-as-judge models face. Furthermore, it demonstrates a considerably enhanced alignment with human values. Accordingly, we present Rubric-MQM, the LLM-as-judge for high-end models and an updated version of GEMBA-MQM.</v>
      </c>
      <c r="D1487" s="7" t="str">
        <f>IFERROR(__xludf.DUMMYFUNCTION("""COMPUTED_VALUE"""),"Ahrii Kim")</f>
        <v>Ahrii Kim</v>
      </c>
      <c r="E1487" s="7" t="str">
        <f>IFERROR(__xludf.DUMMYFUNCTION("""COMPUTED_VALUE"""),"Yes")</f>
        <v>Yes</v>
      </c>
      <c r="F1487" s="7" t="str">
        <f>IFERROR(__xludf.DUMMYFUNCTION("""COMPUTED_VALUE"""),"V-Presentation")</f>
        <v>V-Presentation</v>
      </c>
      <c r="G1487" s="7" t="str">
        <f>IFERROR(__xludf.DUMMYFUNCTION("""COMPUTED_VALUE"""),"Virtual/Gather")</f>
        <v>Virtual/Gather</v>
      </c>
      <c r="H1487" s="7" t="str">
        <f>IFERROR(__xludf.DUMMYFUNCTION("""COMPUTED_VALUE"""),"Zoom")</f>
        <v>Zoom</v>
      </c>
      <c r="I1487" s="7" t="str">
        <f>IFERROR(__xludf.DUMMYFUNCTION("""COMPUTED_VALUE"""),"Session 10: V-Presenations")</f>
        <v>Session 10: V-Presenations</v>
      </c>
      <c r="J1487" s="7" t="str">
        <f>IFERROR(__xludf.DUMMYFUNCTION("""COMPUTED_VALUE"""),"Industry - Virtual Presentations 2")</f>
        <v>Industry - Virtual Presentations 2</v>
      </c>
      <c r="K1487" s="7"/>
      <c r="L1487" s="8">
        <f>IFERROR(__xludf.DUMMYFUNCTION("""COMPUTED_VALUE"""),45867.0)</f>
        <v>45867</v>
      </c>
      <c r="M1487" s="7" t="str">
        <f>IFERROR(__xludf.DUMMYFUNCTION("""COMPUTED_VALUE"""),"16:00-17:30")</f>
        <v>16:00-17:30</v>
      </c>
      <c r="N1487" s="7"/>
    </row>
    <row r="1488">
      <c r="A1488" s="7" t="str">
        <f>IFERROR(__xludf.DUMMYFUNCTION("""COMPUTED_VALUE"""),"71-IND")</f>
        <v>71-IND</v>
      </c>
      <c r="B1488" s="7" t="str">
        <f>IFERROR(__xludf.DUMMYFUNCTION("""COMPUTED_VALUE"""),"SocialForge: simulating the social internet to provide realistic training against influence operations")</f>
        <v>SocialForge: simulating the social internet to provide realistic training against influence operations</v>
      </c>
      <c r="C1488" s="7" t="str">
        <f>IFERROR(__xludf.DUMMYFUNCTION("""COMPUTED_VALUE"""),"Social media platforms have enabled large-scale influence campaigns, impacting democratic processes. To fight against these threats, continuous training is needed. 
 A typical training session is based on a fictive scenario describing key elements which a"&amp;"re instantiated into a dedicated platform.
 Such a platform simulates social networks, which host a huge amount of content aligned with the training scenario. However, directly using Large Language Models to create appropriate content result in low conten"&amp;"t diversity due to coarse-grained and high-level scenario constraints, which compromises the trainees' immersion.
 We address this issue with SocialForge, a system designed to
 enhance the diversity and realism of the generated content while ensuring its "&amp;"adherence to the original scenario.
 Specifically, SocialForge refines and augments the initial scenario constraints by generating detailed subnarratives, personas, and events.
 We assess diversity, realism, and adherence to the scenario through custom ev"&amp;"aluation protocol. We also propose an automatic method to detect erroneous constraint generation, ensuring optimal alignment of the content with the scenario.
 SocialForge has been used in real trainings and in several showcases, with great end-user satis"&amp;"faction. We release an open-source dataset generated with SocialForge for the research community.")</f>
        <v>Social media platforms have enabled large-scale influence campaigns, impacting democratic processes. To fight against these threats, continuous training is needed. 
 A typical training session is based on a fictive scenario describing key elements which are instantiated into a dedicated platform.
 Such a platform simulates social networks, which host a huge amount of content aligned with the training scenario. However, directly using Large Language Models to create appropriate content result in low content diversity due to coarse-grained and high-level scenario constraints, which compromises the trainees' immersion.
 We address this issue with SocialForge, a system designed to
 enhance the diversity and realism of the generated content while ensuring its adherence to the original scenario.
 Specifically, SocialForge refines and augments the initial scenario constraints by generating detailed subnarratives, personas, and events.
 We assess diversity, realism, and adherence to the scenario through custom evaluation protocol. We also propose an automatic method to detect erroneous constraint generation, ensuring optimal alignment of the content with the scenario.
 SocialForge has been used in real trainings and in several showcases, with great end-user satisfaction. We release an open-source dataset generated with SocialForge for the research community.</v>
      </c>
      <c r="D1488" s="7" t="str">
        <f>IFERROR(__xludf.DUMMYFUNCTION("""COMPUTED_VALUE"""),"Ulysse Oliveri")</f>
        <v>Ulysse Oliveri</v>
      </c>
      <c r="E1488" s="7" t="str">
        <f>IFERROR(__xludf.DUMMYFUNCTION("""COMPUTED_VALUE"""),"Yes")</f>
        <v>Yes</v>
      </c>
      <c r="F1488" s="7" t="str">
        <f>IFERROR(__xludf.DUMMYFUNCTION("""COMPUTED_VALUE"""),"IP-Poster")</f>
        <v>IP-Poster</v>
      </c>
      <c r="G1488" s="7" t="str">
        <f>IFERROR(__xludf.DUMMYFUNCTION("""COMPUTED_VALUE"""),"In-person")</f>
        <v>In-person</v>
      </c>
      <c r="H1488" s="7" t="str">
        <f>IFERROR(__xludf.DUMMYFUNCTION("""COMPUTED_VALUE"""),"Hall 4X")</f>
        <v>Hall 4X</v>
      </c>
      <c r="I1488" s="7" t="str">
        <f>IFERROR(__xludf.DUMMYFUNCTION("""COMPUTED_VALUE"""),"Session 10: IP-Posters")</f>
        <v>Session 10: IP-Posters</v>
      </c>
      <c r="J1488" s="7" t="str">
        <f>IFERROR(__xludf.DUMMYFUNCTION("""COMPUTED_VALUE"""),"Industry - In-Person Posters")</f>
        <v>Industry - In-Person Posters</v>
      </c>
      <c r="K1488" s="7"/>
      <c r="L1488" s="8">
        <f>IFERROR(__xludf.DUMMYFUNCTION("""COMPUTED_VALUE"""),45867.0)</f>
        <v>45867</v>
      </c>
      <c r="M1488" s="7" t="str">
        <f>IFERROR(__xludf.DUMMYFUNCTION("""COMPUTED_VALUE"""),"16:00-17:30")</f>
        <v>16:00-17:30</v>
      </c>
      <c r="N1488" s="7"/>
    </row>
    <row r="1489">
      <c r="A1489" s="7" t="str">
        <f>IFERROR(__xludf.DUMMYFUNCTION("""COMPUTED_VALUE"""),"73-IND")</f>
        <v>73-IND</v>
      </c>
      <c r="B1489" s="7" t="str">
        <f>IFERROR(__xludf.DUMMYFUNCTION("""COMPUTED_VALUE"""),"TN-Eval: Rubric and Evaluation Protocols for Measuring the Quality of Behavioral Therapy Notes")</f>
        <v>TN-Eval: Rubric and Evaluation Protocols for Measuring the Quality of Behavioral Therapy Notes</v>
      </c>
      <c r="C1489" s="7" t="str">
        <f>IFERROR(__xludf.DUMMYFUNCTION("""COMPUTED_VALUE"""),"Behavioral therapy notes are important for both legal compliance and patient care. Unlike progress notes in physical health, quality standards for behavioral therapy notes remain underdeveloped. To address this gap, we collaborated with licensed therapist"&amp;"s to design a comprehensive rubric for evaluating therapy notes across key dimensions: completeness, conciseness, and faithfulness. Further, we extend a public dataset of behavioral health conversations with therapist-written notes and LLM-generated notes"&amp;", and apply our evaluation framework to measure their quality. We find that: (1) A rubric-based manual evaluation protocol offers more reliable and interpretable results than traditional Likert-scale annotations. (2) LLMs can mimic human evaluators in ass"&amp;"essing completeness and conciseness but struggle with faithfulness. (3) Therapist-written notes often lack completeness and conciseness, while LLM-generated notes contain hallucinations. Surprisingly, in a blind test, therapists prefer and judge LLM-gener"&amp;"ated notes to be superior to therapist-written notes. As recruiting therapists for annotation is expensive, we will release the rubric, therapist-written notes, and expert annotations to support future research.")</f>
        <v>Behavioral therapy notes are important for both legal compliance and patient care. Unlike progress notes in physical health, quality standards for behavioral therapy notes remain underdeveloped. To address this gap, we collaborated with licensed therapists to design a comprehensive rubric for evaluating therapy notes across key dimensions: completeness, conciseness, and faithfulness. Further, we extend a public dataset of behavioral health conversations with therapist-written notes and LLM-generated notes, and apply our evaluation framework to measure their quality. We find that: (1) A rubric-based manual evaluation protocol offers more reliable and interpretable results than traditional Likert-scale annotations. (2) LLMs can mimic human evaluators in assessing completeness and conciseness but struggle with faithfulness. (3) Therapist-written notes often lack completeness and conciseness, while LLM-generated notes contain hallucinations. Surprisingly, in a blind test, therapists prefer and judge LLM-generated notes to be superior to therapist-written notes. As recruiting therapists for annotation is expensive, we will release the rubric, therapist-written notes, and expert annotations to support future research.</v>
      </c>
      <c r="D1489" s="7" t="str">
        <f>IFERROR(__xludf.DUMMYFUNCTION("""COMPUTED_VALUE"""),"Raj Sanjay Shah")</f>
        <v>Raj Sanjay Shah</v>
      </c>
      <c r="E1489" s="7" t="str">
        <f>IFERROR(__xludf.DUMMYFUNCTION("""COMPUTED_VALUE"""),"Yes")</f>
        <v>Yes</v>
      </c>
      <c r="F1489" s="7" t="str">
        <f>IFERROR(__xludf.DUMMYFUNCTION("""COMPUTED_VALUE"""),"IP-Oral")</f>
        <v>IP-Oral</v>
      </c>
      <c r="G1489" s="7" t="str">
        <f>IFERROR(__xludf.DUMMYFUNCTION("""COMPUTED_VALUE"""),"In-person")</f>
        <v>In-person</v>
      </c>
      <c r="H1489" s="7" t="str">
        <f>IFERROR(__xludf.DUMMYFUNCTION("""COMPUTED_VALUE"""),"Hall L")</f>
        <v>Hall L</v>
      </c>
      <c r="I1489" s="7" t="str">
        <f>IFERROR(__xludf.DUMMYFUNCTION("""COMPUTED_VALUE"""),"Session 2: IND Oral")</f>
        <v>Session 2: IND Oral</v>
      </c>
      <c r="J1489" s="7" t="str">
        <f>IFERROR(__xludf.DUMMYFUNCTION("""COMPUTED_VALUE"""),"Industry 1")</f>
        <v>Industry 1</v>
      </c>
      <c r="K1489" s="7"/>
      <c r="L1489" s="8"/>
      <c r="M1489" s="7" t="str">
        <f>IFERROR(__xludf.DUMMYFUNCTION("""COMPUTED_VALUE"""),"11:00-12:30")</f>
        <v>11:00-12:30</v>
      </c>
      <c r="N1489" s="7">
        <f>IFERROR(__xludf.DUMMYFUNCTION("""COMPUTED_VALUE"""),4.0)</f>
        <v>4</v>
      </c>
    </row>
    <row r="1490">
      <c r="A1490" s="7" t="str">
        <f>IFERROR(__xludf.DUMMYFUNCTION("""COMPUTED_VALUE"""),"74-IND")</f>
        <v>74-IND</v>
      </c>
      <c r="B1490" s="7" t="str">
        <f>IFERROR(__xludf.DUMMYFUNCTION("""COMPUTED_VALUE"""),"Run LoRA Run: Faster and Lighter LoRA Implementations")</f>
        <v>Run LoRA Run: Faster and Lighter LoRA Implementations</v>
      </c>
      <c r="C1490" s="7" t="str">
        <f>IFERROR(__xludf.DUMMYFUNCTION("""COMPUTED_VALUE"""),"LoRA is a technique that reduces the number of trainable parameters in a neural network by introducing low-rank adapters to linear layers. This technique is used for fine-tuning and even training large transformer models from scratch. This paper presents "&amp;"the RunLoRA framework for efficient implementations of LoRA, which significantly improves the speed of neural network training and fine-tuning with low-rank adapters. The proposed implementation optimizes the computation of LoRA operations based on the sh"&amp;"ape of the corresponding linear layer weights, the input dimensions, and the LoRA rank by selecting the best forward and backward computation graphs based on FLOPs and time estimations. This results in faster training without sacrificing accuracy. The exp"&amp;"erimental results show a speedup ranging from 10% to 28% on various transformer models.")</f>
        <v>LoRA is a technique that reduces the number of trainable parameters in a neural network by introducing low-rank adapters to linear layers. This technique is used for fine-tuning and even training large transformer models from scratch. This paper presents the RunLoRA framework for efficient implementations of LoRA, which significantly improves the speed of neural network training and fine-tuning with low-rank adapters. The proposed implementation optimizes the computation of LoRA operations based on the shape of the corresponding linear layer weights, the input dimensions, and the LoRA rank by selecting the best forward and backward computation graphs based on FLOPs and time estimations. This results in faster training without sacrificing accuracy. The experimental results show a speedup ranging from 10% to 28% on various transformer models.</v>
      </c>
      <c r="D1490" s="7" t="str">
        <f>IFERROR(__xludf.DUMMYFUNCTION("""COMPUTED_VALUE"""),"Daria Cherniuk")</f>
        <v>Daria Cherniuk</v>
      </c>
      <c r="E1490" s="7" t="str">
        <f>IFERROR(__xludf.DUMMYFUNCTION("""COMPUTED_VALUE"""),"Yes")</f>
        <v>Yes</v>
      </c>
      <c r="F1490" s="7" t="str">
        <f>IFERROR(__xludf.DUMMYFUNCTION("""COMPUTED_VALUE"""),"IP-Oral")</f>
        <v>IP-Oral</v>
      </c>
      <c r="G1490" s="7" t="str">
        <f>IFERROR(__xludf.DUMMYFUNCTION("""COMPUTED_VALUE"""),"In-person")</f>
        <v>In-person</v>
      </c>
      <c r="H1490" s="7" t="str">
        <f>IFERROR(__xludf.DUMMYFUNCTION("""COMPUTED_VALUE"""),"Hall L")</f>
        <v>Hall L</v>
      </c>
      <c r="I1490" s="7" t="str">
        <f>IFERROR(__xludf.DUMMYFUNCTION("""COMPUTED_VALUE"""),"Session 3: IP-Orals")</f>
        <v>Session 3: IP-Orals</v>
      </c>
      <c r="J1490" s="7" t="str">
        <f>IFERROR(__xludf.DUMMYFUNCTION("""COMPUTED_VALUE"""),"Industry 2")</f>
        <v>Industry 2</v>
      </c>
      <c r="K1490" s="7"/>
      <c r="L1490" s="8"/>
      <c r="M1490" s="7" t="str">
        <f>IFERROR(__xludf.DUMMYFUNCTION("""COMPUTED_VALUE"""),"14:00-15:30")</f>
        <v>14:00-15:30</v>
      </c>
      <c r="N1490" s="7">
        <f>IFERROR(__xludf.DUMMYFUNCTION("""COMPUTED_VALUE"""),2.0)</f>
        <v>2</v>
      </c>
    </row>
    <row r="1491">
      <c r="A1491" s="7" t="str">
        <f>IFERROR(__xludf.DUMMYFUNCTION("""COMPUTED_VALUE"""),"82-IND")</f>
        <v>82-IND</v>
      </c>
      <c r="B1491" s="7" t="str">
        <f>IFERROR(__xludf.DUMMYFUNCTION("""COMPUTED_VALUE"""),"Genetic Instruct: Scaling up Synthetic Generation of Coding Instructions for Large Language Models")</f>
        <v>Genetic Instruct: Scaling up Synthetic Generation of Coding Instructions for Large Language Models</v>
      </c>
      <c r="C1491" s="7" t="str">
        <f>IFERROR(__xludf.DUMMYFUNCTION("""COMPUTED_VALUE"""),"Large Language Models (LLMs) require high quality instruction data for effective alignment, particularly in code generation tasks where expert curated datasets are expensive to produce. We present Genetic-Instruct, a scalable algorithm for synthesizing la"&amp;"rge-scale, high quality coding instructions using evolutionary principles. Starting from a small set of seed instructions, Genetic-Instruct generates diverse and challenging instruction-code pairs by leveraging an Instructor-LLM for generation, a Coder-LL"&amp;"M for code synthesis, and a Judge-LLM for automatic quality evaluation. Our proposed approach is highly parallelizable and effective even with a small seed data and weaker generator models. We generated more than 7.5 million coding instructions with the p"&amp;"roposed approach. Then we evaluated it by fine-tuning LLMs with the synthetic samples and demonstrated a significant improvement in their code generation capability compared to the other synthetic generation approaches and publicly available datasets. Our"&amp;" results highlight the efficiency, scalability, and generalizability of the Genetic-Instruct framework.")</f>
        <v>Large Language Models (LLMs) require high quality instruction data for effective alignment, particularly in code generation tasks where expert curated datasets are expensive to produce. We present Genetic-Instruct, a scalable algorithm for synthesizing large-scale, high quality coding instructions using evolutionary principles. Starting from a small set of seed instructions, Genetic-Instruct generates diverse and challenging instruction-code pairs by leveraging an Instructor-LLM for generation, a Coder-LLM for code synthesis, and a Judge-LLM for automatic quality evaluation. Our proposed approach is highly parallelizable and effective even with a small seed data and weaker generator models. We generated more than 7.5 million coding instructions with the proposed approach. Then we evaluated it by fine-tuning LLMs with the synthetic samples and demonstrated a significant improvement in their code generation capability compared to the other synthetic generation approaches and publicly available datasets. Our results highlight the efficiency, scalability, and generalizability of the Genetic-Instruct framework.</v>
      </c>
      <c r="D1491" s="7" t="str">
        <f>IFERROR(__xludf.DUMMYFUNCTION("""COMPUTED_VALUE"""),"Mehrzad Samadi")</f>
        <v>Mehrzad Samadi</v>
      </c>
      <c r="E1491" s="7" t="str">
        <f>IFERROR(__xludf.DUMMYFUNCTION("""COMPUTED_VALUE"""),"Yes")</f>
        <v>Yes</v>
      </c>
      <c r="F1491" s="7" t="str">
        <f>IFERROR(__xludf.DUMMYFUNCTION("""COMPUTED_VALUE"""),"IP-Poster")</f>
        <v>IP-Poster</v>
      </c>
      <c r="G1491" s="7" t="str">
        <f>IFERROR(__xludf.DUMMYFUNCTION("""COMPUTED_VALUE"""),"In-person")</f>
        <v>In-person</v>
      </c>
      <c r="H1491" s="7" t="str">
        <f>IFERROR(__xludf.DUMMYFUNCTION("""COMPUTED_VALUE"""),"Hall 4X")</f>
        <v>Hall 4X</v>
      </c>
      <c r="I1491" s="7" t="str">
        <f>IFERROR(__xludf.DUMMYFUNCTION("""COMPUTED_VALUE"""),"Session 10: IP-Posters")</f>
        <v>Session 10: IP-Posters</v>
      </c>
      <c r="J1491" s="7" t="str">
        <f>IFERROR(__xludf.DUMMYFUNCTION("""COMPUTED_VALUE"""),"Industry - In-Person Posters")</f>
        <v>Industry - In-Person Posters</v>
      </c>
      <c r="K1491" s="7"/>
      <c r="L1491" s="8">
        <f>IFERROR(__xludf.DUMMYFUNCTION("""COMPUTED_VALUE"""),45867.0)</f>
        <v>45867</v>
      </c>
      <c r="M1491" s="7" t="str">
        <f>IFERROR(__xludf.DUMMYFUNCTION("""COMPUTED_VALUE"""),"16:00-17:30")</f>
        <v>16:00-17:30</v>
      </c>
      <c r="N1491" s="7"/>
    </row>
    <row r="1492">
      <c r="A1492" s="7" t="str">
        <f>IFERROR(__xludf.DUMMYFUNCTION("""COMPUTED_VALUE"""),"83-IND")</f>
        <v>83-IND</v>
      </c>
      <c r="B1492" s="7" t="str">
        <f>IFERROR(__xludf.DUMMYFUNCTION("""COMPUTED_VALUE"""),"NeKo: Cross-Modality Post-Recognition Error Correction with Tasks-Guided Mixture-of-Experts Language Model")</f>
        <v>NeKo: Cross-Modality Post-Recognition Error Correction with Tasks-Guided Mixture-of-Experts Language Model</v>
      </c>
      <c r="C1492" s="7" t="str">
        <f>IFERROR(__xludf.DUMMYFUNCTION("""COMPUTED_VALUE"""),"Construction of a general-purpose post-recognition error corrector poses a crucial question: how can we most effectively train a model on a large mixture of domain datasets? The answer would lie in learning dataset-specific features and digesting their kn"&amp;"owledge in a single model. Previous methods achieve this by having separate correction language models, resulting in a significant increase in parameters. In this work, we present Mixture-of-Experts as a solution, highlighting that MoEs are much more than"&amp;" a scalability tool. We propose a Multi-Task Correction MoE, where we train the experts to become an ``expert'' of speech-to-text, language-to-text and vision-to-text datasets by learning to route each dataset's tokens to its mapped expert. Experiments on"&amp;" the Open ASR Leaderboard show that we explore a new state-of-the-art performance by achieving an average relative 5.0% WER reduction and substantial improvements in BLEU scores for speech and translation tasks. On zero-shot evaluation, NeKo outperforms G"&amp;"PT-3.5 and Claude-3.5-Sonnet with 15.5% to 27.6% relative WER reduction in the Hyporadise benchmark. NeKo performs competitively on grammar and post-OCR correction as a multi-task model.")</f>
        <v>Construction of a general-purpose post-recognition error corrector poses a crucial question: how can we most effectively train a model on a large mixture of domain datasets? The answer would lie in learning dataset-specific features and digesting their knowledge in a single model. Previous methods achieve this by having separate correction language models, resulting in a significant increase in parameters. In this work, we present Mixture-of-Experts as a solution, highlighting that MoEs are much more than a scalability tool. We propose a Multi-Task Correction MoE, where we train the experts to become an ``expert'' of speech-to-text, language-to-text and vision-to-text datasets by learning to route each dataset's tokens to its mapped expert. Experiments on the Open ASR Leaderboard show that we explore a new state-of-the-art performance by achieving an average relative 5.0% WER reduction and substantial improvements in BLEU scores for speech and translation tasks. On zero-shot evaluation, NeKo outperforms GPT-3.5 and Claude-3.5-Sonnet with 15.5% to 27.6% relative WER reduction in the Hyporadise benchmark. NeKo performs competitively on grammar and post-OCR correction as a multi-task model.</v>
      </c>
      <c r="D1492" s="7" t="str">
        <f>IFERROR(__xludf.DUMMYFUNCTION("""COMPUTED_VALUE"""),"Huck Yang")</f>
        <v>Huck Yang</v>
      </c>
      <c r="E1492" s="7" t="str">
        <f>IFERROR(__xludf.DUMMYFUNCTION("""COMPUTED_VALUE"""),"Yes")</f>
        <v>Yes</v>
      </c>
      <c r="F1492" s="7" t="str">
        <f>IFERROR(__xludf.DUMMYFUNCTION("""COMPUTED_VALUE"""),"IP-Oral")</f>
        <v>IP-Oral</v>
      </c>
      <c r="G1492" s="7" t="str">
        <f>IFERROR(__xludf.DUMMYFUNCTION("""COMPUTED_VALUE"""),"In-person")</f>
        <v>In-person</v>
      </c>
      <c r="H1492" s="7" t="str">
        <f>IFERROR(__xludf.DUMMYFUNCTION("""COMPUTED_VALUE"""),"Hall L")</f>
        <v>Hall L</v>
      </c>
      <c r="I1492" s="7" t="str">
        <f>IFERROR(__xludf.DUMMYFUNCTION("""COMPUTED_VALUE"""),"Session 2: IND Oral")</f>
        <v>Session 2: IND Oral</v>
      </c>
      <c r="J1492" s="7" t="str">
        <f>IFERROR(__xludf.DUMMYFUNCTION("""COMPUTED_VALUE"""),"Industry 1")</f>
        <v>Industry 1</v>
      </c>
      <c r="K1492" s="7"/>
      <c r="L1492" s="8"/>
      <c r="M1492" s="7" t="str">
        <f>IFERROR(__xludf.DUMMYFUNCTION("""COMPUTED_VALUE"""),"11:00-12:30")</f>
        <v>11:00-12:30</v>
      </c>
      <c r="N1492" s="7">
        <f>IFERROR(__xludf.DUMMYFUNCTION("""COMPUTED_VALUE"""),5.0)</f>
        <v>5</v>
      </c>
    </row>
    <row r="1493">
      <c r="A1493" s="7" t="str">
        <f>IFERROR(__xludf.DUMMYFUNCTION("""COMPUTED_VALUE"""),"87-IND")</f>
        <v>87-IND</v>
      </c>
      <c r="B1493" s="7" t="str">
        <f>IFERROR(__xludf.DUMMYFUNCTION("""COMPUTED_VALUE"""),"Generating OpenAPI Specifications from Online API Documentation with Large Language Models")</f>
        <v>Generating OpenAPI Specifications from Online API Documentation with Large Language Models</v>
      </c>
      <c r="C1493" s="7" t="str">
        <f>IFERROR(__xludf.DUMMYFUNCTION("""COMPUTED_VALUE"""),"AI agents and business automation tools interacting with external web services require standardized, machine-readable information about their APIs in the form of API specifications. However, the information about APIs available online is often presented a"&amp;"s unstructured, free-form HTML documentation, requiring external users to spend significant time manually converting it into a structured format. To address this, we introduce \productname{}, a novel framework that transforms long and diverse API document"&amp;"ation pages into consistent, machine-readable API specifications. This is achieved through a carefully crafted pipeline that integrates large language models and rule-based algorithms which are guided by domain knowledge of the structure of documentation "&amp;"webpages. Our experiments demonstrate that \productname{} generalizes well across hundreds of APIs, and produces valid OpenAPI specifications that encapsulate most of the information from the original documentation. \productname{} has been successfully im"&amp;"plemented in an enterprise environment, saving thousands of hours of manual effort and making hundreds of complex enterprise APIs accessible as tools for LLMs.")</f>
        <v>AI agents and business automation tools interacting with external web services require standardized, machine-readable information about their APIs in the form of API specifications. However, the information about APIs available online is often presented as unstructured, free-form HTML documentation, requiring external users to spend significant time manually converting it into a structured format. To address this, we introduce \productname{}, a novel framework that transforms long and diverse API documentation pages into consistent, machine-readable API specifications. This is achieved through a carefully crafted pipeline that integrates large language models and rule-based algorithms which are guided by domain knowledge of the structure of documentation webpages. Our experiments demonstrate that \productname{} generalizes well across hundreds of APIs, and produces valid OpenAPI specifications that encapsulate most of the information from the original documentation. \productname{} has been successfully implemented in an enterprise environment, saving thousands of hours of manual effort and making hundreds of complex enterprise APIs accessible as tools for LLMs.</v>
      </c>
      <c r="D1493" s="7" t="str">
        <f>IFERROR(__xludf.DUMMYFUNCTION("""COMPUTED_VALUE"""),"Koren Lazar")</f>
        <v>Koren Lazar</v>
      </c>
      <c r="E1493" s="7" t="str">
        <f>IFERROR(__xludf.DUMMYFUNCTION("""COMPUTED_VALUE"""),"Yes")</f>
        <v>Yes</v>
      </c>
      <c r="F1493" s="7" t="str">
        <f>IFERROR(__xludf.DUMMYFUNCTION("""COMPUTED_VALUE"""),"IP-Poster")</f>
        <v>IP-Poster</v>
      </c>
      <c r="G1493" s="7" t="str">
        <f>IFERROR(__xludf.DUMMYFUNCTION("""COMPUTED_VALUE"""),"In-person")</f>
        <v>In-person</v>
      </c>
      <c r="H1493" s="7" t="str">
        <f>IFERROR(__xludf.DUMMYFUNCTION("""COMPUTED_VALUE"""),"Hall 4X")</f>
        <v>Hall 4X</v>
      </c>
      <c r="I1493" s="7" t="str">
        <f>IFERROR(__xludf.DUMMYFUNCTION("""COMPUTED_VALUE"""),"Session 10: IP-Posters")</f>
        <v>Session 10: IP-Posters</v>
      </c>
      <c r="J1493" s="7" t="str">
        <f>IFERROR(__xludf.DUMMYFUNCTION("""COMPUTED_VALUE"""),"Industry - In-Person Posters")</f>
        <v>Industry - In-Person Posters</v>
      </c>
      <c r="K1493" s="7"/>
      <c r="L1493" s="8">
        <f>IFERROR(__xludf.DUMMYFUNCTION("""COMPUTED_VALUE"""),45867.0)</f>
        <v>45867</v>
      </c>
      <c r="M1493" s="7" t="str">
        <f>IFERROR(__xludf.DUMMYFUNCTION("""COMPUTED_VALUE"""),"16:00-17:30")</f>
        <v>16:00-17:30</v>
      </c>
      <c r="N1493" s="7"/>
    </row>
    <row r="1494">
      <c r="A1494" s="7" t="str">
        <f>IFERROR(__xludf.DUMMYFUNCTION("""COMPUTED_VALUE"""),"88-IND")</f>
        <v>88-IND</v>
      </c>
      <c r="B1494" s="7" t="str">
        <f>IFERROR(__xludf.DUMMYFUNCTION("""COMPUTED_VALUE"""),"CoAlign: Uncertainty Calibration of LLM for Geospatial Repartition")</f>
        <v>CoAlign: Uncertainty Calibration of LLM for Geospatial Repartition</v>
      </c>
      <c r="C1494" s="7" t="str">
        <f>IFERROR(__xludf.DUMMYFUNCTION("""COMPUTED_VALUE"""),"With the rapid expansion of e-commerce and continuous urban evolution, Geospatial Repartition, dividing geographical regions into delivery zones, is essential to optimize various objectives, e.g., on-time delivery rate, for last-mile delivery. Recently, l"&amp;"arge language models (LLMs) have offered promising capabilities for integrating diverse contextual information that is beneficial for geospatial repartition. However, given the inherent uncertainty in LLMs, adapting them to practical usage in real-world r"&amp;"epartition is nontrivial. Thus, we introduce CoAlign, a novel three-stage framework that calibrates LLM uncertainty to enable robust geospatial repartition by transforming the task into a ranking problem, integrating historical data with LLM-generated can"&amp;"didates. It first generates explainable candidate partitions with a multi-criteria strategy and then designs a novel conformal method to rank these candidates relative to historical partitions with coverage guarantees. Finally, CoAlign delivers candidates"&amp;" through an interactive decision support system. Extensive evaluation with real-world data shows that CoAlign effectively calibrates LLM uncertainty and generates partitions that better align with human feedback. Moreover, we have deployed CoAlign in one "&amp;"of the world’s largest logistics companies, significantly enhancing their delivery operations by increasing candidate acceptance rates by 300\% and improving on-time delivery rates by 3\%. Our work provides a novel angle to address industrial geospatial d"&amp;"ecision-making tasks by calibrating LLM uncertainty.")</f>
        <v>With the rapid expansion of e-commerce and continuous urban evolution, Geospatial Repartition, dividing geographical regions into delivery zones, is essential to optimize various objectives, e.g., on-time delivery rate, for last-mile delivery. Recently, large language models (LLMs) have offered promising capabilities for integrating diverse contextual information that is beneficial for geospatial repartition. However, given the inherent uncertainty in LLMs, adapting them to practical usage in real-world repartition is nontrivial. Thus, we introduce CoAlign, a novel three-stage framework that calibrates LLM uncertainty to enable robust geospatial repartition by transforming the task into a ranking problem, integrating historical data with LLM-generated candidates. It first generates explainable candidate partitions with a multi-criteria strategy and then designs a novel conformal method to rank these candidates relative to historical partitions with coverage guarantees. Finally, CoAlign delivers candidates through an interactive decision support system. Extensive evaluation with real-world data shows that CoAlign effectively calibrates LLM uncertainty and generates partitions that better align with human feedback. Moreover, we have deployed CoAlign in one of the world’s largest logistics companies, significantly enhancing their delivery operations by increasing candidate acceptance rates by 300\% and improving on-time delivery rates by 3\%. Our work provides a novel angle to address industrial geospatial decision-making tasks by calibrating LLM uncertainty.</v>
      </c>
      <c r="D1494" s="7" t="str">
        <f>IFERROR(__xludf.DUMMYFUNCTION("""COMPUTED_VALUE"""),"Zejun Xie")</f>
        <v>Zejun Xie</v>
      </c>
      <c r="E1494" s="7" t="str">
        <f>IFERROR(__xludf.DUMMYFUNCTION("""COMPUTED_VALUE"""),"Yes")</f>
        <v>Yes</v>
      </c>
      <c r="F1494" s="7" t="str">
        <f>IFERROR(__xludf.DUMMYFUNCTION("""COMPUTED_VALUE"""),"V-Presentation")</f>
        <v>V-Presentation</v>
      </c>
      <c r="G1494" s="7" t="str">
        <f>IFERROR(__xludf.DUMMYFUNCTION("""COMPUTED_VALUE"""),"Virtual/Gather")</f>
        <v>Virtual/Gather</v>
      </c>
      <c r="H1494" s="7" t="str">
        <f>IFERROR(__xludf.DUMMYFUNCTION("""COMPUTED_VALUE"""),"Zoom")</f>
        <v>Zoom</v>
      </c>
      <c r="I1494" s="7" t="str">
        <f>IFERROR(__xludf.DUMMYFUNCTION("""COMPUTED_VALUE"""),"Session 10: V-Presenations")</f>
        <v>Session 10: V-Presenations</v>
      </c>
      <c r="J1494" s="7" t="str">
        <f>IFERROR(__xludf.DUMMYFUNCTION("""COMPUTED_VALUE"""),"Industry - Virtual Presentations 1")</f>
        <v>Industry - Virtual Presentations 1</v>
      </c>
      <c r="K1494" s="7"/>
      <c r="L1494" s="8">
        <f>IFERROR(__xludf.DUMMYFUNCTION("""COMPUTED_VALUE"""),45867.0)</f>
        <v>45867</v>
      </c>
      <c r="M1494" s="7" t="str">
        <f>IFERROR(__xludf.DUMMYFUNCTION("""COMPUTED_VALUE"""),"4:00-5:30 am CEST")</f>
        <v>4:00-5:30 am CEST</v>
      </c>
      <c r="N1494" s="7"/>
    </row>
    <row r="1495">
      <c r="A1495" s="7" t="str">
        <f>IFERROR(__xludf.DUMMYFUNCTION("""COMPUTED_VALUE"""),"90-IND")</f>
        <v>90-IND</v>
      </c>
      <c r="B1495" s="7" t="str">
        <f>IFERROR(__xludf.DUMMYFUNCTION("""COMPUTED_VALUE"""),"Arctic-TILT. Business Document Understanding at Sub-Billion Scale")</f>
        <v>Arctic-TILT. Business Document Understanding at Sub-Billion Scale</v>
      </c>
      <c r="C1495" s="7" t="str">
        <f>IFERROR(__xludf.DUMMYFUNCTION("""COMPUTED_VALUE"""),"The vast portion of workloads employing LLMs involves answering questions grounded on PDF or scanned content. We introduce the Arctic-TILT achieving accuracy on par with models 1000x its size on these use cases. It can be finetuned and deployed on a singl"&amp;"e 24GB GPU, lowering operational costs while processing rich documents with up to 400k tokens. The model establishes state-of-the-art results on seven diverse Document Understanding benchmarks, as well as provides reliable confidence scores and quick infe"&amp;"rence, essential for processing files in large-scale or time-sensitive enterprise environments. We release Arctic-TILT weights and an efficient vLLM-based implementation on a permissive license.")</f>
        <v>The vast portion of workloads employing LLMs involves answering questions grounded on PDF or scanned content. We introduce the Arctic-TILT achieving accuracy on par with models 1000x its size on these use cases. It can be finetuned and deployed on a single 24GB GPU, lowering operational costs while processing rich documents with up to 400k tokens. The model establishes state-of-the-art results on seven diverse Document Understanding benchmarks, as well as provides reliable confidence scores and quick inference, essential for processing files in large-scale or time-sensitive enterprise environments. We release Arctic-TILT weights and an efficient vLLM-based implementation on a permissive license.</v>
      </c>
      <c r="D1495" s="7" t="str">
        <f>IFERROR(__xludf.DUMMYFUNCTION("""COMPUTED_VALUE"""),"Łukasz Borchmann")</f>
        <v>Łukasz Borchmann</v>
      </c>
      <c r="E1495" s="7" t="str">
        <f>IFERROR(__xludf.DUMMYFUNCTION("""COMPUTED_VALUE"""),"Yes")</f>
        <v>Yes</v>
      </c>
      <c r="F1495" s="7" t="str">
        <f>IFERROR(__xludf.DUMMYFUNCTION("""COMPUTED_VALUE"""),"IP-Oral")</f>
        <v>IP-Oral</v>
      </c>
      <c r="G1495" s="7" t="str">
        <f>IFERROR(__xludf.DUMMYFUNCTION("""COMPUTED_VALUE"""),"In-person")</f>
        <v>In-person</v>
      </c>
      <c r="H1495" s="7" t="str">
        <f>IFERROR(__xludf.DUMMYFUNCTION("""COMPUTED_VALUE"""),"Hall L")</f>
        <v>Hall L</v>
      </c>
      <c r="I1495" s="7" t="str">
        <f>IFERROR(__xludf.DUMMYFUNCTION("""COMPUTED_VALUE"""),"Session 9: IP-Orals")</f>
        <v>Session 9: IP-Orals</v>
      </c>
      <c r="J1495" s="7" t="str">
        <f>IFERROR(__xludf.DUMMYFUNCTION("""COMPUTED_VALUE"""),"Industry 4")</f>
        <v>Industry 4</v>
      </c>
      <c r="K1495" s="7"/>
      <c r="L1495" s="8"/>
      <c r="M1495" s="7" t="str">
        <f>IFERROR(__xludf.DUMMYFUNCTION("""COMPUTED_VALUE"""),"14:00-15:30")</f>
        <v>14:00-15:30</v>
      </c>
      <c r="N1495" s="7">
        <f>IFERROR(__xludf.DUMMYFUNCTION("""COMPUTED_VALUE"""),2.0)</f>
        <v>2</v>
      </c>
    </row>
    <row r="1496">
      <c r="A1496" s="7" t="str">
        <f>IFERROR(__xludf.DUMMYFUNCTION("""COMPUTED_VALUE"""),"93-IND")</f>
        <v>93-IND</v>
      </c>
      <c r="B1496" s="7" t="str">
        <f>IFERROR(__xludf.DUMMYFUNCTION("""COMPUTED_VALUE"""),"Graph-Linguistic Fusion: Using Language Models for Wikidata Vandalism Detection")</f>
        <v>Graph-Linguistic Fusion: Using Language Models for Wikidata Vandalism Detection</v>
      </c>
      <c r="C1496" s="7" t="str">
        <f>IFERROR(__xludf.DUMMYFUNCTION("""COMPUTED_VALUE"""),"We introduce a next-generation vandalism detection system for Wikidata, one of the largest open-source structured knowledge bases on the Web. Wikidata is highly complex: its items incorporate an ever-expanding universe of factual triples and multilingual "&amp;"texts. While edits can alter both structured and textual content, our approach converts all edits into a single space using a method we call Graph2Text. This allows for evaluating all content changes for potential vandalism using a single multilingual lan"&amp;"guage model. This unified approach improves coverage and simplifies maintenance. Experiments demonstrate that our solution outperforms the current production system. Additionally, we are releasing the code under an open license along with a large dataset "&amp;"of various human-generated knowledge alterations, enabling further research.")</f>
        <v>We introduce a next-generation vandalism detection system for Wikidata, one of the largest open-source structured knowledge bases on the Web. Wikidata is highly complex: its items incorporate an ever-expanding universe of factual triples and multilingual texts. While edits can alter both structured and textual content, our approach converts all edits into a single space using a method we call Graph2Text. This allows for evaluating all content changes for potential vandalism using a single multilingual language model. This unified approach improves coverage and simplifies maintenance. Experiments demonstrate that our solution outperforms the current production system. Additionally, we are releasing the code under an open license along with a large dataset of various human-generated knowledge alterations, enabling further research.</v>
      </c>
      <c r="D1496" s="7" t="str">
        <f>IFERROR(__xludf.DUMMYFUNCTION("""COMPUTED_VALUE"""),"Mykola Trokhymovych , Diego Saez-Trumper")</f>
        <v>Mykola Trokhymovych , Diego Saez-Trumper</v>
      </c>
      <c r="E1496" s="7" t="str">
        <f>IFERROR(__xludf.DUMMYFUNCTION("""COMPUTED_VALUE"""),"Yes")</f>
        <v>Yes</v>
      </c>
      <c r="F1496" s="7" t="str">
        <f>IFERROR(__xludf.DUMMYFUNCTION("""COMPUTED_VALUE"""),"IP-Poster")</f>
        <v>IP-Poster</v>
      </c>
      <c r="G1496" s="7" t="str">
        <f>IFERROR(__xludf.DUMMYFUNCTION("""COMPUTED_VALUE"""),"In-person")</f>
        <v>In-person</v>
      </c>
      <c r="H1496" s="7" t="str">
        <f>IFERROR(__xludf.DUMMYFUNCTION("""COMPUTED_VALUE"""),"Hall 4X")</f>
        <v>Hall 4X</v>
      </c>
      <c r="I1496" s="7" t="str">
        <f>IFERROR(__xludf.DUMMYFUNCTION("""COMPUTED_VALUE"""),"Session 10: IP-Posters")</f>
        <v>Session 10: IP-Posters</v>
      </c>
      <c r="J1496" s="7" t="str">
        <f>IFERROR(__xludf.DUMMYFUNCTION("""COMPUTED_VALUE"""),"Industry - In-Person Posters")</f>
        <v>Industry - In-Person Posters</v>
      </c>
      <c r="K1496" s="7"/>
      <c r="L1496" s="8">
        <f>IFERROR(__xludf.DUMMYFUNCTION("""COMPUTED_VALUE"""),45867.0)</f>
        <v>45867</v>
      </c>
      <c r="M1496" s="7" t="str">
        <f>IFERROR(__xludf.DUMMYFUNCTION("""COMPUTED_VALUE"""),"16:00-17:30")</f>
        <v>16:00-17:30</v>
      </c>
      <c r="N1496" s="7"/>
    </row>
    <row r="1497">
      <c r="A1497" s="7" t="str">
        <f>IFERROR(__xludf.DUMMYFUNCTION("""COMPUTED_VALUE"""),"97-IND")</f>
        <v>97-IND</v>
      </c>
      <c r="B1497" s="7" t="str">
        <f>IFERROR(__xludf.DUMMYFUNCTION("""COMPUTED_VALUE"""),"LOTUS: A Leaderboard for Detailed Image Captioning from Quality to Societal Bias and User Preferences")</f>
        <v>LOTUS: A Leaderboard for Detailed Image Captioning from Quality to Societal Bias and User Preferences</v>
      </c>
      <c r="C1497" s="7" t="str">
        <f>IFERROR(__xludf.DUMMYFUNCTION("""COMPUTED_VALUE"""),"Large Vision-Language Models (LVLMs) have transformed image captioning, shifting from concise captions to detailed descriptions. We introduce LOTUS, a leaderboard for evaluating detailed captions, addressing three main gaps in existing evaluations: lack o"&amp;"f standardized criteria, bias-aware assessments, and user preference considerations. LOTUS comprehensively evaluates various aspects, including caption quality (e.g., alignment, descriptiveness), risks (e.g., hallucination), and societal biases (e.g., gen"&amp;"der bias) while enabling preference-oriented evaluations by tailoring criteria to diverse user preferences. Our analysis of recent LVLMs reveals no single model excels across all criteria, while correlations emerge between caption detail and bias risks. P"&amp;"reference-oriented evaluations demonstrate that optimal model selection depends on user priorities.")</f>
        <v>Large Vision-Language Models (LVLMs) have transformed image captioning, shifting from concise captions to detailed descriptions. We introduce LOTUS, a leaderboard for evaluating detailed captions, addressing three main gaps in existing evaluations: lack of standardized criteria, bias-aware assessments, and user preference considerations. LOTUS comprehensively evaluates various aspects, including caption quality (e.g., alignment, descriptiveness), risks (e.g., hallucination), and societal biases (e.g., gender bias) while enabling preference-oriented evaluations by tailoring criteria to diverse user preferences. Our analysis of recent LVLMs reveals no single model excels across all criteria, while correlations emerge between caption detail and bias risks. Preference-oriented evaluations demonstrate that optimal model selection depends on user priorities.</v>
      </c>
      <c r="D1497" s="7" t="str">
        <f>IFERROR(__xludf.DUMMYFUNCTION("""COMPUTED_VALUE"""),"Huck Yang")</f>
        <v>Huck Yang</v>
      </c>
      <c r="E1497" s="7" t="str">
        <f>IFERROR(__xludf.DUMMYFUNCTION("""COMPUTED_VALUE"""),"Yes")</f>
        <v>Yes</v>
      </c>
      <c r="F1497" s="7" t="str">
        <f>IFERROR(__xludf.DUMMYFUNCTION("""COMPUTED_VALUE"""),"IP-Poster")</f>
        <v>IP-Poster</v>
      </c>
      <c r="G1497" s="7" t="str">
        <f>IFERROR(__xludf.DUMMYFUNCTION("""COMPUTED_VALUE"""),"In-person")</f>
        <v>In-person</v>
      </c>
      <c r="H1497" s="7" t="str">
        <f>IFERROR(__xludf.DUMMYFUNCTION("""COMPUTED_VALUE"""),"Hall 4X")</f>
        <v>Hall 4X</v>
      </c>
      <c r="I1497" s="7" t="str">
        <f>IFERROR(__xludf.DUMMYFUNCTION("""COMPUTED_VALUE"""),"Session 10: IP-Posters")</f>
        <v>Session 10: IP-Posters</v>
      </c>
      <c r="J1497" s="7" t="str">
        <f>IFERROR(__xludf.DUMMYFUNCTION("""COMPUTED_VALUE"""),"Industry - In-Person Posters")</f>
        <v>Industry - In-Person Posters</v>
      </c>
      <c r="K1497" s="7"/>
      <c r="L1497" s="8">
        <f>IFERROR(__xludf.DUMMYFUNCTION("""COMPUTED_VALUE"""),45867.0)</f>
        <v>45867</v>
      </c>
      <c r="M1497" s="7" t="str">
        <f>IFERROR(__xludf.DUMMYFUNCTION("""COMPUTED_VALUE"""),"16:00-17:30")</f>
        <v>16:00-17:30</v>
      </c>
      <c r="N1497" s="7"/>
    </row>
    <row r="1498">
      <c r="A1498" s="7" t="str">
        <f>IFERROR(__xludf.DUMMYFUNCTION("""COMPUTED_VALUE"""),"102-IND")</f>
        <v>102-IND</v>
      </c>
      <c r="B1498" s="7" t="str">
        <f>IFERROR(__xludf.DUMMYFUNCTION("""COMPUTED_VALUE"""),"CiteFix: Enhancing RAG Accuracy Through Post-Processing Citation Correction")</f>
        <v>CiteFix: Enhancing RAG Accuracy Through Post-Processing Citation Correction</v>
      </c>
      <c r="C1498" s="7" t="str">
        <f>IFERROR(__xludf.DUMMYFUNCTION("""COMPUTED_VALUE"""),"Retrieval Augmented Generation (RAG) has emerged as a powerful application of Large Language Models (LLMs), revolutionizing information search and consumption. RAG systems combine traditional search capabilities with LLMs to generate comprehensive answers"&amp;" to user queries, ideally with accurate citations. However, in our experience of developing a RAG product, LLMs often struggle with source attribution, aligning with other industry studies reporting citation accuracy rates of only about 74\% for popular g"&amp;"enerative search engines. To address this, we present efficient post-processing algorithms to improve citation accuracy in LLM-generated responses, with minimal impact on latency and cost. Our approaches cross-check generated citations against retrieved a"&amp;"rticles using methods including keyword + semantic matching, fine tuned model with BERTScore, and a lightweight LLM-based technique. Our experimental results demonstrate a relative improvement of 15.46\% in the overall accuracy metrics of our RAG system. "&amp;"This significant enhancement potentially enables a shift from our current larger language model to a relatively smaller model that is approximately 12x more cost-effective and 3x faster in inference time, while maintaining comparable performance. This res"&amp;"earch contributes to enhancing the reliability and trustworthiness of AI-generated content in information retrieval and summarization tasks which is critical to gain customer trust especially in commercial products.")</f>
        <v>Retrieval Augmented Generation (RAG) has emerged as a powerful application of Large Language Models (LLMs), revolutionizing information search and consumption. RAG systems combine traditional search capabilities with LLMs to generate comprehensive answers to user queries, ideally with accurate citations. However, in our experience of developing a RAG product, LLMs often struggle with source attribution, aligning with other industry studies reporting citation accuracy rates of only about 74\% for popular generative search engines. To address this, we present efficient post-processing algorithms to improve citation accuracy in LLM-generated responses, with minimal impact on latency and cost. Our approaches cross-check generated citations against retrieved articles using methods including keyword + semantic matching, fine tuned model with BERTScore, and a lightweight LLM-based technique. Our experimental results demonstrate a relative improvement of 15.46\% in the overall accuracy metrics of our RAG system. This significant enhancement potentially enables a shift from our current larger language model to a relatively smaller model that is approximately 12x more cost-effective and 3x faster in inference time, while maintaining comparable performance. This research contributes to enhancing the reliability and trustworthiness of AI-generated content in information retrieval and summarization tasks which is critical to gain customer trust especially in commercial products.</v>
      </c>
      <c r="D1498" s="7" t="str">
        <f>IFERROR(__xludf.DUMMYFUNCTION("""COMPUTED_VALUE"""),"Srikanth Venkata Tenneti")</f>
        <v>Srikanth Venkata Tenneti</v>
      </c>
      <c r="E1498" s="7" t="str">
        <f>IFERROR(__xludf.DUMMYFUNCTION("""COMPUTED_VALUE"""),"Yes")</f>
        <v>Yes</v>
      </c>
      <c r="F1498" s="7" t="str">
        <f>IFERROR(__xludf.DUMMYFUNCTION("""COMPUTED_VALUE"""),"V-Presentation")</f>
        <v>V-Presentation</v>
      </c>
      <c r="G1498" s="7" t="str">
        <f>IFERROR(__xludf.DUMMYFUNCTION("""COMPUTED_VALUE"""),"Virtual/Gather")</f>
        <v>Virtual/Gather</v>
      </c>
      <c r="H1498" s="7" t="str">
        <f>IFERROR(__xludf.DUMMYFUNCTION("""COMPUTED_VALUE"""),"Zoom")</f>
        <v>Zoom</v>
      </c>
      <c r="I1498" s="7" t="str">
        <f>IFERROR(__xludf.DUMMYFUNCTION("""COMPUTED_VALUE"""),"Session 10: V-Presenations")</f>
        <v>Session 10: V-Presenations</v>
      </c>
      <c r="J1498" s="7" t="str">
        <f>IFERROR(__xludf.DUMMYFUNCTION("""COMPUTED_VALUE"""),"Industry - Virtual Presentations 2")</f>
        <v>Industry - Virtual Presentations 2</v>
      </c>
      <c r="K1498" s="7"/>
      <c r="L1498" s="8">
        <f>IFERROR(__xludf.DUMMYFUNCTION("""COMPUTED_VALUE"""),45867.0)</f>
        <v>45867</v>
      </c>
      <c r="M1498" s="7" t="str">
        <f>IFERROR(__xludf.DUMMYFUNCTION("""COMPUTED_VALUE"""),"16:00-17:30")</f>
        <v>16:00-17:30</v>
      </c>
      <c r="N1498" s="7"/>
    </row>
    <row r="1499">
      <c r="A1499" s="7" t="str">
        <f>IFERROR(__xludf.DUMMYFUNCTION("""COMPUTED_VALUE"""),"104-IND")</f>
        <v>104-IND</v>
      </c>
      <c r="B1499" s="7" t="str">
        <f>IFERROR(__xludf.DUMMYFUNCTION("""COMPUTED_VALUE"""),"Light-R1: Curriculum SFT, DPO and RL for Long COT from Scratch and Beyond")</f>
        <v>Light-R1: Curriculum SFT, DPO and RL for Long COT from Scratch and Beyond</v>
      </c>
      <c r="C1499" s="7" t="str">
        <f>IFERROR(__xludf.DUMMYFUNCTION("""COMPUTED_VALUE"""),"This paper introduces Light-R1, an opensource suite for training long reasoning modelsusing reproducible and cost-effective methodology. Given the proprietary nature of data usedin the DeepSeek-R1 series, we develop an alternative approach leveraging excl"&amp;"usively publicdata and models. Our curriculum training progressively increases data difficulty, combinedwith multi-staged post-training. Our LightR1-32B model, trained from Qwen2.5-32BInstruct, outperforms DeepSeek-R1-DistillQwen-32B in math reasoning. Ex"&amp;"perimental results show that this curriculum approachbecomes more effective when distinct, diverse datasets are available for different training stages: fine-tuning DeepSeek-R1-Distilledmodels (pre-tuned by DeepSeek team on proprietary data) with 3,000 ch"&amp;"allenging examplesfrom our curriculum dataset yielded state-ofthe-art 7B and 14B models, while the 32Bmodel, Light-R1-32B-DS performed comparably to QwQ-32B and DeepSeek-R1. Furthermore, we extend our work by applying GRPOon long reasoning models. Our fin"&amp;"al Light-R1-14B-DS achieves SOTA performance among14B models in math, with AIME24 &amp; 25 scoresof 74.0 and 60.2 respectively, surpassing many32B models and DeepSeek-R1-Distill-Llama70B. Despite math-focused training, Light-R1-14B-DS demonstrates strong cros"&amp;"s-domain generalization. Light-R1 represents a significantadvancement in making sophisticated reasoning models more accessible and implementablein real-world applications. Our models, training data and code have been made available.")</f>
        <v>This paper introduces Light-R1, an opensource suite for training long reasoning modelsusing reproducible and cost-effective methodology. Given the proprietary nature of data usedin the DeepSeek-R1 series, we develop an alternative approach leveraging exclusively publicdata and models. Our curriculum training progressively increases data difficulty, combinedwith multi-staged post-training. Our LightR1-32B model, trained from Qwen2.5-32BInstruct, outperforms DeepSeek-R1-DistillQwen-32B in math reasoning. Experimental results show that this curriculum approachbecomes more effective when distinct, diverse datasets are available for different training stages: fine-tuning DeepSeek-R1-Distilledmodels (pre-tuned by DeepSeek team on proprietary data) with 3,000 challenging examplesfrom our curriculum dataset yielded state-ofthe-art 7B and 14B models, while the 32Bmodel, Light-R1-32B-DS performed comparably to QwQ-32B and DeepSeek-R1. Furthermore, we extend our work by applying GRPOon long reasoning models. Our final Light-R1-14B-DS achieves SOTA performance among14B models in math, with AIME24 &amp; 25 scoresof 74.0 and 60.2 respectively, surpassing many32B models and DeepSeek-R1-Distill-Llama70B. Despite math-focused training, Light-R1-14B-DS demonstrates strong cross-domain generalization. Light-R1 represents a significantadvancement in making sophisticated reasoning models more accessible and implementablein real-world applications. Our models, training data and code have been made available.</v>
      </c>
      <c r="D1499" s="7" t="str">
        <f>IFERROR(__xludf.DUMMYFUNCTION("""COMPUTED_VALUE"""),"Liang Wen")</f>
        <v>Liang Wen</v>
      </c>
      <c r="E1499" s="7" t="str">
        <f>IFERROR(__xludf.DUMMYFUNCTION("""COMPUTED_VALUE"""),"Yes")</f>
        <v>Yes</v>
      </c>
      <c r="F1499" s="7" t="str">
        <f>IFERROR(__xludf.DUMMYFUNCTION("""COMPUTED_VALUE"""),"V-Presentation")</f>
        <v>V-Presentation</v>
      </c>
      <c r="G1499" s="7" t="str">
        <f>IFERROR(__xludf.DUMMYFUNCTION("""COMPUTED_VALUE"""),"Virtual/Gather")</f>
        <v>Virtual/Gather</v>
      </c>
      <c r="H1499" s="7" t="str">
        <f>IFERROR(__xludf.DUMMYFUNCTION("""COMPUTED_VALUE"""),"Zoom")</f>
        <v>Zoom</v>
      </c>
      <c r="I1499" s="7" t="str">
        <f>IFERROR(__xludf.DUMMYFUNCTION("""COMPUTED_VALUE"""),"Session 10: V-Presenations")</f>
        <v>Session 10: V-Presenations</v>
      </c>
      <c r="J1499" s="7" t="str">
        <f>IFERROR(__xludf.DUMMYFUNCTION("""COMPUTED_VALUE"""),"Industry - Virtual Presentations 2")</f>
        <v>Industry - Virtual Presentations 2</v>
      </c>
      <c r="K1499" s="7"/>
      <c r="L1499" s="8">
        <f>IFERROR(__xludf.DUMMYFUNCTION("""COMPUTED_VALUE"""),45867.0)</f>
        <v>45867</v>
      </c>
      <c r="M1499" s="7" t="str">
        <f>IFERROR(__xludf.DUMMYFUNCTION("""COMPUTED_VALUE"""),"16:00-17:30")</f>
        <v>16:00-17:30</v>
      </c>
      <c r="N1499" s="7"/>
    </row>
    <row r="1500">
      <c r="A1500" s="7" t="str">
        <f>IFERROR(__xludf.DUMMYFUNCTION("""COMPUTED_VALUE"""),"108-IND")</f>
        <v>108-IND</v>
      </c>
      <c r="B1500" s="7" t="str">
        <f>IFERROR(__xludf.DUMMYFUNCTION("""COMPUTED_VALUE"""),"Efficient Out-of-Scope Detection in Dialogue Systems via Uncertainty-Driven LLM Routing")</f>
        <v>Efficient Out-of-Scope Detection in Dialogue Systems via Uncertainty-Driven LLM Routing</v>
      </c>
      <c r="C1500" s="7" t="str">
        <f>IFERROR(__xludf.DUMMYFUNCTION("""COMPUTED_VALUE"""),"Out-of-scope (OOS) intent detection is a critical challenge in task-oriented dialogue systems (TODS), as it ensures robustness to unseen and ambiguous queries. In this work, we propose a novel but simple modular framework that combines uncertainty modelin"&amp;"g with fine-tuned large language models (LLMs) for efficient and accurate OOS detection. 
 The first step applies uncertainty estimation to the output of an in-scope intent detection classifier, which is currently deployed in a real-world TODS handling te"&amp;"ns of thousands of user interactions daily. The second step then leverages an emerging LLM-based approach, where a fine-tuned LLM is triggered to make a final decision on instances with high uncertainty.
 Unlike prior approaches, our method effectively ba"&amp;"lances computational efficiency and performance, combining traditional approaches with LLMs and yielding state-of-the-art results on key OOS detection benchmarks, including real-world OOS data acquired from a deployed TODS.")</f>
        <v>Out-of-scope (OOS) intent detection is a critical challenge in task-oriented dialogue systems (TODS), as it ensures robustness to unseen and ambiguous queries. In this work, we propose a novel but simple modular framework that combines uncertainty modeling with fine-tuned large language models (LLMs) for efficient and accurate OOS detection. 
 The first step applies uncertainty estimation to the output of an in-scope intent detection classifier, which is currently deployed in a real-world TODS handling tens of thousands of user interactions daily. The second step then leverages an emerging LLM-based approach, where a fine-tuned LLM is triggered to make a final decision on instances with high uncertainty.
 Unlike prior approaches, our method effectively balances computational efficiency and performance, combining traditional approaches with LLMs and yielding state-of-the-art results on key OOS detection benchmarks, including real-world OOS data acquired from a deployed TODS.</v>
      </c>
      <c r="D1500" s="7" t="str">
        <f>IFERROR(__xludf.DUMMYFUNCTION("""COMPUTED_VALUE"""),"Álvaro Zaera")</f>
        <v>Álvaro Zaera</v>
      </c>
      <c r="E1500" s="7" t="str">
        <f>IFERROR(__xludf.DUMMYFUNCTION("""COMPUTED_VALUE"""),"Yes")</f>
        <v>Yes</v>
      </c>
      <c r="F1500" s="7" t="str">
        <f>IFERROR(__xludf.DUMMYFUNCTION("""COMPUTED_VALUE"""),"IP-Poster")</f>
        <v>IP-Poster</v>
      </c>
      <c r="G1500" s="7" t="str">
        <f>IFERROR(__xludf.DUMMYFUNCTION("""COMPUTED_VALUE"""),"In-person")</f>
        <v>In-person</v>
      </c>
      <c r="H1500" s="7" t="str">
        <f>IFERROR(__xludf.DUMMYFUNCTION("""COMPUTED_VALUE"""),"Hall 4X")</f>
        <v>Hall 4X</v>
      </c>
      <c r="I1500" s="7" t="str">
        <f>IFERROR(__xludf.DUMMYFUNCTION("""COMPUTED_VALUE"""),"Session 10: IP-Posters")</f>
        <v>Session 10: IP-Posters</v>
      </c>
      <c r="J1500" s="7" t="str">
        <f>IFERROR(__xludf.DUMMYFUNCTION("""COMPUTED_VALUE"""),"Industry - In-Person Posters")</f>
        <v>Industry - In-Person Posters</v>
      </c>
      <c r="K1500" s="7"/>
      <c r="L1500" s="8">
        <f>IFERROR(__xludf.DUMMYFUNCTION("""COMPUTED_VALUE"""),45867.0)</f>
        <v>45867</v>
      </c>
      <c r="M1500" s="7" t="str">
        <f>IFERROR(__xludf.DUMMYFUNCTION("""COMPUTED_VALUE"""),"16:00-17:30")</f>
        <v>16:00-17:30</v>
      </c>
      <c r="N1500" s="7"/>
    </row>
    <row r="1501">
      <c r="A1501" s="7" t="str">
        <f>IFERROR(__xludf.DUMMYFUNCTION("""COMPUTED_VALUE"""),"109-IND")</f>
        <v>109-IND</v>
      </c>
      <c r="B1501" s="7" t="str">
        <f>IFERROR(__xludf.DUMMYFUNCTION("""COMPUTED_VALUE"""),"Transforming Podcast Preview Generation: From Expert Models to LLM-Based Systems")</f>
        <v>Transforming Podcast Preview Generation: From Expert Models to LLM-Based Systems</v>
      </c>
      <c r="C1501" s="7" t="str">
        <f>IFERROR(__xludf.DUMMYFUNCTION("""COMPUTED_VALUE"""),"Discovering and evaluating long-form talk content such as videos and podcasts poses a significant challenge for users, as it requires a considerable time investment. Previews offer a practical solution by providing concise snippets that showcase key momen"&amp;"ts of the content, enabling users to make more informed and confident choices. We propose an LLM-based approach for generating podcast episode previews and deploy the solution at scale, serving hundreds of thousands of podcast previews in a real-world app"&amp;"lication. Comprehensive offline evaluations and online A/B testing demonstrate that LLM-generated previews consistently outperform a strong baseline built on top of various ML expert models, showcasing a significant reduction in the need for meticulous fe"&amp;"ature engineering. The offline results indicate notable enhancements in understandability, contextual clarity, and interest level, and the online A/B test shows a 4.6% increase in user engagement with preview content, along with a 5x boost in processing e"&amp;"fficiency, offering a more streamlined and performant solution compared to the strong baseline of feature-engineered expert models.")</f>
        <v>Discovering and evaluating long-form talk content such as videos and podcasts poses a significant challenge for users, as it requires a considerable time investment. Previews offer a practical solution by providing concise snippets that showcase key moments of the content, enabling users to make more informed and confident choices. We propose an LLM-based approach for generating podcast episode previews and deploy the solution at scale, serving hundreds of thousands of podcast previews in a real-world application. Comprehensive offline evaluations and online A/B testing demonstrate that LLM-generated previews consistently outperform a strong baseline built on top of various ML expert models, showcasing a significant reduction in the need for meticulous feature engineering. The offline results indicate notable enhancements in understandability, contextual clarity, and interest level, and the online A/B test shows a 4.6% increase in user engagement with preview content, along with a 5x boost in processing efficiency, offering a more streamlined and performant solution compared to the strong baseline of feature-engineered expert models.</v>
      </c>
      <c r="D1501" s="7" t="str">
        <f>IFERROR(__xludf.DUMMYFUNCTION("""COMPUTED_VALUE"""),"Winstead Zhu")</f>
        <v>Winstead Zhu</v>
      </c>
      <c r="E1501" s="7" t="str">
        <f>IFERROR(__xludf.DUMMYFUNCTION("""COMPUTED_VALUE"""),"Yes")</f>
        <v>Yes</v>
      </c>
      <c r="F1501" s="7" t="str">
        <f>IFERROR(__xludf.DUMMYFUNCTION("""COMPUTED_VALUE"""),"V-Presentation")</f>
        <v>V-Presentation</v>
      </c>
      <c r="G1501" s="7" t="str">
        <f>IFERROR(__xludf.DUMMYFUNCTION("""COMPUTED_VALUE"""),"Virtual/Gather")</f>
        <v>Virtual/Gather</v>
      </c>
      <c r="H1501" s="7" t="str">
        <f>IFERROR(__xludf.DUMMYFUNCTION("""COMPUTED_VALUE"""),"Zoom")</f>
        <v>Zoom</v>
      </c>
      <c r="I1501" s="7" t="str">
        <f>IFERROR(__xludf.DUMMYFUNCTION("""COMPUTED_VALUE"""),"Session 10: V-Presenations")</f>
        <v>Session 10: V-Presenations</v>
      </c>
      <c r="J1501" s="7" t="str">
        <f>IFERROR(__xludf.DUMMYFUNCTION("""COMPUTED_VALUE"""),"Industry - Virtual Presentations 2")</f>
        <v>Industry - Virtual Presentations 2</v>
      </c>
      <c r="K1501" s="7"/>
      <c r="L1501" s="8">
        <f>IFERROR(__xludf.DUMMYFUNCTION("""COMPUTED_VALUE"""),45867.0)</f>
        <v>45867</v>
      </c>
      <c r="M1501" s="7" t="str">
        <f>IFERROR(__xludf.DUMMYFUNCTION("""COMPUTED_VALUE"""),"16:00-17:30")</f>
        <v>16:00-17:30</v>
      </c>
      <c r="N1501" s="7"/>
    </row>
    <row r="1502">
      <c r="A1502" s="7" t="str">
        <f>IFERROR(__xludf.DUMMYFUNCTION("""COMPUTED_VALUE"""),"110-IND")</f>
        <v>110-IND</v>
      </c>
      <c r="B1502" s="7" t="str">
        <f>IFERROR(__xludf.DUMMYFUNCTION("""COMPUTED_VALUE"""),"A Perspective on LLM Data Generation with Few-shot Examples: from Intent to Kubernetes Manifest")</f>
        <v>A Perspective on LLM Data Generation with Few-shot Examples: from Intent to Kubernetes Manifest</v>
      </c>
      <c r="C1502" s="7" t="str">
        <f>IFERROR(__xludf.DUMMYFUNCTION("""COMPUTED_VALUE"""),"The advent of Large Language Models (LLMs) has transformed how complex tasks across various domains can be automated. One of the industry trends today is Agentic AI, which leverages LLMs to operate multiple tools and provide automatic configuration.
 In t"&amp;"he domain of cloud computing, Agentic AI might be used, for example, with the generation of Kubernetes manifests -- structured configuration files that define containerized environments.
 However, effectively applying LLMs to domain-specific tasks often r"&amp;"eveals knowledge gaps that impact the accuracy and reliability of the generated output.
 To address these challenges, we propose KGen, a pipeline for generating K8s manifests directly from user-described intents expressed in natural language using LLMs."&amp;" Our approach leverages an extensive n-shot learning analysis to choose the appropriate number of examples that can better guide the adopted models in generating the manuscripts while also looking at the computational cost. Our results validate the use of"&amp;" LLM in this task and show that (as expected) increasing the number of n-shot examples can improve the quality of the generated configurations when adopting more specialized models, such as Mixtral-8x7B (which uses the Mixture of Experts approach) and Pro"&amp;"metheus-8x7B-v2.0, but (surprisingly) for more general-purpose models like Llama3-8B and Llama3-70B, it can lead to smaller number of valid K8s manifests. 
 These results underscore the complexities of adapting LLMs for domain-specific structured generati"&amp;"on and emphasize the need for an in-depth analysis to determine the most effective setup, also suggesting that smaller models sometimes outperform their larger counterparts for each domain-specific task.")</f>
        <v>The advent of Large Language Models (LLMs) has transformed how complex tasks across various domains can be automated. One of the industry trends today is Agentic AI, which leverages LLMs to operate multiple tools and provide automatic configuration.
 In the domain of cloud computing, Agentic AI might be used, for example, with the generation of Kubernetes manifests -- structured configuration files that define containerized environments.
 However, effectively applying LLMs to domain-specific tasks often reveals knowledge gaps that impact the accuracy and reliability of the generated output.
 To address these challenges, we propose KGen, a pipeline for generating K8s manifests directly from user-described intents expressed in natural language using LLMs. Our approach leverages an extensive n-shot learning analysis to choose the appropriate number of examples that can better guide the adopted models in generating the manuscripts while also looking at the computational cost. Our results validate the use of LLM in this task and show that (as expected) increasing the number of n-shot examples can improve the quality of the generated configurations when adopting more specialized models, such as Mixtral-8x7B (which uses the Mixture of Experts approach) and Prometheus-8x7B-v2.0, but (surprisingly) for more general-purpose models like Llama3-8B and Llama3-70B, it can lead to smaller number of valid K8s manifests. 
 These results underscore the complexities of adapting LLMs for domain-specific structured generation and emphasize the need for an in-depth analysis to determine the most effective setup, also suggesting that smaller models sometimes outperform their larger counterparts for each domain-specific task.</v>
      </c>
      <c r="D1502" s="7" t="str">
        <f>IFERROR(__xludf.DUMMYFUNCTION("""COMPUTED_VALUE"""),"Liubov Nedoshiva")</f>
        <v>Liubov Nedoshiva</v>
      </c>
      <c r="E1502" s="7" t="str">
        <f>IFERROR(__xludf.DUMMYFUNCTION("""COMPUTED_VALUE"""),"Yes")</f>
        <v>Yes</v>
      </c>
      <c r="F1502" s="7" t="str">
        <f>IFERROR(__xludf.DUMMYFUNCTION("""COMPUTED_VALUE"""),"IP-Poster")</f>
        <v>IP-Poster</v>
      </c>
      <c r="G1502" s="7" t="str">
        <f>IFERROR(__xludf.DUMMYFUNCTION("""COMPUTED_VALUE"""),"In-person")</f>
        <v>In-person</v>
      </c>
      <c r="H1502" s="7" t="str">
        <f>IFERROR(__xludf.DUMMYFUNCTION("""COMPUTED_VALUE"""),"Hall 4X")</f>
        <v>Hall 4X</v>
      </c>
      <c r="I1502" s="7" t="str">
        <f>IFERROR(__xludf.DUMMYFUNCTION("""COMPUTED_VALUE"""),"Session 10: IP-Posters")</f>
        <v>Session 10: IP-Posters</v>
      </c>
      <c r="J1502" s="7" t="str">
        <f>IFERROR(__xludf.DUMMYFUNCTION("""COMPUTED_VALUE"""),"Industry - In-Person Posters")</f>
        <v>Industry - In-Person Posters</v>
      </c>
      <c r="K1502" s="7"/>
      <c r="L1502" s="8">
        <f>IFERROR(__xludf.DUMMYFUNCTION("""COMPUTED_VALUE"""),45867.0)</f>
        <v>45867</v>
      </c>
      <c r="M1502" s="7" t="str">
        <f>IFERROR(__xludf.DUMMYFUNCTION("""COMPUTED_VALUE"""),"16:00-17:30")</f>
        <v>16:00-17:30</v>
      </c>
      <c r="N1502" s="7"/>
    </row>
    <row r="1503">
      <c r="A1503" s="7" t="str">
        <f>IFERROR(__xludf.DUMMYFUNCTION("""COMPUTED_VALUE"""),"113-IND")</f>
        <v>113-IND</v>
      </c>
      <c r="B1503" s="7" t="str">
        <f>IFERROR(__xludf.DUMMYFUNCTION("""COMPUTED_VALUE"""),"TablePilot: Recommending Human-Preferred Tabular Data Analysis with Large Language Models")</f>
        <v>TablePilot: Recommending Human-Preferred Tabular Data Analysis with Large Language Models</v>
      </c>
      <c r="C1503" s="7" t="str">
        <f>IFERROR(__xludf.DUMMYFUNCTION("""COMPUTED_VALUE"""),"Tabular data analysis is crucial in many scenarios, yet efficiently identifying relevant queries and results for new tables remains challenging due to data complexity, diverse analytical operations, and high-quality analysis requirements. To address these"&amp;" challenges, we aim to recommend query–code–result triplets tailored for new tables in tabular data analysis workflows. In this paper, we present TablePilot, a pioneering tabular data analysis framework leveraging large language models to autonomously gen"&amp;"erate comprehensive and superior analytical results without relying on user profiles or prior interactions. Additionally, we propose Rec-Align, a novel method to further improve recommendation quality and better align with human preferences. Experiments o"&amp;"n DART, a dataset specifically designed for comprehensive tabular data analysis recommendation, demonstrate the effectiveness of our framework. Based on GPT-4o, the tuned TablePilot achieves 77.0% top-5 recommendation recall. Human evaluations further hig"&amp;"hlight its effectiveness in optimizing tabular data analysis workflows.")</f>
        <v>Tabular data analysis is crucial in many scenarios, yet efficiently identifying relevant queries and results for new tables remains challenging due to data complexity, diverse analytical operations, and high-quality analysis requirements. To address these challenges, we aim to recommend query–code–result triplets tailored for new tables in tabular data analysis workflows. In this paper, we present TablePilot, a pioneering tabular data analysis framework leveraging large language models to autonomously generate comprehensive and superior analytical results without relying on user profiles or prior interactions. Additionally, we propose Rec-Align, a novel method to further improve recommendation quality and better align with human preferences. Experiments on DART, a dataset specifically designed for comprehensive tabular data analysis recommendation, demonstrate the effectiveness of our framework. Based on GPT-4o, the tuned TablePilot achieves 77.0% top-5 recommendation recall. Human evaluations further highlight its effectiveness in optimizing tabular data analysis workflows.</v>
      </c>
      <c r="D1503" s="7" t="str">
        <f>IFERROR(__xludf.DUMMYFUNCTION("""COMPUTED_VALUE"""),"Mengyu Zhou")</f>
        <v>Mengyu Zhou</v>
      </c>
      <c r="E1503" s="7" t="str">
        <f>IFERROR(__xludf.DUMMYFUNCTION("""COMPUTED_VALUE"""),"Yes")</f>
        <v>Yes</v>
      </c>
      <c r="F1503" s="7" t="str">
        <f>IFERROR(__xludf.DUMMYFUNCTION("""COMPUTED_VALUE"""),"IP-Oral")</f>
        <v>IP-Oral</v>
      </c>
      <c r="G1503" s="7" t="str">
        <f>IFERROR(__xludf.DUMMYFUNCTION("""COMPUTED_VALUE"""),"In-person")</f>
        <v>In-person</v>
      </c>
      <c r="H1503" s="7" t="str">
        <f>IFERROR(__xludf.DUMMYFUNCTION("""COMPUTED_VALUE"""),"Hall L")</f>
        <v>Hall L</v>
      </c>
      <c r="I1503" s="7" t="str">
        <f>IFERROR(__xludf.DUMMYFUNCTION("""COMPUTED_VALUE"""),"Session 9: IP-Orals")</f>
        <v>Session 9: IP-Orals</v>
      </c>
      <c r="J1503" s="7" t="str">
        <f>IFERROR(__xludf.DUMMYFUNCTION("""COMPUTED_VALUE"""),"Industry 4")</f>
        <v>Industry 4</v>
      </c>
      <c r="K1503" s="7"/>
      <c r="L1503" s="8"/>
      <c r="M1503" s="7" t="str">
        <f>IFERROR(__xludf.DUMMYFUNCTION("""COMPUTED_VALUE"""),"14:00-15:30")</f>
        <v>14:00-15:30</v>
      </c>
      <c r="N1503" s="7">
        <f>IFERROR(__xludf.DUMMYFUNCTION("""COMPUTED_VALUE"""),3.0)</f>
        <v>3</v>
      </c>
    </row>
    <row r="1504">
      <c r="A1504" s="7" t="str">
        <f>IFERROR(__xludf.DUMMYFUNCTION("""COMPUTED_VALUE"""),"114-IND")</f>
        <v>114-IND</v>
      </c>
      <c r="B1504" s="7" t="str">
        <f>IFERROR(__xludf.DUMMYFUNCTION("""COMPUTED_VALUE"""),"LogicQA: Logical Anomaly Detection with Vision Language Model Generated Questions")</f>
        <v>LogicQA: Logical Anomaly Detection with Vision Language Model Generated Questions</v>
      </c>
      <c r="C1504" s="7" t="str">
        <f>IFERROR(__xludf.DUMMYFUNCTION("""COMPUTED_VALUE"""),"Anomaly Detection (AD) focuses on detecting samples that differ from the standard pattern, making it a vital tool in process control. Logical anomalies may appear visually normal yet violate predefined constraints on object presence, arrangement, or quant"&amp;"ity, depending on reasoning and explainability. We introduce LogicQA, a framework that enhances AD by providing industrial operators with explanations for logical anomalies. LogicQA compiles automatically generated questions into a checklist and collects "&amp;"responses to identify violations of logical constraints. LogicQA is training-free, annotation-free, and operates in a few-shot setting. We achieve state-of-the-art (SOTA) Logical AD performance on public benchmarks, MVTec LOCO AD, with an AUROC of 87.6% a"&amp;"nd an F1-max of 87.0% along with the explanations of anomalies. Also, our approach has shown outstanding performance on semiconductor SEM corporate data, further validating its effectiveness in industrial applications.")</f>
        <v>Anomaly Detection (AD) focuses on detecting samples that differ from the standard pattern, making it a vital tool in process control. Logical anomalies may appear visually normal yet violate predefined constraints on object presence, arrangement, or quantity, depending on reasoning and explainability. We introduce LogicQA, a framework that enhances AD by providing industrial operators with explanations for logical anomalies. LogicQA compiles automatically generated questions into a checklist and collects responses to identify violations of logical constraints. LogicQA is training-free, annotation-free, and operates in a few-shot setting. We achieve state-of-the-art (SOTA) Logical AD performance on public benchmarks, MVTec LOCO AD, with an AUROC of 87.6% and an F1-max of 87.0% along with the explanations of anomalies. Also, our approach has shown outstanding performance on semiconductor SEM corporate data, further validating its effectiveness in industrial applications.</v>
      </c>
      <c r="D1504" s="7" t="str">
        <f>IFERROR(__xludf.DUMMYFUNCTION("""COMPUTED_VALUE"""),"Yejin Kwon ")</f>
        <v>Yejin Kwon </v>
      </c>
      <c r="E1504" s="7" t="str">
        <f>IFERROR(__xludf.DUMMYFUNCTION("""COMPUTED_VALUE"""),"Yes")</f>
        <v>Yes</v>
      </c>
      <c r="F1504" s="7" t="str">
        <f>IFERROR(__xludf.DUMMYFUNCTION("""COMPUTED_VALUE"""),"IP-Poster")</f>
        <v>IP-Poster</v>
      </c>
      <c r="G1504" s="7" t="str">
        <f>IFERROR(__xludf.DUMMYFUNCTION("""COMPUTED_VALUE"""),"In-person")</f>
        <v>In-person</v>
      </c>
      <c r="H1504" s="7" t="str">
        <f>IFERROR(__xludf.DUMMYFUNCTION("""COMPUTED_VALUE"""),"Hall 4X")</f>
        <v>Hall 4X</v>
      </c>
      <c r="I1504" s="7" t="str">
        <f>IFERROR(__xludf.DUMMYFUNCTION("""COMPUTED_VALUE"""),"Session 10: IP-Posters")</f>
        <v>Session 10: IP-Posters</v>
      </c>
      <c r="J1504" s="7" t="str">
        <f>IFERROR(__xludf.DUMMYFUNCTION("""COMPUTED_VALUE"""),"Industry - In-Person Posters")</f>
        <v>Industry - In-Person Posters</v>
      </c>
      <c r="K1504" s="7"/>
      <c r="L1504" s="8">
        <f>IFERROR(__xludf.DUMMYFUNCTION("""COMPUTED_VALUE"""),45867.0)</f>
        <v>45867</v>
      </c>
      <c r="M1504" s="7" t="str">
        <f>IFERROR(__xludf.DUMMYFUNCTION("""COMPUTED_VALUE"""),"16:00-17:30")</f>
        <v>16:00-17:30</v>
      </c>
      <c r="N1504" s="7"/>
    </row>
    <row r="1505">
      <c r="A1505" s="7" t="str">
        <f>IFERROR(__xludf.DUMMYFUNCTION("""COMPUTED_VALUE"""),"116-IND")</f>
        <v>116-IND</v>
      </c>
      <c r="B1505" s="7" t="str">
        <f>IFERROR(__xludf.DUMMYFUNCTION("""COMPUTED_VALUE"""),"Model Merging for Knowledge Editing")</f>
        <v>Model Merging for Knowledge Editing</v>
      </c>
      <c r="C1505" s="7" t="str">
        <f>IFERROR(__xludf.DUMMYFUNCTION("""COMPUTED_VALUE"""),"Large Language Models (LLMs) require continuous updates to maintain accurate and current knowledge as the world evolves. While existing knowledge editing approaches offer various solutions for knowledge updating, they often struggle with sequential editin"&amp;"g scenarios and harm the general capabilities of the model, thereby significantly hampering their practical applicability.
 This paper proposes a two-stage framework combining robust supervised fine-tuning (R-SFT) with model merging for knowledge editing."&amp;" Our method first fine-tunes the LLM to internalize new knowledge fully, then merges the fine-tuned model with the original foundation model to preserve newly acquired knowledge and general capabilities. 
 Experimental results demonstrate that our approac"&amp;"h significantly outperforms existing methods in sequential editing while better preserving the original performance of the model, all without requiring any architectural changes. Code is available at [Applied-Machine-Learning-Lab/MM4KE](https://github.com"&amp;"/Applied-Machine-Learning-Lab/MM4KE).")</f>
        <v>Large Language Models (LLMs) require continuous updates to maintain accurate and current knowledge as the world evolves. While existing knowledge editing approaches offer various solutions for knowledge updating, they often struggle with sequential editing scenarios and harm the general capabilities of the model, thereby significantly hampering their practical applicability.
 This paper proposes a two-stage framework combining robust supervised fine-tuning (R-SFT) with model merging for knowledge editing. Our method first fine-tunes the LLM to internalize new knowledge fully, then merges the fine-tuned model with the original foundation model to preserve newly acquired knowledge and general capabilities. 
 Experimental results demonstrate that our approach significantly outperforms existing methods in sequential editing while better preserving the original performance of the model, all without requiring any architectural changes. Code is available at [Applied-Machine-Learning-Lab/MM4KE](https://github.com/Applied-Machine-Learning-Lab/MM4KE).</v>
      </c>
      <c r="D1505" s="7" t="str">
        <f>IFERROR(__xludf.DUMMYFUNCTION("""COMPUTED_VALUE"""),"Zichuan Fu")</f>
        <v>Zichuan Fu</v>
      </c>
      <c r="E1505" s="7" t="str">
        <f>IFERROR(__xludf.DUMMYFUNCTION("""COMPUTED_VALUE"""),"Yes")</f>
        <v>Yes</v>
      </c>
      <c r="F1505" s="7" t="str">
        <f>IFERROR(__xludf.DUMMYFUNCTION("""COMPUTED_VALUE"""),"IP-Oral")</f>
        <v>IP-Oral</v>
      </c>
      <c r="G1505" s="7" t="str">
        <f>IFERROR(__xludf.DUMMYFUNCTION("""COMPUTED_VALUE"""),"In-person")</f>
        <v>In-person</v>
      </c>
      <c r="H1505" s="7" t="str">
        <f>IFERROR(__xludf.DUMMYFUNCTION("""COMPUTED_VALUE"""),"Hall L")</f>
        <v>Hall L</v>
      </c>
      <c r="I1505" s="7" t="str">
        <f>IFERROR(__xludf.DUMMYFUNCTION("""COMPUTED_VALUE"""),"Session 9: IP-Orals")</f>
        <v>Session 9: IP-Orals</v>
      </c>
      <c r="J1505" s="7" t="str">
        <f>IFERROR(__xludf.DUMMYFUNCTION("""COMPUTED_VALUE"""),"Industry 4")</f>
        <v>Industry 4</v>
      </c>
      <c r="K1505" s="7"/>
      <c r="L1505" s="8"/>
      <c r="M1505" s="7" t="str">
        <f>IFERROR(__xludf.DUMMYFUNCTION("""COMPUTED_VALUE"""),"14:00-15:30")</f>
        <v>14:00-15:30</v>
      </c>
      <c r="N1505" s="7">
        <f>IFERROR(__xludf.DUMMYFUNCTION("""COMPUTED_VALUE"""),4.0)</f>
        <v>4</v>
      </c>
    </row>
    <row r="1506">
      <c r="A1506" s="7" t="str">
        <f>IFERROR(__xludf.DUMMYFUNCTION("""COMPUTED_VALUE"""),"120-IND")</f>
        <v>120-IND</v>
      </c>
      <c r="B1506" s="7" t="str">
        <f>IFERROR(__xludf.DUMMYFUNCTION("""COMPUTED_VALUE"""),"HierGR: Hierarchical Semantic Representation Enhancement for Generative Retrieval in Food Delivery Search")</f>
        <v>HierGR: Hierarchical Semantic Representation Enhancement for Generative Retrieval in Food Delivery Search</v>
      </c>
      <c r="C1506" s="7" t="str">
        <f>IFERROR(__xludf.DUMMYFUNCTION("""COMPUTED_VALUE"""),"Food delivery search aims to quickly retrieve deliverable items that meet users' needs, typically requiring faster and more accurate query understanding compared to traditional e-commerce search. Generative retrieval (GR), an emerging search paradigm, har"&amp;"nesses the advanced query understanding capabilities of large language models (LLMs) to enhance the retrieval of results for complex and long-tail queries in food delivery search scenarios. However, there are still challenges in deploying GR to online sce"&amp;"narios: 1) **the large scale of items**; 2) **latency constraints unmet by LLM inference in online retrieval**; and 3) **strong location-based service restrictions on generated items**. To explore the application of GR in food delivery search, we optimize"&amp;" both offline training and online deployment, proposing **Hier**archical semantic representation enhancement for **G**enerative **R**etrieval (HierGR). Specifically, for the generation of semantic IDs, we propose an optimization method that refines the re"&amp;"sidual quantization process to generate hierarchically semantic IDs for items. Additionally, to successfully deploy on a well-known food delivery platform, we utilize the query cache mechanism and integrate the GR model with the online dense retrieval mod"&amp;"el to fulfill real-world search requirements. Online A/B testing results show that our proposed method increases **the number of online orders by 0.68\%** for complex search intents. The source code is available at https://github.com/zhangfw123/HierGR.")</f>
        <v>Food delivery search aims to quickly retrieve deliverable items that meet users' needs, typically requiring faster and more accurate query understanding compared to traditional e-commerce search. Generative retrieval (GR), an emerging search paradigm, harnesses the advanced query understanding capabilities of large language models (LLMs) to enhance the retrieval of results for complex and long-tail queries in food delivery search scenarios. However, there are still challenges in deploying GR to online scenarios: 1) **the large scale of items**; 2) **latency constraints unmet by LLM inference in online retrieval**; and 3) **strong location-based service restrictions on generated items**. To explore the application of GR in food delivery search, we optimize both offline training and online deployment, proposing **Hier**archical semantic representation enhancement for **G**enerative **R**etrieval (HierGR). Specifically, for the generation of semantic IDs, we propose an optimization method that refines the residual quantization process to generate hierarchically semantic IDs for items. Additionally, to successfully deploy on a well-known food delivery platform, we utilize the query cache mechanism and integrate the GR model with the online dense retrieval model to fulfill real-world search requirements. Online A/B testing results show that our proposed method increases **the number of online orders by 0.68\%** for complex search intents. The source code is available at https://github.com/zhangfw123/HierGR.</v>
      </c>
      <c r="D1506" s="7" t="str">
        <f>IFERROR(__xludf.DUMMYFUNCTION("""COMPUTED_VALUE"""),"Fuwei Zhang")</f>
        <v>Fuwei Zhang</v>
      </c>
      <c r="E1506" s="7" t="str">
        <f>IFERROR(__xludf.DUMMYFUNCTION("""COMPUTED_VALUE"""),"Yes")</f>
        <v>Yes</v>
      </c>
      <c r="F1506" s="7" t="str">
        <f>IFERROR(__xludf.DUMMYFUNCTION("""COMPUTED_VALUE"""),"IP-Oral")</f>
        <v>IP-Oral</v>
      </c>
      <c r="G1506" s="7" t="str">
        <f>IFERROR(__xludf.DUMMYFUNCTION("""COMPUTED_VALUE"""),"In-person")</f>
        <v>In-person</v>
      </c>
      <c r="H1506" s="7" t="str">
        <f>IFERROR(__xludf.DUMMYFUNCTION("""COMPUTED_VALUE"""),"Hall L")</f>
        <v>Hall L</v>
      </c>
      <c r="I1506" s="7" t="str">
        <f>IFERROR(__xludf.DUMMYFUNCTION("""COMPUTED_VALUE"""),"Session 3: IP-Orals")</f>
        <v>Session 3: IP-Orals</v>
      </c>
      <c r="J1506" s="7" t="str">
        <f>IFERROR(__xludf.DUMMYFUNCTION("""COMPUTED_VALUE"""),"Industry 2")</f>
        <v>Industry 2</v>
      </c>
      <c r="K1506" s="7"/>
      <c r="L1506" s="8"/>
      <c r="M1506" s="7" t="str">
        <f>IFERROR(__xludf.DUMMYFUNCTION("""COMPUTED_VALUE"""),"14:00-15:30")</f>
        <v>14:00-15:30</v>
      </c>
      <c r="N1506" s="7">
        <f>IFERROR(__xludf.DUMMYFUNCTION("""COMPUTED_VALUE"""),3.0)</f>
        <v>3</v>
      </c>
    </row>
    <row r="1507">
      <c r="A1507" s="7" t="str">
        <f>IFERROR(__xludf.DUMMYFUNCTION("""COMPUTED_VALUE"""),"123-IND")</f>
        <v>123-IND</v>
      </c>
      <c r="B1507" s="7" t="str">
        <f>IFERROR(__xludf.DUMMYFUNCTION("""COMPUTED_VALUE"""),"Overlapping Context with Variable-Length Stride Increases Diversity when Training Large Language Model for Code")</f>
        <v>Overlapping Context with Variable-Length Stride Increases Diversity when Training Large Language Model for Code</v>
      </c>
      <c r="C1507" s="7" t="str">
        <f>IFERROR(__xludf.DUMMYFUNCTION("""COMPUTED_VALUE"""),"The pretraining of code LLMs typically begins with general data and progresses to domain specific data through sequential stages. In thelatter stages, a challenging issue is that the data of a target domain can be limited in size, and conventional approac"&amp;"h of increasing the number of epochs does not lead to a performance
gain. In this paper, we propose a novel packing method, which is extracting overlapping contexts from the training data using variable length stride. Our method can mitigate the data scar"&amp;"city issue by providing more diverse and abundant examples of next token prediction than non-overlapping contexts. While the training time of our approach is increased proportionally to the amount of augmented examples, we present space-efficient implemen"&amp;"tations to store overlapping contexts. Extensive experiments with real datasets show that our approach outperforms the conventional approach of controlling the number of epochs in terms of the pass@k rate.")</f>
        <v>The pretraining of code LLMs typically begins with general data and progresses to domain specific data through sequential stages. In thelatter stages, a challenging issue is that the data of a target domain can be limited in size, and conventional approach of increasing the number of epochs does not lead to a performance
gain. In this paper, we propose a novel packing method, which is extracting overlapping contexts from the training data using variable length stride. Our method can mitigate the data scarcity issue by providing more diverse and abundant examples of next token prediction than non-overlapping contexts. While the training time of our approach is increased proportionally to the amount of augmented examples, we present space-efficient implementations to store overlapping contexts. Extensive experiments with real datasets show that our approach outperforms the conventional approach of controlling the number of epochs in terms of the pass@k rate.</v>
      </c>
      <c r="D1507" s="7" t="str">
        <f>IFERROR(__xludf.DUMMYFUNCTION("""COMPUTED_VALUE"""),"Jaeho Kwak")</f>
        <v>Jaeho Kwak</v>
      </c>
      <c r="E1507" s="7" t="str">
        <f>IFERROR(__xludf.DUMMYFUNCTION("""COMPUTED_VALUE"""),"Yes")</f>
        <v>Yes</v>
      </c>
      <c r="F1507" s="7" t="str">
        <f>IFERROR(__xludf.DUMMYFUNCTION("""COMPUTED_VALUE"""),"IP-Poster")</f>
        <v>IP-Poster</v>
      </c>
      <c r="G1507" s="7" t="str">
        <f>IFERROR(__xludf.DUMMYFUNCTION("""COMPUTED_VALUE"""),"In-person")</f>
        <v>In-person</v>
      </c>
      <c r="H1507" s="7" t="str">
        <f>IFERROR(__xludf.DUMMYFUNCTION("""COMPUTED_VALUE"""),"Hall 4X")</f>
        <v>Hall 4X</v>
      </c>
      <c r="I1507" s="7" t="str">
        <f>IFERROR(__xludf.DUMMYFUNCTION("""COMPUTED_VALUE"""),"Session 10: IP-Posters")</f>
        <v>Session 10: IP-Posters</v>
      </c>
      <c r="J1507" s="7" t="str">
        <f>IFERROR(__xludf.DUMMYFUNCTION("""COMPUTED_VALUE"""),"Industry - In-Person Posters")</f>
        <v>Industry - In-Person Posters</v>
      </c>
      <c r="K1507" s="7"/>
      <c r="L1507" s="8">
        <f>IFERROR(__xludf.DUMMYFUNCTION("""COMPUTED_VALUE"""),45867.0)</f>
        <v>45867</v>
      </c>
      <c r="M1507" s="7" t="str">
        <f>IFERROR(__xludf.DUMMYFUNCTION("""COMPUTED_VALUE"""),"16:00-17:30")</f>
        <v>16:00-17:30</v>
      </c>
      <c r="N1507" s="7"/>
    </row>
    <row r="1508">
      <c r="A1508" s="7" t="str">
        <f>IFERROR(__xludf.DUMMYFUNCTION("""COMPUTED_VALUE"""),"124-IND")</f>
        <v>124-IND</v>
      </c>
      <c r="B1508" s="7" t="str">
        <f>IFERROR(__xludf.DUMMYFUNCTION("""COMPUTED_VALUE"""),"Generating Q&amp;A Benchmarks for RAG Evaluation in Enterprise Settings")</f>
        <v>Generating Q&amp;A Benchmarks for RAG Evaluation in Enterprise Settings</v>
      </c>
      <c r="C1508" s="7" t="str">
        <f>IFERROR(__xludf.DUMMYFUNCTION("""COMPUTED_VALUE"""),"We introduce DataMorgana, a tool for generating synthetic Q\&amp;A benchmarks tailored to RAG applications in enterprise settings. DataMorgana enables customization of the generated benchmark according to the expected diverse traffic of the RAG application. I"&amp;"t allows for specifying question types and their associated distribution via a lightweight configuration mechanism. 
 We demonstrate via a series of quantitative and qualitative experiments that DataMorgana surpasses existing tools in terms of lexical, sy"&amp;"ntactic, and semantic diversity of the generated benchmark while maintaining high quality.
  We run our experiments over domain-specific and general-knowledge public datasets, as well as two private datasets from governmental RAG applications: one for cit"&amp;"izens and the other for government employees. The private datasets have been shared with us by AI71, an AI company, which has integrated DataMorgana into its offerings. In addition, DataMorgana has been offered to about 150 researchers worldwide as part o"&amp;"f the SIGIR'2025 LiveRAG Challenge held in Spring 2025.")</f>
        <v>We introduce DataMorgana, a tool for generating synthetic Q\&amp;A benchmarks tailored to RAG applications in enterprise settings. DataMorgana enables customization of the generated benchmark according to the expected diverse traffic of the RAG application. It allows for specifying question types and their associated distribution via a lightweight configuration mechanism. 
 We demonstrate via a series of quantitative and qualitative experiments that DataMorgana surpasses existing tools in terms of lexical, syntactic, and semantic diversity of the generated benchmark while maintaining high quality.
  We run our experiments over domain-specific and general-knowledge public datasets, as well as two private datasets from governmental RAG applications: one for citizens and the other for government employees. The private datasets have been shared with us by AI71, an AI company, which has integrated DataMorgana into its offerings. In addition, DataMorgana has been offered to about 150 researchers worldwide as part of the SIGIR'2025 LiveRAG Challenge held in Spring 2025.</v>
      </c>
      <c r="D1508" s="7" t="str">
        <f>IFERROR(__xludf.DUMMYFUNCTION("""COMPUTED_VALUE"""),"Simone Filice")</f>
        <v>Simone Filice</v>
      </c>
      <c r="E1508" s="7" t="str">
        <f>IFERROR(__xludf.DUMMYFUNCTION("""COMPUTED_VALUE"""),"Yes")</f>
        <v>Yes</v>
      </c>
      <c r="F1508" s="7" t="str">
        <f>IFERROR(__xludf.DUMMYFUNCTION("""COMPUTED_VALUE"""),"IP-Oral")</f>
        <v>IP-Oral</v>
      </c>
      <c r="G1508" s="7" t="str">
        <f>IFERROR(__xludf.DUMMYFUNCTION("""COMPUTED_VALUE"""),"In-person")</f>
        <v>In-person</v>
      </c>
      <c r="H1508" s="7" t="str">
        <f>IFERROR(__xludf.DUMMYFUNCTION("""COMPUTED_VALUE"""),"Hall L")</f>
        <v>Hall L</v>
      </c>
      <c r="I1508" s="7" t="str">
        <f>IFERROR(__xludf.DUMMYFUNCTION("""COMPUTED_VALUE"""),"Session 3: IP-Orals")</f>
        <v>Session 3: IP-Orals</v>
      </c>
      <c r="J1508" s="7" t="str">
        <f>IFERROR(__xludf.DUMMYFUNCTION("""COMPUTED_VALUE"""),"Industry 2")</f>
        <v>Industry 2</v>
      </c>
      <c r="K1508" s="7"/>
      <c r="L1508" s="8"/>
      <c r="M1508" s="7" t="str">
        <f>IFERROR(__xludf.DUMMYFUNCTION("""COMPUTED_VALUE"""),"14:00-15:30")</f>
        <v>14:00-15:30</v>
      </c>
      <c r="N1508" s="7">
        <f>IFERROR(__xludf.DUMMYFUNCTION("""COMPUTED_VALUE"""),4.0)</f>
        <v>4</v>
      </c>
    </row>
    <row r="1509">
      <c r="A1509" s="7" t="str">
        <f>IFERROR(__xludf.DUMMYFUNCTION("""COMPUTED_VALUE"""),"127-IND")</f>
        <v>127-IND</v>
      </c>
      <c r="B1509" s="7" t="str">
        <f>IFERROR(__xludf.DUMMYFUNCTION("""COMPUTED_VALUE"""),"Grammar-Constrained Decoding Makes Large Language Models Better Logical Parsers")</f>
        <v>Grammar-Constrained Decoding Makes Large Language Models Better Logical Parsers</v>
      </c>
      <c r="C1509" s="7" t="str">
        <f>IFERROR(__xludf.DUMMYFUNCTION("""COMPUTED_VALUE"""),"Large Language Models (LLMs) have shown capabilities in various natural language processing tasks, yet they often struggle with logical reasoning, particularly when dealing with complex natural language statements. To address this challenge, approaches th"&amp;"at combine LLMs with symbolic reasoners have been proposed, where the LLM translates the natural language statements into symbolic representations, which are then verified by an external symbolic solver. However, ensuring syntactic correctness in these tr"&amp;"anslations remains a significant challenge. To address this, we propose to constrain the outputs of the LLMs using Grammar-Constrained Decoding, showing that it consistently improves both syntactic correctness and semantic accuracy in logical parsing task"&amp;"s. Our findings suggest that grammar constraints can serve as an effective substitute for in-context examples, especially beneficial for resource-constrained applications using smaller models.")</f>
        <v>Large Language Models (LLMs) have shown capabilities in various natural language processing tasks, yet they often struggle with logical reasoning, particularly when dealing with complex natural language statements. To address this challenge, approaches that combine LLMs with symbolic reasoners have been proposed, where the LLM translates the natural language statements into symbolic representations, which are then verified by an external symbolic solver. However, ensuring syntactic correctness in these translations remains a significant challenge. To address this, we propose to constrain the outputs of the LLMs using Grammar-Constrained Decoding, showing that it consistently improves both syntactic correctness and semantic accuracy in logical parsing tasks. Our findings suggest that grammar constraints can serve as an effective substitute for in-context examples, especially beneficial for resource-constrained applications using smaller models.</v>
      </c>
      <c r="D1509" s="7" t="str">
        <f>IFERROR(__xludf.DUMMYFUNCTION("""COMPUTED_VALUE"""),"Mike Holenderski")</f>
        <v>Mike Holenderski</v>
      </c>
      <c r="E1509" s="7" t="str">
        <f>IFERROR(__xludf.DUMMYFUNCTION("""COMPUTED_VALUE"""),"Yes")</f>
        <v>Yes</v>
      </c>
      <c r="F1509" s="7" t="str">
        <f>IFERROR(__xludf.DUMMYFUNCTION("""COMPUTED_VALUE"""),"IP-Poster")</f>
        <v>IP-Poster</v>
      </c>
      <c r="G1509" s="7" t="str">
        <f>IFERROR(__xludf.DUMMYFUNCTION("""COMPUTED_VALUE"""),"In-person")</f>
        <v>In-person</v>
      </c>
      <c r="H1509" s="7" t="str">
        <f>IFERROR(__xludf.DUMMYFUNCTION("""COMPUTED_VALUE"""),"Hall 4X")</f>
        <v>Hall 4X</v>
      </c>
      <c r="I1509" s="7" t="str">
        <f>IFERROR(__xludf.DUMMYFUNCTION("""COMPUTED_VALUE"""),"Session 10: IP-Posters")</f>
        <v>Session 10: IP-Posters</v>
      </c>
      <c r="J1509" s="7" t="str">
        <f>IFERROR(__xludf.DUMMYFUNCTION("""COMPUTED_VALUE"""),"Industry - In-Person Posters")</f>
        <v>Industry - In-Person Posters</v>
      </c>
      <c r="K1509" s="7"/>
      <c r="L1509" s="8">
        <f>IFERROR(__xludf.DUMMYFUNCTION("""COMPUTED_VALUE"""),45867.0)</f>
        <v>45867</v>
      </c>
      <c r="M1509" s="7" t="str">
        <f>IFERROR(__xludf.DUMMYFUNCTION("""COMPUTED_VALUE"""),"16:00-17:30")</f>
        <v>16:00-17:30</v>
      </c>
      <c r="N1509" s="7"/>
    </row>
    <row r="1510">
      <c r="A1510" s="7" t="str">
        <f>IFERROR(__xludf.DUMMYFUNCTION("""COMPUTED_VALUE"""),"133-IND")</f>
        <v>133-IND</v>
      </c>
      <c r="B1510" s="7" t="str">
        <f>IFERROR(__xludf.DUMMYFUNCTION("""COMPUTED_VALUE"""),"AUTOSUMM: A Comprehensive Framework for LLM-Based Conversation Summarization")</f>
        <v>AUTOSUMM: A Comprehensive Framework for LLM-Based Conversation Summarization</v>
      </c>
      <c r="C1510" s="7" t="str">
        <f>IFERROR(__xludf.DUMMYFUNCTION("""COMPUTED_VALUE"""),"We present AUTOSUMM, a large language model (LLM)-based summarization system deployed in a regulated banking environment to generate accurate, privacy-compliant summaries of customer-advisor conversations. The system addresses challenges unique to this do"&amp;"main, including speaker attribution errors, hallucination risks, and short or low-information transcripts. Our architecture integrates dynamic transcript segmentation, thematic coverage tracking, and a domain specific multi-layered hallucination detection"&amp;" module that combines syntactic, semantic, and entailment-based checks. Human-in-the-loop feedback from over 300 advisors supports continuous refinement and auditability.
 Empirically, AUTOSUMM achieves a 94% factual consistency rate and a significant r"&amp;"eduction in hallucination rate. In production, 89% of summaries required no edits, and only 1% required major corrections. A structured model version management pipeline ensures stable upgrades with minimal disruption. We detail our deployment methodology"&amp;", monitoring strategy, and ethical safeguards, showing how LLMs can be reliably integrated into high-stakes, regulated workflows.")</f>
        <v>We present AUTOSUMM, a large language model (LLM)-based summarization system deployed in a regulated banking environment to generate accurate, privacy-compliant summaries of customer-advisor conversations. The system addresses challenges unique to this domain, including speaker attribution errors, hallucination risks, and short or low-information transcripts. Our architecture integrates dynamic transcript segmentation, thematic coverage tracking, and a domain specific multi-layered hallucination detection module that combines syntactic, semantic, and entailment-based checks. Human-in-the-loop feedback from over 300 advisors supports continuous refinement and auditability.
 Empirically, AUTOSUMM achieves a 94% factual consistency rate and a significant reduction in hallucination rate. In production, 89% of summaries required no edits, and only 1% required major corrections. A structured model version management pipeline ensures stable upgrades with minimal disruption. We detail our deployment methodology, monitoring strategy, and ethical safeguards, showing how LLMs can be reliably integrated into high-stakes, regulated workflows.</v>
      </c>
      <c r="D1510" s="7" t="str">
        <f>IFERROR(__xludf.DUMMYFUNCTION("""COMPUTED_VALUE"""),"Sriraja Yagneswaran")</f>
        <v>Sriraja Yagneswaran</v>
      </c>
      <c r="E1510" s="7" t="str">
        <f>IFERROR(__xludf.DUMMYFUNCTION("""COMPUTED_VALUE"""),"Yes")</f>
        <v>Yes</v>
      </c>
      <c r="F1510" s="7" t="str">
        <f>IFERROR(__xludf.DUMMYFUNCTION("""COMPUTED_VALUE"""),"IP-Poster")</f>
        <v>IP-Poster</v>
      </c>
      <c r="G1510" s="7" t="str">
        <f>IFERROR(__xludf.DUMMYFUNCTION("""COMPUTED_VALUE"""),"In-person")</f>
        <v>In-person</v>
      </c>
      <c r="H1510" s="7" t="str">
        <f>IFERROR(__xludf.DUMMYFUNCTION("""COMPUTED_VALUE"""),"Hall 4X")</f>
        <v>Hall 4X</v>
      </c>
      <c r="I1510" s="7" t="str">
        <f>IFERROR(__xludf.DUMMYFUNCTION("""COMPUTED_VALUE"""),"Session 10: IP-Posters")</f>
        <v>Session 10: IP-Posters</v>
      </c>
      <c r="J1510" s="7" t="str">
        <f>IFERROR(__xludf.DUMMYFUNCTION("""COMPUTED_VALUE"""),"Industry - In-Person Posters")</f>
        <v>Industry - In-Person Posters</v>
      </c>
      <c r="K1510" s="7"/>
      <c r="L1510" s="8">
        <f>IFERROR(__xludf.DUMMYFUNCTION("""COMPUTED_VALUE"""),45867.0)</f>
        <v>45867</v>
      </c>
      <c r="M1510" s="7" t="str">
        <f>IFERROR(__xludf.DUMMYFUNCTION("""COMPUTED_VALUE"""),"16:00-17:30")</f>
        <v>16:00-17:30</v>
      </c>
      <c r="N1510" s="7"/>
    </row>
    <row r="1511">
      <c r="A1511" s="7" t="str">
        <f>IFERROR(__xludf.DUMMYFUNCTION("""COMPUTED_VALUE"""),"144-IND")</f>
        <v>144-IND</v>
      </c>
      <c r="B1511" s="7" t="str">
        <f>IFERROR(__xludf.DUMMYFUNCTION("""COMPUTED_VALUE"""),"RedactOR: An LLM-Powered Framework for Automatic Clinical Data De-Identification")</f>
        <v>RedactOR: An LLM-Powered Framework for Automatic Clinical Data De-Identification</v>
      </c>
      <c r="C1511" s="7" t="str">
        <f>IFERROR(__xludf.DUMMYFUNCTION("""COMPUTED_VALUE"""),"Ensuring clinical data privacy while preserving utility is critical for AI-driven healthcare and data analytics. Existing de-identification (De-ID) methods, including rule-based techniques, deep learning models, and large language models (LLMs), often suf"&amp;"fer from recall errors, limited generalization, and inefficiencies, limiting their real-world applicability. We propose a fully automated, multi-modal framework, RedactOR for de-identifying structured and unstructured electronic health records, including "&amp;"clinical audio records. Our framework employs cost-efficient De-ID strategies, including intelligent routing, hybrid rule and LLM based approaches, and a two-step audio redaction approach. We present a retrieval-based entity relexicalization approach to e"&amp;"nsure consistent substitutions of protected entities, thereby enhancing data coherence for downstream applications. We discuss key design desiderata, de-identification and relexicalization methodology, and modular architecture of RedactOR and its integrat"&amp;"ion with Oracle Health Clinical AI system. Evaluated on the i2b2 2014 De-ID dataset using standard metrics with strict recall, our approach achieves competitive performance while optimizing token usage to reduce LLM costs. Finally, we discuss key lessons "&amp;"and insights from deployment in real-world AI-driven healthcare data pipelines.")</f>
        <v>Ensuring clinical data privacy while preserving utility is critical for AI-driven healthcare and data analytics. Existing de-identification (De-ID) methods, including rule-based techniques, deep learning models, and large language models (LLMs), often suffer from recall errors, limited generalization, and inefficiencies, limiting their real-world applicability. We propose a fully automated, multi-modal framework, RedactOR for de-identifying structured and unstructured electronic health records, including clinical audio records. Our framework employs cost-efficient De-ID strategies, including intelligent routing, hybrid rule and LLM based approaches, and a two-step audio redaction approach. We present a retrieval-based entity relexicalization approach to ensure consistent substitutions of protected entities, thereby enhancing data coherence for downstream applications. We discuss key design desiderata, de-identification and relexicalization methodology, and modular architecture of RedactOR and its integration with Oracle Health Clinical AI system. Evaluated on the i2b2 2014 De-ID dataset using standard metrics with strict recall, our approach achieves competitive performance while optimizing token usage to reduce LLM costs. Finally, we discuss key lessons and insights from deployment in real-world AI-driven healthcare data pipelines.</v>
      </c>
      <c r="D1511" s="7" t="str">
        <f>IFERROR(__xludf.DUMMYFUNCTION("""COMPUTED_VALUE"""),"Charlotte Dzialo")</f>
        <v>Charlotte Dzialo</v>
      </c>
      <c r="E1511" s="7" t="str">
        <f>IFERROR(__xludf.DUMMYFUNCTION("""COMPUTED_VALUE"""),"Yes")</f>
        <v>Yes</v>
      </c>
      <c r="F1511" s="7" t="str">
        <f>IFERROR(__xludf.DUMMYFUNCTION("""COMPUTED_VALUE"""),"IP-Poster")</f>
        <v>IP-Poster</v>
      </c>
      <c r="G1511" s="7" t="str">
        <f>IFERROR(__xludf.DUMMYFUNCTION("""COMPUTED_VALUE"""),"In-person")</f>
        <v>In-person</v>
      </c>
      <c r="H1511" s="7" t="str">
        <f>IFERROR(__xludf.DUMMYFUNCTION("""COMPUTED_VALUE"""),"Hall 4X")</f>
        <v>Hall 4X</v>
      </c>
      <c r="I1511" s="7" t="str">
        <f>IFERROR(__xludf.DUMMYFUNCTION("""COMPUTED_VALUE"""),"Session 10: IP-Posters")</f>
        <v>Session 10: IP-Posters</v>
      </c>
      <c r="J1511" s="7" t="str">
        <f>IFERROR(__xludf.DUMMYFUNCTION("""COMPUTED_VALUE"""),"Industry - In-Person Posters")</f>
        <v>Industry - In-Person Posters</v>
      </c>
      <c r="K1511" s="7"/>
      <c r="L1511" s="8">
        <f>IFERROR(__xludf.DUMMYFUNCTION("""COMPUTED_VALUE"""),45867.0)</f>
        <v>45867</v>
      </c>
      <c r="M1511" s="7" t="str">
        <f>IFERROR(__xludf.DUMMYFUNCTION("""COMPUTED_VALUE"""),"16:00-17:30")</f>
        <v>16:00-17:30</v>
      </c>
      <c r="N1511" s="7"/>
    </row>
    <row r="1512">
      <c r="A1512" s="7" t="str">
        <f>IFERROR(__xludf.DUMMYFUNCTION("""COMPUTED_VALUE"""),"145-IND")</f>
        <v>145-IND</v>
      </c>
      <c r="B1512" s="7" t="str">
        <f>IFERROR(__xludf.DUMMYFUNCTION("""COMPUTED_VALUE"""),"Conceptual Diagnostics for Knowledge Graphs and Large Language Models")</f>
        <v>Conceptual Diagnostics for Knowledge Graphs and Large Language Models</v>
      </c>
      <c r="C1512" s="7" t="str">
        <f>IFERROR(__xludf.DUMMYFUNCTION("""COMPUTED_VALUE"""),"Industrial applications pose heightened requirements for consistency and reliability of large language models (LLMs). While LLMs are being tested with increasingly complex reasoning tasks, we argue that much can be learned via diagnostic tools that probe "&amp;"a fundamentally basic type of reasoning: conceptual consistency, e.g., a rule applying to ""all surgeons"" must also apply to ""cardiac surgeons"" since a cardiac surgeon is a type of surgeon. In this emerging industry track submission, we propose a metho"&amp;"d that takes concept hierarchies from a knowledge graph (KG) and automatically generates benchmarks that test conceptual consistency in LLMs. We develop a multi-domain benchmark that reveals rates of conceptual inconsistencies in several state of the art "&amp;"LLMs. Additionally, we use measured levels of inconsistency and disagreement in LLMs to find potentially problematic subgraphs in the reference KG. As such, it offers a scalable complement to symbolic curation, maintenance, and refinement of knowledge gra"&amp;"phs, which is a critical activity in KG-based industrial applications.")</f>
        <v>Industrial applications pose heightened requirements for consistency and reliability of large language models (LLMs). While LLMs are being tested with increasingly complex reasoning tasks, we argue that much can be learned via diagnostic tools that probe a fundamentally basic type of reasoning: conceptual consistency, e.g., a rule applying to "all surgeons" must also apply to "cardiac surgeons" since a cardiac surgeon is a type of surgeon. In this emerging industry track submission, we propose a method that takes concept hierarchies from a knowledge graph (KG) and automatically generates benchmarks that test conceptual consistency in LLMs. We develop a multi-domain benchmark that reveals rates of conceptual inconsistencies in several state of the art LLMs. Additionally, we use measured levels of inconsistency and disagreement in LLMs to find potentially problematic subgraphs in the reference KG. As such, it offers a scalable complement to symbolic curation, maintenance, and refinement of knowledge graphs, which is a critical activity in KG-based industrial applications.</v>
      </c>
      <c r="D1512" s="7" t="str">
        <f>IFERROR(__xludf.DUMMYFUNCTION("""COMPUTED_VALUE"""),"Rosario Uceda-Sosa")</f>
        <v>Rosario Uceda-Sosa</v>
      </c>
      <c r="E1512" s="7" t="str">
        <f>IFERROR(__xludf.DUMMYFUNCTION("""COMPUTED_VALUE"""),"Yes")</f>
        <v>Yes</v>
      </c>
      <c r="F1512" s="7" t="str">
        <f>IFERROR(__xludf.DUMMYFUNCTION("""COMPUTED_VALUE"""),"IP-Oral")</f>
        <v>IP-Oral</v>
      </c>
      <c r="G1512" s="7" t="str">
        <f>IFERROR(__xludf.DUMMYFUNCTION("""COMPUTED_VALUE"""),"In-person")</f>
        <v>In-person</v>
      </c>
      <c r="H1512" s="7" t="str">
        <f>IFERROR(__xludf.DUMMYFUNCTION("""COMPUTED_VALUE"""),"Hall L")</f>
        <v>Hall L</v>
      </c>
      <c r="I1512" s="7" t="str">
        <f>IFERROR(__xludf.DUMMYFUNCTION("""COMPUTED_VALUE"""),"Session 9: IP-Orals")</f>
        <v>Session 9: IP-Orals</v>
      </c>
      <c r="J1512" s="7" t="str">
        <f>IFERROR(__xludf.DUMMYFUNCTION("""COMPUTED_VALUE"""),"Industry 4")</f>
        <v>Industry 4</v>
      </c>
      <c r="K1512" s="7"/>
      <c r="L1512" s="8"/>
      <c r="M1512" s="7" t="str">
        <f>IFERROR(__xludf.DUMMYFUNCTION("""COMPUTED_VALUE"""),"14:00-15:30")</f>
        <v>14:00-15:30</v>
      </c>
      <c r="N1512" s="7">
        <f>IFERROR(__xludf.DUMMYFUNCTION("""COMPUTED_VALUE"""),5.0)</f>
        <v>5</v>
      </c>
    </row>
    <row r="1513">
      <c r="A1513" s="7" t="str">
        <f>IFERROR(__xludf.DUMMYFUNCTION("""COMPUTED_VALUE"""),"146-IND")</f>
        <v>146-IND</v>
      </c>
      <c r="B1513" s="7" t="str">
        <f>IFERROR(__xludf.DUMMYFUNCTION("""COMPUTED_VALUE"""),"QUPID: Quantified Understanding for Enhanced Performance, Insights, and Decisions in Korean Search Engines")</f>
        <v>QUPID: Quantified Understanding for Enhanced Performance, Insights, and Decisions in Korean Search Engines</v>
      </c>
      <c r="C1513" s="7" t="str">
        <f>IFERROR(__xludf.DUMMYFUNCTION("""COMPUTED_VALUE"""),"Large language models (LLMs) have been widely used for relevance assessment in information retrieval. However, our study demonstrates that combining two distinct small language models (SLMs) with different architectures can outperform LLMs in this task. O"&amp;"ur approach—QUPID—integrates a generative SLM with an embedding-based SLM, achieving higher relevance judgment accuracy while reducing computational costs compared to state-of-the-art LLM solutions. This computational efficiency makes QUPID highly scalabl"&amp;"e for real-world search systems processing millions of queries daily. In experiments across diverse document types, our method demonstrated consistent performance improvements (Cohen's Kappa of 0.646 versus 0.387 for leading LLMs) while offering 60x faste"&amp;"r inference times. Furthermore, when integrated into production search pipelines, QUPID improved nDCG@5 scores by 1.9\%. These findings underscore how architectural diversity in model combinations can significantly enhance both search relevance and operat"&amp;"ional efficiency in information retrieval systems.")</f>
        <v>Large language models (LLMs) have been widely used for relevance assessment in information retrieval. However, our study demonstrates that combining two distinct small language models (SLMs) with different architectures can outperform LLMs in this task. Our approach—QUPID—integrates a generative SLM with an embedding-based SLM, achieving higher relevance judgment accuracy while reducing computational costs compared to state-of-the-art LLM solutions. This computational efficiency makes QUPID highly scalable for real-world search systems processing millions of queries daily. In experiments across diverse document types, our method demonstrated consistent performance improvements (Cohen's Kappa of 0.646 versus 0.387 for leading LLMs) while offering 60x faster inference times. Furthermore, when integrated into production search pipelines, QUPID improved nDCG@5 scores by 1.9\%. These findings underscore how architectural diversity in model combinations can significantly enhance both search relevance and operational efficiency in information retrieval systems.</v>
      </c>
      <c r="D1513" s="7" t="str">
        <f>IFERROR(__xludf.DUMMYFUNCTION("""COMPUTED_VALUE"""),"ohjoon kwon")</f>
        <v>ohjoon kwon</v>
      </c>
      <c r="E1513" s="7" t="str">
        <f>IFERROR(__xludf.DUMMYFUNCTION("""COMPUTED_VALUE"""),"Yes")</f>
        <v>Yes</v>
      </c>
      <c r="F1513" s="7" t="str">
        <f>IFERROR(__xludf.DUMMYFUNCTION("""COMPUTED_VALUE"""),"IP-Poster")</f>
        <v>IP-Poster</v>
      </c>
      <c r="G1513" s="7" t="str">
        <f>IFERROR(__xludf.DUMMYFUNCTION("""COMPUTED_VALUE"""),"In-person")</f>
        <v>In-person</v>
      </c>
      <c r="H1513" s="7" t="str">
        <f>IFERROR(__xludf.DUMMYFUNCTION("""COMPUTED_VALUE"""),"Hall 4X")</f>
        <v>Hall 4X</v>
      </c>
      <c r="I1513" s="7" t="str">
        <f>IFERROR(__xludf.DUMMYFUNCTION("""COMPUTED_VALUE"""),"Session 10: IP-Posters")</f>
        <v>Session 10: IP-Posters</v>
      </c>
      <c r="J1513" s="7" t="str">
        <f>IFERROR(__xludf.DUMMYFUNCTION("""COMPUTED_VALUE"""),"Industry - In-Person Posters")</f>
        <v>Industry - In-Person Posters</v>
      </c>
      <c r="K1513" s="7"/>
      <c r="L1513" s="8">
        <f>IFERROR(__xludf.DUMMYFUNCTION("""COMPUTED_VALUE"""),45867.0)</f>
        <v>45867</v>
      </c>
      <c r="M1513" s="7" t="str">
        <f>IFERROR(__xludf.DUMMYFUNCTION("""COMPUTED_VALUE"""),"16:00-17:30")</f>
        <v>16:00-17:30</v>
      </c>
      <c r="N1513" s="7"/>
    </row>
    <row r="1514">
      <c r="A1514" s="7" t="str">
        <f>IFERROR(__xludf.DUMMYFUNCTION("""COMPUTED_VALUE"""),"150-IND")</f>
        <v>150-IND</v>
      </c>
      <c r="B1514" s="7" t="str">
        <f>IFERROR(__xludf.DUMMYFUNCTION("""COMPUTED_VALUE"""),"Rethinking the Roles of Large Language Models in Chinese Grammatical Error Correction")</f>
        <v>Rethinking the Roles of Large Language Models in Chinese Grammatical Error Correction</v>
      </c>
      <c r="C1514" s="7" t="str">
        <f>IFERROR(__xludf.DUMMYFUNCTION("""COMPUTED_VALUE"""),"Recently, Large Language Models (LLMs) have been widely studied by researchers for their roles in various downstream NLP tasks. As a fundamental task in the NLP field, Chinese Grammatical Error Correction (CGEC) aims to correct all potential grammatical e"&amp;"rrors in the input sentences. Previous studies have shown that LLMs' performance as correctors on CGEC remains unsatisfactory due to the challenging nature of the task. To promote the CGEC field to better adapt to the era of LLMs, we rethink the roles of "&amp;"LLMs in the CGEC task so that they can be better utilized and explored in CGEC. Considering the rich grammatical knowledge stored in LLMs and their powerful semantic understanding capabilities, we utilize LLMs as explainers to provide explanation informat"&amp;"ion to the CGEC small models during error correction, aiming to enhance performance. We also use LLMs as evaluators to bring more reasonable CGEC evaluations, thus alleviating the troubles caused by the subjectivity of the CGEC task. In particular, our wo"&amp;"rk is also an active exploration of how LLMs and small models better collaborate in downstream tasks. Extensive experiment and detailed analyses on widely used datasets verify the effectiveness of our intuition and the proposed methods.")</f>
        <v>Recently, Large Language Models (LLMs) have been widely studied by researchers for their roles in various downstream NLP tasks. As a fundamental task in the NLP field, Chinese Grammatical Error Correction (CGEC) aims to correct all potential grammatical errors in the input sentences. Previous studies have shown that LLMs' performance as correctors on CGEC remains unsatisfactory due to the challenging nature of the task. To promote the CGEC field to better adapt to the era of LLMs, we rethink the roles of LLMs in the CGEC task so that they can be better utilized and explored in CGEC. Considering the rich grammatical knowledge stored in LLMs and their powerful semantic understanding capabilities, we utilize LLMs as explainers to provide explanation information to the CGEC small models during error correction, aiming to enhance performance. We also use LLMs as evaluators to bring more reasonable CGEC evaluations, thus alleviating the troubles caused by the subjectivity of the CGEC task. In particular, our work is also an active exploration of how LLMs and small models better collaborate in downstream tasks. Extensive experiment and detailed analyses on widely used datasets verify the effectiveness of our intuition and the proposed methods.</v>
      </c>
      <c r="D1514" s="7" t="str">
        <f>IFERROR(__xludf.DUMMYFUNCTION("""COMPUTED_VALUE"""),"Jingheng Ye")</f>
        <v>Jingheng Ye</v>
      </c>
      <c r="E1514" s="7" t="str">
        <f>IFERROR(__xludf.DUMMYFUNCTION("""COMPUTED_VALUE"""),"Yes")</f>
        <v>Yes</v>
      </c>
      <c r="F1514" s="7" t="str">
        <f>IFERROR(__xludf.DUMMYFUNCTION("""COMPUTED_VALUE"""),"IP-Poster")</f>
        <v>IP-Poster</v>
      </c>
      <c r="G1514" s="7" t="str">
        <f>IFERROR(__xludf.DUMMYFUNCTION("""COMPUTED_VALUE"""),"In-person")</f>
        <v>In-person</v>
      </c>
      <c r="H1514" s="7" t="str">
        <f>IFERROR(__xludf.DUMMYFUNCTION("""COMPUTED_VALUE"""),"Hall 4X")</f>
        <v>Hall 4X</v>
      </c>
      <c r="I1514" s="7" t="str">
        <f>IFERROR(__xludf.DUMMYFUNCTION("""COMPUTED_VALUE"""),"Session 10: IP-Posters")</f>
        <v>Session 10: IP-Posters</v>
      </c>
      <c r="J1514" s="7" t="str">
        <f>IFERROR(__xludf.DUMMYFUNCTION("""COMPUTED_VALUE"""),"Industry - In-Person Posters")</f>
        <v>Industry - In-Person Posters</v>
      </c>
      <c r="K1514" s="7"/>
      <c r="L1514" s="8">
        <f>IFERROR(__xludf.DUMMYFUNCTION("""COMPUTED_VALUE"""),45867.0)</f>
        <v>45867</v>
      </c>
      <c r="M1514" s="7" t="str">
        <f>IFERROR(__xludf.DUMMYFUNCTION("""COMPUTED_VALUE"""),"16:00-17:30")</f>
        <v>16:00-17:30</v>
      </c>
      <c r="N1514" s="7"/>
    </row>
    <row r="1515">
      <c r="A1515" s="7" t="str">
        <f>IFERROR(__xludf.DUMMYFUNCTION("""COMPUTED_VALUE"""),"152-IND")</f>
        <v>152-IND</v>
      </c>
      <c r="B1515" s="7" t="str">
        <f>IFERROR(__xludf.DUMMYFUNCTION("""COMPUTED_VALUE"""),"EdgeInfinite: A Memory-Efficient Infinite-Context Transformer for Edge Devices")</f>
        <v>EdgeInfinite: A Memory-Efficient Infinite-Context Transformer for Edge Devices</v>
      </c>
      <c r="C1515" s="7" t="str">
        <f>IFERROR(__xludf.DUMMYFUNCTION("""COMPUTED_VALUE"""),"Transformer-based large language models (LLMs) encounter challenges in processing long sequences on edge devices due to the quadratic complexity of attention mechanisms and growing memory demands from Key-Value (KV) cache. Existing KV cache optimizations "&amp;"struggle with irreversible token eviction in long-output tasks, while alternative sequence modeling architectures prove costly to adopt within established Transformer infrastructure. We present EdgeInfinite, a memory-efficient solution for infinite contex"&amp;"ts that integrates compressed memory into Transformer-based LLMs through a trainable memory-gating module. This approach maintains full compatibility with standard Transformer architectures, requiring fine-tuning only a small part of parameters, and enabl"&amp;"es selective activation of the memory-gating module for long and short context task routing. The experimental result shows that EdgeInfinite achieves comparable performance to baseline Transformer-based LLM on long context benchmarks while optimizing memo"&amp;"ry consumption and time to first token.")</f>
        <v>Transformer-based large language models (LLMs) encounter challenges in processing long sequences on edge devices due to the quadratic complexity of attention mechanisms and growing memory demands from Key-Value (KV) cache. Existing KV cache optimizations struggle with irreversible token eviction in long-output tasks, while alternative sequence modeling architectures prove costly to adopt within established Transformer infrastructure. We present EdgeInfinite, a memory-efficient solution for infinite contexts that integrates compressed memory into Transformer-based LLMs through a trainable memory-gating module. This approach maintains full compatibility with standard Transformer architectures, requiring fine-tuning only a small part of parameters, and enables selective activation of the memory-gating module for long and short context task routing. The experimental result shows that EdgeInfinite achieves comparable performance to baseline Transformer-based LLM on long context benchmarks while optimizing memory consumption and time to first token.</v>
      </c>
      <c r="D1515" s="7" t="str">
        <f>IFERROR(__xludf.DUMMYFUNCTION("""COMPUTED_VALUE"""),"Jiyu Chen")</f>
        <v>Jiyu Chen</v>
      </c>
      <c r="E1515" s="7" t="str">
        <f>IFERROR(__xludf.DUMMYFUNCTION("""COMPUTED_VALUE"""),"Yes")</f>
        <v>Yes</v>
      </c>
      <c r="F1515" s="7" t="str">
        <f>IFERROR(__xludf.DUMMYFUNCTION("""COMPUTED_VALUE"""),"V-Presentation")</f>
        <v>V-Presentation</v>
      </c>
      <c r="G1515" s="7" t="str">
        <f>IFERROR(__xludf.DUMMYFUNCTION("""COMPUTED_VALUE"""),"Virtual/Gather")</f>
        <v>Virtual/Gather</v>
      </c>
      <c r="H1515" s="7" t="str">
        <f>IFERROR(__xludf.DUMMYFUNCTION("""COMPUTED_VALUE"""),"Zoom")</f>
        <v>Zoom</v>
      </c>
      <c r="I1515" s="7" t="str">
        <f>IFERROR(__xludf.DUMMYFUNCTION("""COMPUTED_VALUE"""),"Session 10: V-Presenations")</f>
        <v>Session 10: V-Presenations</v>
      </c>
      <c r="J1515" s="7" t="str">
        <f>IFERROR(__xludf.DUMMYFUNCTION("""COMPUTED_VALUE"""),"Industry - Virtual Presentations 2")</f>
        <v>Industry - Virtual Presentations 2</v>
      </c>
      <c r="K1515" s="7"/>
      <c r="L1515" s="8">
        <f>IFERROR(__xludf.DUMMYFUNCTION("""COMPUTED_VALUE"""),45867.0)</f>
        <v>45867</v>
      </c>
      <c r="M1515" s="7" t="str">
        <f>IFERROR(__xludf.DUMMYFUNCTION("""COMPUTED_VALUE"""),"16:00-17:30")</f>
        <v>16:00-17:30</v>
      </c>
      <c r="N1515" s="7"/>
    </row>
    <row r="1516">
      <c r="A1516" s="7" t="str">
        <f>IFERROR(__xludf.DUMMYFUNCTION("""COMPUTED_VALUE"""),"160-IND")</f>
        <v>160-IND</v>
      </c>
      <c r="B1516" s="7" t="str">
        <f>IFERROR(__xludf.DUMMYFUNCTION("""COMPUTED_VALUE"""),"To Chat or Task: a Multi-turn Dialogue Generation Framework for Task-Oriented Dialogue Systems")</f>
        <v>To Chat or Task: a Multi-turn Dialogue Generation Framework for Task-Oriented Dialogue Systems</v>
      </c>
      <c r="C1516" s="7" t="str">
        <f>IFERROR(__xludf.DUMMYFUNCTION("""COMPUTED_VALUE"""),"Task-oriented dialogue systems employ natural language understanding (NLU) modules to manage the intricate and continually evolving business requirements of production systems.
 Although the development of Large Language Models (LLMs) introduced extraordi"&amp;"nary chitchat capabilities, implementing LLMs into such systems brought new difficulties.
 One of the main challenges is the lack of specific datasets for training and evaluation of systems that offer both capabilities: chat and task. 
 As NLU modules are"&amp;" designed to handle complex task requests and LLMs are utilized to specifically answer chitchat interactions, the system must correctly identify the functional intent of the user to utilize an applicable module. 
 This paper presents CTFusion, a multi-tur"&amp;"n dialogue generation framework designed to assist the evaluation and training of production systems that offer both capabilities. 
 Utilizing the framework, we generate a multi-turn dialogue dataset for in-vehicle speech recognition system, which include"&amp;"s 41,211 dialogues of 240 real-world in-vehicle intents, and train In-vehicle Context Sensor (ICS), a lightweight model that successfully identifies the functional intent of the driver.
 ICS outperforms all baseline models across various experimental sett"&amp;"ings, which demonstrates that CTFusion can help generate relevant datasets with a complex business logic, which can subsequently assist production systems in leveraging LLMs for their chitchat capabilities.")</f>
        <v>Task-oriented dialogue systems employ natural language understanding (NLU) modules to manage the intricate and continually evolving business requirements of production systems.
 Although the development of Large Language Models (LLMs) introduced extraordinary chitchat capabilities, implementing LLMs into such systems brought new difficulties.
 One of the main challenges is the lack of specific datasets for training and evaluation of systems that offer both capabilities: chat and task. 
 As NLU modules are designed to handle complex task requests and LLMs are utilized to specifically answer chitchat interactions, the system must correctly identify the functional intent of the user to utilize an applicable module. 
 This paper presents CTFusion, a multi-turn dialogue generation framework designed to assist the evaluation and training of production systems that offer both capabilities. 
 Utilizing the framework, we generate a multi-turn dialogue dataset for in-vehicle speech recognition system, which includes 41,211 dialogues of 240 real-world in-vehicle intents, and train In-vehicle Context Sensor (ICS), a lightweight model that successfully identifies the functional intent of the driver.
 ICS outperforms all baseline models across various experimental settings, which demonstrates that CTFusion can help generate relevant datasets with a complex business logic, which can subsequently assist production systems in leveraging LLMs for their chitchat capabilities.</v>
      </c>
      <c r="D1516" s="7" t="str">
        <f>IFERROR(__xludf.DUMMYFUNCTION("""COMPUTED_VALUE"""),"Daniel Rim")</f>
        <v>Daniel Rim</v>
      </c>
      <c r="E1516" s="7" t="str">
        <f>IFERROR(__xludf.DUMMYFUNCTION("""COMPUTED_VALUE"""),"Yes")</f>
        <v>Yes</v>
      </c>
      <c r="F1516" s="7" t="str">
        <f>IFERROR(__xludf.DUMMYFUNCTION("""COMPUTED_VALUE"""),"IP-Oral")</f>
        <v>IP-Oral</v>
      </c>
      <c r="G1516" s="7" t="str">
        <f>IFERROR(__xludf.DUMMYFUNCTION("""COMPUTED_VALUE"""),"In-person")</f>
        <v>In-person</v>
      </c>
      <c r="H1516" s="7" t="str">
        <f>IFERROR(__xludf.DUMMYFUNCTION("""COMPUTED_VALUE"""),"Hall L")</f>
        <v>Hall L</v>
      </c>
      <c r="I1516" s="7" t="str">
        <f>IFERROR(__xludf.DUMMYFUNCTION("""COMPUTED_VALUE"""),"Session 3: IP-Orals")</f>
        <v>Session 3: IP-Orals</v>
      </c>
      <c r="J1516" s="7" t="str">
        <f>IFERROR(__xludf.DUMMYFUNCTION("""COMPUTED_VALUE"""),"Industry 2")</f>
        <v>Industry 2</v>
      </c>
      <c r="K1516" s="7"/>
      <c r="L1516" s="8"/>
      <c r="M1516" s="7" t="str">
        <f>IFERROR(__xludf.DUMMYFUNCTION("""COMPUTED_VALUE"""),"14:00-15:30")</f>
        <v>14:00-15:30</v>
      </c>
      <c r="N1516" s="7">
        <f>IFERROR(__xludf.DUMMYFUNCTION("""COMPUTED_VALUE"""),5.0)</f>
        <v>5</v>
      </c>
    </row>
    <row r="1517">
      <c r="A1517" s="7" t="str">
        <f>IFERROR(__xludf.DUMMYFUNCTION("""COMPUTED_VALUE"""),"174-IND")</f>
        <v>174-IND</v>
      </c>
      <c r="B1517" s="7" t="str">
        <f>IFERROR(__xludf.DUMMYFUNCTION("""COMPUTED_VALUE"""),"Scaling Under-Resourced TTS: A Data-Optimized Framework with Advanced Acoustic Modeling for Thai")</f>
        <v>Scaling Under-Resourced TTS: A Data-Optimized Framework with Advanced Acoustic Modeling for Thai</v>
      </c>
      <c r="C1517" s="7" t="str">
        <f>IFERROR(__xludf.DUMMYFUNCTION("""COMPUTED_VALUE"""),"Text-to-speech (TTS) technology has achieved impressive results for widely spoken languages, yet many under-resourced languages remain challenged by limited data and linguistic complexities. In this paper, we present a novel methodology that integrates a "&amp;"data-optimized framework with an advanced acoustic model to build high-quality TTS systems for low-resource scenarios. We demonstrate the effectiveness of our approach using Thai as an illustrative case, where intricate phonetic rules and sparse resources"&amp;" are effectively addressed. Our method enables zero-shot voice cloning and improved performance across diverse client applications, ranging from finance to healthcare, education, and law. Extensive evaluations—both subjective and objective—confirm that ou"&amp;"r model meets state-of-the-art standards, offering a scalable solution for TTS production in data-limited settings, with significant implications for broader industry adoption and multilingual accessibility. All demos are available in \url{https://luoji.c"&amp;"n/static/thai/demo.html}.")</f>
        <v>Text-to-speech (TTS) technology has achieved impressive results for widely spoken languages, yet many under-resourced languages remain challenged by limited data and linguistic complexities. In this paper, we present a novel methodology that integrates a data-optimized framework with an advanced acoustic model to build high-quality TTS systems for low-resource scenarios. We demonstrate the effectiveness of our approach using Thai as an illustrative case, where intricate phonetic rules and sparse resources are effectively addressed. Our method enables zero-shot voice cloning and improved performance across diverse client applications, ranging from finance to healthcare, education, and law. Extensive evaluations—both subjective and objective—confirm that our model meets state-of-the-art standards, offering a scalable solution for TTS production in data-limited settings, with significant implications for broader industry adoption and multilingual accessibility. All demos are available in \url{https://luoji.cn/static/thai/demo.html}.</v>
      </c>
      <c r="D1517" s="7" t="str">
        <f>IFERROR(__xludf.DUMMYFUNCTION("""COMPUTED_VALUE"""),"Yizhong Geng")</f>
        <v>Yizhong Geng</v>
      </c>
      <c r="E1517" s="7" t="str">
        <f>IFERROR(__xludf.DUMMYFUNCTION("""COMPUTED_VALUE"""),"Yes")</f>
        <v>Yes</v>
      </c>
      <c r="F1517" s="7" t="str">
        <f>IFERROR(__xludf.DUMMYFUNCTION("""COMPUTED_VALUE"""),"IP-Oral")</f>
        <v>IP-Oral</v>
      </c>
      <c r="G1517" s="7" t="str">
        <f>IFERROR(__xludf.DUMMYFUNCTION("""COMPUTED_VALUE"""),"In-person")</f>
        <v>In-person</v>
      </c>
      <c r="H1517" s="7" t="str">
        <f>IFERROR(__xludf.DUMMYFUNCTION("""COMPUTED_VALUE"""),"Hall L")</f>
        <v>Hall L</v>
      </c>
      <c r="I1517" s="7" t="str">
        <f>IFERROR(__xludf.DUMMYFUNCTION("""COMPUTED_VALUE"""),"Session 3: IP-Orals")</f>
        <v>Session 3: IP-Orals</v>
      </c>
      <c r="J1517" s="7" t="str">
        <f>IFERROR(__xludf.DUMMYFUNCTION("""COMPUTED_VALUE"""),"Industry 2")</f>
        <v>Industry 2</v>
      </c>
      <c r="K1517" s="7"/>
      <c r="L1517" s="8"/>
      <c r="M1517" s="7" t="str">
        <f>IFERROR(__xludf.DUMMYFUNCTION("""COMPUTED_VALUE"""),"14:00-15:30")</f>
        <v>14:00-15:30</v>
      </c>
      <c r="N1517" s="7">
        <f>IFERROR(__xludf.DUMMYFUNCTION("""COMPUTED_VALUE"""),6.0)</f>
        <v>6</v>
      </c>
    </row>
    <row r="1518">
      <c r="A1518" s="7" t="str">
        <f>IFERROR(__xludf.DUMMYFUNCTION("""COMPUTED_VALUE"""),"175-IND")</f>
        <v>175-IND</v>
      </c>
      <c r="B1518" s="7" t="str">
        <f>IFERROR(__xludf.DUMMYFUNCTION("""COMPUTED_VALUE"""),"ArchiDocGen: Multi-Agent Framework for Expository Document Generation in the Architectural Industry")</f>
        <v>ArchiDocGen: Multi-Agent Framework for Expository Document Generation in the Architectural Industry</v>
      </c>
      <c r="C1518" s="7" t="str">
        <f>IFERROR(__xludf.DUMMYFUNCTION("""COMPUTED_VALUE"""),"The architectural industry produces extensive documents, including method statements—expository documents that integrate multi-source data into actionable guidance. Manual drafting however is labor-intensive and time-consuming. This paper introduces Archi"&amp;"DocGen, a multi-agent framework automating method statement generation. Unlike traditional approaches relying on static templates or single-pass generation, ArchiDocGen decomposes the task into three steps: outline generation, section-based content genera"&amp;"tion, and polishing, each handled by specialized agents. To provide domain expertise, ArchiDocGen employs a section-based retriever to fetch and synthesize relevant documents from its custom knowledge base. Each section is generated through iterative reas"&amp;"oning of a section-based chain-of-thought (SeCoT) scheme, followed by refinement to meet professional standards. To evaluate the generated method statements, we partner with the industry to establish a multi-dimensional evaluation system by combining auto"&amp;"matic and empirical methods. Experiments show that ArchiDocGen achieves 4.38 ContentScore, excelling in specialization, completeness, organization, and clarity. Additionally, a web-based application for ArchiDocGen is developed and deployed with industry "&amp;"partners.")</f>
        <v>The architectural industry produces extensive documents, including method statements—expository documents that integrate multi-source data into actionable guidance. Manual drafting however is labor-intensive and time-consuming. This paper introduces ArchiDocGen, a multi-agent framework automating method statement generation. Unlike traditional approaches relying on static templates or single-pass generation, ArchiDocGen decomposes the task into three steps: outline generation, section-based content generation, and polishing, each handled by specialized agents. To provide domain expertise, ArchiDocGen employs a section-based retriever to fetch and synthesize relevant documents from its custom knowledge base. Each section is generated through iterative reasoning of a section-based chain-of-thought (SeCoT) scheme, followed by refinement to meet professional standards. To evaluate the generated method statements, we partner with the industry to establish a multi-dimensional evaluation system by combining automatic and empirical methods. Experiments show that ArchiDocGen achieves 4.38 ContentScore, excelling in specialization, completeness, organization, and clarity. Additionally, a web-based application for ArchiDocGen is developed and deployed with industry partners.</v>
      </c>
      <c r="D1518" s="7" t="str">
        <f>IFERROR(__xludf.DUMMYFUNCTION("""COMPUTED_VALUE"""),"Junjie Jiang")</f>
        <v>Junjie Jiang</v>
      </c>
      <c r="E1518" s="7" t="str">
        <f>IFERROR(__xludf.DUMMYFUNCTION("""COMPUTED_VALUE"""),"Yes")</f>
        <v>Yes</v>
      </c>
      <c r="F1518" s="7" t="str">
        <f>IFERROR(__xludf.DUMMYFUNCTION("""COMPUTED_VALUE"""),"V-Presentation")</f>
        <v>V-Presentation</v>
      </c>
      <c r="G1518" s="7" t="str">
        <f>IFERROR(__xludf.DUMMYFUNCTION("""COMPUTED_VALUE"""),"Virtual/Gather")</f>
        <v>Virtual/Gather</v>
      </c>
      <c r="H1518" s="7" t="str">
        <f>IFERROR(__xludf.DUMMYFUNCTION("""COMPUTED_VALUE"""),"Zoom")</f>
        <v>Zoom</v>
      </c>
      <c r="I1518" s="7" t="str">
        <f>IFERROR(__xludf.DUMMYFUNCTION("""COMPUTED_VALUE"""),"Session 7: V--Presentations ")</f>
        <v>Session 7: V--Presentations </v>
      </c>
      <c r="J1518" s="7" t="str">
        <f>IFERROR(__xludf.DUMMYFUNCTION("""COMPUTED_VALUE"""),"Industry - Virtual Presentations 1")</f>
        <v>Industry - Virtual Presentations 1</v>
      </c>
      <c r="K1518" s="7"/>
      <c r="L1518" s="8">
        <f>IFERROR(__xludf.DUMMYFUNCTION("""COMPUTED_VALUE"""),45867.0)</f>
        <v>45867</v>
      </c>
      <c r="M1518" s="7" t="str">
        <f>IFERROR(__xludf.DUMMYFUNCTION("""COMPUTED_VALUE"""),"4:00-5:30 am CEST")</f>
        <v>4:00-5:30 am CEST</v>
      </c>
      <c r="N1518" s="7"/>
    </row>
    <row r="1519">
      <c r="A1519" s="7" t="str">
        <f>IFERROR(__xludf.DUMMYFUNCTION("""COMPUTED_VALUE"""),"178-IND")</f>
        <v>178-IND</v>
      </c>
      <c r="B1519" s="7" t="str">
        <f>IFERROR(__xludf.DUMMYFUNCTION("""COMPUTED_VALUE"""),"Optimization before Evaluation: Evaluation with Unoptimized Prompts Can be Misleading")</f>
        <v>Optimization before Evaluation: Evaluation with Unoptimized Prompts Can be Misleading</v>
      </c>
      <c r="C1519" s="7" t="str">
        <f>IFERROR(__xludf.DUMMYFUNCTION("""COMPUTED_VALUE"""),"Current Large Language Model (LLM) evaluation frameworks utilize the same static prompt template across all models under evaluation. This differs from the common industry practice of using prompt optimization (PO) techniques to optimize the prompt for eac"&amp;"h model to maximize application performance. In this paper, we investigate the effect of PO towards LLM evaluations. Our results on public academic and internal industry benchmarks show that PO greatly affects the final ranking of models. This highlights "&amp;"the importance of practitioners performing PO per model when conducting evaluations to choose the best model for a given task.")</f>
        <v>Current Large Language Model (LLM) evaluation frameworks utilize the same static prompt template across all models under evaluation. This differs from the common industry practice of using prompt optimization (PO) techniques to optimize the prompt for each model to maximize application performance. In this paper, we investigate the effect of PO towards LLM evaluations. Our results on public academic and internal industry benchmarks show that PO greatly affects the final ranking of models. This highlights the importance of practitioners performing PO per model when conducting evaluations to choose the best model for a given task.</v>
      </c>
      <c r="D1519" s="7" t="str">
        <f>IFERROR(__xludf.DUMMYFUNCTION("""COMPUTED_VALUE"""),"Nicholas Sadjoli")</f>
        <v>Nicholas Sadjoli</v>
      </c>
      <c r="E1519" s="7" t="str">
        <f>IFERROR(__xludf.DUMMYFUNCTION("""COMPUTED_VALUE"""),"Yes")</f>
        <v>Yes</v>
      </c>
      <c r="F1519" s="7" t="str">
        <f>IFERROR(__xludf.DUMMYFUNCTION("""COMPUTED_VALUE"""),"IP-Oral")</f>
        <v>IP-Oral</v>
      </c>
      <c r="G1519" s="7" t="str">
        <f>IFERROR(__xludf.DUMMYFUNCTION("""COMPUTED_VALUE"""),"In-person")</f>
        <v>In-person</v>
      </c>
      <c r="H1519" s="7" t="str">
        <f>IFERROR(__xludf.DUMMYFUNCTION("""COMPUTED_VALUE"""),"Hall L")</f>
        <v>Hall L</v>
      </c>
      <c r="I1519" s="7" t="str">
        <f>IFERROR(__xludf.DUMMYFUNCTION("""COMPUTED_VALUE"""),"Session 9: IP-Orals")</f>
        <v>Session 9: IP-Orals</v>
      </c>
      <c r="J1519" s="7" t="str">
        <f>IFERROR(__xludf.DUMMYFUNCTION("""COMPUTED_VALUE"""),"Industry 4")</f>
        <v>Industry 4</v>
      </c>
      <c r="K1519" s="7"/>
      <c r="L1519" s="8"/>
      <c r="M1519" s="7" t="str">
        <f>IFERROR(__xludf.DUMMYFUNCTION("""COMPUTED_VALUE"""),"14:00-15:30")</f>
        <v>14:00-15:30</v>
      </c>
      <c r="N1519" s="7">
        <f>IFERROR(__xludf.DUMMYFUNCTION("""COMPUTED_VALUE"""),6.0)</f>
        <v>6</v>
      </c>
    </row>
    <row r="1520">
      <c r="A1520" s="7" t="str">
        <f>IFERROR(__xludf.DUMMYFUNCTION("""COMPUTED_VALUE"""),"179-IND")</f>
        <v>179-IND</v>
      </c>
      <c r="B1520" s="7" t="str">
        <f>IFERROR(__xludf.DUMMYFUNCTION("""COMPUTED_VALUE"""),"Think Again! The Effect of Test-Time Compute on Preferences, Opinions, and Beliefs of Large Language Models")</f>
        <v>Think Again! The Effect of Test-Time Compute on Preferences, Opinions, and Beliefs of Large Language Models</v>
      </c>
      <c r="C1520" s="7" t="str">
        <f>IFERROR(__xludf.DUMMYFUNCTION("""COMPUTED_VALUE"""),"As Large Language Models (LLMs) become deeply integrated into human life and increasingly influence decision-making, it's crucial to evaluate whether and to what extent they exhibit subjective preferences, opinions, and beliefs. These tendencies may stem "&amp;"from biases within the models, which may shape their behavior, influence the advice and recommendations they offer to users, and potentially reinforce certain viewpoints. This paper presents the Preference, Opinion, and Belief survey (POBs), a benchmark d"&amp;"eveloped to assess LLMs' subjective inclinations across societal, cultural, ethical, and personal domains. We applied our benchmark to evaluate leading open- and closed-source LLMs, measuring desired properties such as reliability, neutrality, and consist"&amp;"ency. In addition, we investigated the effect of increasing the test-time compute, through reasoning and self-reflection mechanisms, on those metrics. While effective in other tasks, our results show that these mechanisms offer only limited gains in our d"&amp;"omain. Furthermore, we reveal that newer model versions are becoming less consistent and more biased toward specific viewpoints, highlighting a blind spot and a concerning trend.
 POBS: https://ibm.github.io/POBS")</f>
        <v>As Large Language Models (LLMs) become deeply integrated into human life and increasingly influence decision-making, it's crucial to evaluate whether and to what extent they exhibit subjective preferences, opinions, and beliefs. These tendencies may stem from biases within the models, which may shape their behavior, influence the advice and recommendations they offer to users, and potentially reinforce certain viewpoints. This paper presents the Preference, Opinion, and Belief survey (POBs), a benchmark developed to assess LLMs' subjective inclinations across societal, cultural, ethical, and personal domains. We applied our benchmark to evaluate leading open- and closed-source LLMs, measuring desired properties such as reliability, neutrality, and consistency. In addition, we investigated the effect of increasing the test-time compute, through reasoning and self-reflection mechanisms, on those metrics. While effective in other tasks, our results show that these mechanisms offer only limited gains in our domain. Furthermore, we reveal that newer model versions are becoming less consistent and more biased toward specific viewpoints, highlighting a blind spot and a concerning trend.
 POBS: https://ibm.github.io/POBS</v>
      </c>
      <c r="D1520" s="7" t="str">
        <f>IFERROR(__xludf.DUMMYFUNCTION("""COMPUTED_VALUE"""),"George Kour")</f>
        <v>George Kour</v>
      </c>
      <c r="E1520" s="7" t="str">
        <f>IFERROR(__xludf.DUMMYFUNCTION("""COMPUTED_VALUE"""),"Yes")</f>
        <v>Yes</v>
      </c>
      <c r="F1520" s="7" t="str">
        <f>IFERROR(__xludf.DUMMYFUNCTION("""COMPUTED_VALUE"""),"IP-Oral")</f>
        <v>IP-Oral</v>
      </c>
      <c r="G1520" s="7" t="str">
        <f>IFERROR(__xludf.DUMMYFUNCTION("""COMPUTED_VALUE"""),"In-person")</f>
        <v>In-person</v>
      </c>
      <c r="H1520" s="7" t="str">
        <f>IFERROR(__xludf.DUMMYFUNCTION("""COMPUTED_VALUE"""),"Hall L")</f>
        <v>Hall L</v>
      </c>
      <c r="I1520" s="7" t="str">
        <f>IFERROR(__xludf.DUMMYFUNCTION("""COMPUTED_VALUE"""),"Session 2: IND Oral")</f>
        <v>Session 2: IND Oral</v>
      </c>
      <c r="J1520" s="7" t="str">
        <f>IFERROR(__xludf.DUMMYFUNCTION("""COMPUTED_VALUE"""),"Industry 1")</f>
        <v>Industry 1</v>
      </c>
      <c r="K1520" s="7"/>
      <c r="L1520" s="8"/>
      <c r="M1520" s="7" t="str">
        <f>IFERROR(__xludf.DUMMYFUNCTION("""COMPUTED_VALUE"""),"11:00-12:30")</f>
        <v>11:00-12:30</v>
      </c>
      <c r="N1520" s="7">
        <f>IFERROR(__xludf.DUMMYFUNCTION("""COMPUTED_VALUE"""),6.0)</f>
        <v>6</v>
      </c>
    </row>
    <row r="1521">
      <c r="A1521" s="7" t="str">
        <f>IFERROR(__xludf.DUMMYFUNCTION("""COMPUTED_VALUE"""),"182-IND")</f>
        <v>182-IND</v>
      </c>
      <c r="B1521" s="7" t="str">
        <f>IFERROR(__xludf.DUMMYFUNCTION("""COMPUTED_VALUE"""),"Learning from Litigation: Graphs for Retrieval and Reasoning in eDiscovery")</f>
        <v>Learning from Litigation: Graphs for Retrieval and Reasoning in eDiscovery</v>
      </c>
      <c r="C1521" s="7" t="str">
        <f>IFERROR(__xludf.DUMMYFUNCTION("""COMPUTED_VALUE"""),"Electronic Discovery (eDiscovery) requires identifying relevant documents from vast collections for legal production requests. While artificial intelligence (AI) and natural language processing (NLP) have improved document review efficiency, current metho"&amp;"ds still struggle with legal entities, citations, and complex legal artifacts. To address these challenges, we introduce DISCOvery Graph (DISCOG), an emerging system that integrates knowledge graphs for enhanced document ranking and classification, augmen"&amp;"ted by LLM-driven reasoning. DISCOG outperforms strong baselines in F1-score, precision, and recall across both balanced and imbalanced datasets. In real-world deployments, it has reduced litigation-related document review costs by approximately 98%, demo"&amp;"nstrating significant business impact.")</f>
        <v>Electronic Discovery (eDiscovery) requires identifying relevant documents from vast collections for legal production requests. While artificial intelligence (AI) and natural language processing (NLP) have improved document review efficiency, current methods still struggle with legal entities, citations, and complex legal artifacts. To address these challenges, we introduce DISCOvery Graph (DISCOG), an emerging system that integrates knowledge graphs for enhanced document ranking and classification, augmented by LLM-driven reasoning. DISCOG outperforms strong baselines in F1-score, precision, and recall across both balanced and imbalanced datasets. In real-world deployments, it has reduced litigation-related document review costs by approximately 98%, demonstrating significant business impact.</v>
      </c>
      <c r="D1521" s="7" t="str">
        <f>IFERROR(__xludf.DUMMYFUNCTION("""COMPUTED_VALUE"""),"Sounak Lahiri")</f>
        <v>Sounak Lahiri</v>
      </c>
      <c r="E1521" s="7" t="str">
        <f>IFERROR(__xludf.DUMMYFUNCTION("""COMPUTED_VALUE"""),"Yes")</f>
        <v>Yes</v>
      </c>
      <c r="F1521" s="7" t="str">
        <f>IFERROR(__xludf.DUMMYFUNCTION("""COMPUTED_VALUE"""),"IP-Oral")</f>
        <v>IP-Oral</v>
      </c>
      <c r="G1521" s="7" t="str">
        <f>IFERROR(__xludf.DUMMYFUNCTION("""COMPUTED_VALUE"""),"In-person")</f>
        <v>In-person</v>
      </c>
      <c r="H1521" s="7" t="str">
        <f>IFERROR(__xludf.DUMMYFUNCTION("""COMPUTED_VALUE"""),"Hall L")</f>
        <v>Hall L</v>
      </c>
      <c r="I1521" s="7" t="str">
        <f>IFERROR(__xludf.DUMMYFUNCTION("""COMPUTED_VALUE"""),"Session 9: IP-Orals")</f>
        <v>Session 9: IP-Orals</v>
      </c>
      <c r="J1521" s="7" t="str">
        <f>IFERROR(__xludf.DUMMYFUNCTION("""COMPUTED_VALUE"""),"Industry 4")</f>
        <v>Industry 4</v>
      </c>
      <c r="K1521" s="7"/>
      <c r="L1521" s="8"/>
      <c r="M1521" s="7" t="str">
        <f>IFERROR(__xludf.DUMMYFUNCTION("""COMPUTED_VALUE"""),"14:00-15:30")</f>
        <v>14:00-15:30</v>
      </c>
      <c r="N1521" s="7">
        <f>IFERROR(__xludf.DUMMYFUNCTION("""COMPUTED_VALUE"""),7.0)</f>
        <v>7</v>
      </c>
    </row>
    <row r="1522">
      <c r="A1522" s="7" t="str">
        <f>IFERROR(__xludf.DUMMYFUNCTION("""COMPUTED_VALUE"""),"187-IND")</f>
        <v>187-IND</v>
      </c>
      <c r="B1522" s="7" t="str">
        <f>IFERROR(__xludf.DUMMYFUNCTION("""COMPUTED_VALUE"""),"LexGenie: Automated Generation of Structured Reports for European Court of Human Rights Case Law")</f>
        <v>LexGenie: Automated Generation of Structured Reports for European Court of Human Rights Case Law</v>
      </c>
      <c r="C1522" s="7" t="str">
        <f>IFERROR(__xludf.DUMMYFUNCTION("""COMPUTED_VALUE"""),"Analyzing large volumes of case law to uncover evolving legal principles, across multiple cases, on a given topic is a demanding task for legal professionals. Structured topical reports provide an effective solution by summarizing key issues, principles, "&amp;"and judgments, enabling comprehensive legal analysis on a particular topic. While prior works have advanced query-based individual case summarization, none have extended to automatically generating multi-case structured reports. To address this, we introd"&amp;"uce LexGenie, an automated LLM-based pipeline designed to create structured reports using the entire body of case law on user-specified topics within the European Court of Human Rights jurisdiction. LexGenie retrieves, clusters, and organizes relevant pas"&amp;"sages by topic to generate a structured outline and cohesive content for each section. Expert evaluation confirms LexGenie's utility in producing structured reports that enhance efficient, scalable legal analysis.")</f>
        <v>Analyzing large volumes of case law to uncover evolving legal principles, across multiple cases, on a given topic is a demanding task for legal professionals. Structured topical reports provide an effective solution by summarizing key issues, principles, and judgments, enabling comprehensive legal analysis on a particular topic. While prior works have advanced query-based individual case summarization, none have extended to automatically generating multi-case structured reports. To address this, we introduce LexGenie, an automated LLM-based pipeline designed to create structured reports using the entire body of case law on user-specified topics within the European Court of Human Rights jurisdiction. LexGenie retrieves, clusters, and organizes relevant passages by topic to generate a structured outline and cohesive content for each section. Expert evaluation confirms LexGenie's utility in producing structured reports that enhance efficient, scalable legal analysis.</v>
      </c>
      <c r="D1522" s="7" t="str">
        <f>IFERROR(__xludf.DUMMYFUNCTION("""COMPUTED_VALUE"""),"Santosh T.Y.S.S")</f>
        <v>Santosh T.Y.S.S</v>
      </c>
      <c r="E1522" s="7" t="str">
        <f>IFERROR(__xludf.DUMMYFUNCTION("""COMPUTED_VALUE"""),"Yes")</f>
        <v>Yes</v>
      </c>
      <c r="F1522" s="7" t="str">
        <f>IFERROR(__xludf.DUMMYFUNCTION("""COMPUTED_VALUE"""),"V-Presentation")</f>
        <v>V-Presentation</v>
      </c>
      <c r="G1522" s="7" t="str">
        <f>IFERROR(__xludf.DUMMYFUNCTION("""COMPUTED_VALUE"""),"Virtual/Gather")</f>
        <v>Virtual/Gather</v>
      </c>
      <c r="H1522" s="7" t="str">
        <f>IFERROR(__xludf.DUMMYFUNCTION("""COMPUTED_VALUE"""),"Zoom")</f>
        <v>Zoom</v>
      </c>
      <c r="I1522" s="7" t="str">
        <f>IFERROR(__xludf.DUMMYFUNCTION("""COMPUTED_VALUE"""),"Session 10: V-Presenations")</f>
        <v>Session 10: V-Presenations</v>
      </c>
      <c r="J1522" s="7" t="str">
        <f>IFERROR(__xludf.DUMMYFUNCTION("""COMPUTED_VALUE"""),"Industry - Virtual Presentations 2")</f>
        <v>Industry - Virtual Presentations 2</v>
      </c>
      <c r="K1522" s="7"/>
      <c r="L1522" s="8">
        <f>IFERROR(__xludf.DUMMYFUNCTION("""COMPUTED_VALUE"""),45867.0)</f>
        <v>45867</v>
      </c>
      <c r="M1522" s="7" t="str">
        <f>IFERROR(__xludf.DUMMYFUNCTION("""COMPUTED_VALUE"""),"16:00-17:30")</f>
        <v>16:00-17:30</v>
      </c>
      <c r="N1522" s="7"/>
    </row>
    <row r="1523">
      <c r="A1523" s="7" t="str">
        <f>IFERROR(__xludf.DUMMYFUNCTION("""COMPUTED_VALUE"""),"190-IND")</f>
        <v>190-IND</v>
      </c>
      <c r="B1523" s="7" t="str">
        <f>IFERROR(__xludf.DUMMYFUNCTION("""COMPUTED_VALUE"""),"Speed Without Sacrifice: Fine-Tuning Language Models with Medusa and Knowledge Distillation in Travel Applications")</f>
        <v>Speed Without Sacrifice: Fine-Tuning Language Models with Medusa and Knowledge Distillation in Travel Applications</v>
      </c>
      <c r="C1523" s="7" t="str">
        <f>IFERROR(__xludf.DUMMYFUNCTION("""COMPUTED_VALUE"""),"In high-stakes industrial NLP applications, balancing generation quality with speed and efficiency presents significant challenges. We address them by investigating two complementary optimization approaches: Medusa for speculative decoding and knowledge d"&amp;"istillation (KD) for model compression. We demonstrate the practical application of these techniques in real-world travel domain tasks, including trip planning, smart filters, and generating accommodation descriptions. We introduce modifications to the Me"&amp;"dusa implementation, starting with base pre-trained models rather than conversational fine-tuned ones, and developing a simplified single-stage training process for Medusa-2 that maintains performance while reducing computational requirements. Lastly, we "&amp;"present a novel framework that combines Medusa with knowledge distillation, achieving compounded benefits in both model size and inference speed. Our experiments with TinyLlama-1.1B as the student model and Llama-3.1-70B as the teacher show that the combi"&amp;"ned approach maintains the teacher's performance quality while reducing inference latency by 10-20x.")</f>
        <v>In high-stakes industrial NLP applications, balancing generation quality with speed and efficiency presents significant challenges. We address them by investigating two complementary optimization approaches: Medusa for speculative decoding and knowledge distillation (KD) for model compression. We demonstrate the practical application of these techniques in real-world travel domain tasks, including trip planning, smart filters, and generating accommodation descriptions. We introduce modifications to the Medusa implementation, starting with base pre-trained models rather than conversational fine-tuned ones, and developing a simplified single-stage training process for Medusa-2 that maintains performance while reducing computational requirements. Lastly, we present a novel framework that combines Medusa with knowledge distillation, achieving compounded benefits in both model size and inference speed. Our experiments with TinyLlama-1.1B as the student model and Llama-3.1-70B as the teacher show that the combined approach maintains the teacher's performance quality while reducing inference latency by 10-20x.</v>
      </c>
      <c r="D1523" s="7" t="str">
        <f>IFERROR(__xludf.DUMMYFUNCTION("""COMPUTED_VALUE"""),"Ilya Gusev")</f>
        <v>Ilya Gusev</v>
      </c>
      <c r="E1523" s="7" t="str">
        <f>IFERROR(__xludf.DUMMYFUNCTION("""COMPUTED_VALUE"""),"Yes")</f>
        <v>Yes</v>
      </c>
      <c r="F1523" s="7" t="str">
        <f>IFERROR(__xludf.DUMMYFUNCTION("""COMPUTED_VALUE"""),"IP-Oral")</f>
        <v>IP-Oral</v>
      </c>
      <c r="G1523" s="7" t="str">
        <f>IFERROR(__xludf.DUMMYFUNCTION("""COMPUTED_VALUE"""),"In-person")</f>
        <v>In-person</v>
      </c>
      <c r="H1523" s="7" t="str">
        <f>IFERROR(__xludf.DUMMYFUNCTION("""COMPUTED_VALUE"""),"Hall L")</f>
        <v>Hall L</v>
      </c>
      <c r="I1523" s="7" t="str">
        <f>IFERROR(__xludf.DUMMYFUNCTION("""COMPUTED_VALUE"""),"Session 3: IP-Orals")</f>
        <v>Session 3: IP-Orals</v>
      </c>
      <c r="J1523" s="7" t="str">
        <f>IFERROR(__xludf.DUMMYFUNCTION("""COMPUTED_VALUE"""),"Industry 2")</f>
        <v>Industry 2</v>
      </c>
      <c r="K1523" s="7"/>
      <c r="L1523" s="8"/>
      <c r="M1523" s="7" t="str">
        <f>IFERROR(__xludf.DUMMYFUNCTION("""COMPUTED_VALUE"""),"14:00-15:30")</f>
        <v>14:00-15:30</v>
      </c>
      <c r="N1523" s="7">
        <f>IFERROR(__xludf.DUMMYFUNCTION("""COMPUTED_VALUE"""),7.0)</f>
        <v>7</v>
      </c>
    </row>
    <row r="1524">
      <c r="A1524" s="7" t="str">
        <f>IFERROR(__xludf.DUMMYFUNCTION("""COMPUTED_VALUE"""),"195-IND")</f>
        <v>195-IND</v>
      </c>
      <c r="B1524" s="7" t="str">
        <f>IFERROR(__xludf.DUMMYFUNCTION("""COMPUTED_VALUE"""),"Accelerating Antibiotic Discovery with Large Language Models and Knowledge Graphs")</f>
        <v>Accelerating Antibiotic Discovery with Large Language Models and Knowledge Graphs</v>
      </c>
      <c r="C1524" s="7" t="str">
        <f>IFERROR(__xludf.DUMMYFUNCTION("""COMPUTED_VALUE"""),"The discovery of novel antibiotics is critical to address the growing antimicrobial resistance (AMR). However, pharmaceutical industries face high costs (over $1 billion), long timelines, and a high failure rate, worsened by the rediscovery of known compo"&amp;"unds. We propose an LLM-based pipeline that acts as an alert system, detecting prior evidence of antibiotic activity to prevent costly rediscoveries. The system integrates literature on organisms and chemicals into a Knowledge Graph (KG), ensuring taxonom"&amp;"ic resolution, synonym handling, and multi-level evidence classification. We tested the pipeline on a private list of 73 potential antibiotic-producing organisms, disclosing 12 negative hits for evaluation. The results highlight the effectiveness of the p"&amp;"ipeline for evidence reviewing, reducing false negatives, and accelerating decision-making. The KG for negative hits as well as the user interface for interactive exploration are available at https://github.com/idiap/abroad-kg-store and https://github.com"&amp;"/idiap/abroad-demo-webapp.")</f>
        <v>The discovery of novel antibiotics is critical to address the growing antimicrobial resistance (AMR). However, pharmaceutical industries face high costs (over $1 billion), long timelines, and a high failure rate, worsened by the rediscovery of known compounds. We propose an LLM-based pipeline that acts as an alert system, detecting prior evidence of antibiotic activity to prevent costly rediscoveries. The system integrates literature on organisms and chemicals into a Knowledge Graph (KG), ensuring taxonomic resolution, synonym handling, and multi-level evidence classification. We tested the pipeline on a private list of 73 potential antibiotic-producing organisms, disclosing 12 negative hits for evaluation. The results highlight the effectiveness of the pipeline for evidence reviewing, reducing false negatives, and accelerating decision-making. The KG for negative hits as well as the user interface for interactive exploration are available at https://github.com/idiap/abroad-kg-store and https://github.com/idiap/abroad-demo-webapp.</v>
      </c>
      <c r="D1524" s="7" t="str">
        <f>IFERROR(__xludf.DUMMYFUNCTION("""COMPUTED_VALUE"""),"Maxime Delmas")</f>
        <v>Maxime Delmas</v>
      </c>
      <c r="E1524" s="7" t="str">
        <f>IFERROR(__xludf.DUMMYFUNCTION("""COMPUTED_VALUE"""),"Yes")</f>
        <v>Yes</v>
      </c>
      <c r="F1524" s="7" t="str">
        <f>IFERROR(__xludf.DUMMYFUNCTION("""COMPUTED_VALUE"""),"IP-Poster")</f>
        <v>IP-Poster</v>
      </c>
      <c r="G1524" s="7" t="str">
        <f>IFERROR(__xludf.DUMMYFUNCTION("""COMPUTED_VALUE"""),"In-person")</f>
        <v>In-person</v>
      </c>
      <c r="H1524" s="7" t="str">
        <f>IFERROR(__xludf.DUMMYFUNCTION("""COMPUTED_VALUE"""),"Hall 4X")</f>
        <v>Hall 4X</v>
      </c>
      <c r="I1524" s="7" t="str">
        <f>IFERROR(__xludf.DUMMYFUNCTION("""COMPUTED_VALUE"""),"Session 10: IP-Posters")</f>
        <v>Session 10: IP-Posters</v>
      </c>
      <c r="J1524" s="7" t="str">
        <f>IFERROR(__xludf.DUMMYFUNCTION("""COMPUTED_VALUE"""),"Industry - In-Person Posters")</f>
        <v>Industry - In-Person Posters</v>
      </c>
      <c r="K1524" s="7"/>
      <c r="L1524" s="8">
        <f>IFERROR(__xludf.DUMMYFUNCTION("""COMPUTED_VALUE"""),45867.0)</f>
        <v>45867</v>
      </c>
      <c r="M1524" s="7" t="str">
        <f>IFERROR(__xludf.DUMMYFUNCTION("""COMPUTED_VALUE"""),"16:00-17:30")</f>
        <v>16:00-17:30</v>
      </c>
      <c r="N1524" s="7"/>
    </row>
    <row r="1525">
      <c r="A1525" s="7" t="str">
        <f>IFERROR(__xludf.DUMMYFUNCTION("""COMPUTED_VALUE"""),"197-IND")</f>
        <v>197-IND</v>
      </c>
      <c r="B1525" s="7" t="str">
        <f>IFERROR(__xludf.DUMMYFUNCTION("""COMPUTED_VALUE"""),"Proactive Guidance of Multi-Turn Conversation in Industrial Search")</f>
        <v>Proactive Guidance of Multi-Turn Conversation in Industrial Search</v>
      </c>
      <c r="C1525" s="7" t="str">
        <f>IFERROR(__xludf.DUMMYFUNCTION("""COMPUTED_VALUE"""),"The evolution of Large Language Models (LLMs) has significantly advanced multi-turn conversation systems, emphasizing the need for proactive guidance to enhance users' interactions. However, these systems face challenges in dynamically adapting to shifts "&amp;"in users' goals and maintaining low latency for real-time interactions. In the Baidu Search AI assistant, an industrial-scale multi-turn search system, we propose a novel two-phase framework to provide proactive guidance. The first phase, Goal-adaptive Su"&amp;"pervised Fine-Tuning (G-SFT), employs a goal adaptation agent that dynamically adapts to user goal shifts and provides goal-relevant contextual information. G-SFT also incorporates scalable knowledge transfer to distill insights from LLMs into a lightweig"&amp;"ht model for real-time interaction. The second phase, Click-oriented Reinforcement Learning (C-RL), adopts a generate-rank paradigm, systematically constructs preference pairs from user click signals, and proactively improves click-through rates through m"&amp;"ore engaging guidance. This dual-phase architecture achieves complementary objectives: G-SFT ensures accurate goal tracking, while C-RL optimizes interaction quality through click signal-driven reinforcement learning. Extensive experiments demonstrate tha"&amp;"t our framework achieves 86.10\% accuracy in offline evaluation (+23.95\% over baseline) and 25.28\% CTR in online deployment (149.06\% relative improvement), while reducing inference latency by 69.55\% through scalable knowledge distillation.")</f>
        <v>The evolution of Large Language Models (LLMs) has significantly advanced multi-turn conversation systems, emphasizing the need for proactive guidance to enhance users' interactions. However, these systems face challenges in dynamically adapting to shifts in users' goals and maintaining low latency for real-time interactions. In the Baidu Search AI assistant, an industrial-scale multi-turn search system, we propose a novel two-phase framework to provide proactive guidance. The first phase, Goal-adaptive Supervised Fine-Tuning (G-SFT), employs a goal adaptation agent that dynamically adapts to user goal shifts and provides goal-relevant contextual information. G-SFT also incorporates scalable knowledge transfer to distill insights from LLMs into a lightweight model for real-time interaction. The second phase, Click-oriented Reinforcement Learning (C-RL), adopts a generate-rank paradigm, systematically constructs preference pairs from user click signals, and proactively improves click-through rates through more engaging guidance. This dual-phase architecture achieves complementary objectives: G-SFT ensures accurate goal tracking, while C-RL optimizes interaction quality through click signal-driven reinforcement learning. Extensive experiments demonstrate that our framework achieves 86.10\% accuracy in offline evaluation (+23.95\% over baseline) and 25.28\% CTR in online deployment (149.06\% relative improvement), while reducing inference latency by 69.55\% through scalable knowledge distillation.</v>
      </c>
      <c r="D1525" s="7" t="str">
        <f>IFERROR(__xludf.DUMMYFUNCTION("""COMPUTED_VALUE"""),"Xiaoyu Li")</f>
        <v>Xiaoyu Li</v>
      </c>
      <c r="E1525" s="7" t="str">
        <f>IFERROR(__xludf.DUMMYFUNCTION("""COMPUTED_VALUE"""),"Yes")</f>
        <v>Yes</v>
      </c>
      <c r="F1525" s="7" t="str">
        <f>IFERROR(__xludf.DUMMYFUNCTION("""COMPUTED_VALUE"""),"IP-Oral")</f>
        <v>IP-Oral</v>
      </c>
      <c r="G1525" s="7" t="str">
        <f>IFERROR(__xludf.DUMMYFUNCTION("""COMPUTED_VALUE"""),"In-person")</f>
        <v>In-person</v>
      </c>
      <c r="H1525" s="7" t="str">
        <f>IFERROR(__xludf.DUMMYFUNCTION("""COMPUTED_VALUE"""),"Hall L")</f>
        <v>Hall L</v>
      </c>
      <c r="I1525" s="7" t="str">
        <f>IFERROR(__xludf.DUMMYFUNCTION("""COMPUTED_VALUE"""),"Session 3: IP-Orals")</f>
        <v>Session 3: IP-Orals</v>
      </c>
      <c r="J1525" s="7" t="str">
        <f>IFERROR(__xludf.DUMMYFUNCTION("""COMPUTED_VALUE"""),"Industry 2")</f>
        <v>Industry 2</v>
      </c>
      <c r="K1525" s="7"/>
      <c r="L1525" s="8"/>
      <c r="M1525" s="7" t="str">
        <f>IFERROR(__xludf.DUMMYFUNCTION("""COMPUTED_VALUE"""),"14:00-15:30")</f>
        <v>14:00-15:30</v>
      </c>
      <c r="N1525" s="7">
        <f>IFERROR(__xludf.DUMMYFUNCTION("""COMPUTED_VALUE"""),8.0)</f>
        <v>8</v>
      </c>
    </row>
    <row r="1526">
      <c r="A1526" s="7" t="str">
        <f>IFERROR(__xludf.DUMMYFUNCTION("""COMPUTED_VALUE"""),"205-IND")</f>
        <v>205-IND</v>
      </c>
      <c r="B1526" s="7" t="str">
        <f>IFERROR(__xludf.DUMMYFUNCTION("""COMPUTED_VALUE"""),"SpeechWeave: Diverse Multilingual Synthetic Text &amp; Audio Data Generation Pipeline for Training Text to Speech Models")</f>
        <v>SpeechWeave: Diverse Multilingual Synthetic Text &amp; Audio Data Generation Pipeline for Training Text to Speech Models</v>
      </c>
      <c r="C1526" s="7" t="str">
        <f>IFERROR(__xludf.DUMMYFUNCTION("""COMPUTED_VALUE"""),"High-quality Text-to-Speech (TTS) model training requires extensive and diverse text and speech data. It is challenging to procure such data from real sources due to issues of domain specificity, licensing, and scalability. Large language models (LLMs) ca"&amp;"n certainly generate textual data, but they create repetitive text with insufficient variation in the prompt during the generation process. Another important aspect in TTS training data is text normalization. Tools for normalization might occasionally int"&amp;"roduce anomalies or overlook valuable patterns, and thus impact data quality. Furthermore, it is also impractical to rely on voice artists for large scale speech recording in commercial TTS systems with standardized voices. To address these challenges, we"&amp;" propose SpeechWeave, a synthetic speech data generation pipeline that is capable of automating the generation of multilingual, domain-specific datasets for training TTS models. Our experiments reveal that our pipeline generates data that is 10–48% more d"&amp;"iverse than the baseline across various linguistic and phonetic metrics, along with speaker-standardized speech audio while generating approximately 97% correctly normalized text. Our approach enables scalable, high-quality data generation for TTS trainin"&amp;"g, improving diversity, normalization, and voice consistency in the generated datasets.")</f>
        <v>High-quality Text-to-Speech (TTS) model training requires extensive and diverse text and speech data. It is challenging to procure such data from real sources due to issues of domain specificity, licensing, and scalability. Large language models (LLMs) can certainly generate textual data, but they create repetitive text with insufficient variation in the prompt during the generation process. Another important aspect in TTS training data is text normalization. Tools for normalization might occasionally introduce anomalies or overlook valuable patterns, and thus impact data quality. Furthermore, it is also impractical to rely on voice artists for large scale speech recording in commercial TTS systems with standardized voices. To address these challenges, we propose SpeechWeave, a synthetic speech data generation pipeline that is capable of automating the generation of multilingual, domain-specific datasets for training TTS models. Our experiments reveal that our pipeline generates data that is 10–48% more diverse than the baseline across various linguistic and phonetic metrics, along with speaker-standardized speech audio while generating approximately 97% correctly normalized text. Our approach enables scalable, high-quality data generation for TTS training, improving diversity, normalization, and voice consistency in the generated datasets.</v>
      </c>
      <c r="D1526" s="7" t="str">
        <f>IFERROR(__xludf.DUMMYFUNCTION("""COMPUTED_VALUE"""),"Karan Dua")</f>
        <v>Karan Dua</v>
      </c>
      <c r="E1526" s="7" t="str">
        <f>IFERROR(__xludf.DUMMYFUNCTION("""COMPUTED_VALUE"""),"Yes")</f>
        <v>Yes</v>
      </c>
      <c r="F1526" s="7" t="str">
        <f>IFERROR(__xludf.DUMMYFUNCTION("""COMPUTED_VALUE"""),"IP-Oral")</f>
        <v>IP-Oral</v>
      </c>
      <c r="G1526" s="7" t="str">
        <f>IFERROR(__xludf.DUMMYFUNCTION("""COMPUTED_VALUE"""),"In-person")</f>
        <v>In-person</v>
      </c>
      <c r="H1526" s="7" t="str">
        <f>IFERROR(__xludf.DUMMYFUNCTION("""COMPUTED_VALUE"""),"Hall L")</f>
        <v>Hall L</v>
      </c>
      <c r="I1526" s="7" t="str">
        <f>IFERROR(__xludf.DUMMYFUNCTION("""COMPUTED_VALUE"""),"Session 3: IP-Orals")</f>
        <v>Session 3: IP-Orals</v>
      </c>
      <c r="J1526" s="7" t="str">
        <f>IFERROR(__xludf.DUMMYFUNCTION("""COMPUTED_VALUE"""),"Industry 2")</f>
        <v>Industry 2</v>
      </c>
      <c r="K1526" s="7"/>
      <c r="L1526" s="8"/>
      <c r="M1526" s="7" t="str">
        <f>IFERROR(__xludf.DUMMYFUNCTION("""COMPUTED_VALUE"""),"14:00-15:30")</f>
        <v>14:00-15:30</v>
      </c>
      <c r="N1526" s="7">
        <f>IFERROR(__xludf.DUMMYFUNCTION("""COMPUTED_VALUE"""),9.0)</f>
        <v>9</v>
      </c>
    </row>
    <row r="1527">
      <c r="A1527" s="7" t="str">
        <f>IFERROR(__xludf.DUMMYFUNCTION("""COMPUTED_VALUE"""),"210-IND")</f>
        <v>210-IND</v>
      </c>
      <c r="B1527" s="7" t="str">
        <f>IFERROR(__xludf.DUMMYFUNCTION("""COMPUTED_VALUE"""),"Privacy Preserving Data Selection for Bias Mitigation in Speech Models")</f>
        <v>Privacy Preserving Data Selection for Bias Mitigation in Speech Models</v>
      </c>
      <c r="C1527" s="7" t="str">
        <f>IFERROR(__xludf.DUMMYFUNCTION("""COMPUTED_VALUE"""),"Effectively selecting data from subgroups where a model performs poorly is crucial for improving its performance. Traditional methods for identifying these subgroups often rely on sensitive information, raising privacy issues. Additionally, gathering such"&amp;" information at runtime might be impractical. This paper introduces a cost-effective strategy that addresses these concerns. We identify underperforming subgroups and train a model to predict if an utterance belongs to these subgroups without needing sens"&amp;"itive information. This model helps mitigate bias by selecting and adding new data, which is labeled as challenging, for re-training the speech model. Experimental results on intent classification and automatic speech recognition tasks show the effectiven"&amp;"ess of our approach in reducing biases and enhancing performance, with improvements in reducing error rates of up to 39% for FSC, 16% for ITALIC, and 22% for LibriSpeech.")</f>
        <v>Effectively selecting data from subgroups where a model performs poorly is crucial for improving its performance. Traditional methods for identifying these subgroups often rely on sensitive information, raising privacy issues. Additionally, gathering such information at runtime might be impractical. This paper introduces a cost-effective strategy that addresses these concerns. We identify underperforming subgroups and train a model to predict if an utterance belongs to these subgroups without needing sensitive information. This model helps mitigate bias by selecting and adding new data, which is labeled as challenging, for re-training the speech model. Experimental results on intent classification and automatic speech recognition tasks show the effectiveness of our approach in reducing biases and enhancing performance, with improvements in reducing error rates of up to 39% for FSC, 16% for ITALIC, and 22% for LibriSpeech.</v>
      </c>
      <c r="D1527" s="7" t="str">
        <f>IFERROR(__xludf.DUMMYFUNCTION("""COMPUTED_VALUE"""),"Luca Cagliero")</f>
        <v>Luca Cagliero</v>
      </c>
      <c r="E1527" s="7" t="str">
        <f>IFERROR(__xludf.DUMMYFUNCTION("""COMPUTED_VALUE"""),"Yes")</f>
        <v>Yes</v>
      </c>
      <c r="F1527" s="7" t="str">
        <f>IFERROR(__xludf.DUMMYFUNCTION("""COMPUTED_VALUE"""),"IP-Oral")</f>
        <v>IP-Oral</v>
      </c>
      <c r="G1527" s="7" t="str">
        <f>IFERROR(__xludf.DUMMYFUNCTION("""COMPUTED_VALUE"""),"In-person")</f>
        <v>In-person</v>
      </c>
      <c r="H1527" s="7" t="str">
        <f>IFERROR(__xludf.DUMMYFUNCTION("""COMPUTED_VALUE"""),"Hall L")</f>
        <v>Hall L</v>
      </c>
      <c r="I1527" s="7" t="str">
        <f>IFERROR(__xludf.DUMMYFUNCTION("""COMPUTED_VALUE"""),"Session 11: IP-Orals ")</f>
        <v>Session 11: IP-Orals </v>
      </c>
      <c r="J1527" s="7" t="str">
        <f>IFERROR(__xludf.DUMMYFUNCTION("""COMPUTED_VALUE"""),"Industry 5")</f>
        <v>Industry 5</v>
      </c>
      <c r="K1527" s="7"/>
      <c r="L1527" s="8"/>
      <c r="M1527" s="7" t="str">
        <f>IFERROR(__xludf.DUMMYFUNCTION("""COMPUTED_VALUE"""),"09:00-10:30")</f>
        <v>09:00-10:30</v>
      </c>
      <c r="N1527" s="7">
        <f>IFERROR(__xludf.DUMMYFUNCTION("""COMPUTED_VALUE"""),1.0)</f>
        <v>1</v>
      </c>
    </row>
    <row r="1528">
      <c r="A1528" s="7" t="str">
        <f>IFERROR(__xludf.DUMMYFUNCTION("""COMPUTED_VALUE"""),"216-IND")</f>
        <v>216-IND</v>
      </c>
      <c r="B1528" s="7" t="str">
        <f>IFERROR(__xludf.DUMMYFUNCTION("""COMPUTED_VALUE"""),"ComRAG: Retrieval-Augmented Generation with Dynamic Vector Stores for Real-time Community Question Answering in Industry")</f>
        <v>ComRAG: Retrieval-Augmented Generation with Dynamic Vector Stores for Real-time Community Question Answering in Industry</v>
      </c>
      <c r="C1528" s="7" t="str">
        <f>IFERROR(__xludf.DUMMYFUNCTION("""COMPUTED_VALUE"""),"Community Question Answering (CQA) platforms can be deemed as important knowledge bases in community, but effectively leveraging historical interactions and domain knowledge in real-time remains a challenge. Existing methods often underutilize external kn"&amp;"owledge, fail to incorporate dynamic historical QA context, or lack memory mechanisms suited for industrial deployment. We propose ComRAG, a retrieval-augmented generation framework for real-time industrial CQA that integrates static knowledge with dynami"&amp;"c historical QA pairs via a centroid-based memory mechanism designed for retrieval, generation, and efficient storage. Evaluated on three industrial CQA datasets, ComRAG consistently outperforms all baselines—achieving up to 25.9% improvement in vector si"&amp;"milarity, reducing latency by 8.7%–23.3%, and lowering chunk growth from 20.23% to 2.06% over iterations.")</f>
        <v>Community Question Answering (CQA) platforms can be deemed as important knowledge bases in community, but effectively leveraging historical interactions and domain knowledge in real-time remains a challenge. Existing methods often underutilize external knowledge, fail to incorporate dynamic historical QA context, or lack memory mechanisms suited for industrial deployment. We propose ComRAG, a retrieval-augmented generation framework for real-time industrial CQA that integrates static knowledge with dynamic historical QA pairs via a centroid-based memory mechanism designed for retrieval, generation, and efficient storage. Evaluated on three industrial CQA datasets, ComRAG consistently outperforms all baselines—achieving up to 25.9% improvement in vector similarity, reducing latency by 8.7%–23.3%, and lowering chunk growth from 20.23% to 2.06% over iterations.</v>
      </c>
      <c r="D1528" s="7" t="str">
        <f>IFERROR(__xludf.DUMMYFUNCTION("""COMPUTED_VALUE"""),"Qinwen Chen")</f>
        <v>Qinwen Chen</v>
      </c>
      <c r="E1528" s="7" t="str">
        <f>IFERROR(__xludf.DUMMYFUNCTION("""COMPUTED_VALUE"""),"Yes")</f>
        <v>Yes</v>
      </c>
      <c r="F1528" s="7" t="str">
        <f>IFERROR(__xludf.DUMMYFUNCTION("""COMPUTED_VALUE"""),"IP-Oral")</f>
        <v>IP-Oral</v>
      </c>
      <c r="G1528" s="7" t="str">
        <f>IFERROR(__xludf.DUMMYFUNCTION("""COMPUTED_VALUE"""),"In-person")</f>
        <v>In-person</v>
      </c>
      <c r="H1528" s="7" t="str">
        <f>IFERROR(__xludf.DUMMYFUNCTION("""COMPUTED_VALUE"""),"Hall L")</f>
        <v>Hall L</v>
      </c>
      <c r="I1528" s="7" t="str">
        <f>IFERROR(__xludf.DUMMYFUNCTION("""COMPUTED_VALUE"""),"Session 11: IP-Orals ")</f>
        <v>Session 11: IP-Orals </v>
      </c>
      <c r="J1528" s="7" t="str">
        <f>IFERROR(__xludf.DUMMYFUNCTION("""COMPUTED_VALUE"""),"Industry 5")</f>
        <v>Industry 5</v>
      </c>
      <c r="K1528" s="7"/>
      <c r="L1528" s="8"/>
      <c r="M1528" s="7" t="str">
        <f>IFERROR(__xludf.DUMMYFUNCTION("""COMPUTED_VALUE"""),"09:00-10:30")</f>
        <v>09:00-10:30</v>
      </c>
      <c r="N1528" s="7">
        <f>IFERROR(__xludf.DUMMYFUNCTION("""COMPUTED_VALUE"""),2.0)</f>
        <v>2</v>
      </c>
    </row>
    <row r="1529">
      <c r="A1529" s="7" t="str">
        <f>IFERROR(__xludf.DUMMYFUNCTION("""COMPUTED_VALUE"""),"217-IND")</f>
        <v>217-IND</v>
      </c>
      <c r="B1529" s="7" t="str">
        <f>IFERROR(__xludf.DUMMYFUNCTION("""COMPUTED_VALUE"""),"PlanGPT: Enhancing Urban Planning with a Tailored Agent Framework")</f>
        <v>PlanGPT: Enhancing Urban Planning with a Tailored Agent Framework</v>
      </c>
      <c r="C1529" s="7" t="str">
        <f>IFERROR(__xludf.DUMMYFUNCTION("""COMPUTED_VALUE"""),"In the field of urban planning, general-purpose large language models often struggle to meet the specific needs of planners. Tasks like generating urban planning texts, retrieving related information, and evaluating planning documents pose unique challeng"&amp;"es. To enhance the efficiency of urban professionals and overcome these obstacles, we introduce PlanGPT, the first specialized AI agent framework tailored for urban and spatial planning. Developed through collaborative efforts with professional urban plan"&amp;"ners, PlanGPT integrates a customized local database retrieval system, domain-specific knowledge activation capabilities, and advanced tool orchestration mechanisms. Through its comprehensive agent architecture, PlanGPT coordinates multiple specialized co"&amp;"mponents to deliver intelligent assistance precisely tailored to the intricacies of urban planning workflows. Empirical tests demonstrate that PlanGPT framework has achieved advanced performance, providing comprehensive support that significantly enhances"&amp;" professional planning efficiency.")</f>
        <v>In the field of urban planning, general-purpose large language models often struggle to meet the specific needs of planners. Tasks like generating urban planning texts, retrieving related information, and evaluating planning documents pose unique challenges. To enhance the efficiency of urban professionals and overcome these obstacles, we introduce PlanGPT, the first specialized AI agent framework tailored for urban and spatial planning. Developed through collaborative efforts with professional urban planners, PlanGPT integrates a customized local database retrieval system, domain-specific knowledge activation capabilities, and advanced tool orchestration mechanisms. Through its comprehensive agent architecture, PlanGPT coordinates multiple specialized components to deliver intelligent assistance precisely tailored to the intricacies of urban planning workflows. Empirical tests demonstrate that PlanGPT framework has achieved advanced performance, providing comprehensive support that significantly enhances professional planning efficiency.</v>
      </c>
      <c r="D1529" s="7" t="str">
        <f>IFERROR(__xludf.DUMMYFUNCTION("""COMPUTED_VALUE"""),"He Zhu (朱赫)")</f>
        <v>He Zhu (朱赫)</v>
      </c>
      <c r="E1529" s="7" t="str">
        <f>IFERROR(__xludf.DUMMYFUNCTION("""COMPUTED_VALUE"""),"Yes")</f>
        <v>Yes</v>
      </c>
      <c r="F1529" s="7" t="str">
        <f>IFERROR(__xludf.DUMMYFUNCTION("""COMPUTED_VALUE"""),"IP-Oral")</f>
        <v>IP-Oral</v>
      </c>
      <c r="G1529" s="7" t="str">
        <f>IFERROR(__xludf.DUMMYFUNCTION("""COMPUTED_VALUE"""),"In-person")</f>
        <v>In-person</v>
      </c>
      <c r="H1529" s="7" t="str">
        <f>IFERROR(__xludf.DUMMYFUNCTION("""COMPUTED_VALUE"""),"Hall L")</f>
        <v>Hall L</v>
      </c>
      <c r="I1529" s="7" t="str">
        <f>IFERROR(__xludf.DUMMYFUNCTION("""COMPUTED_VALUE"""),"Session 7: IND Orals")</f>
        <v>Session 7: IND Orals</v>
      </c>
      <c r="J1529" s="7" t="str">
        <f>IFERROR(__xludf.DUMMYFUNCTION("""COMPUTED_VALUE"""),"Industry 3")</f>
        <v>Industry 3</v>
      </c>
      <c r="K1529" s="7"/>
      <c r="L1529" s="8"/>
      <c r="M1529" s="7" t="str">
        <f>IFERROR(__xludf.DUMMYFUNCTION("""COMPUTED_VALUE"""),"10:30-12:00")</f>
        <v>10:30-12:00</v>
      </c>
      <c r="N1529" s="7">
        <f>IFERROR(__xludf.DUMMYFUNCTION("""COMPUTED_VALUE"""),3.0)</f>
        <v>3</v>
      </c>
    </row>
    <row r="1530">
      <c r="A1530" s="7" t="str">
        <f>IFERROR(__xludf.DUMMYFUNCTION("""COMPUTED_VALUE"""),"221-IND")</f>
        <v>221-IND</v>
      </c>
      <c r="B1530" s="7" t="str">
        <f>IFERROR(__xludf.DUMMYFUNCTION("""COMPUTED_VALUE"""),"FoodTaxo: Generating Food Taxonomies with Large Language Models")</f>
        <v>FoodTaxo: Generating Food Taxonomies with Large Language Models</v>
      </c>
      <c r="C1530" s="7" t="str">
        <f>IFERROR(__xludf.DUMMYFUNCTION("""COMPUTED_VALUE"""),"We investigate the utility of Large Language Models for automated taxonomy generation and completion specifically applied to taxonomies from the food technology industry. We explore the extent to which taxonomies can be completed from a seed taxonomy or g"&amp;"enerated without a seed from a set of known concepts, in an iterative fashion using recent prompting techniques.
 Experiments on five taxonomies using an open-source LLM (Llama-3), while promising, point to the difficulty of correctly placing inner nodes.")</f>
        <v>We investigate the utility of Large Language Models for automated taxonomy generation and completion specifically applied to taxonomies from the food technology industry. We explore the extent to which taxonomies can be completed from a seed taxonomy or generated without a seed from a set of known concepts, in an iterative fashion using recent prompting techniques.
 Experiments on five taxonomies using an open-source LLM (Llama-3), while promising, point to the difficulty of correctly placing inner nodes.</v>
      </c>
      <c r="D1530" s="7" t="str">
        <f>IFERROR(__xludf.DUMMYFUNCTION("""COMPUTED_VALUE"""),"Pascal Wullschleger")</f>
        <v>Pascal Wullschleger</v>
      </c>
      <c r="E1530" s="7" t="str">
        <f>IFERROR(__xludf.DUMMYFUNCTION("""COMPUTED_VALUE"""),"Yes")</f>
        <v>Yes</v>
      </c>
      <c r="F1530" s="7" t="str">
        <f>IFERROR(__xludf.DUMMYFUNCTION("""COMPUTED_VALUE"""),"IP-Poster")</f>
        <v>IP-Poster</v>
      </c>
      <c r="G1530" s="7" t="str">
        <f>IFERROR(__xludf.DUMMYFUNCTION("""COMPUTED_VALUE"""),"In-person")</f>
        <v>In-person</v>
      </c>
      <c r="H1530" s="7" t="str">
        <f>IFERROR(__xludf.DUMMYFUNCTION("""COMPUTED_VALUE"""),"Hall 4X")</f>
        <v>Hall 4X</v>
      </c>
      <c r="I1530" s="7" t="str">
        <f>IFERROR(__xludf.DUMMYFUNCTION("""COMPUTED_VALUE"""),"Session 10: IP-Posters")</f>
        <v>Session 10: IP-Posters</v>
      </c>
      <c r="J1530" s="7" t="str">
        <f>IFERROR(__xludf.DUMMYFUNCTION("""COMPUTED_VALUE"""),"Industry - In-Person Posters")</f>
        <v>Industry - In-Person Posters</v>
      </c>
      <c r="K1530" s="7"/>
      <c r="L1530" s="8">
        <f>IFERROR(__xludf.DUMMYFUNCTION("""COMPUTED_VALUE"""),45867.0)</f>
        <v>45867</v>
      </c>
      <c r="M1530" s="7" t="str">
        <f>IFERROR(__xludf.DUMMYFUNCTION("""COMPUTED_VALUE"""),"16:00-17:30")</f>
        <v>16:00-17:30</v>
      </c>
      <c r="N1530" s="7"/>
    </row>
    <row r="1531">
      <c r="A1531" s="7" t="str">
        <f>IFERROR(__xludf.DUMMYFUNCTION("""COMPUTED_VALUE"""),"222-IND")</f>
        <v>222-IND</v>
      </c>
      <c r="B1531" s="7" t="str">
        <f>IFERROR(__xludf.DUMMYFUNCTION("""COMPUTED_VALUE"""),"Enriching children’s stories with LLMs: Delivering multilingual data enrichment for children’s books at scale and across markets")</f>
        <v>Enriching children’s stories with LLMs: Delivering multilingual data enrichment for children’s books at scale and across markets</v>
      </c>
      <c r="C1531" s="7" t="str">
        <f>IFERROR(__xludf.DUMMYFUNCTION("""COMPUTED_VALUE"""),"This paper presents a user-centered, empirically guided approach to multilingual metadata enrichment for children’s books. We combine LLMs with human-in-the-loop quality control in a scalable CI/CD pipeline to curate brand collections that enhance book di"&amp;"scovery and engagement for young readers across multiple European markets. Our results demonstrate that this hybrid approach delivers high-quality, child-appropriate labels, improves user experience, and accelerates deployment in real-world production env"&amp;"ironments. This work offers practical insights for applying generative NLP in the media and publishing industry.")</f>
        <v>This paper presents a user-centered, empirically guided approach to multilingual metadata enrichment for children’s books. We combine LLMs with human-in-the-loop quality control in a scalable CI/CD pipeline to curate brand collections that enhance book discovery and engagement for young readers across multiple European markets. Our results demonstrate that this hybrid approach delivers high-quality, child-appropriate labels, improves user experience, and accelerates deployment in real-world production environments. This work offers practical insights for applying generative NLP in the media and publishing industry.</v>
      </c>
      <c r="D1531" s="7" t="str">
        <f>IFERROR(__xludf.DUMMYFUNCTION("""COMPUTED_VALUE"""),"Zarah Weiss")</f>
        <v>Zarah Weiss</v>
      </c>
      <c r="E1531" s="7" t="str">
        <f>IFERROR(__xludf.DUMMYFUNCTION("""COMPUTED_VALUE"""),"Yes")</f>
        <v>Yes</v>
      </c>
      <c r="F1531" s="7" t="str">
        <f>IFERROR(__xludf.DUMMYFUNCTION("""COMPUTED_VALUE"""),"IP-Poster")</f>
        <v>IP-Poster</v>
      </c>
      <c r="G1531" s="7" t="str">
        <f>IFERROR(__xludf.DUMMYFUNCTION("""COMPUTED_VALUE"""),"In-person")</f>
        <v>In-person</v>
      </c>
      <c r="H1531" s="7" t="str">
        <f>IFERROR(__xludf.DUMMYFUNCTION("""COMPUTED_VALUE"""),"Hall 4X")</f>
        <v>Hall 4X</v>
      </c>
      <c r="I1531" s="7" t="str">
        <f>IFERROR(__xludf.DUMMYFUNCTION("""COMPUTED_VALUE"""),"Session 10: IP-Posters")</f>
        <v>Session 10: IP-Posters</v>
      </c>
      <c r="J1531" s="7" t="str">
        <f>IFERROR(__xludf.DUMMYFUNCTION("""COMPUTED_VALUE"""),"Industry - In-Person Posters")</f>
        <v>Industry - In-Person Posters</v>
      </c>
      <c r="K1531" s="7"/>
      <c r="L1531" s="8">
        <f>IFERROR(__xludf.DUMMYFUNCTION("""COMPUTED_VALUE"""),45867.0)</f>
        <v>45867</v>
      </c>
      <c r="M1531" s="7" t="str">
        <f>IFERROR(__xludf.DUMMYFUNCTION("""COMPUTED_VALUE"""),"16:00-17:30")</f>
        <v>16:00-17:30</v>
      </c>
      <c r="N1531" s="7"/>
    </row>
    <row r="1532">
      <c r="A1532" s="7" t="str">
        <f>IFERROR(__xludf.DUMMYFUNCTION("""COMPUTED_VALUE"""),"223-IND")</f>
        <v>223-IND</v>
      </c>
      <c r="B1532" s="7" t="str">
        <f>IFERROR(__xludf.DUMMYFUNCTION("""COMPUTED_VALUE"""),"Advanced Messaging Platform (AMP): Pipeline for Automated Enterprise Email Processing")</f>
        <v>Advanced Messaging Platform (AMP): Pipeline for Automated Enterprise Email Processing</v>
      </c>
      <c r="C1532" s="7" t="str">
        <f>IFERROR(__xludf.DUMMYFUNCTION("""COMPUTED_VALUE"""),"Understanding and effectively responding to email communication remains a critical yet complex challenge for current AI techniques, especially in corporate environments. These tasks are further complicated by the need for domain-specific knowledge, accura"&amp;"te entity recognition, and high precision to prevent costly errors. While recent advances in AI, specifically Large Language Models (LLMs), have made strides in natural language understanding, they often lack business-specific expertise required in such s"&amp;"ettings. In this work, we present Advanced Messaging Platform (AMP), a production-grade AI pipeline that automates email response generation at scale in real-world enterprise settings. AMP has been in production for more than a year, processing thousands "&amp;"of emails daily while maintaining high accuracy and adaptability to evolving business needs.")</f>
        <v>Understanding and effectively responding to email communication remains a critical yet complex challenge for current AI techniques, especially in corporate environments. These tasks are further complicated by the need for domain-specific knowledge, accurate entity recognition, and high precision to prevent costly errors. While recent advances in AI, specifically Large Language Models (LLMs), have made strides in natural language understanding, they often lack business-specific expertise required in such settings. In this work, we present Advanced Messaging Platform (AMP), a production-grade AI pipeline that automates email response generation at scale in real-world enterprise settings. AMP has been in production for more than a year, processing thousands of emails daily while maintaining high accuracy and adaptability to evolving business needs.</v>
      </c>
      <c r="D1532" s="7" t="str">
        <f>IFERROR(__xludf.DUMMYFUNCTION("""COMPUTED_VALUE"""),"Charese Smiley")</f>
        <v>Charese Smiley</v>
      </c>
      <c r="E1532" s="7" t="str">
        <f>IFERROR(__xludf.DUMMYFUNCTION("""COMPUTED_VALUE"""),"Yes")</f>
        <v>Yes</v>
      </c>
      <c r="F1532" s="7" t="str">
        <f>IFERROR(__xludf.DUMMYFUNCTION("""COMPUTED_VALUE"""),"IP-Poster")</f>
        <v>IP-Poster</v>
      </c>
      <c r="G1532" s="7" t="str">
        <f>IFERROR(__xludf.DUMMYFUNCTION("""COMPUTED_VALUE"""),"In-person")</f>
        <v>In-person</v>
      </c>
      <c r="H1532" s="7" t="str">
        <f>IFERROR(__xludf.DUMMYFUNCTION("""COMPUTED_VALUE"""),"Hall 4X")</f>
        <v>Hall 4X</v>
      </c>
      <c r="I1532" s="7" t="str">
        <f>IFERROR(__xludf.DUMMYFUNCTION("""COMPUTED_VALUE"""),"Session 10: IP-Posters")</f>
        <v>Session 10: IP-Posters</v>
      </c>
      <c r="J1532" s="7" t="str">
        <f>IFERROR(__xludf.DUMMYFUNCTION("""COMPUTED_VALUE"""),"Industry - In-Person Posters")</f>
        <v>Industry - In-Person Posters</v>
      </c>
      <c r="K1532" s="7"/>
      <c r="L1532" s="8">
        <f>IFERROR(__xludf.DUMMYFUNCTION("""COMPUTED_VALUE"""),45867.0)</f>
        <v>45867</v>
      </c>
      <c r="M1532" s="7" t="str">
        <f>IFERROR(__xludf.DUMMYFUNCTION("""COMPUTED_VALUE"""),"16:00-17:30")</f>
        <v>16:00-17:30</v>
      </c>
      <c r="N1532" s="7"/>
    </row>
    <row r="1533">
      <c r="A1533" s="7" t="str">
        <f>IFERROR(__xludf.DUMMYFUNCTION("""COMPUTED_VALUE"""),"225-IND")</f>
        <v>225-IND</v>
      </c>
      <c r="B1533" s="7" t="str">
        <f>IFERROR(__xludf.DUMMYFUNCTION("""COMPUTED_VALUE"""),"Semantic Outlier Removal with Embedding Models and LLMs")</f>
        <v>Semantic Outlier Removal with Embedding Models and LLMs</v>
      </c>
      <c r="C1533" s="7" t="str">
        <f>IFERROR(__xludf.DUMMYFUNCTION("""COMPUTED_VALUE"""),"Modern text processing pipelines demand robust methods to remove extraneous content while preserving a document's core message. Traditional approaches—such as HTML boilerplate extraction or keyword filters—often fail in multilingual settings and struggle "&amp;"with context-sensitive nuances, whereas Large Language Models (LLMs) offer improved quality at high computational cost. We introduce SORE (Semantic Outlier Removal), a cost-effective, transparent method that leverages multilingual sentence embeddings and "&amp;"approximate nearest-neighbor search to identify and excise unwanted text segments. By first identifying core content via metadata embedding and then flagging segments that either closely match predefined outlier groups or deviate significantly from the co"&amp;"re, SORE achieves near-LLM extraction precision at a fraction of the cost. Experiments on HTML datasets demonstrate that SORE outperforms structural methods and yield high precision in diverse scenarios. Our system is currently deployed in production, pro"&amp;"cessing millions of documents daily across multiple languages while maintaining both efficiency and accuracy. To facilitate reproducibility and further research, we will publicly release our implementation and evaluation datasets.")</f>
        <v>Modern text processing pipelines demand robust methods to remove extraneous content while preserving a document's core message. Traditional approaches—such as HTML boilerplate extraction or keyword filters—often fail in multilingual settings and struggle with context-sensitive nuances, whereas Large Language Models (LLMs) offer improved quality at high computational cost. We introduce SORE (Semantic Outlier Removal), a cost-effective, transparent method that leverages multilingual sentence embeddings and approximate nearest-neighbor search to identify and excise unwanted text segments. By first identifying core content via metadata embedding and then flagging segments that either closely match predefined outlier groups or deviate significantly from the core, SORE achieves near-LLM extraction precision at a fraction of the cost. Experiments on HTML datasets demonstrate that SORE outperforms structural methods and yield high precision in diverse scenarios. Our system is currently deployed in production, processing millions of documents daily across multiple languages while maintaining both efficiency and accuracy. To facilitate reproducibility and further research, we will publicly release our implementation and evaluation datasets.</v>
      </c>
      <c r="D1533" s="7" t="str">
        <f>IFERROR(__xludf.DUMMYFUNCTION("""COMPUTED_VALUE"""),"Eren Akbiyik")</f>
        <v>Eren Akbiyik</v>
      </c>
      <c r="E1533" s="7" t="str">
        <f>IFERROR(__xludf.DUMMYFUNCTION("""COMPUTED_VALUE"""),"Yes")</f>
        <v>Yes</v>
      </c>
      <c r="F1533" s="7" t="str">
        <f>IFERROR(__xludf.DUMMYFUNCTION("""COMPUTED_VALUE"""),"IP-Poster")</f>
        <v>IP-Poster</v>
      </c>
      <c r="G1533" s="7" t="str">
        <f>IFERROR(__xludf.DUMMYFUNCTION("""COMPUTED_VALUE"""),"In-person")</f>
        <v>In-person</v>
      </c>
      <c r="H1533" s="7" t="str">
        <f>IFERROR(__xludf.DUMMYFUNCTION("""COMPUTED_VALUE"""),"Hall 4X")</f>
        <v>Hall 4X</v>
      </c>
      <c r="I1533" s="7" t="str">
        <f>IFERROR(__xludf.DUMMYFUNCTION("""COMPUTED_VALUE"""),"Session 10: IP-Posters")</f>
        <v>Session 10: IP-Posters</v>
      </c>
      <c r="J1533" s="7" t="str">
        <f>IFERROR(__xludf.DUMMYFUNCTION("""COMPUTED_VALUE"""),"Industry - In-Person Posters")</f>
        <v>Industry - In-Person Posters</v>
      </c>
      <c r="K1533" s="7"/>
      <c r="L1533" s="8">
        <f>IFERROR(__xludf.DUMMYFUNCTION("""COMPUTED_VALUE"""),45867.0)</f>
        <v>45867</v>
      </c>
      <c r="M1533" s="7" t="str">
        <f>IFERROR(__xludf.DUMMYFUNCTION("""COMPUTED_VALUE"""),"16:00-17:30")</f>
        <v>16:00-17:30</v>
      </c>
      <c r="N1533" s="7"/>
    </row>
    <row r="1534">
      <c r="A1534" s="7" t="str">
        <f>IFERROR(__xludf.DUMMYFUNCTION("""COMPUTED_VALUE"""),"226-IND")</f>
        <v>226-IND</v>
      </c>
      <c r="B1534" s="7" t="str">
        <f>IFERROR(__xludf.DUMMYFUNCTION("""COMPUTED_VALUE"""),"SLENDER: Structured Outputs for SLM-based NER in Low-Resource Englishes")</f>
        <v>SLENDER: Structured Outputs for SLM-based NER in Low-Resource Englishes</v>
      </c>
      <c r="C1534" s="7" t="str">
        <f>IFERROR(__xludf.DUMMYFUNCTION("""COMPUTED_VALUE"""),"Named Entity Recognition (NER) for low-resource variants of English remains challenging, as most NER models are trained on datasets predominantly focused on American or British English. While recent work has shown that proprietary Large Language Models (L"&amp;"LMs) can perform NER effectively in low-resource settings through in-context learning, practical deployment is limited by their high computational costs and privacy concerns. Open-source Small Language Models (SLMs) offer promising alternatives, but the t"&amp;"endency of these Language Models (LM) to hallucinate poses challenges for production use. To address this, we introduce SLENDER, a novel output format for LM-based NER that achieves a three-fold reduction in inference time on average compared to JSON form"&amp;"at, which is widely used for structured outputs. Our approach using Gemma-2-9B-it with the SLENDER output format and constrained decoding in zero-shot settings outperforms the en_core_web_trf model from SpaCy, an industry-standard NER tool, in all five re"&amp;"gions of the Worldwide test set.")</f>
        <v>Named Entity Recognition (NER) for low-resource variants of English remains challenging, as most NER models are trained on datasets predominantly focused on American or British English. While recent work has shown that proprietary Large Language Models (LLMs) can perform NER effectively in low-resource settings through in-context learning, practical deployment is limited by their high computational costs and privacy concerns. Open-source Small Language Models (SLMs) offer promising alternatives, but the tendency of these Language Models (LM) to hallucinate poses challenges for production use. To address this, we introduce SLENDER, a novel output format for LM-based NER that achieves a three-fold reduction in inference time on average compared to JSON format, which is widely used for structured outputs. Our approach using Gemma-2-9B-it with the SLENDER output format and constrained decoding in zero-shot settings outperforms the en_core_web_trf model from SpaCy, an industry-standard NER tool, in all five regions of the Worldwide test set.</v>
      </c>
      <c r="D1534" s="7" t="str">
        <f>IFERROR(__xludf.DUMMYFUNCTION("""COMPUTED_VALUE"""),"Nicole Ren")</f>
        <v>Nicole Ren</v>
      </c>
      <c r="E1534" s="7" t="str">
        <f>IFERROR(__xludf.DUMMYFUNCTION("""COMPUTED_VALUE"""),"Yes")</f>
        <v>Yes</v>
      </c>
      <c r="F1534" s="7" t="str">
        <f>IFERROR(__xludf.DUMMYFUNCTION("""COMPUTED_VALUE"""),"IP-Poster")</f>
        <v>IP-Poster</v>
      </c>
      <c r="G1534" s="7" t="str">
        <f>IFERROR(__xludf.DUMMYFUNCTION("""COMPUTED_VALUE"""),"In-person")</f>
        <v>In-person</v>
      </c>
      <c r="H1534" s="7" t="str">
        <f>IFERROR(__xludf.DUMMYFUNCTION("""COMPUTED_VALUE"""),"Hall 4X")</f>
        <v>Hall 4X</v>
      </c>
      <c r="I1534" s="7" t="str">
        <f>IFERROR(__xludf.DUMMYFUNCTION("""COMPUTED_VALUE"""),"Session 10: IP-Posters")</f>
        <v>Session 10: IP-Posters</v>
      </c>
      <c r="J1534" s="7" t="str">
        <f>IFERROR(__xludf.DUMMYFUNCTION("""COMPUTED_VALUE"""),"Industry - In-Person Posters")</f>
        <v>Industry - In-Person Posters</v>
      </c>
      <c r="K1534" s="7"/>
      <c r="L1534" s="8">
        <f>IFERROR(__xludf.DUMMYFUNCTION("""COMPUTED_VALUE"""),45867.0)</f>
        <v>45867</v>
      </c>
      <c r="M1534" s="7" t="str">
        <f>IFERROR(__xludf.DUMMYFUNCTION("""COMPUTED_VALUE"""),"16:00-17:30")</f>
        <v>16:00-17:30</v>
      </c>
      <c r="N1534" s="7"/>
    </row>
    <row r="1535">
      <c r="A1535" s="7" t="str">
        <f>IFERROR(__xludf.DUMMYFUNCTION("""COMPUTED_VALUE"""),"230-IND")</f>
        <v>230-IND</v>
      </c>
      <c r="B1535" s="7" t="str">
        <f>IFERROR(__xludf.DUMMYFUNCTION("""COMPUTED_VALUE"""),"A Large-Scale Real-World Evaluation of an LLM-Based Virtual Teaching Assistant")</f>
        <v>A Large-Scale Real-World Evaluation of an LLM-Based Virtual Teaching Assistant</v>
      </c>
      <c r="C1535" s="7" t="str">
        <f>IFERROR(__xludf.DUMMYFUNCTION("""COMPUTED_VALUE"""),"Virtual Teaching Assistants (VTAs) powered by Large Language Models (LLMs) have the potential to enhance student learning by providing instant feedback and facilitating multi-turn interactions. However, empirical studies on their effectiveness and accepta"&amp;"nce in real-world classrooms are limited, leaving their practical impact uncertain. In this study, we develop an LLM-based VTA and deploy it in an introductory AI programming course with 477 graduate students. To assess how student perceptions of the VTA’"&amp;"s performance evolve over time, we conduct three rounds of comprehensive surveys at different stages of the course. Additionally, we analyze 3,869 student–VTA interaction pairs to identify common question types and engagement patterns. We then compare the"&amp;"se interactions with traditional student-human instructor interactions to evaluate the VTA’s role in the learning process. Through a large-scale empirical study and interaction analysis, we assess the feasibility of deploying VTAs in real-world classrooms"&amp;" and identify key challenges for broader adoption. Finally, we release the source code of our VTA system, fostering future advancements in AI-driven education.")</f>
        <v>Virtual Teaching Assistants (VTAs) powered by Large Language Models (LLMs) have the potential to enhance student learning by providing instant feedback and facilitating multi-turn interactions. However, empirical studies on their effectiveness and acceptance in real-world classrooms are limited, leaving their practical impact uncertain. In this study, we develop an LLM-based VTA and deploy it in an introductory AI programming course with 477 graduate students. To assess how student perceptions of the VTA’s performance evolve over time, we conduct three rounds of comprehensive surveys at different stages of the course. Additionally, we analyze 3,869 student–VTA interaction pairs to identify common question types and engagement patterns. We then compare these interactions with traditional student-human instructor interactions to evaluate the VTA’s role in the learning process. Through a large-scale empirical study and interaction analysis, we assess the feasibility of deploying VTAs in real-world classrooms and identify key challenges for broader adoption. Finally, we release the source code of our VTA system, fostering future advancements in AI-driven education.</v>
      </c>
      <c r="D1535" s="7" t="str">
        <f>IFERROR(__xludf.DUMMYFUNCTION("""COMPUTED_VALUE"""),"Sunjun Kweon")</f>
        <v>Sunjun Kweon</v>
      </c>
      <c r="E1535" s="7" t="str">
        <f>IFERROR(__xludf.DUMMYFUNCTION("""COMPUTED_VALUE"""),"Yes")</f>
        <v>Yes</v>
      </c>
      <c r="F1535" s="7" t="str">
        <f>IFERROR(__xludf.DUMMYFUNCTION("""COMPUTED_VALUE"""),"IP-Poster")</f>
        <v>IP-Poster</v>
      </c>
      <c r="G1535" s="7" t="str">
        <f>IFERROR(__xludf.DUMMYFUNCTION("""COMPUTED_VALUE"""),"In-person")</f>
        <v>In-person</v>
      </c>
      <c r="H1535" s="7" t="str">
        <f>IFERROR(__xludf.DUMMYFUNCTION("""COMPUTED_VALUE"""),"Hall 4X")</f>
        <v>Hall 4X</v>
      </c>
      <c r="I1535" s="7" t="str">
        <f>IFERROR(__xludf.DUMMYFUNCTION("""COMPUTED_VALUE"""),"Session 10: IP-Posters")</f>
        <v>Session 10: IP-Posters</v>
      </c>
      <c r="J1535" s="7" t="str">
        <f>IFERROR(__xludf.DUMMYFUNCTION("""COMPUTED_VALUE"""),"Industry - In-Person Posters")</f>
        <v>Industry - In-Person Posters</v>
      </c>
      <c r="K1535" s="7"/>
      <c r="L1535" s="8">
        <f>IFERROR(__xludf.DUMMYFUNCTION("""COMPUTED_VALUE"""),45867.0)</f>
        <v>45867</v>
      </c>
      <c r="M1535" s="7" t="str">
        <f>IFERROR(__xludf.DUMMYFUNCTION("""COMPUTED_VALUE"""),"16:00-17:30")</f>
        <v>16:00-17:30</v>
      </c>
      <c r="N1535" s="7"/>
    </row>
    <row r="1536">
      <c r="A1536" s="7" t="str">
        <f>IFERROR(__xludf.DUMMYFUNCTION("""COMPUTED_VALUE"""),"231-IND")</f>
        <v>231-IND</v>
      </c>
      <c r="B1536" s="7" t="str">
        <f>IFERROR(__xludf.DUMMYFUNCTION("""COMPUTED_VALUE"""),"Operational Advice for Dense and Sparse Retrievers: HNSW, Flat, or Inverted Indexes?")</f>
        <v>Operational Advice for Dense and Sparse Retrievers: HNSW, Flat, or Inverted Indexes?</v>
      </c>
      <c r="C1536" s="7" t="str">
        <f>IFERROR(__xludf.DUMMYFUNCTION("""COMPUTED_VALUE"""),"Practitioners working on dense retrieval today face a bewildering number of choices. Beyond selecting the embedding model, another consequential choice is the actual implementation of nearest-neighbor vector search. While best practices recommend HNSW ind"&amp;"exes, flat vector indexes with brute-force search represent another viable option, particularly for smaller corpora and for rapid prototyping. In this paper, we provide experimental results on the BEIR dataset using the open-source Lucene search library t"&amp;"hat explicate the tradeoffs between HNSW and flat indexes (including quantized variants) from the perspectives of indexing time, query evaluation performance, and retrieval quality. With additional comparisons between dense and sparse retrievers, our resu"&amp;"lts provide guidance for today's search practitioner in understanding the design space of dense and sparse retrievers. To our knowledge, we are the first to provide operational advice supported by empirical experiments in this regard.")</f>
        <v>Practitioners working on dense retrieval today face a bewildering number of choices. Beyond selecting the embedding model, another consequential choice is the actual implementation of nearest-neighbor vector search. While best practices recommend HNSW indexes, flat vector indexes with brute-force search represent another viable option, particularly for smaller corpora and for rapid prototyping. In this paper, we provide experimental results on the BEIR dataset using the open-source Lucene search library that explicate the tradeoffs between HNSW and flat indexes (including quantized variants) from the perspectives of indexing time, query evaluation performance, and retrieval quality. With additional comparisons between dense and sparse retrievers, our results provide guidance for today's search practitioner in understanding the design space of dense and sparse retrievers. To our knowledge, we are the first to provide operational advice supported by empirical experiments in this regard.</v>
      </c>
      <c r="D1536" s="7" t="str">
        <f>IFERROR(__xludf.DUMMYFUNCTION("""COMPUTED_VALUE"""),"Jimmy Lin")</f>
        <v>Jimmy Lin</v>
      </c>
      <c r="E1536" s="7" t="str">
        <f>IFERROR(__xludf.DUMMYFUNCTION("""COMPUTED_VALUE"""),"Yes")</f>
        <v>Yes</v>
      </c>
      <c r="F1536" s="7" t="str">
        <f>IFERROR(__xludf.DUMMYFUNCTION("""COMPUTED_VALUE"""),"V-Presentation")</f>
        <v>V-Presentation</v>
      </c>
      <c r="G1536" s="7" t="str">
        <f>IFERROR(__xludf.DUMMYFUNCTION("""COMPUTED_VALUE"""),"Virtual/Gather")</f>
        <v>Virtual/Gather</v>
      </c>
      <c r="H1536" s="7" t="str">
        <f>IFERROR(__xludf.DUMMYFUNCTION("""COMPUTED_VALUE"""),"Zoom")</f>
        <v>Zoom</v>
      </c>
      <c r="I1536" s="7" t="str">
        <f>IFERROR(__xludf.DUMMYFUNCTION("""COMPUTED_VALUE"""),"Session 10: V-Presenations")</f>
        <v>Session 10: V-Presenations</v>
      </c>
      <c r="J1536" s="7" t="str">
        <f>IFERROR(__xludf.DUMMYFUNCTION("""COMPUTED_VALUE"""),"Industry - Virtual Presentations 2")</f>
        <v>Industry - Virtual Presentations 2</v>
      </c>
      <c r="K1536" s="7"/>
      <c r="L1536" s="8">
        <f>IFERROR(__xludf.DUMMYFUNCTION("""COMPUTED_VALUE"""),45867.0)</f>
        <v>45867</v>
      </c>
      <c r="M1536" s="7" t="str">
        <f>IFERROR(__xludf.DUMMYFUNCTION("""COMPUTED_VALUE"""),"16:00-17:30")</f>
        <v>16:00-17:30</v>
      </c>
      <c r="N1536" s="7"/>
    </row>
    <row r="1537">
      <c r="A1537" s="7" t="str">
        <f>IFERROR(__xludf.DUMMYFUNCTION("""COMPUTED_VALUE"""),"237-IND")</f>
        <v>237-IND</v>
      </c>
      <c r="B1537" s="7" t="str">
        <f>IFERROR(__xludf.DUMMYFUNCTION("""COMPUTED_VALUE"""),"Filter-And-Refine: A MLLM Based Cascade System for Industrial-Scale Video Content Moderation")</f>
        <v>Filter-And-Refine: A MLLM Based Cascade System for Industrial-Scale Video Content Moderation</v>
      </c>
      <c r="C1537" s="7" t="str">
        <f>IFERROR(__xludf.DUMMYFUNCTION("""COMPUTED_VALUE"""),"Effective content moderation is essential for video platforms to safeguard user experience and uphold community standards. While traditional video classification models effectively handle well-defined moderation tasks, they struggle with complicated scena"&amp;"rios such as implicit harmful content and contextual ambiguity. Multimodal large language models (MLLMs) offer a promising solution to these limitations with their superior cross-modal reasoning and contextual understanding. However, two key challenges hi"&amp;"nder their industrial adoption. First, the high computational cost of MLLMs makes full-scale deployment impractical. Second, adapting generative models for discriminative classification remains an open research problem. In this paper, we first introduce a"&amp;"n efficient method to transform a generative MLLM into a multimodal classifier using minimal discriminative training data. To enable industry-scale deployment, we then propose a router-ranking cascade system that integrates MLLMs with a lightweight router"&amp;" model. Offline experiments demonstrate that our MLLM-based approach improves F1 score by 66.50% over traditional classifiers while requiring only 2% of the fine-tuning data. Online evaluations show that our system increases automatic content moderation v"&amp;"olume by 41%, while the cascading deployment reduces computational cost to only 1.5% of direct full-scale deployment.")</f>
        <v>Effective content moderation is essential for video platforms to safeguard user experience and uphold community standards. While traditional video classification models effectively handle well-defined moderation tasks, they struggle with complicated scenarios such as implicit harmful content and contextual ambiguity. Multimodal large language models (MLLMs) offer a promising solution to these limitations with their superior cross-modal reasoning and contextual understanding. However, two key challenges hinder their industrial adoption. First, the high computational cost of MLLMs makes full-scale deployment impractical. Second, adapting generative models for discriminative classification remains an open research problem. In this paper, we first introduce an efficient method to transform a generative MLLM into a multimodal classifier using minimal discriminative training data. To enable industry-scale deployment, we then propose a router-ranking cascade system that integrates MLLMs with a lightweight router model. Offline experiments demonstrate that our MLLM-based approach improves F1 score by 66.50% over traditional classifiers while requiring only 2% of the fine-tuning data. Online evaluations show that our system increases automatic content moderation volume by 41%, while the cascading deployment reduces computational cost to only 1.5% of direct full-scale deployment.</v>
      </c>
      <c r="D1537" s="7" t="str">
        <f>IFERROR(__xludf.DUMMYFUNCTION("""COMPUTED_VALUE"""),"Zixuan Wang")</f>
        <v>Zixuan Wang</v>
      </c>
      <c r="E1537" s="7" t="str">
        <f>IFERROR(__xludf.DUMMYFUNCTION("""COMPUTED_VALUE"""),"Yes")</f>
        <v>Yes</v>
      </c>
      <c r="F1537" s="7" t="str">
        <f>IFERROR(__xludf.DUMMYFUNCTION("""COMPUTED_VALUE"""),"IP-Poster")</f>
        <v>IP-Poster</v>
      </c>
      <c r="G1537" s="7" t="str">
        <f>IFERROR(__xludf.DUMMYFUNCTION("""COMPUTED_VALUE"""),"In-person")</f>
        <v>In-person</v>
      </c>
      <c r="H1537" s="7" t="str">
        <f>IFERROR(__xludf.DUMMYFUNCTION("""COMPUTED_VALUE"""),"Hall 4X")</f>
        <v>Hall 4X</v>
      </c>
      <c r="I1537" s="7" t="str">
        <f>IFERROR(__xludf.DUMMYFUNCTION("""COMPUTED_VALUE"""),"Session 10: IP-Posters")</f>
        <v>Session 10: IP-Posters</v>
      </c>
      <c r="J1537" s="7" t="str">
        <f>IFERROR(__xludf.DUMMYFUNCTION("""COMPUTED_VALUE"""),"Industry - In-Person Posters")</f>
        <v>Industry - In-Person Posters</v>
      </c>
      <c r="K1537" s="7"/>
      <c r="L1537" s="8">
        <f>IFERROR(__xludf.DUMMYFUNCTION("""COMPUTED_VALUE"""),45867.0)</f>
        <v>45867</v>
      </c>
      <c r="M1537" s="7" t="str">
        <f>IFERROR(__xludf.DUMMYFUNCTION("""COMPUTED_VALUE"""),"16:00-17:30")</f>
        <v>16:00-17:30</v>
      </c>
      <c r="N1537" s="7"/>
    </row>
    <row r="1538">
      <c r="A1538" s="7" t="str">
        <f>IFERROR(__xludf.DUMMYFUNCTION("""COMPUTED_VALUE"""),"241-IND")</f>
        <v>241-IND</v>
      </c>
      <c r="B1538" s="7" t="str">
        <f>IFERROR(__xludf.DUMMYFUNCTION("""COMPUTED_VALUE"""),"ASK: Aspects and Retrieval based Hybrid Clarification in Task Oriented Dialogue Systems")</f>
        <v>ASK: Aspects and Retrieval based Hybrid Clarification in Task Oriented Dialogue Systems</v>
      </c>
      <c r="C1538" s="7" t="str">
        <f>IFERROR(__xludf.DUMMYFUNCTION("""COMPUTED_VALUE"""),"Ambiguous user queries pose a significant challenge in task-oriented dialogue systems relying on information retrieval. While Large Language Models (LLMs) have shown promise in generating clarification questions to tackle query ambiguity, they rely solely"&amp;" on the top-k retrieved documents for clarification which fails when ambiguity is too high to retrieve relevant documents in the first place. Traditional approaches 
 lack principled mechanisms to determine when to use broad domain knowledge vs specific r"&amp;"etrieved document context for clarification. We propose AsK, a novel hybrid approach that dynamically chooses between document-based or aspect-based clarification based on query ambiguity. Our approach requires no labeled clarification data and introduces"&amp;": (1) Weakly-supervised Longformer-based ambiguity analysis, (2) Automated domain-specific aspect generation using clustering and LLMs and (3) LLM-powered clarification generation. AsK demonstrates significant improvements over baselines in both single-tu"&amp;"rn and multi-turn settings (recall@5 gain of ~20%) when evaluated on product troubleshooting and product search datasets.")</f>
        <v>Ambiguous user queries pose a significant challenge in task-oriented dialogue systems relying on information retrieval. While Large Language Models (LLMs) have shown promise in generating clarification questions to tackle query ambiguity, they rely solely on the top-k retrieved documents for clarification which fails when ambiguity is too high to retrieve relevant documents in the first place. Traditional approaches 
 lack principled mechanisms to determine when to use broad domain knowledge vs specific retrieved document context for clarification. We propose AsK, a novel hybrid approach that dynamically chooses between document-based or aspect-based clarification based on query ambiguity. Our approach requires no labeled clarification data and introduces: (1) Weakly-supervised Longformer-based ambiguity analysis, (2) Automated domain-specific aspect generation using clustering and LLMs and (3) LLM-powered clarification generation. AsK demonstrates significant improvements over baselines in both single-turn and multi-turn settings (recall@5 gain of ~20%) when evaluated on product troubleshooting and product search datasets.</v>
      </c>
      <c r="D1538" s="7" t="str">
        <f>IFERROR(__xludf.DUMMYFUNCTION("""COMPUTED_VALUE"""),"Rishav Sahay")</f>
        <v>Rishav Sahay</v>
      </c>
      <c r="E1538" s="7" t="str">
        <f>IFERROR(__xludf.DUMMYFUNCTION("""COMPUTED_VALUE"""),"Yes")</f>
        <v>Yes</v>
      </c>
      <c r="F1538" s="7" t="str">
        <f>IFERROR(__xludf.DUMMYFUNCTION("""COMPUTED_VALUE"""),"IP-Poster")</f>
        <v>IP-Poster</v>
      </c>
      <c r="G1538" s="7" t="str">
        <f>IFERROR(__xludf.DUMMYFUNCTION("""COMPUTED_VALUE"""),"In-person")</f>
        <v>In-person</v>
      </c>
      <c r="H1538" s="7" t="str">
        <f>IFERROR(__xludf.DUMMYFUNCTION("""COMPUTED_VALUE"""),"Hall 4X")</f>
        <v>Hall 4X</v>
      </c>
      <c r="I1538" s="7" t="str">
        <f>IFERROR(__xludf.DUMMYFUNCTION("""COMPUTED_VALUE"""),"Session 10: IP-Posters")</f>
        <v>Session 10: IP-Posters</v>
      </c>
      <c r="J1538" s="7" t="str">
        <f>IFERROR(__xludf.DUMMYFUNCTION("""COMPUTED_VALUE"""),"Industry - In-Person Posters")</f>
        <v>Industry - In-Person Posters</v>
      </c>
      <c r="K1538" s="7"/>
      <c r="L1538" s="8">
        <f>IFERROR(__xludf.DUMMYFUNCTION("""COMPUTED_VALUE"""),45867.0)</f>
        <v>45867</v>
      </c>
      <c r="M1538" s="7" t="str">
        <f>IFERROR(__xludf.DUMMYFUNCTION("""COMPUTED_VALUE"""),"16:00-17:30")</f>
        <v>16:00-17:30</v>
      </c>
      <c r="N1538" s="7"/>
    </row>
    <row r="1539">
      <c r="A1539" s="7" t="str">
        <f>IFERROR(__xludf.DUMMYFUNCTION("""COMPUTED_VALUE"""),"243-IND")</f>
        <v>243-IND</v>
      </c>
      <c r="B1539" s="7" t="str">
        <f>IFERROR(__xludf.DUMMYFUNCTION("""COMPUTED_VALUE"""),"LEAP &amp; LEAN: Look-ahead Planning and Agile Navigation for LLM Agents")</f>
        <v>LEAP &amp; LEAN: Look-ahead Planning and Agile Navigation for LLM Agents</v>
      </c>
      <c r="C1539" s="7" t="str">
        <f>IFERROR(__xludf.DUMMYFUNCTION("""COMPUTED_VALUE"""),"Foundational models endowed with emergent abilities are increasingly deployed as autonomous agents to navigate intricate environments. Despite their capability to comprehend human intentions, even when paired with reasoning traces, they struggle to achiev"&amp;"e robust autonomy. In this work, we introduce **LEAP &amp; LEAN**, a novel paradigm designed to enhance the performance of Large Language Models (LLMs) as autonomous agents. LEAP employs look-ahead planning to refine action selection, while LEAN streamlines n"&amp;"avigation through agile prompt construction, enabling more efficient task completion. Together, LEAP &amp; LEAN address the explore-exploit dilemma, fostering optimal decision-making and improving task performance. We evaluate our framework across diverse, mu"&amp;"lti-faceted task-oriented domains~(WebShop, ALFWorld, and TravelPlanner) using both proprietary and open-source LLM agents. Notably, without any fine-tuning, our framework outperforms agents trained via imitation learning, reinforcement learning, and reas"&amp;"oning-based approaches. Our findings underscore the importance of action and prompt curation to create robust and efficient fully autonomous LLM agents.")</f>
        <v>Foundational models endowed with emergent abilities are increasingly deployed as autonomous agents to navigate intricate environments. Despite their capability to comprehend human intentions, even when paired with reasoning traces, they struggle to achieve robust autonomy. In this work, we introduce **LEAP &amp; LEAN**, a novel paradigm designed to enhance the performance of Large Language Models (LLMs) as autonomous agents. LEAP employs look-ahead planning to refine action selection, while LEAN streamlines navigation through agile prompt construction, enabling more efficient task completion. Together, LEAP &amp; LEAN address the explore-exploit dilemma, fostering optimal decision-making and improving task performance. We evaluate our framework across diverse, multi-faceted task-oriented domains~(WebShop, ALFWorld, and TravelPlanner) using both proprietary and open-source LLM agents. Notably, without any fine-tuning, our framework outperforms agents trained via imitation learning, reinforcement learning, and reasoning-based approaches. Our findings underscore the importance of action and prompt curation to create robust and efficient fully autonomous LLM agents.</v>
      </c>
      <c r="D1539" s="7" t="str">
        <f>IFERROR(__xludf.DUMMYFUNCTION("""COMPUTED_VALUE"""),"Nikhil Verma")</f>
        <v>Nikhil Verma</v>
      </c>
      <c r="E1539" s="7" t="str">
        <f>IFERROR(__xludf.DUMMYFUNCTION("""COMPUTED_VALUE"""),"Yes")</f>
        <v>Yes</v>
      </c>
      <c r="F1539" s="7" t="str">
        <f>IFERROR(__xludf.DUMMYFUNCTION("""COMPUTED_VALUE"""),"V-Presentation")</f>
        <v>V-Presentation</v>
      </c>
      <c r="G1539" s="7" t="str">
        <f>IFERROR(__xludf.DUMMYFUNCTION("""COMPUTED_VALUE"""),"Virtual/Gather")</f>
        <v>Virtual/Gather</v>
      </c>
      <c r="H1539" s="7" t="str">
        <f>IFERROR(__xludf.DUMMYFUNCTION("""COMPUTED_VALUE"""),"Zoom")</f>
        <v>Zoom</v>
      </c>
      <c r="I1539" s="7" t="str">
        <f>IFERROR(__xludf.DUMMYFUNCTION("""COMPUTED_VALUE"""),"Session 10: V-Presenations")</f>
        <v>Session 10: V-Presenations</v>
      </c>
      <c r="J1539" s="7" t="str">
        <f>IFERROR(__xludf.DUMMYFUNCTION("""COMPUTED_VALUE"""),"Industry - Virtual Presentations 2")</f>
        <v>Industry - Virtual Presentations 2</v>
      </c>
      <c r="K1539" s="7"/>
      <c r="L1539" s="8">
        <f>IFERROR(__xludf.DUMMYFUNCTION("""COMPUTED_VALUE"""),45867.0)</f>
        <v>45867</v>
      </c>
      <c r="M1539" s="7" t="str">
        <f>IFERROR(__xludf.DUMMYFUNCTION("""COMPUTED_VALUE"""),"16:00-17:30")</f>
        <v>16:00-17:30</v>
      </c>
      <c r="N1539" s="7"/>
    </row>
    <row r="1540">
      <c r="A1540" s="7" t="str">
        <f>IFERROR(__xludf.DUMMYFUNCTION("""COMPUTED_VALUE"""),"257-IND")</f>
        <v>257-IND</v>
      </c>
      <c r="B1540" s="7" t="str">
        <f>IFERROR(__xludf.DUMMYFUNCTION("""COMPUTED_VALUE"""),"MotiR: Motivation-aware Retrieval for Long-Tail Recommendation")</f>
        <v>MotiR: Motivation-aware Retrieval for Long-Tail Recommendation</v>
      </c>
      <c r="C1540" s="7" t="str">
        <f>IFERROR(__xludf.DUMMYFUNCTION("""COMPUTED_VALUE"""),"In the retrieval stage of recommendation systems, two-tower models are widely adopted for their efficiency as a predominant paradigm. However, this method, which relies on collaborative filtering signals, exhibits limitations in modeling similarity for lo"&amp;"ng-tail items. To address this issue, we propose a Motivation-aware Retrieval for Long-Tail Recommendation, named MotiR. The purchase motivations generated by LLMs represent a condensed abstraction of items' intrinsic attributes. By effectively integratin"&amp;"g them with traditional item features, this approach enables the two-tower model to capture semantic-level similarities among long-tail items. Furthermore, a gated network-based adaptive weighting mechanism dynamically adjusts representation weights: emph"&amp;"asizing semantic modeling for long-tail items while preserving collaborative signal advantages for popular items. Experimental results demonstrate 60.5% Hit@10 improvements over existing methods on Amazon Books. Industrial deployment in Taobao&amp;Tmall Group"&amp;" 88VIP scenarios achieves over 4% CTR and CVR improvement, validating the effectiveness of our method.")</f>
        <v>In the retrieval stage of recommendation systems, two-tower models are widely adopted for their efficiency as a predominant paradigm. However, this method, which relies on collaborative filtering signals, exhibits limitations in modeling similarity for long-tail items. To address this issue, we propose a Motivation-aware Retrieval for Long-Tail Recommendation, named MotiR. The purchase motivations generated by LLMs represent a condensed abstraction of items' intrinsic attributes. By effectively integrating them with traditional item features, this approach enables the two-tower model to capture semantic-level similarities among long-tail items. Furthermore, a gated network-based adaptive weighting mechanism dynamically adjusts representation weights: emphasizing semantic modeling for long-tail items while preserving collaborative signal advantages for popular items. Experimental results demonstrate 60.5% Hit@10 improvements over existing methods on Amazon Books. Industrial deployment in Taobao&amp;Tmall Group 88VIP scenarios achieves over 4% CTR and CVR improvement, validating the effectiveness of our method.</v>
      </c>
      <c r="D1540" s="7" t="str">
        <f>IFERROR(__xludf.DUMMYFUNCTION("""COMPUTED_VALUE"""),"Kaichen Zhao")</f>
        <v>Kaichen Zhao</v>
      </c>
      <c r="E1540" s="7" t="str">
        <f>IFERROR(__xludf.DUMMYFUNCTION("""COMPUTED_VALUE"""),"Yes")</f>
        <v>Yes</v>
      </c>
      <c r="F1540" s="7" t="str">
        <f>IFERROR(__xludf.DUMMYFUNCTION("""COMPUTED_VALUE"""),"V-Presentation")</f>
        <v>V-Presentation</v>
      </c>
      <c r="G1540" s="7" t="str">
        <f>IFERROR(__xludf.DUMMYFUNCTION("""COMPUTED_VALUE"""),"Virtual/Gather")</f>
        <v>Virtual/Gather</v>
      </c>
      <c r="H1540" s="7" t="str">
        <f>IFERROR(__xludf.DUMMYFUNCTION("""COMPUTED_VALUE"""),"Zoom")</f>
        <v>Zoom</v>
      </c>
      <c r="I1540" s="7" t="str">
        <f>IFERROR(__xludf.DUMMYFUNCTION("""COMPUTED_VALUE"""),"Session 10: V-Presenations")</f>
        <v>Session 10: V-Presenations</v>
      </c>
      <c r="J1540" s="7" t="str">
        <f>IFERROR(__xludf.DUMMYFUNCTION("""COMPUTED_VALUE"""),"Industry - Virtual Presentations 1")</f>
        <v>Industry - Virtual Presentations 1</v>
      </c>
      <c r="K1540" s="7"/>
      <c r="L1540" s="8">
        <f>IFERROR(__xludf.DUMMYFUNCTION("""COMPUTED_VALUE"""),45867.0)</f>
        <v>45867</v>
      </c>
      <c r="M1540" s="7" t="str">
        <f>IFERROR(__xludf.DUMMYFUNCTION("""COMPUTED_VALUE"""),"4:00-5:30 am CEST")</f>
        <v>4:00-5:30 am CEST</v>
      </c>
      <c r="N1540" s="7"/>
    </row>
    <row r="1541">
      <c r="A1541" s="7" t="str">
        <f>IFERROR(__xludf.DUMMYFUNCTION("""COMPUTED_VALUE"""),"268-IND")</f>
        <v>268-IND</v>
      </c>
      <c r="B1541" s="7" t="str">
        <f>IFERROR(__xludf.DUMMYFUNCTION("""COMPUTED_VALUE"""),"A Framework for Flexible Extraction of Clinical Event Contextual Properties from Electronic Health Records")</f>
        <v>A Framework for Flexible Extraction of Clinical Event Contextual Properties from Electronic Health Records</v>
      </c>
      <c r="C1541" s="7" t="str">
        <f>IFERROR(__xludf.DUMMYFUNCTION("""COMPUTED_VALUE"""),"Electronic Health Records contain vast amounts of valuable clinical data, much of which is stored as unstructured text. Extracting meaningful clinical events (e.g., disorders, symptoms, findings, medications, and procedures etc.) in context within real-wo"&amp;"rld healthcare settings is crucial for enabling downstream applications such as disease prediction, clinical coding for billing and decision support.
 After Named Entity Recognition and Linking (NER+L) methodology, the identified concepts need to be furth"&amp;"er classified (i.e. contextualized) for distinct properties such as their relevance to the patient, their temporal and negated status for meaningful clinical use. 
 We present a solution that, using an existing NER+L approach - MedCAT, classifies and cont"&amp;"extualizes medical entities at scale. We evaluate the NLP approaches through 14 distinct real-world clinical text classification projects, testing our suite of models tailored to different clinical NLP needs. For tasks requiring high minority class recall"&amp;", BERT proves the most effective when coupled with class imbalance mitigation techniques, outperforming Bi-LSTM with up to 28%. For majority class focused tasks, Bi-LSTM offers a lightweight alternative with, on average, 32% faster training time and lower"&amp;" computational cost. Importantly, these tools are integrated into an openly available library, enabling users to select the best model for their specific downstream applications.")</f>
        <v>Electronic Health Records contain vast amounts of valuable clinical data, much of which is stored as unstructured text. Extracting meaningful clinical events (e.g., disorders, symptoms, findings, medications, and procedures etc.) in context within real-world healthcare settings is crucial for enabling downstream applications such as disease prediction, clinical coding for billing and decision support.
 After Named Entity Recognition and Linking (NER+L) methodology, the identified concepts need to be further classified (i.e. contextualized) for distinct properties such as their relevance to the patient, their temporal and negated status for meaningful clinical use. 
 We present a solution that, using an existing NER+L approach - MedCAT, classifies and contextualizes medical entities at scale. We evaluate the NLP approaches through 14 distinct real-world clinical text classification projects, testing our suite of models tailored to different clinical NLP needs. For tasks requiring high minority class recall, BERT proves the most effective when coupled with class imbalance mitigation techniques, outperforming Bi-LSTM with up to 28%. For majority class focused tasks, Bi-LSTM offers a lightweight alternative with, on average, 32% faster training time and lower computational cost. Importantly, these tools are integrated into an openly available library, enabling users to select the best model for their specific downstream applications.</v>
      </c>
      <c r="D1541" s="7" t="str">
        <f>IFERROR(__xludf.DUMMYFUNCTION("""COMPUTED_VALUE"""),"Shubham Agarwal")</f>
        <v>Shubham Agarwal</v>
      </c>
      <c r="E1541" s="7" t="str">
        <f>IFERROR(__xludf.DUMMYFUNCTION("""COMPUTED_VALUE"""),"Yes")</f>
        <v>Yes</v>
      </c>
      <c r="F1541" s="7" t="str">
        <f>IFERROR(__xludf.DUMMYFUNCTION("""COMPUTED_VALUE"""),"IP-Poster")</f>
        <v>IP-Poster</v>
      </c>
      <c r="G1541" s="7" t="str">
        <f>IFERROR(__xludf.DUMMYFUNCTION("""COMPUTED_VALUE"""),"In-person")</f>
        <v>In-person</v>
      </c>
      <c r="H1541" s="7" t="str">
        <f>IFERROR(__xludf.DUMMYFUNCTION("""COMPUTED_VALUE"""),"Hall 4X")</f>
        <v>Hall 4X</v>
      </c>
      <c r="I1541" s="7" t="str">
        <f>IFERROR(__xludf.DUMMYFUNCTION("""COMPUTED_VALUE"""),"Session 10: IP-Posters")</f>
        <v>Session 10: IP-Posters</v>
      </c>
      <c r="J1541" s="7" t="str">
        <f>IFERROR(__xludf.DUMMYFUNCTION("""COMPUTED_VALUE"""),"Industry - In-Person Posters")</f>
        <v>Industry - In-Person Posters</v>
      </c>
      <c r="K1541" s="7"/>
      <c r="L1541" s="8">
        <f>IFERROR(__xludf.DUMMYFUNCTION("""COMPUTED_VALUE"""),45867.0)</f>
        <v>45867</v>
      </c>
      <c r="M1541" s="7" t="str">
        <f>IFERROR(__xludf.DUMMYFUNCTION("""COMPUTED_VALUE"""),"16:00-17:30")</f>
        <v>16:00-17:30</v>
      </c>
      <c r="N1541" s="7"/>
    </row>
    <row r="1542">
      <c r="A1542" s="7" t="str">
        <f>IFERROR(__xludf.DUMMYFUNCTION("""COMPUTED_VALUE"""),"279-IND")</f>
        <v>279-IND</v>
      </c>
      <c r="B1542" s="7" t="str">
        <f>IFERROR(__xludf.DUMMYFUNCTION("""COMPUTED_VALUE"""),"Enhancing LLM-as-a-Judge through Active-Sampling-based Prompt Optimization")</f>
        <v>Enhancing LLM-as-a-Judge through Active-Sampling-based Prompt Optimization</v>
      </c>
      <c r="C1542" s="7" t="str">
        <f>IFERROR(__xludf.DUMMYFUNCTION("""COMPUTED_VALUE"""),"We introduce an active-sampling-based framework for automatic prompt optimization, designed to enhance the performance of Large Language Model (LLM)-as-a-judge systems, which use LLMs to evaluate the quality of text or other outputs, in label-scarce setti"&amp;"ngs. Unlike existing approaches that rely on extensive annotations, our method starts with no labeled data and iteratively selects and labels a small, diverse, and informative subset of samples to guide prompt refinement. At each iteration, our method eva"&amp;"luates the current prompt based on selected data and automatically updates the prompt, enabling efficient prompt optimization with minimal supervision. Moreover, we formulate sample selection as a convex optimization problem that balances uncertainty and "&amp;"diversity, maximizing the utility of limited labeling budgets. We validate our framework across four popular LLMs and three real-world datasets, including one from a deployed industry product. Results show that our optimized prompts consistently outperfor"&amp;"m baselines, achieving significant gains in evaluation quality and robustness while substantially reducing labeling costs.")</f>
        <v>We introduce an active-sampling-based framework for automatic prompt optimization, designed to enhance the performance of Large Language Model (LLM)-as-a-judge systems, which use LLMs to evaluate the quality of text or other outputs, in label-scarce settings. Unlike existing approaches that rely on extensive annotations, our method starts with no labeled data and iteratively selects and labels a small, diverse, and informative subset of samples to guide prompt refinement. At each iteration, our method evaluates the current prompt based on selected data and automatically updates the prompt, enabling efficient prompt optimization with minimal supervision. Moreover, we formulate sample selection as a convex optimization problem that balances uncertainty and diversity, maximizing the utility of limited labeling budgets. We validate our framework across four popular LLMs and three real-world datasets, including one from a deployed industry product. Results show that our optimized prompts consistently outperform baselines, achieving significant gains in evaluation quality and robustness while substantially reducing labeling costs.</v>
      </c>
      <c r="D1542" s="7" t="str">
        <f>IFERROR(__xludf.DUMMYFUNCTION("""COMPUTED_VALUE"""),"Cheng Zhen")</f>
        <v>Cheng Zhen</v>
      </c>
      <c r="E1542" s="7" t="str">
        <f>IFERROR(__xludf.DUMMYFUNCTION("""COMPUTED_VALUE"""),"Yes")</f>
        <v>Yes</v>
      </c>
      <c r="F1542" s="7" t="str">
        <f>IFERROR(__xludf.DUMMYFUNCTION("""COMPUTED_VALUE"""),"V-Presentation")</f>
        <v>V-Presentation</v>
      </c>
      <c r="G1542" s="7" t="str">
        <f>IFERROR(__xludf.DUMMYFUNCTION("""COMPUTED_VALUE"""),"Virtual/Gather")</f>
        <v>Virtual/Gather</v>
      </c>
      <c r="H1542" s="7" t="str">
        <f>IFERROR(__xludf.DUMMYFUNCTION("""COMPUTED_VALUE"""),"Zoom")</f>
        <v>Zoom</v>
      </c>
      <c r="I1542" s="7" t="str">
        <f>IFERROR(__xludf.DUMMYFUNCTION("""COMPUTED_VALUE"""),"Session 10: V-Presenations")</f>
        <v>Session 10: V-Presenations</v>
      </c>
      <c r="J1542" s="7" t="str">
        <f>IFERROR(__xludf.DUMMYFUNCTION("""COMPUTED_VALUE"""),"Industry - Virtual Presentations 1")</f>
        <v>Industry - Virtual Presentations 1</v>
      </c>
      <c r="K1542" s="7"/>
      <c r="L1542" s="8">
        <f>IFERROR(__xludf.DUMMYFUNCTION("""COMPUTED_VALUE"""),45867.0)</f>
        <v>45867</v>
      </c>
      <c r="M1542" s="7" t="str">
        <f>IFERROR(__xludf.DUMMYFUNCTION("""COMPUTED_VALUE"""),"4:00-5:30 am CEST")</f>
        <v>4:00-5:30 am CEST</v>
      </c>
      <c r="N1542" s="7"/>
    </row>
    <row r="1543">
      <c r="A1543" s="7" t="str">
        <f>IFERROR(__xludf.DUMMYFUNCTION("""COMPUTED_VALUE"""),"280-IND")</f>
        <v>280-IND</v>
      </c>
      <c r="B1543" s="7" t="str">
        <f>IFERROR(__xludf.DUMMYFUNCTION("""COMPUTED_VALUE"""),"Small Language Models in the Real World: Insights from Industrial Text Classification")</f>
        <v>Small Language Models in the Real World: Insights from Industrial Text Classification</v>
      </c>
      <c r="C1543" s="7" t="str">
        <f>IFERROR(__xludf.DUMMYFUNCTION("""COMPUTED_VALUE"""),"With the emergence of ChatGPT, Transformer models have significantly advanced text classification and related tasks. Decoder-only models such as Llama exhibit strong performance and flexibility, yet they suffer from inefficiency on inference due to token-"&amp;"by-token generation, and their effectiveness in text classification tasks heavily depends on prompt quality. Moreover, their substantial GPU resource requirements often limit widespread adoption. Thus, the question of whether smaller language models are c"&amp;"apable of effectively handling text classification tasks emerges as a topic of significant interest. However, the selection of appropriate models and methodologies remains largely underexplored. In this paper, we conduct a comprehensive evaluation of prom"&amp;"pt engineering and supervised fine-tuning methods for transformer-based text classification. Specifically, we focus on practical industrial scenarios, including email classification, legal document categorization, and the classification of extremely long "&amp;"academic texts. We examine the strengths and limitations of smaller models, with particular attention to both their performance and their efficiency in Video Random-Access Memory (VRAM) utilization, thereby providing valuable insights for the local deploy"&amp;"ment and application of compact models in industrial settings.")</f>
        <v>With the emergence of ChatGPT, Transformer models have significantly advanced text classification and related tasks. Decoder-only models such as Llama exhibit strong performance and flexibility, yet they suffer from inefficiency on inference due to token-by-token generation, and their effectiveness in text classification tasks heavily depends on prompt quality. Moreover, their substantial GPU resource requirements often limit widespread adoption. Thus, the question of whether smaller language models are capable of effectively handling text classification tasks emerges as a topic of significant interest. However, the selection of appropriate models and methodologies remains largely underexplored. In this paper, we conduct a comprehensive evaluation of prompt engineering and supervised fine-tuning methods for transformer-based text classification. Specifically, we focus on practical industrial scenarios, including email classification, legal document categorization, and the classification of extremely long academic texts. We examine the strengths and limitations of smaller models, with particular attention to both their performance and their efficiency in Video Random-Access Memory (VRAM) utilization, thereby providing valuable insights for the local deployment and application of compact models in industrial settings.</v>
      </c>
      <c r="D1543" s="7" t="str">
        <f>IFERROR(__xludf.DUMMYFUNCTION("""COMPUTED_VALUE"""),"Lujun Li")</f>
        <v>Lujun Li</v>
      </c>
      <c r="E1543" s="7" t="str">
        <f>IFERROR(__xludf.DUMMYFUNCTION("""COMPUTED_VALUE"""),"Yes")</f>
        <v>Yes</v>
      </c>
      <c r="F1543" s="7" t="str">
        <f>IFERROR(__xludf.DUMMYFUNCTION("""COMPUTED_VALUE"""),"IP-Poster")</f>
        <v>IP-Poster</v>
      </c>
      <c r="G1543" s="7" t="str">
        <f>IFERROR(__xludf.DUMMYFUNCTION("""COMPUTED_VALUE"""),"In-person")</f>
        <v>In-person</v>
      </c>
      <c r="H1543" s="7" t="str">
        <f>IFERROR(__xludf.DUMMYFUNCTION("""COMPUTED_VALUE"""),"Hall 4X")</f>
        <v>Hall 4X</v>
      </c>
      <c r="I1543" s="7" t="str">
        <f>IFERROR(__xludf.DUMMYFUNCTION("""COMPUTED_VALUE"""),"Session 10: IP-Posters")</f>
        <v>Session 10: IP-Posters</v>
      </c>
      <c r="J1543" s="7" t="str">
        <f>IFERROR(__xludf.DUMMYFUNCTION("""COMPUTED_VALUE"""),"Industry - In-Person Posters")</f>
        <v>Industry - In-Person Posters</v>
      </c>
      <c r="K1543" s="7"/>
      <c r="L1543" s="8">
        <f>IFERROR(__xludf.DUMMYFUNCTION("""COMPUTED_VALUE"""),45867.0)</f>
        <v>45867</v>
      </c>
      <c r="M1543" s="7" t="str">
        <f>IFERROR(__xludf.DUMMYFUNCTION("""COMPUTED_VALUE"""),"16:00-17:30")</f>
        <v>16:00-17:30</v>
      </c>
      <c r="N1543" s="7"/>
    </row>
    <row r="1544">
      <c r="A1544" s="7" t="str">
        <f>IFERROR(__xludf.DUMMYFUNCTION("""COMPUTED_VALUE"""),"281-IND")</f>
        <v>281-IND</v>
      </c>
      <c r="B1544" s="7" t="str">
        <f>IFERROR(__xludf.DUMMYFUNCTION("""COMPUTED_VALUE"""),"AutoChunker: Structured Text Chunking and its Evaluation")</f>
        <v>AutoChunker: Structured Text Chunking and its Evaluation</v>
      </c>
      <c r="C1544" s="7" t="str">
        <f>IFERROR(__xludf.DUMMYFUNCTION("""COMPUTED_VALUE"""),"Text chunking is fundamental to modern retrieval-augmented systems, yet existing methods often struggle with maintaining semantic coherence, both within and across chunks, while dealing with document structure and noise. We present AutoChunker, a bottom-u"&amp;"p approach for text chunking that combines document structure awareness with noise elimination. AutoChunker leverages language models to identify and segregate logical units of information (a chunk) while preserving document hierarchy through a tree-based"&amp;" representation. To evaluate the chunking operator, we introduce a comprehensive evaluation framework based on five core tenets: noise reduction, completeness, context coherence, task relevance, and retrieval performance. Experimental results on Support a"&amp;"nd Wikipedia articles demonstrate that AutoChunker significantly outperforms existing methods, reducing noise while improving chunk completeness compared to state-of-the-art baselines. When integrated with an online product support system, our approach le"&amp;"d to improvements in retrieval performance and customer return rates. Our work not only advances the state of text chunking but also provides a standardized framework for evaluating chunking strategies, addressing a critical gap in the field.")</f>
        <v>Text chunking is fundamental to modern retrieval-augmented systems, yet existing methods often struggle with maintaining semantic coherence, both within and across chunks, while dealing with document structure and noise. We present AutoChunker, a bottom-up approach for text chunking that combines document structure awareness with noise elimination. AutoChunker leverages language models to identify and segregate logical units of information (a chunk) while preserving document hierarchy through a tree-based representation. To evaluate the chunking operator, we introduce a comprehensive evaluation framework based on five core tenets: noise reduction, completeness, context coherence, task relevance, and retrieval performance. Experimental results on Support and Wikipedia articles demonstrate that AutoChunker significantly outperforms existing methods, reducing noise while improving chunk completeness compared to state-of-the-art baselines. When integrated with an online product support system, our approach led to improvements in retrieval performance and customer return rates. Our work not only advances the state of text chunking but also provides a standardized framework for evaluating chunking strategies, addressing a critical gap in the field.</v>
      </c>
      <c r="D1544" s="7" t="str">
        <f>IFERROR(__xludf.DUMMYFUNCTION("""COMPUTED_VALUE"""),"Arihant Jain")</f>
        <v>Arihant Jain</v>
      </c>
      <c r="E1544" s="7" t="str">
        <f>IFERROR(__xludf.DUMMYFUNCTION("""COMPUTED_VALUE"""),"Yes")</f>
        <v>Yes</v>
      </c>
      <c r="F1544" s="7" t="str">
        <f>IFERROR(__xludf.DUMMYFUNCTION("""COMPUTED_VALUE"""),"IP-Poster")</f>
        <v>IP-Poster</v>
      </c>
      <c r="G1544" s="7" t="str">
        <f>IFERROR(__xludf.DUMMYFUNCTION("""COMPUTED_VALUE"""),"In-person")</f>
        <v>In-person</v>
      </c>
      <c r="H1544" s="7" t="str">
        <f>IFERROR(__xludf.DUMMYFUNCTION("""COMPUTED_VALUE"""),"Hall 4X")</f>
        <v>Hall 4X</v>
      </c>
      <c r="I1544" s="7" t="str">
        <f>IFERROR(__xludf.DUMMYFUNCTION("""COMPUTED_VALUE"""),"Session 10: IP-Posters")</f>
        <v>Session 10: IP-Posters</v>
      </c>
      <c r="J1544" s="7" t="str">
        <f>IFERROR(__xludf.DUMMYFUNCTION("""COMPUTED_VALUE"""),"Industry - In-Person Posters")</f>
        <v>Industry - In-Person Posters</v>
      </c>
      <c r="K1544" s="7"/>
      <c r="L1544" s="8">
        <f>IFERROR(__xludf.DUMMYFUNCTION("""COMPUTED_VALUE"""),45867.0)</f>
        <v>45867</v>
      </c>
      <c r="M1544" s="7" t="str">
        <f>IFERROR(__xludf.DUMMYFUNCTION("""COMPUTED_VALUE"""),"16:00-17:30")</f>
        <v>16:00-17:30</v>
      </c>
      <c r="N1544" s="7"/>
    </row>
    <row r="1545">
      <c r="A1545" s="7" t="str">
        <f>IFERROR(__xludf.DUMMYFUNCTION("""COMPUTED_VALUE"""),"285-IND")</f>
        <v>285-IND</v>
      </c>
      <c r="B1545" s="7" t="str">
        <f>IFERROR(__xludf.DUMMYFUNCTION("""COMPUTED_VALUE"""),"User Feedback Alignment for LLM-powered Exploration in Large-scale Recommendation Systems")</f>
        <v>User Feedback Alignment for LLM-powered Exploration in Large-scale Recommendation Systems</v>
      </c>
      <c r="C1545" s="7" t="str">
        <f>IFERROR(__xludf.DUMMYFUNCTION("""COMPUTED_VALUE"""),"Exploration, the act of broadening user experiences beyond their established preferences, is challenging in large-scale recommendation systems due to feedback loops and limited signals on user exploration patterns. Large Language Models (LLMs) offer poten"&amp;"tial solutions by leveraging their world knowledge to recommend novel content outside these loops. A key challenge is aligning LLMs with user preferences while preserving their knowledge and reasoning. To enhance planning for new user interests using LLMs"&amp;", this paper introduces a novel approach that combines hierarchical planning with LLM inference-time scaling. This method aims to improve recommendation relevancy without compromising novelty. We decouple novelty and user-alignment, training separate LLMs"&amp;" for each objective. We then scale up the novelty-focused LLM's inference and select the best-of-n predictions using the user-aligned LLM. Live experiments demonstrate efficacy, showing significant gains in both user satisfaction (measured by watch activi"&amp;"ty and active user counts) and exploration diversity.")</f>
        <v>Exploration, the act of broadening user experiences beyond their established preferences, is challenging in large-scale recommendation systems due to feedback loops and limited signals on user exploration patterns. Large Language Models (LLMs) offer potential solutions by leveraging their world knowledge to recommend novel content outside these loops. A key challenge is aligning LLMs with user preferences while preserving their knowledge and reasoning. To enhance planning for new user interests using LLMs, this paper introduces a novel approach that combines hierarchical planning with LLM inference-time scaling. This method aims to improve recommendation relevancy without compromising novelty. We decouple novelty and user-alignment, training separate LLMs for each objective. We then scale up the novelty-focused LLM's inference and select the best-of-n predictions using the user-aligned LLM. Live experiments demonstrate efficacy, showing significant gains in both user satisfaction (measured by watch activity and active user counts) and exploration diversity.</v>
      </c>
      <c r="D1545" s="7" t="str">
        <f>IFERROR(__xludf.DUMMYFUNCTION("""COMPUTED_VALUE"""),"Jianling Wang")</f>
        <v>Jianling Wang</v>
      </c>
      <c r="E1545" s="7" t="str">
        <f>IFERROR(__xludf.DUMMYFUNCTION("""COMPUTED_VALUE"""),"Yes")</f>
        <v>Yes</v>
      </c>
      <c r="F1545" s="7" t="str">
        <f>IFERROR(__xludf.DUMMYFUNCTION("""COMPUTED_VALUE"""),"IP-Oral")</f>
        <v>IP-Oral</v>
      </c>
      <c r="G1545" s="7" t="str">
        <f>IFERROR(__xludf.DUMMYFUNCTION("""COMPUTED_VALUE"""),"In-person")</f>
        <v>In-person</v>
      </c>
      <c r="H1545" s="7" t="str">
        <f>IFERROR(__xludf.DUMMYFUNCTION("""COMPUTED_VALUE"""),"Hall L")</f>
        <v>Hall L</v>
      </c>
      <c r="I1545" s="7" t="str">
        <f>IFERROR(__xludf.DUMMYFUNCTION("""COMPUTED_VALUE"""),"Session 7: IND Orals")</f>
        <v>Session 7: IND Orals</v>
      </c>
      <c r="J1545" s="7" t="str">
        <f>IFERROR(__xludf.DUMMYFUNCTION("""COMPUTED_VALUE"""),"Industry 3")</f>
        <v>Industry 3</v>
      </c>
      <c r="K1545" s="7"/>
      <c r="L1545" s="8"/>
      <c r="M1545" s="7" t="str">
        <f>IFERROR(__xludf.DUMMYFUNCTION("""COMPUTED_VALUE"""),"10:30-12:00")</f>
        <v>10:30-12:00</v>
      </c>
      <c r="N1545" s="7">
        <f>IFERROR(__xludf.DUMMYFUNCTION("""COMPUTED_VALUE"""),4.0)</f>
        <v>4</v>
      </c>
    </row>
    <row r="1546">
      <c r="A1546" s="7" t="str">
        <f>IFERROR(__xludf.DUMMYFUNCTION("""COMPUTED_VALUE"""),"296-IND")</f>
        <v>296-IND</v>
      </c>
      <c r="B1546" s="7" t="str">
        <f>IFERROR(__xludf.DUMMYFUNCTION("""COMPUTED_VALUE"""),"SQLGenie: A Practical LLM based System for Reliable and Efficient SQL Generation")</f>
        <v>SQLGenie: A Practical LLM based System for Reliable and Efficient SQL Generation</v>
      </c>
      <c r="C1546" s="7" t="str">
        <f>IFERROR(__xludf.DUMMYFUNCTION("""COMPUTED_VALUE"""),"Large Language Models (LLMs) enable natural language to SQL conversion, allowing users to query databases without SQL expertise. However, generating accurate, efficient queries is challenging due to ambiguous intent, domain knowledge requirements, and dat"&amp;"abase constraints. Extensive reasoning improves SQL quality but increases computational costs and latency. We propose SQLGenie, a practical system for reliable SQL generation. It consists of three components: (1) \textbf{Table Onboarder}, which analyzes n"&amp;"ew tables, optimizes indexing, partitions data, identifies foreign key relationships, and stores schema details for SQL generation; (2) \textbf{SQL Generator}, an LLM-based system producing accurate SQL; and (3) \textbf{Feedback Augmentation}, which filte"&amp;"rs correct query-SQL pairs, leverages multiple LLM agents for complex SQL, and stores verified examples. SQLGenie achieves state-of-the-art performance on public benchmarks (92.8\% execution accuracy on WikiSQL, 82.1\% of Spider, 73.8\% on BIRD) and inter"&amp;"nal datasets, surpassing the best single-LLM baseline by 21.5\% and the strongest pipeline competitor by 5.3\%. Its hybrid variant optimally balances accuracy and efficiency, reducing generation time by 64\% compared to traditional multi-LLM approaches wh"&amp;"ile maintaining competitive accuracy.")</f>
        <v>Large Language Models (LLMs) enable natural language to SQL conversion, allowing users to query databases without SQL expertise. However, generating accurate, efficient queries is challenging due to ambiguous intent, domain knowledge requirements, and database constraints. Extensive reasoning improves SQL quality but increases computational costs and latency. We propose SQLGenie, a practical system for reliable SQL generation. It consists of three components: (1) \textbf{Table Onboarder}, which analyzes new tables, optimizes indexing, partitions data, identifies foreign key relationships, and stores schema details for SQL generation; (2) \textbf{SQL Generator}, an LLM-based system producing accurate SQL; and (3) \textbf{Feedback Augmentation}, which filters correct query-SQL pairs, leverages multiple LLM agents for complex SQL, and stores verified examples. SQLGenie achieves state-of-the-art performance on public benchmarks (92.8\% execution accuracy on WikiSQL, 82.1\% of Spider, 73.8\% on BIRD) and internal datasets, surpassing the best single-LLM baseline by 21.5\% and the strongest pipeline competitor by 5.3\%. Its hybrid variant optimally balances accuracy and efficiency, reducing generation time by 64\% compared to traditional multi-LLM approaches while maintaining competitive accuracy.</v>
      </c>
      <c r="D1546" s="7" t="str">
        <f>IFERROR(__xludf.DUMMYFUNCTION("""COMPUTED_VALUE"""),"Pushpendu Ghosh")</f>
        <v>Pushpendu Ghosh</v>
      </c>
      <c r="E1546" s="7" t="str">
        <f>IFERROR(__xludf.DUMMYFUNCTION("""COMPUTED_VALUE"""),"Yes")</f>
        <v>Yes</v>
      </c>
      <c r="F1546" s="7" t="str">
        <f>IFERROR(__xludf.DUMMYFUNCTION("""COMPUTED_VALUE"""),"IP-Poster")</f>
        <v>IP-Poster</v>
      </c>
      <c r="G1546" s="7" t="str">
        <f>IFERROR(__xludf.DUMMYFUNCTION("""COMPUTED_VALUE"""),"In-person")</f>
        <v>In-person</v>
      </c>
      <c r="H1546" s="7" t="str">
        <f>IFERROR(__xludf.DUMMYFUNCTION("""COMPUTED_VALUE"""),"Hall 4X")</f>
        <v>Hall 4X</v>
      </c>
      <c r="I1546" s="7" t="str">
        <f>IFERROR(__xludf.DUMMYFUNCTION("""COMPUTED_VALUE"""),"Session 10: IP-Posters")</f>
        <v>Session 10: IP-Posters</v>
      </c>
      <c r="J1546" s="7" t="str">
        <f>IFERROR(__xludf.DUMMYFUNCTION("""COMPUTED_VALUE"""),"Industry - In-Person Posters")</f>
        <v>Industry - In-Person Posters</v>
      </c>
      <c r="K1546" s="7"/>
      <c r="L1546" s="8">
        <f>IFERROR(__xludf.DUMMYFUNCTION("""COMPUTED_VALUE"""),45867.0)</f>
        <v>45867</v>
      </c>
      <c r="M1546" s="7" t="str">
        <f>IFERROR(__xludf.DUMMYFUNCTION("""COMPUTED_VALUE"""),"16:00-17:30")</f>
        <v>16:00-17:30</v>
      </c>
      <c r="N1546" s="7"/>
    </row>
    <row r="1547">
      <c r="A1547" s="7" t="str">
        <f>IFERROR(__xludf.DUMMYFUNCTION("""COMPUTED_VALUE"""),"304-IND")</f>
        <v>304-IND</v>
      </c>
      <c r="B1547" s="7" t="str">
        <f>IFERROR(__xludf.DUMMYFUNCTION("""COMPUTED_VALUE"""),"Hard Negative Mining for Domain-Specific Retrieval in Enterprise Systems")</f>
        <v>Hard Negative Mining for Domain-Specific Retrieval in Enterprise Systems</v>
      </c>
      <c r="C1547" s="7" t="str">
        <f>IFERROR(__xludf.DUMMYFUNCTION("""COMPUTED_VALUE"""),"Enterprise search systems often struggle to retrieve accurate, domain-specific information due to semantic mismatches and overlapping terminologies. These issues can degrade the performance of downstream applications such as knowledge management, customer"&amp;" support, and retrieval-augmented generation agents. To address this challenge, we propose a scalable hard-negative mining framework tailored specifically for domain-specific enterprise data. Our approach dynamically selects semantically challenging but c"&amp;"ontextually irrelevant documents to enhance deployed re-ranking models.
 Our method integrates diverse embedding models, performs dimensionality reduction, and uniquely selects hard negatives, ensuring computational efficiency and semantic precision. Ev"&amp;"aluation on our proprietary enterprise corpus (cloud services domain) demonstrates substantial improvements of 15\% in MRR@3 and 19\% in MRR@10 compared to state-of-the-art baselines and other negative sampling techniques. Further validation on public dom"&amp;"ain-specific datasets (FiQA, Climate Fever, TechQA) confirms our method's generalizability and readiness for real-world applications.")</f>
        <v>Enterprise search systems often struggle to retrieve accurate, domain-specific information due to semantic mismatches and overlapping terminologies. These issues can degrade the performance of downstream applications such as knowledge management, customer support, and retrieval-augmented generation agents. To address this challenge, we propose a scalable hard-negative mining framework tailored specifically for domain-specific enterprise data. Our approach dynamically selects semantically challenging but contextually irrelevant documents to enhance deployed re-ranking models.
 Our method integrates diverse embedding models, performs dimensionality reduction, and uniquely selects hard negatives, ensuring computational efficiency and semantic precision. Evaluation on our proprietary enterprise corpus (cloud services domain) demonstrates substantial improvements of 15\% in MRR@3 and 19\% in MRR@10 compared to state-of-the-art baselines and other negative sampling techniques. Further validation on public domain-specific datasets (FiQA, Climate Fever, TechQA) confirms our method's generalizability and readiness for real-world applications.</v>
      </c>
      <c r="D1547" s="7" t="str">
        <f>IFERROR(__xludf.DUMMYFUNCTION("""COMPUTED_VALUE"""),"Hansa Meghwani")</f>
        <v>Hansa Meghwani</v>
      </c>
      <c r="E1547" s="7" t="str">
        <f>IFERROR(__xludf.DUMMYFUNCTION("""COMPUTED_VALUE"""),"Yes")</f>
        <v>Yes</v>
      </c>
      <c r="F1547" s="7" t="str">
        <f>IFERROR(__xludf.DUMMYFUNCTION("""COMPUTED_VALUE"""),"IP-Poster")</f>
        <v>IP-Poster</v>
      </c>
      <c r="G1547" s="7" t="str">
        <f>IFERROR(__xludf.DUMMYFUNCTION("""COMPUTED_VALUE"""),"In-person")</f>
        <v>In-person</v>
      </c>
      <c r="H1547" s="7" t="str">
        <f>IFERROR(__xludf.DUMMYFUNCTION("""COMPUTED_VALUE"""),"Hall 4X")</f>
        <v>Hall 4X</v>
      </c>
      <c r="I1547" s="7" t="str">
        <f>IFERROR(__xludf.DUMMYFUNCTION("""COMPUTED_VALUE"""),"Session 10: IP-Posters")</f>
        <v>Session 10: IP-Posters</v>
      </c>
      <c r="J1547" s="7" t="str">
        <f>IFERROR(__xludf.DUMMYFUNCTION("""COMPUTED_VALUE"""),"Industry - In-Person Posters")</f>
        <v>Industry - In-Person Posters</v>
      </c>
      <c r="K1547" s="7"/>
      <c r="L1547" s="8">
        <f>IFERROR(__xludf.DUMMYFUNCTION("""COMPUTED_VALUE"""),45867.0)</f>
        <v>45867</v>
      </c>
      <c r="M1547" s="7" t="str">
        <f>IFERROR(__xludf.DUMMYFUNCTION("""COMPUTED_VALUE"""),"16:00-17:30")</f>
        <v>16:00-17:30</v>
      </c>
      <c r="N1547" s="7"/>
    </row>
    <row r="1548">
      <c r="A1548" s="7" t="str">
        <f>IFERROR(__xludf.DUMMYFUNCTION("""COMPUTED_VALUE"""),"306-IND")</f>
        <v>306-IND</v>
      </c>
      <c r="B1548" s="7" t="str">
        <f>IFERROR(__xludf.DUMMYFUNCTION("""COMPUTED_VALUE"""),"Interpretable Company Similarity with Sparse Autoencoders")</f>
        <v>Interpretable Company Similarity with Sparse Autoencoders</v>
      </c>
      <c r="C1548" s="7" t="str">
        <f>IFERROR(__xludf.DUMMYFUNCTION("""COMPUTED_VALUE"""),"Determining company similarity is a vital task in finance, underpinning risk management, hedging, and portfolio diversification. Practitioners often rely on sector and industry classifications such as SIC and GICS codes to gauge similarity, the former bei"&amp;"ng used by the U.S. Securities and Exchange Commission (SEC), and the latter widely used by the investment community. Since these classifications lack granularity and need regular updating, using clusters of embeddings of company descriptions has been pro"&amp;"posed as a potential alternative, but the lack of interpretability in token embeddings poses a significant barrier to adoption in high-stakes contexts. Sparse Autoencoders (SAEs) have shown promise in enhancing the interpretability of Large Language Model"&amp;"s (LLMs) by decomposing Large Language Model (LLM) activations into interpretable features. Moreover, SAEs capture an LLM's internal representation of a company description, as opposed to semantic similarity alone, as is the case with embeddings. We apply"&amp;" SAEs to company descriptions, and obtain meaningful clusters of equities. We benchmark SAE features against SIC-codes, Industry codes, and Embeddings. Our results demonstrate that SAE features surpass sector classifications and embeddings in capturing fu"&amp;"ndamental company characteristics. This is evidenced by their superior performance in correlating logged monthly returns – a proxy for similarity – and generating higher Sharpe ratios in co-integration trading strategies, which underscores deeper fundamen"&amp;"tal similarities among companies. Finally, we verify the interpretability of our clusters, and demonstrate that sparse features form simple and interpretable explanations for our clusters.")</f>
        <v>Determining company similarity is a vital task in finance, underpinning risk management, hedging, and portfolio diversification. Practitioners often rely on sector and industry classifications such as SIC and GICS codes to gauge similarity, the former being used by the U.S. Securities and Exchange Commission (SEC), and the latter widely used by the investment community. Since these classifications lack granularity and need regular updating, using clusters of embeddings of company descriptions has been proposed as a potential alternative, but the lack of interpretability in token embeddings poses a significant barrier to adoption in high-stakes contexts. Sparse Autoencoders (SAEs) have shown promise in enhancing the interpretability of Large Language Models (LLMs) by decomposing Large Language Model (LLM) activations into interpretable features. Moreover, SAEs capture an LLM's internal representation of a company description, as opposed to semantic similarity alone, as is the case with embeddings. We apply SAEs to company descriptions, and obtain meaningful clusters of equities. We benchmark SAE features against SIC-codes, Industry codes, and Embeddings. Our results demonstrate that SAE features surpass sector classifications and embeddings in capturing fundamental company characteristics. This is evidenced by their superior performance in correlating logged monthly returns – a proxy for similarity – and generating higher Sharpe ratios in co-integration trading strategies, which underscores deeper fundamental similarities among companies. Finally, we verify the interpretability of our clusters, and demonstrate that sparse features form simple and interpretable explanations for our clusters.</v>
      </c>
      <c r="D1548" s="7" t="str">
        <f>IFERROR(__xludf.DUMMYFUNCTION("""COMPUTED_VALUE"""),"Marco Molinari")</f>
        <v>Marco Molinari</v>
      </c>
      <c r="E1548" s="7" t="str">
        <f>IFERROR(__xludf.DUMMYFUNCTION("""COMPUTED_VALUE"""),"Yes")</f>
        <v>Yes</v>
      </c>
      <c r="F1548" s="7" t="str">
        <f>IFERROR(__xludf.DUMMYFUNCTION("""COMPUTED_VALUE"""),"IP-Poster")</f>
        <v>IP-Poster</v>
      </c>
      <c r="G1548" s="7" t="str">
        <f>IFERROR(__xludf.DUMMYFUNCTION("""COMPUTED_VALUE"""),"In-person")</f>
        <v>In-person</v>
      </c>
      <c r="H1548" s="7" t="str">
        <f>IFERROR(__xludf.DUMMYFUNCTION("""COMPUTED_VALUE"""),"Hall 4X")</f>
        <v>Hall 4X</v>
      </c>
      <c r="I1548" s="7" t="str">
        <f>IFERROR(__xludf.DUMMYFUNCTION("""COMPUTED_VALUE"""),"Session 10: IP-Posters")</f>
        <v>Session 10: IP-Posters</v>
      </c>
      <c r="J1548" s="7" t="str">
        <f>IFERROR(__xludf.DUMMYFUNCTION("""COMPUTED_VALUE"""),"Industry - In-Person Posters")</f>
        <v>Industry - In-Person Posters</v>
      </c>
      <c r="K1548" s="7"/>
      <c r="L1548" s="8">
        <f>IFERROR(__xludf.DUMMYFUNCTION("""COMPUTED_VALUE"""),45867.0)</f>
        <v>45867</v>
      </c>
      <c r="M1548" s="7" t="str">
        <f>IFERROR(__xludf.DUMMYFUNCTION("""COMPUTED_VALUE"""),"16:00-17:30")</f>
        <v>16:00-17:30</v>
      </c>
      <c r="N1548" s="7"/>
    </row>
    <row r="1549">
      <c r="A1549" s="7" t="str">
        <f>IFERROR(__xludf.DUMMYFUNCTION("""COMPUTED_VALUE"""),"312-IND")</f>
        <v>312-IND</v>
      </c>
      <c r="B1549" s="7" t="str">
        <f>IFERROR(__xludf.DUMMYFUNCTION("""COMPUTED_VALUE"""),"Domain Adaptation of Foundation LLMs for e-Commerce")</f>
        <v>Domain Adaptation of Foundation LLMs for e-Commerce</v>
      </c>
      <c r="C1549" s="7" t="str">
        <f>IFERROR(__xludf.DUMMYFUNCTION("""COMPUTED_VALUE"""),"We present the e-Llama models: 8 billion and 70 billion parameter large language models that are adapted towards the e-commerce domain.
 These models are meant as foundation models with deep knowledge about e-commerce, that form a base for instruction- an"&amp;"d fine-tuning.
 The e-Llama models are obtained by continuously pretraining the Llama 3.1 base models on 1 trillion tokens of domain-specific data.
 We discuss our approach and motivate our choice of hyperparameters with a series of ablation studies.
 T"&amp;"o quantify how well the models have been adapted to the e-commerce domain, we define and implement a set of multilingual, e-commerce specific evaluation tasks.
 We show that, when carefully choosing the training setup, the Llama 3.1 models can be adapte"&amp;"d towards the new domain without sacrificing significant performance on general domain tasks.
 We also explore the possibility of merging the adapted model and the base model for a better control of the performance trade-off between domains.")</f>
        <v>We present the e-Llama models: 8 billion and 70 billion parameter large language models that are adapted towards the e-commerce domain.
 These models are meant as foundation models with deep knowledge about e-commerce, that form a base for instruction- and fine-tuning.
 The e-Llama models are obtained by continuously pretraining the Llama 3.1 base models on 1 trillion tokens of domain-specific data.
 We discuss our approach and motivate our choice of hyperparameters with a series of ablation studies.
 To quantify how well the models have been adapted to the e-commerce domain, we define and implement a set of multilingual, e-commerce specific evaluation tasks.
 We show that, when carefully choosing the training setup, the Llama 3.1 models can be adapted towards the new domain without sacrificing significant performance on general domain tasks.
 We also explore the possibility of merging the adapted model and the base model for a better control of the performance trade-off between domains.</v>
      </c>
      <c r="D1549" s="7" t="str">
        <f>IFERROR(__xludf.DUMMYFUNCTION("""COMPUTED_VALUE"""),"Christian Herold")</f>
        <v>Christian Herold</v>
      </c>
      <c r="E1549" s="7" t="str">
        <f>IFERROR(__xludf.DUMMYFUNCTION("""COMPUTED_VALUE"""),"Yes")</f>
        <v>Yes</v>
      </c>
      <c r="F1549" s="7" t="str">
        <f>IFERROR(__xludf.DUMMYFUNCTION("""COMPUTED_VALUE"""),"IP-Poster")</f>
        <v>IP-Poster</v>
      </c>
      <c r="G1549" s="7" t="str">
        <f>IFERROR(__xludf.DUMMYFUNCTION("""COMPUTED_VALUE"""),"In-person")</f>
        <v>In-person</v>
      </c>
      <c r="H1549" s="7" t="str">
        <f>IFERROR(__xludf.DUMMYFUNCTION("""COMPUTED_VALUE"""),"Hall 4X")</f>
        <v>Hall 4X</v>
      </c>
      <c r="I1549" s="7" t="str">
        <f>IFERROR(__xludf.DUMMYFUNCTION("""COMPUTED_VALUE"""),"Session 10: IP-Posters")</f>
        <v>Session 10: IP-Posters</v>
      </c>
      <c r="J1549" s="7" t="str">
        <f>IFERROR(__xludf.DUMMYFUNCTION("""COMPUTED_VALUE"""),"Industry - In-Person Posters")</f>
        <v>Industry - In-Person Posters</v>
      </c>
      <c r="K1549" s="7"/>
      <c r="L1549" s="8">
        <f>IFERROR(__xludf.DUMMYFUNCTION("""COMPUTED_VALUE"""),45867.0)</f>
        <v>45867</v>
      </c>
      <c r="M1549" s="7" t="str">
        <f>IFERROR(__xludf.DUMMYFUNCTION("""COMPUTED_VALUE"""),"16:00-17:30")</f>
        <v>16:00-17:30</v>
      </c>
      <c r="N1549" s="7"/>
    </row>
    <row r="1550">
      <c r="A1550" s="7" t="str">
        <f>IFERROR(__xludf.DUMMYFUNCTION("""COMPUTED_VALUE"""),"313-IND")</f>
        <v>313-IND</v>
      </c>
      <c r="B1550" s="7" t="str">
        <f>IFERROR(__xludf.DUMMYFUNCTION("""COMPUTED_VALUE"""),"sudo rm -rf agentic_security")</f>
        <v>sudo rm -rf agentic_security</v>
      </c>
      <c r="C1550" s="7" t="str">
        <f>IFERROR(__xludf.DUMMYFUNCTION("""COMPUTED_VALUE"""),"Large Language Models (LLMs) are increasingly deployed as computer-use agents, autonomously performing tasks within real desktop or web environments. While this evolution greatly expands practical use cases for humans, it also creates serious security exp"&amp;"osures. We present SUDO (Screen-based Universal Detox2tox Offense), a novel attack framework that systematically bypasses refusal-trained safeguards in commercial computer-use agents, such as Claude for Computer Use. The core mechanism, Detox2tox, transfo"&amp;"rms harmful requests (that agents initially reject) into seemingly benign requests via detoxification, secures detailed instructions from advanced vision language models (VLMs), and then reintroduces malicious content via toxification just before executio"&amp;"n. Unlike conventional jailbreaks, SUDO iteratively refines its attacks based on a built-in refusal feedback, making it increasingly effective against robust policy filters. In extensive tests spanning 50 real-world tasks and multiple state-of-the-art VLM"&amp;"s, SUDO achieves a stark attack success rate of 24.41\% (with no refinement), and up to 41.33\% (by its iterative refinement) in Claude for Computer Use. By revealing these vulnerabilities and demonstrating the ease with which they can be exploited in rea"&amp;"l-world computing environments, this paper highlights an immediate need for robust, context-aware safeguards. 
 WARNING: This paper includes harmful or offensive model outputs.")</f>
        <v>Large Language Models (LLMs) are increasingly deployed as computer-use agents, autonomously performing tasks within real desktop or web environments. While this evolution greatly expands practical use cases for humans, it also creates serious security exposures. We present SUDO (Screen-based Universal Detox2tox Offense), a novel attack framework that systematically bypasses refusal-trained safeguards in commercial computer-use agents, such as Claude for Computer Use. The core mechanism, Detox2tox, transforms harmful requests (that agents initially reject) into seemingly benign requests via detoxification, secures detailed instructions from advanced vision language models (VLMs), and then reintroduces malicious content via toxification just before execution. Unlike conventional jailbreaks, SUDO iteratively refines its attacks based on a built-in refusal feedback, making it increasingly effective against robust policy filters. In extensive tests spanning 50 real-world tasks and multiple state-of-the-art VLMs, SUDO achieves a stark attack success rate of 24.41\% (with no refinement), and up to 41.33\% (by its iterative refinement) in Claude for Computer Use. By revealing these vulnerabilities and demonstrating the ease with which they can be exploited in real-world computing environments, this paper highlights an immediate need for robust, context-aware safeguards. 
 WARNING: This paper includes harmful or offensive model outputs.</v>
      </c>
      <c r="D1550" s="7" t="str">
        <f>IFERROR(__xludf.DUMMYFUNCTION("""COMPUTED_VALUE"""),"Jian Kim")</f>
        <v>Jian Kim</v>
      </c>
      <c r="E1550" s="7" t="str">
        <f>IFERROR(__xludf.DUMMYFUNCTION("""COMPUTED_VALUE"""),"Yes")</f>
        <v>Yes</v>
      </c>
      <c r="F1550" s="7" t="str">
        <f>IFERROR(__xludf.DUMMYFUNCTION("""COMPUTED_VALUE"""),"IP-Poster")</f>
        <v>IP-Poster</v>
      </c>
      <c r="G1550" s="7" t="str">
        <f>IFERROR(__xludf.DUMMYFUNCTION("""COMPUTED_VALUE"""),"In-person")</f>
        <v>In-person</v>
      </c>
      <c r="H1550" s="7" t="str">
        <f>IFERROR(__xludf.DUMMYFUNCTION("""COMPUTED_VALUE"""),"Hall 4X")</f>
        <v>Hall 4X</v>
      </c>
      <c r="I1550" s="7" t="str">
        <f>IFERROR(__xludf.DUMMYFUNCTION("""COMPUTED_VALUE"""),"Session 10: IP-Posters")</f>
        <v>Session 10: IP-Posters</v>
      </c>
      <c r="J1550" s="7" t="str">
        <f>IFERROR(__xludf.DUMMYFUNCTION("""COMPUTED_VALUE"""),"Industry - In-Person Posters")</f>
        <v>Industry - In-Person Posters</v>
      </c>
      <c r="K1550" s="7"/>
      <c r="L1550" s="8">
        <f>IFERROR(__xludf.DUMMYFUNCTION("""COMPUTED_VALUE"""),45867.0)</f>
        <v>45867</v>
      </c>
      <c r="M1550" s="7" t="str">
        <f>IFERROR(__xludf.DUMMYFUNCTION("""COMPUTED_VALUE"""),"16:00-17:30")</f>
        <v>16:00-17:30</v>
      </c>
      <c r="N1550" s="7"/>
    </row>
    <row r="1551">
      <c r="A1551" s="7" t="str">
        <f>IFERROR(__xludf.DUMMYFUNCTION("""COMPUTED_VALUE"""),"315-IND")</f>
        <v>315-IND</v>
      </c>
      <c r="B1551" s="7" t="str">
        <f>IFERROR(__xludf.DUMMYFUNCTION("""COMPUTED_VALUE"""),"MedPlan: A Two-Stage RAG-Based System for Personalized Medical Plan Generation")</f>
        <v>MedPlan: A Two-Stage RAG-Based System for Personalized Medical Plan Generation</v>
      </c>
      <c r="C1551" s="7" t="str">
        <f>IFERROR(__xludf.DUMMYFUNCTION("""COMPUTED_VALUE"""),"Despite recent success in applying large language models (LLMs) to electronic health records (EHR), most systems focus primarily on assessment rather than treatment planning. We identify three critical limitations in current approaches: they generate trea"&amp;"tment plans in a single pass rather than following the sequential reasoning process used by clinicians; they rarely incorporate patient-specific historical context; and they fail to effectively distinguish between subjective and objective clinical informa"&amp;"tion. Motivated by the SOAP methodology (Subjective, Objective, Assessment, Plan), we introduce MedPlan, a novel framework that structures LLM reasoning to align with real-life clinician workflows. Our approach employs a two-stage architecture that first "&amp;"generates a clinical assessment based on patient symptoms and objective data, then formulates a structured treatment plan informed by this assessment and enriched with patient-specific information through retrieval-augmented generation. Comprehensive eval"&amp;"uation demonstrates that our method significantly outperforms baseline approaches in both assessment accuracy and treatment plan quality. Our demo system and code are available at https://github.com/JustinHsu1019/MedPlan.")</f>
        <v>Despite recent success in applying large language models (LLMs) to electronic health records (EHR), most systems focus primarily on assessment rather than treatment planning. We identify three critical limitations in current approaches: they generate treatment plans in a single pass rather than following the sequential reasoning process used by clinicians; they rarely incorporate patient-specific historical context; and they fail to effectively distinguish between subjective and objective clinical information. Motivated by the SOAP methodology (Subjective, Objective, Assessment, Plan), we introduce MedPlan, a novel framework that structures LLM reasoning to align with real-life clinician workflows. Our approach employs a two-stage architecture that first generates a clinical assessment based on patient symptoms and objective data, then formulates a structured treatment plan informed by this assessment and enriched with patient-specific information through retrieval-augmented generation. Comprehensive evaluation demonstrates that our method significantly outperforms baseline approaches in both assessment accuracy and treatment plan quality. Our demo system and code are available at https://github.com/JustinHsu1019/MedPlan.</v>
      </c>
      <c r="D1551" s="7" t="str">
        <f>IFERROR(__xludf.DUMMYFUNCTION("""COMPUTED_VALUE"""),"Hsin-Ling Hsu")</f>
        <v>Hsin-Ling Hsu</v>
      </c>
      <c r="E1551" s="7" t="str">
        <f>IFERROR(__xludf.DUMMYFUNCTION("""COMPUTED_VALUE"""),"Yes")</f>
        <v>Yes</v>
      </c>
      <c r="F1551" s="7" t="str">
        <f>IFERROR(__xludf.DUMMYFUNCTION("""COMPUTED_VALUE"""),"V-Presentation")</f>
        <v>V-Presentation</v>
      </c>
      <c r="G1551" s="7" t="str">
        <f>IFERROR(__xludf.DUMMYFUNCTION("""COMPUTED_VALUE"""),"Virtual/Gather")</f>
        <v>Virtual/Gather</v>
      </c>
      <c r="H1551" s="7" t="str">
        <f>IFERROR(__xludf.DUMMYFUNCTION("""COMPUTED_VALUE"""),"Zoom")</f>
        <v>Zoom</v>
      </c>
      <c r="I1551" s="7" t="str">
        <f>IFERROR(__xludf.DUMMYFUNCTION("""COMPUTED_VALUE"""),"Session 10: V-Presenations")</f>
        <v>Session 10: V-Presenations</v>
      </c>
      <c r="J1551" s="7" t="str">
        <f>IFERROR(__xludf.DUMMYFUNCTION("""COMPUTED_VALUE"""),"Industry - Virtual Presentations 2")</f>
        <v>Industry - Virtual Presentations 2</v>
      </c>
      <c r="K1551" s="7"/>
      <c r="L1551" s="8">
        <f>IFERROR(__xludf.DUMMYFUNCTION("""COMPUTED_VALUE"""),45867.0)</f>
        <v>45867</v>
      </c>
      <c r="M1551" s="7" t="str">
        <f>IFERROR(__xludf.DUMMYFUNCTION("""COMPUTED_VALUE"""),"16:00-17:30")</f>
        <v>16:00-17:30</v>
      </c>
      <c r="N1551" s="7"/>
    </row>
    <row r="1552">
      <c r="A1552" s="7" t="str">
        <f>IFERROR(__xludf.DUMMYFUNCTION("""COMPUTED_VALUE"""),"320-IND")</f>
        <v>320-IND</v>
      </c>
      <c r="B1552" s="7" t="str">
        <f>IFERROR(__xludf.DUMMYFUNCTION("""COMPUTED_VALUE"""),"AIDE: Attribute-Guided MultI-Hop Data Expansion for Data Scarcity in Task-Specific Fine-tuning")</f>
        <v>AIDE: Attribute-Guided MultI-Hop Data Expansion for Data Scarcity in Task-Specific Fine-tuning</v>
      </c>
      <c r="C1552" s="7" t="str">
        <f>IFERROR(__xludf.DUMMYFUNCTION("""COMPUTED_VALUE"""),"Fine-tuning large language models (LLMs) for specific tasks requires diverse, high-quality training data. However, obtaining sufficient relevant data remains a significant challenge. Existing data synthesis methods either depend on extensive seed datasets"&amp;" or struggle to balance task relevance and data diversity. To address these challenges, we propose Attribute-guided multI-hop Data Expansion (AIDE), a novel data synthesis framework that uses a multi-hop process to expand very few seed data points while e"&amp;"nsuring data diversity and task relevance. AIDE extracts the main topic and key knowledge attributes from the seeds to guide the synthesis steps. The process repeats for K hops, using the generated data as seeds. To prevent irrelevant data generation as t"&amp;"he hop depth increases, AIDE incorporates a residual connection mechanism. Our empirical results show that AIDE enables fine-tuning of Mistral-7B, Llama-3.1-8B and Llama-3.2-3B from 10 seeds, surpassing the models fine-tuned on human curated data. Further"&amp;"more, AIDE outperforms state-of-the-art data synthesis methods, such as Evol-Instruct, by over 30% in task-specific fine-tuning. Code is available at https://github.com/Code4Graph/AIDE.")</f>
        <v>Fine-tuning large language models (LLMs) for specific tasks requires diverse, high-quality training data. However, obtaining sufficient relevant data remains a significant challenge. Existing data synthesis methods either depend on extensive seed datasets or struggle to balance task relevance and data diversity. To address these challenges, we propose Attribute-guided multI-hop Data Expansion (AIDE), a novel data synthesis framework that uses a multi-hop process to expand very few seed data points while ensuring data diversity and task relevance. AIDE extracts the main topic and key knowledge attributes from the seeds to guide the synthesis steps. The process repeats for K hops, using the generated data as seeds. To prevent irrelevant data generation as the hop depth increases, AIDE incorporates a residual connection mechanism. Our empirical results show that AIDE enables fine-tuning of Mistral-7B, Llama-3.1-8B and Llama-3.2-3B from 10 seeds, surpassing the models fine-tuned on human curated data. Furthermore, AIDE outperforms state-of-the-art data synthesis methods, such as Evol-Instruct, by over 30% in task-specific fine-tuning. Code is available at https://github.com/Code4Graph/AIDE.</v>
      </c>
      <c r="D1552" s="7" t="str">
        <f>IFERROR(__xludf.DUMMYFUNCTION("""COMPUTED_VALUE"""),"Xuan Zhu")</f>
        <v>Xuan Zhu</v>
      </c>
      <c r="E1552" s="7" t="str">
        <f>IFERROR(__xludf.DUMMYFUNCTION("""COMPUTED_VALUE"""),"Yes")</f>
        <v>Yes</v>
      </c>
      <c r="F1552" s="7" t="str">
        <f>IFERROR(__xludf.DUMMYFUNCTION("""COMPUTED_VALUE"""),"IP-Oral")</f>
        <v>IP-Oral</v>
      </c>
      <c r="G1552" s="7" t="str">
        <f>IFERROR(__xludf.DUMMYFUNCTION("""COMPUTED_VALUE"""),"In-person")</f>
        <v>In-person</v>
      </c>
      <c r="H1552" s="7" t="str">
        <f>IFERROR(__xludf.DUMMYFUNCTION("""COMPUTED_VALUE"""),"Hall L")</f>
        <v>Hall L</v>
      </c>
      <c r="I1552" s="7" t="str">
        <f>IFERROR(__xludf.DUMMYFUNCTION("""COMPUTED_VALUE"""),"Session 11: IP-Orals ")</f>
        <v>Session 11: IP-Orals </v>
      </c>
      <c r="J1552" s="7" t="str">
        <f>IFERROR(__xludf.DUMMYFUNCTION("""COMPUTED_VALUE"""),"Industry 5")</f>
        <v>Industry 5</v>
      </c>
      <c r="K1552" s="7"/>
      <c r="L1552" s="8"/>
      <c r="M1552" s="7" t="str">
        <f>IFERROR(__xludf.DUMMYFUNCTION("""COMPUTED_VALUE"""),"09:00-10:30")</f>
        <v>09:00-10:30</v>
      </c>
      <c r="N1552" s="7">
        <f>IFERROR(__xludf.DUMMYFUNCTION("""COMPUTED_VALUE"""),3.0)</f>
        <v>3</v>
      </c>
    </row>
    <row r="1553">
      <c r="A1553" s="7" t="str">
        <f>IFERROR(__xludf.DUMMYFUNCTION("""COMPUTED_VALUE"""),"325-IND")</f>
        <v>325-IND</v>
      </c>
      <c r="B1553" s="7" t="str">
        <f>IFERROR(__xludf.DUMMYFUNCTION("""COMPUTED_VALUE"""),"Synthesizing and Adapting Error Correction Data for Mobile Large Language Model Applications")</f>
        <v>Synthesizing and Adapting Error Correction Data for Mobile Large Language Model Applications</v>
      </c>
      <c r="C1553" s="7" t="str">
        <f>IFERROR(__xludf.DUMMYFUNCTION("""COMPUTED_VALUE"""),"Error correction is an important capability when applying large language models (LLMs) to facilitate user typing on mobile devices. In this paper, we use LLMs to synthesize a high-quality dataset of error correction pairs to evaluate and improve LLMs for "&amp;"mobile applications. 
 We first prompt LLMs with error correction domain knowledge to build a scalable and reliable addition to the existing data synthesis pipeline. 
 We then adapt the synthetic data distribution to match the mobile application domain by"&amp;" reweighting the samples. 
 The reweighting model is learnt by predicting (a handful of) live A/B test metrics when deploying LLMs in production, given the LLM performance on offline evaluation data and scores from a small privacy-preserving on-device lan"&amp;"guage model.
 Finally, we present best practices for mixing our synthetic data with other data sources to improve model performance on error correction in both offline evaluation and production live A/B testing.")</f>
        <v>Error correction is an important capability when applying large language models (LLMs) to facilitate user typing on mobile devices. In this paper, we use LLMs to synthesize a high-quality dataset of error correction pairs to evaluate and improve LLMs for mobile applications. 
 We first prompt LLMs with error correction domain knowledge to build a scalable and reliable addition to the existing data synthesis pipeline. 
 We then adapt the synthetic data distribution to match the mobile application domain by reweighting the samples. 
 The reweighting model is learnt by predicting (a handful of) live A/B test metrics when deploying LLMs in production, given the LLM performance on offline evaluation data and scores from a small privacy-preserving on-device language model.
 Finally, we present best practices for mixing our synthetic data with other data sources to improve model performance on error correction in both offline evaluation and production live A/B testing.</v>
      </c>
      <c r="D1553" s="7" t="str">
        <f>IFERROR(__xludf.DUMMYFUNCTION("""COMPUTED_VALUE"""),"Yanxiang Zhang")</f>
        <v>Yanxiang Zhang</v>
      </c>
      <c r="E1553" s="7" t="str">
        <f>IFERROR(__xludf.DUMMYFUNCTION("""COMPUTED_VALUE"""),"Yes")</f>
        <v>Yes</v>
      </c>
      <c r="F1553" s="7" t="str">
        <f>IFERROR(__xludf.DUMMYFUNCTION("""COMPUTED_VALUE"""),"V-Presentation")</f>
        <v>V-Presentation</v>
      </c>
      <c r="G1553" s="7" t="str">
        <f>IFERROR(__xludf.DUMMYFUNCTION("""COMPUTED_VALUE"""),"Virtual/Gather")</f>
        <v>Virtual/Gather</v>
      </c>
      <c r="H1553" s="7" t="str">
        <f>IFERROR(__xludf.DUMMYFUNCTION("""COMPUTED_VALUE"""),"Zoom")</f>
        <v>Zoom</v>
      </c>
      <c r="I1553" s="7" t="str">
        <f>IFERROR(__xludf.DUMMYFUNCTION("""COMPUTED_VALUE"""),"Session 10: V-Presenations")</f>
        <v>Session 10: V-Presenations</v>
      </c>
      <c r="J1553" s="7" t="str">
        <f>IFERROR(__xludf.DUMMYFUNCTION("""COMPUTED_VALUE"""),"Industry - Virtual Presentations 2")</f>
        <v>Industry - Virtual Presentations 2</v>
      </c>
      <c r="K1553" s="7"/>
      <c r="L1553" s="8">
        <f>IFERROR(__xludf.DUMMYFUNCTION("""COMPUTED_VALUE"""),45867.0)</f>
        <v>45867</v>
      </c>
      <c r="M1553" s="7" t="str">
        <f>IFERROR(__xludf.DUMMYFUNCTION("""COMPUTED_VALUE"""),"16:00-17:30")</f>
        <v>16:00-17:30</v>
      </c>
      <c r="N1553" s="7"/>
    </row>
    <row r="1554">
      <c r="A1554" s="7" t="str">
        <f>IFERROR(__xludf.DUMMYFUNCTION("""COMPUTED_VALUE"""),"327-IND")</f>
        <v>327-IND</v>
      </c>
      <c r="B1554" s="7" t="str">
        <f>IFERROR(__xludf.DUMMYFUNCTION("""COMPUTED_VALUE"""),"MultiMed: Multilingual Medical Speech Recognition via Attention Encoder Decoder")</f>
        <v>MultiMed: Multilingual Medical Speech Recognition via Attention Encoder Decoder</v>
      </c>
      <c r="C1554" s="7" t="str">
        <f>IFERROR(__xludf.DUMMYFUNCTION("""COMPUTED_VALUE"""),"Multilingual automatic speech recognition (ASR) in the medical domain serves as a foundational task for various downstream applications such as speech translation, spoken language understanding, and voice-activated assistants. This technology improves pat"&amp;"ient care by enabling efficient communication across language barriers, alleviating specialized workforce shortages, and facilitating improved diagnosis and treatment, particularly during pandemics. In this work, we introduce MultiMed, the first multiling"&amp;"ual medical ASR dataset, along with the first collection of small-to-large end-to-end medical ASR models, spanning five languages: Vietnamese, English, German, French, and Mandarin Chinese. To our best knowledge, MultiMed stands as the world’s largest med"&amp;"ical ASR dataset across all major benchmarks: total duration, number of recording conditions, number of accents, and number of speaking roles. Furthermore, we present the first multilinguality study for medical ASR, which includes reproducible empirical b"&amp;"aselines, a monolinguality-multilinguality analysis, Attention Encoder Decoder (AED) vs Hybrid comparative study and a linguistic analysis. We present practical ASR end-to-end training schemes optimized for a fixed number of trainable parameters that are "&amp;"common in industry settings. All code, data, and models are available online.")</f>
        <v>Multilingual automatic speech recognition (ASR) in the medical domain serves as a foundational task for various downstream applications such as speech translation, spoken language understanding, and voice-activated assistants. This technology improves patient care by enabling efficient communication across language barriers, alleviating specialized workforce shortages, and facilitating improved diagnosis and treatment, particularly during pandemics. In this work, we introduce MultiMed, the first multilingual medical ASR dataset, along with the first collection of small-to-large end-to-end medical ASR models, spanning five languages: Vietnamese, English, German, French, and Mandarin Chinese. To our best knowledge, MultiMed stands as the world’s largest medical ASR dataset across all major benchmarks: total duration, number of recording conditions, number of accents, and number of speaking roles. Furthermore, we present the first multilinguality study for medical ASR, which includes reproducible empirical baselines, a monolinguality-multilinguality analysis, Attention Encoder Decoder (AED) vs Hybrid comparative study and a linguistic analysis. We present practical ASR end-to-end training schemes optimized for a fixed number of trainable parameters that are common in industry settings. All code, data, and models are available online.</v>
      </c>
      <c r="D1554" s="7" t="str">
        <f>IFERROR(__xludf.DUMMYFUNCTION("""COMPUTED_VALUE"""),"Khai Le-Duc")</f>
        <v>Khai Le-Duc</v>
      </c>
      <c r="E1554" s="7" t="str">
        <f>IFERROR(__xludf.DUMMYFUNCTION("""COMPUTED_VALUE"""),"Yes")</f>
        <v>Yes</v>
      </c>
      <c r="F1554" s="7" t="str">
        <f>IFERROR(__xludf.DUMMYFUNCTION("""COMPUTED_VALUE"""),"IP-Poster")</f>
        <v>IP-Poster</v>
      </c>
      <c r="G1554" s="7" t="str">
        <f>IFERROR(__xludf.DUMMYFUNCTION("""COMPUTED_VALUE"""),"In-person")</f>
        <v>In-person</v>
      </c>
      <c r="H1554" s="7" t="str">
        <f>IFERROR(__xludf.DUMMYFUNCTION("""COMPUTED_VALUE"""),"Hall 4X")</f>
        <v>Hall 4X</v>
      </c>
      <c r="I1554" s="7" t="str">
        <f>IFERROR(__xludf.DUMMYFUNCTION("""COMPUTED_VALUE"""),"Session 10: IP-Posters")</f>
        <v>Session 10: IP-Posters</v>
      </c>
      <c r="J1554" s="7" t="str">
        <f>IFERROR(__xludf.DUMMYFUNCTION("""COMPUTED_VALUE"""),"Industry - In-Person Posters")</f>
        <v>Industry - In-Person Posters</v>
      </c>
      <c r="K1554" s="7"/>
      <c r="L1554" s="8">
        <f>IFERROR(__xludf.DUMMYFUNCTION("""COMPUTED_VALUE"""),45867.0)</f>
        <v>45867</v>
      </c>
      <c r="M1554" s="7" t="str">
        <f>IFERROR(__xludf.DUMMYFUNCTION("""COMPUTED_VALUE"""),"16:00-17:30")</f>
        <v>16:00-17:30</v>
      </c>
      <c r="N1554" s="7"/>
    </row>
    <row r="1555">
      <c r="A1555" s="7" t="str">
        <f>IFERROR(__xludf.DUMMYFUNCTION("""COMPUTED_VALUE"""),"332-IND")</f>
        <v>332-IND</v>
      </c>
      <c r="B1555" s="7" t="str">
        <f>IFERROR(__xludf.DUMMYFUNCTION("""COMPUTED_VALUE"""),"MICE: Mixture of Image Captioning Experts Augmented e-Commerce Product Attribute Value Extraction")</f>
        <v>MICE: Mixture of Image Captioning Experts Augmented e-Commerce Product Attribute Value Extraction</v>
      </c>
      <c r="C1555" s="7" t="str">
        <f>IFERROR(__xludf.DUMMYFUNCTION("""COMPUTED_VALUE"""),"Attribute value extraction plays a crucial role in enhancing e-commerce search, filtering, and recommendation systems. However, prior visual attribute value extraction methods typically rely on both product images and textual information such as product d"&amp;"escriptions and titles. In practice, text can be ambiguous, inaccurate, or unavailable, which can degrade model performance. We propose Mixture of Image Captioning Experts (MICE), a novel augmentation framework for product attribute value extraction. MICE"&amp;" leverages a curated pool of image captioning models to generate accurate captions from product images, resulting in robust attribute extraction solely from an image. Extensive experiments on the public ImplicitAVE dataset and a proprietary women’s tops d"&amp;"ataset demonstrate that MICE significantly improves the performance of state-of-the-art large multimodal models (LMMs) in both zero-shot and fine-tuning settings. An ablation study validates the contribution of each component in the framework. MICE’s modu"&amp;"lar design offers scalability and adaptability, making it well-suited for diverse industrial applications with varying computational and latency requirements.")</f>
        <v>Attribute value extraction plays a crucial role in enhancing e-commerce search, filtering, and recommendation systems. However, prior visual attribute value extraction methods typically rely on both product images and textual information such as product descriptions and titles. In practice, text can be ambiguous, inaccurate, or unavailable, which can degrade model performance. We propose Mixture of Image Captioning Experts (MICE), a novel augmentation framework for product attribute value extraction. MICE leverages a curated pool of image captioning models to generate accurate captions from product images, resulting in robust attribute extraction solely from an image. Extensive experiments on the public ImplicitAVE dataset and a proprietary women’s tops dataset demonstrate that MICE significantly improves the performance of state-of-the-art large multimodal models (LMMs) in both zero-shot and fine-tuning settings. An ablation study validates the contribution of each component in the framework. MICE’s modular design offers scalability and adaptability, making it well-suited for diverse industrial applications with varying computational and latency requirements.</v>
      </c>
      <c r="D1555" s="7" t="str">
        <f>IFERROR(__xludf.DUMMYFUNCTION("""COMPUTED_VALUE"""),"Janet jenq")</f>
        <v>Janet jenq</v>
      </c>
      <c r="E1555" s="7" t="str">
        <f>IFERROR(__xludf.DUMMYFUNCTION("""COMPUTED_VALUE"""),"Yes")</f>
        <v>Yes</v>
      </c>
      <c r="F1555" s="7" t="str">
        <f>IFERROR(__xludf.DUMMYFUNCTION("""COMPUTED_VALUE"""),"IP-Poster")</f>
        <v>IP-Poster</v>
      </c>
      <c r="G1555" s="7" t="str">
        <f>IFERROR(__xludf.DUMMYFUNCTION("""COMPUTED_VALUE"""),"In-person")</f>
        <v>In-person</v>
      </c>
      <c r="H1555" s="7" t="str">
        <f>IFERROR(__xludf.DUMMYFUNCTION("""COMPUTED_VALUE"""),"Hall 4X")</f>
        <v>Hall 4X</v>
      </c>
      <c r="I1555" s="7" t="str">
        <f>IFERROR(__xludf.DUMMYFUNCTION("""COMPUTED_VALUE"""),"Session 10: IP-Posters")</f>
        <v>Session 10: IP-Posters</v>
      </c>
      <c r="J1555" s="7" t="str">
        <f>IFERROR(__xludf.DUMMYFUNCTION("""COMPUTED_VALUE"""),"Industry - In-Person Posters")</f>
        <v>Industry - In-Person Posters</v>
      </c>
      <c r="K1555" s="7"/>
      <c r="L1555" s="8">
        <f>IFERROR(__xludf.DUMMYFUNCTION("""COMPUTED_VALUE"""),45867.0)</f>
        <v>45867</v>
      </c>
      <c r="M1555" s="7" t="str">
        <f>IFERROR(__xludf.DUMMYFUNCTION("""COMPUTED_VALUE"""),"16:00-17:30")</f>
        <v>16:00-17:30</v>
      </c>
      <c r="N1555" s="7"/>
    </row>
    <row r="1556">
      <c r="A1556" s="7" t="str">
        <f>IFERROR(__xludf.DUMMYFUNCTION("""COMPUTED_VALUE"""),"335-IND")</f>
        <v>335-IND</v>
      </c>
      <c r="B1556" s="7" t="str">
        <f>IFERROR(__xludf.DUMMYFUNCTION("""COMPUTED_VALUE"""),"FINKRX: Establishing Best Practices for Korean Financial NLP")</f>
        <v>FINKRX: Establishing Best Practices for Korean Financial NLP</v>
      </c>
      <c r="C1556" s="7" t="str">
        <f>IFERROR(__xludf.DUMMYFUNCTION("""COMPUTED_VALUE"""),"In this work, we present the first open leaderboard for evaluating Korean large language models focused on finance. Operated for about
 eight weeks, the leaderboard evaluated 1,119 submissions on a closed benchmark covering five MCQA categories: finance a"&amp;"nd accounting, stock price prediction, domestic company analysis, financial markets, and financial agent tasks and one open-ended qa task. Building on insights from these evaluations, we release an open instruction dataset of 80k instances and summarize w"&amp;"idely used training strategies observed among top-performing models. Finally, we introduce FINKRX, a fully open and transparent LLM built using these best practices. We hope our contributions help advance the development of better and safer financial LLMs"&amp;" for Korean and other languages.")</f>
        <v>In this work, we present the first open leaderboard for evaluating Korean large language models focused on finance. Operated for about
 eight weeks, the leaderboard evaluated 1,119 submissions on a closed benchmark covering five MCQA categories: finance and accounting, stock price prediction, domestic company analysis, financial markets, and financial agent tasks and one open-ended qa task. Building on insights from these evaluations, we release an open instruction dataset of 80k instances and summarize widely used training strategies observed among top-performing models. Finally, we introduce FINKRX, a fully open and transparent LLM built using these best practices. We hope our contributions help advance the development of better and safer financial LLMs for Korean and other languages.</v>
      </c>
      <c r="D1556" s="7" t="str">
        <f>IFERROR(__xludf.DUMMYFUNCTION("""COMPUTED_VALUE"""),"Guijin Son")</f>
        <v>Guijin Son</v>
      </c>
      <c r="E1556" s="7" t="str">
        <f>IFERROR(__xludf.DUMMYFUNCTION("""COMPUTED_VALUE"""),"Yes")</f>
        <v>Yes</v>
      </c>
      <c r="F1556" s="7" t="str">
        <f>IFERROR(__xludf.DUMMYFUNCTION("""COMPUTED_VALUE"""),"IP-Poster")</f>
        <v>IP-Poster</v>
      </c>
      <c r="G1556" s="7" t="str">
        <f>IFERROR(__xludf.DUMMYFUNCTION("""COMPUTED_VALUE"""),"In-person")</f>
        <v>In-person</v>
      </c>
      <c r="H1556" s="7" t="str">
        <f>IFERROR(__xludf.DUMMYFUNCTION("""COMPUTED_VALUE"""),"Hall 4X")</f>
        <v>Hall 4X</v>
      </c>
      <c r="I1556" s="7" t="str">
        <f>IFERROR(__xludf.DUMMYFUNCTION("""COMPUTED_VALUE"""),"Session 10: IP-Posters")</f>
        <v>Session 10: IP-Posters</v>
      </c>
      <c r="J1556" s="7" t="str">
        <f>IFERROR(__xludf.DUMMYFUNCTION("""COMPUTED_VALUE"""),"Industry - In-Person Posters")</f>
        <v>Industry - In-Person Posters</v>
      </c>
      <c r="K1556" s="7"/>
      <c r="L1556" s="8">
        <f>IFERROR(__xludf.DUMMYFUNCTION("""COMPUTED_VALUE"""),45867.0)</f>
        <v>45867</v>
      </c>
      <c r="M1556" s="7" t="str">
        <f>IFERROR(__xludf.DUMMYFUNCTION("""COMPUTED_VALUE"""),"16:00-17:30")</f>
        <v>16:00-17:30</v>
      </c>
      <c r="N1556" s="7"/>
    </row>
    <row r="1557">
      <c r="A1557" s="7" t="str">
        <f>IFERROR(__xludf.DUMMYFUNCTION("""COMPUTED_VALUE"""),"336-IND")</f>
        <v>336-IND</v>
      </c>
      <c r="B1557" s="7" t="str">
        <f>IFERROR(__xludf.DUMMYFUNCTION("""COMPUTED_VALUE"""),"Sentiment Reasoning for Healthcare")</f>
        <v>Sentiment Reasoning for Healthcare</v>
      </c>
      <c r="C1557" s="7" t="str">
        <f>IFERROR(__xludf.DUMMYFUNCTION("""COMPUTED_VALUE"""),"Transparency in AI healthcare decision-making
 is crucial. By incorporating rationales to explain reason for each predicted label, users
 could understand Large Language Models
 (LLMs)’s reasoning to make better decision.
 In this work, we introduce a new"&amp;" task - Sentiment Reasoning - for both speech and text
 modalities, and our proposed multimodal multitask framework and the world’s largest multimodal sentiment analysis dataset. Sentiment Reasoning is an auxiliary task in sentiment analysis where the mod"&amp;"el predicts both
 the sentiment label and generates the rationale behind it based on the input transcript.
 Our study conducted on both human transcripts
 and Automatic Speech Recognition (ASR) transcripts shows that Sentiment Reasoning helps
 improve mod"&amp;"el transparency by providing rationale for model prediction with quality semantically comparable to humans while also
 improving model’s classification performance
 (+2% increase in both accuracy and macro-
 F1) via rationale-augmented fine-tuning. Also,
"&amp;" no significant difference in the semantic quality of generated rationales between human and
 ASR transcripts. All code, data (five languages - Vietnamese, English, Chinese, German, and
 French) and models are published online.")</f>
        <v>Transparency in AI healthcare decision-making
 is crucial. By incorporating rationales to explain reason for each predicted label, users
 could understand Large Language Models
 (LLMs)’s reasoning to make better decision.
 In this work, we introduce a new task - Sentiment Reasoning - for both speech and text
 modalities, and our proposed multimodal multitask framework and the world’s largest multimodal sentiment analysis dataset. Sentiment Reasoning is an auxiliary task in sentiment analysis where the model predicts both
 the sentiment label and generates the rationale behind it based on the input transcript.
 Our study conducted on both human transcripts
 and Automatic Speech Recognition (ASR) transcripts shows that Sentiment Reasoning helps
 improve model transparency by providing rationale for model prediction with quality semantically comparable to humans while also
 improving model’s classification performance
 (+2% increase in both accuracy and macro-
 F1) via rationale-augmented fine-tuning. Also,
 no significant difference in the semantic quality of generated rationales between human and
 ASR transcripts. All code, data (five languages - Vietnamese, English, Chinese, German, and
 French) and models are published online.</v>
      </c>
      <c r="D1557" s="7" t="str">
        <f>IFERROR(__xludf.DUMMYFUNCTION("""COMPUTED_VALUE"""),"Khai Le-Duc")</f>
        <v>Khai Le-Duc</v>
      </c>
      <c r="E1557" s="7" t="str">
        <f>IFERROR(__xludf.DUMMYFUNCTION("""COMPUTED_VALUE"""),"Yes")</f>
        <v>Yes</v>
      </c>
      <c r="F1557" s="7" t="str">
        <f>IFERROR(__xludf.DUMMYFUNCTION("""COMPUTED_VALUE"""),"IP-Oral")</f>
        <v>IP-Oral</v>
      </c>
      <c r="G1557" s="7" t="str">
        <f>IFERROR(__xludf.DUMMYFUNCTION("""COMPUTED_VALUE"""),"In-person")</f>
        <v>In-person</v>
      </c>
      <c r="H1557" s="7" t="str">
        <f>IFERROR(__xludf.DUMMYFUNCTION("""COMPUTED_VALUE"""),"Hall L")</f>
        <v>Hall L</v>
      </c>
      <c r="I1557" s="7" t="str">
        <f>IFERROR(__xludf.DUMMYFUNCTION("""COMPUTED_VALUE"""),"Session 7: IND Orals")</f>
        <v>Session 7: IND Orals</v>
      </c>
      <c r="J1557" s="7" t="str">
        <f>IFERROR(__xludf.DUMMYFUNCTION("""COMPUTED_VALUE"""),"Industry 3")</f>
        <v>Industry 3</v>
      </c>
      <c r="K1557" s="7"/>
      <c r="L1557" s="8"/>
      <c r="M1557" s="7" t="str">
        <f>IFERROR(__xludf.DUMMYFUNCTION("""COMPUTED_VALUE"""),"10:30-12:00")</f>
        <v>10:30-12:00</v>
      </c>
      <c r="N1557" s="7">
        <f>IFERROR(__xludf.DUMMYFUNCTION("""COMPUTED_VALUE"""),5.0)</f>
        <v>5</v>
      </c>
    </row>
    <row r="1558">
      <c r="A1558" s="7" t="str">
        <f>IFERROR(__xludf.DUMMYFUNCTION("""COMPUTED_VALUE"""),"341-IND")</f>
        <v>341-IND</v>
      </c>
      <c r="B1558" s="7" t="str">
        <f>IFERROR(__xludf.DUMMYFUNCTION("""COMPUTED_VALUE"""),"Judging the Judges: Can Large Vision-Language Models Fairly Evaluate Chart Comprehension and Reasoning?")</f>
        <v>Judging the Judges: Can Large Vision-Language Models Fairly Evaluate Chart Comprehension and Reasoning?</v>
      </c>
      <c r="C1558" s="7" t="str">
        <f>IFERROR(__xludf.DUMMYFUNCTION("""COMPUTED_VALUE"""),"Charts are ubiquitous as they help people understand and reason with data. Recently, various downstream tasks, such as chart question answering, chart2text, and fact-checking, have emerged. Large Vision-Language Models (LVLMs) show promise in tackling the"&amp;"se tasks, but their evaluation is costly and time-consuming, limiting real-world deployment. While using LVLMs as judges to assess chart comprehension capabilities of other LVLMs could streamline evaluation processes, challenges like proprietary datasets,"&amp;" restricted access to powerful models, and evaluation costs hinder their adoption in industrial settings. To this end, we present a comprehensive evaluation of 13 open-source LVLMs as judges for diverse chart comprehension and reasoning tasks. We design b"&amp;"oth pairwise and pointwise evaluation tasks covering criteria like factual correctness, informativeness, and relevancy. Additionally, we analyze LVLM judges based on format adherence, positional consistency, length bias, and instruction-following. We focu"&amp;"s on cost-effective LVLMs (&lt;10B parameters) suitable for both research and commercial use, following a standardized evaluation protocol and rubric to measure the LVLM judge accuracy. Experimental results reveal notable variability: while some open LVLM ju"&amp;"dges achieve GPT-4-level evaluation performance (about 80\% agreement with GPT-4 judgments), others struggle (below ~10\% agreement). Our findings highlight that state-of-the-art open-source LVLMs can serve as cost-effective automatic evaluators for chart"&amp;"-related tasks, though biases such as positional preference and length bias persist.")</f>
        <v>Charts are ubiquitous as they help people understand and reason with data. Recently, various downstream tasks, such as chart question answering, chart2text, and fact-checking, have emerged. Large Vision-Language Models (LVLMs) show promise in tackling these tasks, but their evaluation is costly and time-consuming, limiting real-world deployment. While using LVLMs as judges to assess chart comprehension capabilities of other LVLMs could streamline evaluation processes, challenges like proprietary datasets, restricted access to powerful models, and evaluation costs hinder their adoption in industrial settings. To this end, we present a comprehensive evaluation of 13 open-source LVLMs as judges for diverse chart comprehension and reasoning tasks. We design both pairwise and pointwise evaluation tasks covering criteria like factual correctness, informativeness, and relevancy. Additionally, we analyze LVLM judges based on format adherence, positional consistency, length bias, and instruction-following. We focus on cost-effective LVLMs (&lt;10B parameters) suitable for both research and commercial use, following a standardized evaluation protocol and rubric to measure the LVLM judge accuracy. Experimental results reveal notable variability: while some open LVLM judges achieve GPT-4-level evaluation performance (about 80\% agreement with GPT-4 judgments), others struggle (below ~10\% agreement). Our findings highlight that state-of-the-art open-source LVLMs can serve as cost-effective automatic evaluators for chart-related tasks, though biases such as positional preference and length bias persist.</v>
      </c>
      <c r="D1558" s="7" t="str">
        <f>IFERROR(__xludf.DUMMYFUNCTION("""COMPUTED_VALUE"""),"Mohammed Saidul Islam")</f>
        <v>Mohammed Saidul Islam</v>
      </c>
      <c r="E1558" s="7" t="str">
        <f>IFERROR(__xludf.DUMMYFUNCTION("""COMPUTED_VALUE"""),"Yes")</f>
        <v>Yes</v>
      </c>
      <c r="F1558" s="7" t="str">
        <f>IFERROR(__xludf.DUMMYFUNCTION("""COMPUTED_VALUE"""),"IP-Poster")</f>
        <v>IP-Poster</v>
      </c>
      <c r="G1558" s="7" t="str">
        <f>IFERROR(__xludf.DUMMYFUNCTION("""COMPUTED_VALUE"""),"In-person")</f>
        <v>In-person</v>
      </c>
      <c r="H1558" s="7" t="str">
        <f>IFERROR(__xludf.DUMMYFUNCTION("""COMPUTED_VALUE"""),"Hall 4X")</f>
        <v>Hall 4X</v>
      </c>
      <c r="I1558" s="7" t="str">
        <f>IFERROR(__xludf.DUMMYFUNCTION("""COMPUTED_VALUE"""),"Session 10: IP-Posters")</f>
        <v>Session 10: IP-Posters</v>
      </c>
      <c r="J1558" s="7" t="str">
        <f>IFERROR(__xludf.DUMMYFUNCTION("""COMPUTED_VALUE"""),"Industry - In-Person Posters")</f>
        <v>Industry - In-Person Posters</v>
      </c>
      <c r="K1558" s="7"/>
      <c r="L1558" s="8">
        <f>IFERROR(__xludf.DUMMYFUNCTION("""COMPUTED_VALUE"""),45867.0)</f>
        <v>45867</v>
      </c>
      <c r="M1558" s="7" t="str">
        <f>IFERROR(__xludf.DUMMYFUNCTION("""COMPUTED_VALUE"""),"16:00-17:30")</f>
        <v>16:00-17:30</v>
      </c>
      <c r="N1558" s="7"/>
    </row>
    <row r="1559">
      <c r="A1559" s="7" t="str">
        <f>IFERROR(__xludf.DUMMYFUNCTION("""COMPUTED_VALUE"""),"349-IND")</f>
        <v>349-IND</v>
      </c>
      <c r="B1559" s="7" t="str">
        <f>IFERROR(__xludf.DUMMYFUNCTION("""COMPUTED_VALUE"""),"OccuTriage: An AI Agent Orchestration Framework for Occupational Health Triage Prediction")</f>
        <v>OccuTriage: An AI Agent Orchestration Framework for Occupational Health Triage Prediction</v>
      </c>
      <c r="C1559" s="7" t="str">
        <f>IFERROR(__xludf.DUMMYFUNCTION("""COMPUTED_VALUE"""),"Occupational Health (OH) triage is a systematic process for evaluating and prioritising workplace health concerns to determine appropriate care and interventions. This research addresses critical triage challenges through our novel AI agent orchestration "&amp;"framework, OccuTriage, developed in collaboration with Healthcare Provider. Our framework simulates healthcare professionals' reasoning using specialized LLM agents, retrieval augmentation with domain-specific knowledge, and a bidirectional decision archi"&amp;"tecture. Experimental evaluation on 2,589 OH cases demonstrates OccuTriage outperforms single-agent approaches with a 20.16% average discordance rate compared to baseline rates of 43.05%, while matching or exceeding human expert performance (25.11%). The "&amp;"system excels in reducing under-triage rates, achieving 9.84% and 3.1% for appointment and assessor type decisions respectively. These results establish OccuTriage's efficacy in performing complex OH triage while maintaining safety and optimizing resource"&amp;" allocation.")</f>
        <v>Occupational Health (OH) triage is a systematic process for evaluating and prioritising workplace health concerns to determine appropriate care and interventions. This research addresses critical triage challenges through our novel AI agent orchestration framework, OccuTriage, developed in collaboration with Healthcare Provider. Our framework simulates healthcare professionals' reasoning using specialized LLM agents, retrieval augmentation with domain-specific knowledge, and a bidirectional decision architecture. Experimental evaluation on 2,589 OH cases demonstrates OccuTriage outperforms single-agent approaches with a 20.16% average discordance rate compared to baseline rates of 43.05%, while matching or exceeding human expert performance (25.11%). The system excels in reducing under-triage rates, achieving 9.84% and 3.1% for appointment and assessor type decisions respectively. These results establish OccuTriage's efficacy in performing complex OH triage while maintaining safety and optimizing resource allocation.</v>
      </c>
      <c r="D1559" s="7" t="str">
        <f>IFERROR(__xludf.DUMMYFUNCTION("""COMPUTED_VALUE"""),"Alok Kumar Sahu")</f>
        <v>Alok Kumar Sahu</v>
      </c>
      <c r="E1559" s="7" t="str">
        <f>IFERROR(__xludf.DUMMYFUNCTION("""COMPUTED_VALUE"""),"Yes")</f>
        <v>Yes</v>
      </c>
      <c r="F1559" s="7" t="str">
        <f>IFERROR(__xludf.DUMMYFUNCTION("""COMPUTED_VALUE"""),"V-Presentation")</f>
        <v>V-Presentation</v>
      </c>
      <c r="G1559" s="7" t="str">
        <f>IFERROR(__xludf.DUMMYFUNCTION("""COMPUTED_VALUE"""),"Virtual/Gather")</f>
        <v>Virtual/Gather</v>
      </c>
      <c r="H1559" s="7" t="str">
        <f>IFERROR(__xludf.DUMMYFUNCTION("""COMPUTED_VALUE"""),"Zoom")</f>
        <v>Zoom</v>
      </c>
      <c r="I1559" s="7" t="str">
        <f>IFERROR(__xludf.DUMMYFUNCTION("""COMPUTED_VALUE"""),"Session 10: V-Presenations")</f>
        <v>Session 10: V-Presenations</v>
      </c>
      <c r="J1559" s="7" t="str">
        <f>IFERROR(__xludf.DUMMYFUNCTION("""COMPUTED_VALUE"""),"Industry - Virtual Presentations 2")</f>
        <v>Industry - Virtual Presentations 2</v>
      </c>
      <c r="K1559" s="7"/>
      <c r="L1559" s="8">
        <f>IFERROR(__xludf.DUMMYFUNCTION("""COMPUTED_VALUE"""),45867.0)</f>
        <v>45867</v>
      </c>
      <c r="M1559" s="7" t="str">
        <f>IFERROR(__xludf.DUMMYFUNCTION("""COMPUTED_VALUE"""),"16:00-17:30")</f>
        <v>16:00-17:30</v>
      </c>
      <c r="N1559" s="7"/>
    </row>
    <row r="1560">
      <c r="A1560" s="7" t="str">
        <f>IFERROR(__xludf.DUMMYFUNCTION("""COMPUTED_VALUE"""),"352-IND")</f>
        <v>352-IND</v>
      </c>
      <c r="B1560" s="7" t="str">
        <f>IFERROR(__xludf.DUMMYFUNCTION("""COMPUTED_VALUE"""),"One Missing Piece for Open-Source Reasoning Models: A Dataset to Mitigate Cold-Starting Short CoT LLMs in RL")</f>
        <v>One Missing Piece for Open-Source Reasoning Models: A Dataset to Mitigate Cold-Starting Short CoT LLMs in RL</v>
      </c>
      <c r="C1560" s="7" t="str">
        <f>IFERROR(__xludf.DUMMYFUNCTION("""COMPUTED_VALUE"""),"With the release of R1, a publicly available large reasoning model (LRM), researchers commonly train new LRMs by training language models on R1's long chain-of-thought (CoT) inferences. While prior works show that LRMs' capabilities can be reproduced thro"&amp;"ugh direct distillation, the continued reliance on the existing models (e.g., R1) remains a critical limitation in advancing the field.
 As a first step toward independent LRM development, this paper explores the possibility of constructing a long CoT dat"&amp;"aset with LLMs that are not trained for inference-time scaling.
 To this end, we present the Long CoT Collection, a dataset of 100K CoT rationales annotated using existing short CoT LLMs. 
 We develop a pipeline that induces o1's novel reasoning strategie"&amp;"s into short CoT LLMs, enabling them to think longer and introducing controllability over the thought budget to better manage the overthinking problem.
 Our extensive analyses validate that our dataset achieves quality comparable to—or slightly below—R1. "&amp;"
 Furthermore, our experiments demonstrate that training on our dataset not only strengthens general reasoning skills, but also provides a strong foundation for reinforcement learning—models initialized on our data achieve 2-3x larger gains with RLVR. 
 W"&amp;"e make the codes, datasets, and models publicly available at LINK.")</f>
        <v>With the release of R1, a publicly available large reasoning model (LRM), researchers commonly train new LRMs by training language models on R1's long chain-of-thought (CoT) inferences. While prior works show that LRMs' capabilities can be reproduced through direct distillation, the continued reliance on the existing models (e.g., R1) remains a critical limitation in advancing the field.
 As a first step toward independent LRM development, this paper explores the possibility of constructing a long CoT dataset with LLMs that are not trained for inference-time scaling.
 To this end, we present the Long CoT Collection, a dataset of 100K CoT rationales annotated using existing short CoT LLMs. 
 We develop a pipeline that induces o1's novel reasoning strategies into short CoT LLMs, enabling them to think longer and introducing controllability over the thought budget to better manage the overthinking problem.
 Our extensive analyses validate that our dataset achieves quality comparable to—or slightly below—R1. 
 Furthermore, our experiments demonstrate that training on our dataset not only strengthens general reasoning skills, but also provides a strong foundation for reinforcement learning—models initialized on our data achieve 2-3x larger gains with RLVR. 
 We make the codes, datasets, and models publicly available at LINK.</v>
      </c>
      <c r="D1560" s="7" t="str">
        <f>IFERROR(__xludf.DUMMYFUNCTION("""COMPUTED_VALUE"""),"Dongjin Kang")</f>
        <v>Dongjin Kang</v>
      </c>
      <c r="E1560" s="7" t="str">
        <f>IFERROR(__xludf.DUMMYFUNCTION("""COMPUTED_VALUE"""),"Yes")</f>
        <v>Yes</v>
      </c>
      <c r="F1560" s="7" t="str">
        <f>IFERROR(__xludf.DUMMYFUNCTION("""COMPUTED_VALUE"""),"IP-Poster")</f>
        <v>IP-Poster</v>
      </c>
      <c r="G1560" s="7" t="str">
        <f>IFERROR(__xludf.DUMMYFUNCTION("""COMPUTED_VALUE"""),"In-person")</f>
        <v>In-person</v>
      </c>
      <c r="H1560" s="7" t="str">
        <f>IFERROR(__xludf.DUMMYFUNCTION("""COMPUTED_VALUE"""),"Hall 4X")</f>
        <v>Hall 4X</v>
      </c>
      <c r="I1560" s="7" t="str">
        <f>IFERROR(__xludf.DUMMYFUNCTION("""COMPUTED_VALUE"""),"Session 10: IP-Posters")</f>
        <v>Session 10: IP-Posters</v>
      </c>
      <c r="J1560" s="7" t="str">
        <f>IFERROR(__xludf.DUMMYFUNCTION("""COMPUTED_VALUE"""),"Industry - In-Person Posters")</f>
        <v>Industry - In-Person Posters</v>
      </c>
      <c r="K1560" s="7"/>
      <c r="L1560" s="8">
        <f>IFERROR(__xludf.DUMMYFUNCTION("""COMPUTED_VALUE"""),45867.0)</f>
        <v>45867</v>
      </c>
      <c r="M1560" s="7" t="str">
        <f>IFERROR(__xludf.DUMMYFUNCTION("""COMPUTED_VALUE"""),"16:00-17:30")</f>
        <v>16:00-17:30</v>
      </c>
      <c r="N1560" s="7"/>
    </row>
    <row r="1561">
      <c r="A1561" s="7" t="str">
        <f>IFERROR(__xludf.DUMMYFUNCTION("""COMPUTED_VALUE"""),"366-IND")</f>
        <v>366-IND</v>
      </c>
      <c r="B1561" s="7" t="str">
        <f>IFERROR(__xludf.DUMMYFUNCTION("""COMPUTED_VALUE"""),"SingaKids: A Multilingual Multimodal Dialogic Tutor for Language Learning")</f>
        <v>SingaKids: A Multilingual Multimodal Dialogic Tutor for Language Learning</v>
      </c>
      <c r="C1561" s="7" t="str">
        <f>IFERROR(__xludf.DUMMYFUNCTION("""COMPUTED_VALUE"""),"The integration of generative artificial intelligence into educational applications has enhanced personalized and interactive learning experiences, and it shows strong potential to promote young learners language acquisition. However, it is still challeng"&amp;"ing to ensure consistent and robust performance across different languages and cultural contexts, and kids-friendly design requires simplified instructions, engaging interactions, and age-appropriate scaffolding to maintain motivation and optimize learnin"&amp;"g outcomes.
 In this work, we introduce SingaKids, a dialogic tutor designed to facilitate language learning through picture description tasks. Our system integrates dense image captioning, multilingual dialogic interaction, speech understanding, and enga"&amp;"ging speech generation to create an immersive learning environment in four languages: English, Mandarin, Malay, and Tamil. We further improve the system through multilingual pre-training, task-specific tuning, and scaffolding optimization. Empirical studi"&amp;"es with elementary school students demonstrate that SingaKids provides effective dialogic teaching, benefiting learners at different performance levels.")</f>
        <v>The integration of generative artificial intelligence into educational applications has enhanced personalized and interactive learning experiences, and it shows strong potential to promote young learners language acquisition. However, it is still challenging to ensure consistent and robust performance across different languages and cultural contexts, and kids-friendly design requires simplified instructions, engaging interactions, and age-appropriate scaffolding to maintain motivation and optimize learning outcomes.
 In this work, we introduce SingaKids, a dialogic tutor designed to facilitate language learning through picture description tasks. Our system integrates dense image captioning, multilingual dialogic interaction, speech understanding, and engaging speech generation to create an immersive learning environment in four languages: English, Mandarin, Malay, and Tamil. We further improve the system through multilingual pre-training, task-specific tuning, and scaffolding optimization. Empirical studies with elementary school students demonstrate that SingaKids provides effective dialogic teaching, benefiting learners at different performance levels.</v>
      </c>
      <c r="D1561" s="7" t="str">
        <f>IFERROR(__xludf.DUMMYFUNCTION("""COMPUTED_VALUE"""),"Zhengyuan Liu")</f>
        <v>Zhengyuan Liu</v>
      </c>
      <c r="E1561" s="7" t="str">
        <f>IFERROR(__xludf.DUMMYFUNCTION("""COMPUTED_VALUE"""),"Yes")</f>
        <v>Yes</v>
      </c>
      <c r="F1561" s="7" t="str">
        <f>IFERROR(__xludf.DUMMYFUNCTION("""COMPUTED_VALUE"""),"IP-Oral")</f>
        <v>IP-Oral</v>
      </c>
      <c r="G1561" s="7" t="str">
        <f>IFERROR(__xludf.DUMMYFUNCTION("""COMPUTED_VALUE"""),"In-person")</f>
        <v>In-person</v>
      </c>
      <c r="H1561" s="7" t="str">
        <f>IFERROR(__xludf.DUMMYFUNCTION("""COMPUTED_VALUE"""),"Hall L")</f>
        <v>Hall L</v>
      </c>
      <c r="I1561" s="7" t="str">
        <f>IFERROR(__xludf.DUMMYFUNCTION("""COMPUTED_VALUE"""),"Session 7: IND Orals")</f>
        <v>Session 7: IND Orals</v>
      </c>
      <c r="J1561" s="7" t="str">
        <f>IFERROR(__xludf.DUMMYFUNCTION("""COMPUTED_VALUE"""),"Industry 3")</f>
        <v>Industry 3</v>
      </c>
      <c r="K1561" s="7"/>
      <c r="L1561" s="8"/>
      <c r="M1561" s="7" t="str">
        <f>IFERROR(__xludf.DUMMYFUNCTION("""COMPUTED_VALUE"""),"10:30-12:00")</f>
        <v>10:30-12:00</v>
      </c>
      <c r="N1561" s="7">
        <f>IFERROR(__xludf.DUMMYFUNCTION("""COMPUTED_VALUE"""),6.0)</f>
        <v>6</v>
      </c>
    </row>
    <row r="1562">
      <c r="A1562" s="7" t="str">
        <f>IFERROR(__xludf.DUMMYFUNCTION("""COMPUTED_VALUE"""),"368-IND")</f>
        <v>368-IND</v>
      </c>
      <c r="B1562" s="7" t="str">
        <f>IFERROR(__xludf.DUMMYFUNCTION("""COMPUTED_VALUE"""),"Unifying Streaming and Non-streaming Zipformer-based ASR")</f>
        <v>Unifying Streaming and Non-streaming Zipformer-based ASR</v>
      </c>
      <c r="C1562" s="7" t="str">
        <f>IFERROR(__xludf.DUMMYFUNCTION("""COMPUTED_VALUE"""),"There has been increasing interest in unifying streaming and non-streaming automatic speech recognition (ASR) models to reduce development, training, and deployment costs. We present a unified framework that trains a single end-to-end ASR model for both s"&amp;"treaming and non-streaming applications, leveraging future context information. We propose to use dynamic right-context through the chunked attention masking in the training of zipformer-based ASR models. We demonstrate that using right-context is more ef"&amp;"fective in zipformer models compared to other conformer models due to its multi-scale nature. We analyze the effect of varying the number of right-context frames on accuracy and latency of the streaming ASR models. We use Librispeech and large in-house co"&amp;"nversational datasets to train different versions of streaming and non-streaming models and evaluate them in a production grade server-client setup across diverse testsets of different domains. The proposed strategy reduces word error by relative 7.9% wit"&amp;"h a small degradation in user-perceived latency. By adding more right-context frames, we are able to achieve streaming performance close to that of non-streaming models. Our approach also allows flexible control of the latency-accuracy tradeoff according "&amp;"to customers requirements.")</f>
        <v>There has been increasing interest in unifying streaming and non-streaming automatic speech recognition (ASR) models to reduce development, training, and deployment costs. We present a unified framework that trains a single end-to-end ASR model for both streaming and non-streaming applications, leveraging future context information. We propose to use dynamic right-context through the chunked attention masking in the training of zipformer-based ASR models. We demonstrate that using right-context is more effective in zipformer models compared to other conformer models due to its multi-scale nature. We analyze the effect of varying the number of right-context frames on accuracy and latency of the streaming ASR models. We use Librispeech and large in-house conversational datasets to train different versions of streaming and non-streaming models and evaluate them in a production grade server-client setup across diverse testsets of different domains. The proposed strategy reduces word error by relative 7.9% with a small degradation in user-perceived latency. By adding more right-context frames, we are able to achieve streaming performance close to that of non-streaming models. Our approach also allows flexible control of the latency-accuracy tradeoff according to customers requirements.</v>
      </c>
      <c r="D1562" s="7" t="str">
        <f>IFERROR(__xludf.DUMMYFUNCTION("""COMPUTED_VALUE"""),"Bidisha Sharma")</f>
        <v>Bidisha Sharma</v>
      </c>
      <c r="E1562" s="7" t="str">
        <f>IFERROR(__xludf.DUMMYFUNCTION("""COMPUTED_VALUE"""),"Yes")</f>
        <v>Yes</v>
      </c>
      <c r="F1562" s="7" t="str">
        <f>IFERROR(__xludf.DUMMYFUNCTION("""COMPUTED_VALUE"""),"IP-Poster")</f>
        <v>IP-Poster</v>
      </c>
      <c r="G1562" s="7" t="str">
        <f>IFERROR(__xludf.DUMMYFUNCTION("""COMPUTED_VALUE"""),"In-person")</f>
        <v>In-person</v>
      </c>
      <c r="H1562" s="7" t="str">
        <f>IFERROR(__xludf.DUMMYFUNCTION("""COMPUTED_VALUE"""),"Hall 4X")</f>
        <v>Hall 4X</v>
      </c>
      <c r="I1562" s="7" t="str">
        <f>IFERROR(__xludf.DUMMYFUNCTION("""COMPUTED_VALUE"""),"Session 10: IP-Posters")</f>
        <v>Session 10: IP-Posters</v>
      </c>
      <c r="J1562" s="7" t="str">
        <f>IFERROR(__xludf.DUMMYFUNCTION("""COMPUTED_VALUE"""),"Industry - In-Person Posters")</f>
        <v>Industry - In-Person Posters</v>
      </c>
      <c r="K1562" s="7"/>
      <c r="L1562" s="8">
        <f>IFERROR(__xludf.DUMMYFUNCTION("""COMPUTED_VALUE"""),45867.0)</f>
        <v>45867</v>
      </c>
      <c r="M1562" s="7" t="str">
        <f>IFERROR(__xludf.DUMMYFUNCTION("""COMPUTED_VALUE"""),"16:00-17:30")</f>
        <v>16:00-17:30</v>
      </c>
      <c r="N1562" s="7"/>
    </row>
    <row r="1563">
      <c r="A1563" s="7" t="str">
        <f>IFERROR(__xludf.DUMMYFUNCTION("""COMPUTED_VALUE"""),"369-IND")</f>
        <v>369-IND</v>
      </c>
      <c r="B1563" s="7" t="str">
        <f>IFERROR(__xludf.DUMMYFUNCTION("""COMPUTED_VALUE"""),"A Semi-supervised Scalable Unified Framework for E-commerce Query Classification")</f>
        <v>A Semi-supervised Scalable Unified Framework for E-commerce Query Classification</v>
      </c>
      <c r="C1563" s="7" t="str">
        <f>IFERROR(__xludf.DUMMYFUNCTION("""COMPUTED_VALUE"""),"Query classification, including multiple subtasks such as intent and category prediction, is a vital part of e-commerce applications. E-commerce queries are usually short and lack context, and the information between labels cannot be used, resulting in in"&amp;"sufficient prior information for modeling. Most existing industrial query classification methods rely on users' posterior click behavior to construct training samples, resulting in a Matthew vicious cycle. Furthermore, the subtasks of query classification"&amp;" lack a unified framework, leading to low efficiency for algorithm improvement.
 In this paper, we propose a novel Semi-supervised Scalable Unified Framework (SSUF), containing multiple enhanced modules to unify the query classification tasks. The knowl"&amp;"edge-enhanced module uses world knowledge to enhance query representations and solve the problem of insufficient query information. The label-enhanced module uses label semantics and semi-supervised signals to reduce the dependence on posterior labels. Th"&amp;"e structure-enhanced module enhances the label representation based on the complex label relations. Each module is highly pluggable, and input features can be added or removed as needed according to each subtask. We conduct extensive offline and online A/"&amp;"B experiments, and the results show that SSUF significantly outperforms the state-of-the-art models.")</f>
        <v>Query classification, including multiple subtasks such as intent and category prediction, is a vital part of e-commerce applications. E-commerce queries are usually short and lack context, and the information between labels cannot be used, resulting in insufficient prior information for modeling. Most existing industrial query classification methods rely on users' posterior click behavior to construct training samples, resulting in a Matthew vicious cycle. Furthermore, the subtasks of query classification lack a unified framework, leading to low efficiency for algorithm improvement.
 In this paper, we propose a novel Semi-supervised Scalable Unified Framework (SSUF), containing multiple enhanced modules to unify the query classification tasks. The knowledge-enhanced module uses world knowledge to enhance query representations and solve the problem of insufficient query information. The label-enhanced module uses label semantics and semi-supervised signals to reduce the dependence on posterior labels. The structure-enhanced module enhances the label representation based on the complex label relations. Each module is highly pluggable, and input features can be added or removed as needed according to each subtask. We conduct extensive offline and online A/B experiments, and the results show that SSUF significantly outperforms the state-of-the-art models.</v>
      </c>
      <c r="D1563" s="7" t="str">
        <f>IFERROR(__xludf.DUMMYFUNCTION("""COMPUTED_VALUE"""),"Chong Zhang")</f>
        <v>Chong Zhang</v>
      </c>
      <c r="E1563" s="7" t="str">
        <f>IFERROR(__xludf.DUMMYFUNCTION("""COMPUTED_VALUE"""),"Yes")</f>
        <v>Yes</v>
      </c>
      <c r="F1563" s="7" t="str">
        <f>IFERROR(__xludf.DUMMYFUNCTION("""COMPUTED_VALUE"""),"IP-Poster")</f>
        <v>IP-Poster</v>
      </c>
      <c r="G1563" s="7" t="str">
        <f>IFERROR(__xludf.DUMMYFUNCTION("""COMPUTED_VALUE"""),"In-person")</f>
        <v>In-person</v>
      </c>
      <c r="H1563" s="7" t="str">
        <f>IFERROR(__xludf.DUMMYFUNCTION("""COMPUTED_VALUE"""),"Hall 4X")</f>
        <v>Hall 4X</v>
      </c>
      <c r="I1563" s="7" t="str">
        <f>IFERROR(__xludf.DUMMYFUNCTION("""COMPUTED_VALUE"""),"Session 10: IP-Posters")</f>
        <v>Session 10: IP-Posters</v>
      </c>
      <c r="J1563" s="7" t="str">
        <f>IFERROR(__xludf.DUMMYFUNCTION("""COMPUTED_VALUE"""),"Industry - In-Person Posters")</f>
        <v>Industry - In-Person Posters</v>
      </c>
      <c r="K1563" s="7"/>
      <c r="L1563" s="8">
        <f>IFERROR(__xludf.DUMMYFUNCTION("""COMPUTED_VALUE"""),45867.0)</f>
        <v>45867</v>
      </c>
      <c r="M1563" s="7" t="str">
        <f>IFERROR(__xludf.DUMMYFUNCTION("""COMPUTED_VALUE"""),"16:00-17:30")</f>
        <v>16:00-17:30</v>
      </c>
      <c r="N1563" s="7"/>
    </row>
    <row r="1564">
      <c r="A1564" s="7" t="str">
        <f>IFERROR(__xludf.DUMMYFUNCTION("""COMPUTED_VALUE"""),"373-IND")</f>
        <v>373-IND</v>
      </c>
      <c r="B1564" s="7" t="str">
        <f>IFERROR(__xludf.DUMMYFUNCTION("""COMPUTED_VALUE"""),"CodeIF: Benchmarking the Instruction-Following Capabilities of Large Language Models for Code Generation")</f>
        <v>CodeIF: Benchmarking the Instruction-Following Capabilities of Large Language Models for Code Generation</v>
      </c>
      <c r="C1564" s="7" t="str">
        <f>IFERROR(__xludf.DUMMYFUNCTION("""COMPUTED_VALUE"""),"With the rapid advancement of Large Language Models (LLMs), the demand for robust instruction-following capabilities in code generation tasks has grown significantly. Code generation not only facilitates faster prototyping and automated testing, but also "&amp;"augments developer efficiency through improved maintainability and reusability of code. In this paper, we introduce CodeIF, the first benchmark specifically designed to assess the abilities of LLMs to adhere to task-oriented instructions within diverse co"&amp;"de generation scenarios. CodeIF encompasses a broad range of tasks, including function synthesis, error debugging, algorithmic refactoring, and code explanation, thereby providing a comprehensive suite to evaluate model performance across varying complexi"&amp;"ty levels and programming domains. We conduct extensive experiments with LLMs, analyzing their strengths and limitations in meeting the demands of these tasks. The experimental results offer valuable insights into how well current models align with human "&amp;"instructions, as well as the extent to which they can generate consistent, maintainable, and contextually relevant code. Our findings not only underscore the critical role that instruction-following LLMs can play in modern software development, but also i"&amp;"lluminate pathways for future research aimed at enhancing their adaptability, reliability, and overall effectiveness in automated code generation.")</f>
        <v>With the rapid advancement of Large Language Models (LLMs), the demand for robust instruction-following capabilities in code generation tasks has grown significantly. Code generation not only facilitates faster prototyping and automated testing, but also augments developer efficiency through improved maintainability and reusability of code. In this paper, we introduce CodeIF, the first benchmark specifically designed to assess the abilities of LLMs to adhere to task-oriented instructions within diverse code generation scenarios. CodeIF encompasses a broad range of tasks, including function synthesis, error debugging, algorithmic refactoring, and code explanation, thereby providing a comprehensive suite to evaluate model performance across varying complexity levels and programming domains. We conduct extensive experiments with LLMs, analyzing their strengths and limitations in meeting the demands of these tasks. The experimental results offer valuable insights into how well current models align with human instructions, as well as the extent to which they can generate consistent, maintainable, and contextually relevant code. Our findings not only underscore the critical role that instruction-following LLMs can play in modern software development, but also illuminate pathways for future research aimed at enhancing their adaptability, reliability, and overall effectiveness in automated code generation.</v>
      </c>
      <c r="D1564" s="7" t="str">
        <f>IFERROR(__xludf.DUMMYFUNCTION("""COMPUTED_VALUE"""),"Kaiwen Yan")</f>
        <v>Kaiwen Yan</v>
      </c>
      <c r="E1564" s="7" t="str">
        <f>IFERROR(__xludf.DUMMYFUNCTION("""COMPUTED_VALUE"""),"Yes")</f>
        <v>Yes</v>
      </c>
      <c r="F1564" s="7" t="str">
        <f>IFERROR(__xludf.DUMMYFUNCTION("""COMPUTED_VALUE"""),"V-Presentation")</f>
        <v>V-Presentation</v>
      </c>
      <c r="G1564" s="7" t="str">
        <f>IFERROR(__xludf.DUMMYFUNCTION("""COMPUTED_VALUE"""),"Virtual/Gather")</f>
        <v>Virtual/Gather</v>
      </c>
      <c r="H1564" s="7" t="str">
        <f>IFERROR(__xludf.DUMMYFUNCTION("""COMPUTED_VALUE"""),"Zoom")</f>
        <v>Zoom</v>
      </c>
      <c r="I1564" s="7" t="str">
        <f>IFERROR(__xludf.DUMMYFUNCTION("""COMPUTED_VALUE"""),"Session 10: V-Presenations")</f>
        <v>Session 10: V-Presenations</v>
      </c>
      <c r="J1564" s="7" t="str">
        <f>IFERROR(__xludf.DUMMYFUNCTION("""COMPUTED_VALUE"""),"Industry - Virtual Presentations 2")</f>
        <v>Industry - Virtual Presentations 2</v>
      </c>
      <c r="K1564" s="7"/>
      <c r="L1564" s="8">
        <f>IFERROR(__xludf.DUMMYFUNCTION("""COMPUTED_VALUE"""),45867.0)</f>
        <v>45867</v>
      </c>
      <c r="M1564" s="7" t="str">
        <f>IFERROR(__xludf.DUMMYFUNCTION("""COMPUTED_VALUE"""),"16:00-17:30")</f>
        <v>16:00-17:30</v>
      </c>
      <c r="N1564" s="7"/>
    </row>
    <row r="1565">
      <c r="A1565" s="7" t="str">
        <f>IFERROR(__xludf.DUMMYFUNCTION("""COMPUTED_VALUE"""),"376-IND")</f>
        <v>376-IND</v>
      </c>
      <c r="B1565" s="7" t="str">
        <f>IFERROR(__xludf.DUMMYFUNCTION("""COMPUTED_VALUE"""),"BI-Bench : A Comprehensive Benchmark Dataset and Unsupervised Evaluation for BI Systems")</f>
        <v>BI-Bench : A Comprehensive Benchmark Dataset and Unsupervised Evaluation for BI Systems</v>
      </c>
      <c r="C1565" s="7" t="str">
        <f>IFERROR(__xludf.DUMMYFUNCTION("""COMPUTED_VALUE"""),"A comprehensive benchmark is crucial for evaluating automated Business Intelligence (BI) systems and their real-world effectiveness. We propose BI-Bench, a holistic, end-to-end benchmarking framework that assesses BI systems based on the quality, relevanc"&amp;"e, and depth of insights. It categorizes queries into descriptive, diagnostic, predictive, and prescriptive types, aligning with practical BI needs. Our fully automated approach enables custom benchmark generation tailored to specific datasets. Additional"&amp;"ly, we introduce an automated evaluation mechanism within BI-Bench that removes reliance on strict ground truth, ensuring scalable and adaptable assessments. By addressing key limitations, it offers a flexible and robust, user-centered methodology for adv"&amp;"ancing next-generation BI systems.")</f>
        <v>A comprehensive benchmark is crucial for evaluating automated Business Intelligence (BI) systems and their real-world effectiveness. We propose BI-Bench, a holistic, end-to-end benchmarking framework that assesses BI systems based on the quality, relevance, and depth of insights. It categorizes queries into descriptive, diagnostic, predictive, and prescriptive types, aligning with practical BI needs. Our fully automated approach enables custom benchmark generation tailored to specific datasets. Additionally, we introduce an automated evaluation mechanism within BI-Bench that removes reliance on strict ground truth, ensuring scalable and adaptable assessments. By addressing key limitations, it offers a flexible and robust, user-centered methodology for advancing next-generation BI systems.</v>
      </c>
      <c r="D1565" s="7" t="str">
        <f>IFERROR(__xludf.DUMMYFUNCTION("""COMPUTED_VALUE"""),"Ankush Gupta")</f>
        <v>Ankush Gupta</v>
      </c>
      <c r="E1565" s="7" t="str">
        <f>IFERROR(__xludf.DUMMYFUNCTION("""COMPUTED_VALUE"""),"Yes")</f>
        <v>Yes</v>
      </c>
      <c r="F1565" s="7" t="str">
        <f>IFERROR(__xludf.DUMMYFUNCTION("""COMPUTED_VALUE"""),"IP-Poster")</f>
        <v>IP-Poster</v>
      </c>
      <c r="G1565" s="7" t="str">
        <f>IFERROR(__xludf.DUMMYFUNCTION("""COMPUTED_VALUE"""),"In-person")</f>
        <v>In-person</v>
      </c>
      <c r="H1565" s="7" t="str">
        <f>IFERROR(__xludf.DUMMYFUNCTION("""COMPUTED_VALUE"""),"Hall 4X")</f>
        <v>Hall 4X</v>
      </c>
      <c r="I1565" s="7" t="str">
        <f>IFERROR(__xludf.DUMMYFUNCTION("""COMPUTED_VALUE"""),"Session 10: IP-Posters")</f>
        <v>Session 10: IP-Posters</v>
      </c>
      <c r="J1565" s="7" t="str">
        <f>IFERROR(__xludf.DUMMYFUNCTION("""COMPUTED_VALUE"""),"Industry - In-Person Posters")</f>
        <v>Industry - In-Person Posters</v>
      </c>
      <c r="K1565" s="7"/>
      <c r="L1565" s="8">
        <f>IFERROR(__xludf.DUMMYFUNCTION("""COMPUTED_VALUE"""),45867.0)</f>
        <v>45867</v>
      </c>
      <c r="M1565" s="7" t="str">
        <f>IFERROR(__xludf.DUMMYFUNCTION("""COMPUTED_VALUE"""),"16:00-17:30")</f>
        <v>16:00-17:30</v>
      </c>
      <c r="N1565" s="7"/>
    </row>
    <row r="1566">
      <c r="A1566" s="7" t="str">
        <f>IFERROR(__xludf.DUMMYFUNCTION("""COMPUTED_VALUE"""),"378-IND")</f>
        <v>378-IND</v>
      </c>
      <c r="B1566" s="7" t="str">
        <f>IFERROR(__xludf.DUMMYFUNCTION("""COMPUTED_VALUE"""),"Reinforcement Learning for Adversarial Query Generation to Enhance Relevance in Cold-Start Product Search")</f>
        <v>Reinforcement Learning for Adversarial Query Generation to Enhance Relevance in Cold-Start Product Search</v>
      </c>
      <c r="C1566" s="7" t="str">
        <f>IFERROR(__xludf.DUMMYFUNCTION("""COMPUTED_VALUE"""),"Accurate mapping of queries to product categories is crucial for efficient retrieval and ranking of relevant products in e-commerce search. Conventionally, such query classification models rely on supervised learning using historical user interactions, bu"&amp;"t their effectiveness diminishes in cold-start scenarios, where new categories or products lack sufficient training data. This results in poor query-to-category mappings, negatively affecting retrieval and ranking. Synthetic query generation has emerged a"&amp;"s a promising solution by augmenting training data; however, existing methods do not incorporate feedback from the query relevance model, limiting their ability to generate queries that enhance product retrieval. To address this, we propose an adversarial"&amp;" reinforcement learning framework that optimizes an LLM-based generator to expose weaknesses in query classification models. The generator produces synthetic queries to augment the classifier’s training set, ultimately improving its performance. Additiona"&amp;"lly, we introduce a structured reward signal to ensure stable training. Experiments on public datasets show an average PR-AUC improvement of +1.82\% on benchmarks and +3.26\% on a proprietary dataset, demonstrating the framework’s effectiveness in enhanci"&amp;"ng query classification and mitigating cold-start challenges.")</f>
        <v>Accurate mapping of queries to product categories is crucial for efficient retrieval and ranking of relevant products in e-commerce search. Conventionally, such query classification models rely on supervised learning using historical user interactions, but their effectiveness diminishes in cold-start scenarios, where new categories or products lack sufficient training data. This results in poor query-to-category mappings, negatively affecting retrieval and ranking. Synthetic query generation has emerged as a promising solution by augmenting training data; however, existing methods do not incorporate feedback from the query relevance model, limiting their ability to generate queries that enhance product retrieval. To address this, we propose an adversarial reinforcement learning framework that optimizes an LLM-based generator to expose weaknesses in query classification models. The generator produces synthetic queries to augment the classifier’s training set, ultimately improving its performance. Additionally, we introduce a structured reward signal to ensure stable training. Experiments on public datasets show an average PR-AUC improvement of +1.82\% on benchmarks and +3.26\% on a proprietary dataset, demonstrating the framework’s effectiveness in enhancing query classification and mitigating cold-start challenges.</v>
      </c>
      <c r="D1566" s="7" t="str">
        <f>IFERROR(__xludf.DUMMYFUNCTION("""COMPUTED_VALUE"""),"Akshay Jagatap")</f>
        <v>Akshay Jagatap</v>
      </c>
      <c r="E1566" s="7" t="str">
        <f>IFERROR(__xludf.DUMMYFUNCTION("""COMPUTED_VALUE"""),"Yes")</f>
        <v>Yes</v>
      </c>
      <c r="F1566" s="7" t="str">
        <f>IFERROR(__xludf.DUMMYFUNCTION("""COMPUTED_VALUE"""),"IP-Oral")</f>
        <v>IP-Oral</v>
      </c>
      <c r="G1566" s="7" t="str">
        <f>IFERROR(__xludf.DUMMYFUNCTION("""COMPUTED_VALUE"""),"In-person")</f>
        <v>In-person</v>
      </c>
      <c r="H1566" s="7" t="str">
        <f>IFERROR(__xludf.DUMMYFUNCTION("""COMPUTED_VALUE"""),"Hall L")</f>
        <v>Hall L</v>
      </c>
      <c r="I1566" s="7" t="str">
        <f>IFERROR(__xludf.DUMMYFUNCTION("""COMPUTED_VALUE"""),"Session 9: IP-Orals")</f>
        <v>Session 9: IP-Orals</v>
      </c>
      <c r="J1566" s="7" t="str">
        <f>IFERROR(__xludf.DUMMYFUNCTION("""COMPUTED_VALUE"""),"Industry 4")</f>
        <v>Industry 4</v>
      </c>
      <c r="K1566" s="7"/>
      <c r="L1566" s="8"/>
      <c r="M1566" s="7" t="str">
        <f>IFERROR(__xludf.DUMMYFUNCTION("""COMPUTED_VALUE"""),"14:00-15:30")</f>
        <v>14:00-15:30</v>
      </c>
      <c r="N1566" s="7">
        <f>IFERROR(__xludf.DUMMYFUNCTION("""COMPUTED_VALUE"""),8.0)</f>
        <v>8</v>
      </c>
    </row>
    <row r="1567">
      <c r="A1567" s="7" t="str">
        <f>IFERROR(__xludf.DUMMYFUNCTION("""COMPUTED_VALUE"""),"379-IND")</f>
        <v>379-IND</v>
      </c>
      <c r="B1567" s="7" t="str">
        <f>IFERROR(__xludf.DUMMYFUNCTION("""COMPUTED_VALUE"""),"Auto Review: Second Stage Error Detection for Highly Accurate Information Extraction from Phone Conversations")</f>
        <v>Auto Review: Second Stage Error Detection for Highly Accurate Information Extraction from Phone Conversations</v>
      </c>
      <c r="C1567" s="7" t="str">
        <f>IFERROR(__xludf.DUMMYFUNCTION("""COMPUTED_VALUE"""),"Automating benefit verification phone calls saves time in healthcare and helps patients receive treatment faster. It is critical to obtain highly accurate information in these phone calls, as it can affect a patient's healthcare journey. Given the noise i"&amp;"n phone call transcripts, we have a two-stage system that involves a post-call review phase for potentially noisy fields, where human reviewers manually verify the extracted data—a labor-intensive task. To automate this stage, we introduce Auto Review, wh"&amp;"ich significantly reduces manual effort while maintaining a high bar for accuracy. This system, being highly reliant on call transcripts, suffers a performance bottleneck due to automatic speech recognition (ASR) issues. This problem is further exacerbate"&amp;"d by the use of domain-specific jargon in the calls. In this work, we propose a second-stage postprocessing pipeline for accurate information extraction. We improve accuracy by using multiple ASR alternatives and a pseudo-labeling approach that does not r"&amp;"equire manually corrected transcripts. Experiments with general-purpose large language models and feature-based model pipelines demonstrate substantial improvements in the quality of corrected call transcripts, thereby enhancing the efficiency of Auto Rev"&amp;"iew.")</f>
        <v>Automating benefit verification phone calls saves time in healthcare and helps patients receive treatment faster. It is critical to obtain highly accurate information in these phone calls, as it can affect a patient's healthcare journey. Given the noise in phone call transcripts, we have a two-stage system that involves a post-call review phase for potentially noisy fields, where human reviewers manually verify the extracted data—a labor-intensive task. To automate this stage, we introduce Auto Review, which significantly reduces manual effort while maintaining a high bar for accuracy. This system, being highly reliant on call transcripts, suffers a performance bottleneck due to automatic speech recognition (ASR) issues. This problem is further exacerbated by the use of domain-specific jargon in the calls. In this work, we propose a second-stage postprocessing pipeline for accurate information extraction. We improve accuracy by using multiple ASR alternatives and a pseudo-labeling approach that does not require manually corrected transcripts. Experiments with general-purpose large language models and feature-based model pipelines demonstrate substantial improvements in the quality of corrected call transcripts, thereby enhancing the efficiency of Auto Review.</v>
      </c>
      <c r="D1567" s="7" t="str">
        <f>IFERROR(__xludf.DUMMYFUNCTION("""COMPUTED_VALUE"""),"Youngseo Son")</f>
        <v>Youngseo Son</v>
      </c>
      <c r="E1567" s="7" t="str">
        <f>IFERROR(__xludf.DUMMYFUNCTION("""COMPUTED_VALUE"""),"Yes")</f>
        <v>Yes</v>
      </c>
      <c r="F1567" s="7" t="str">
        <f>IFERROR(__xludf.DUMMYFUNCTION("""COMPUTED_VALUE"""),"IP-Oral")</f>
        <v>IP-Oral</v>
      </c>
      <c r="G1567" s="7" t="str">
        <f>IFERROR(__xludf.DUMMYFUNCTION("""COMPUTED_VALUE"""),"In-person")</f>
        <v>In-person</v>
      </c>
      <c r="H1567" s="7" t="str">
        <f>IFERROR(__xludf.DUMMYFUNCTION("""COMPUTED_VALUE"""),"Hall L")</f>
        <v>Hall L</v>
      </c>
      <c r="I1567" s="7" t="str">
        <f>IFERROR(__xludf.DUMMYFUNCTION("""COMPUTED_VALUE"""),"Session 9: IP-Orals")</f>
        <v>Session 9: IP-Orals</v>
      </c>
      <c r="J1567" s="7" t="str">
        <f>IFERROR(__xludf.DUMMYFUNCTION("""COMPUTED_VALUE"""),"Industry 4")</f>
        <v>Industry 4</v>
      </c>
      <c r="K1567" s="7"/>
      <c r="L1567" s="8"/>
      <c r="M1567" s="7" t="str">
        <f>IFERROR(__xludf.DUMMYFUNCTION("""COMPUTED_VALUE"""),"14:00-15:30")</f>
        <v>14:00-15:30</v>
      </c>
      <c r="N1567" s="7">
        <f>IFERROR(__xludf.DUMMYFUNCTION("""COMPUTED_VALUE"""),9.0)</f>
        <v>9</v>
      </c>
    </row>
    <row r="1568">
      <c r="A1568" s="7" t="str">
        <f>IFERROR(__xludf.DUMMYFUNCTION("""COMPUTED_VALUE"""),"382-IND")</f>
        <v>382-IND</v>
      </c>
      <c r="B1568" s="7" t="str">
        <f>IFERROR(__xludf.DUMMYFUNCTION("""COMPUTED_VALUE"""),"From Recall to Creation: Generating Follow-Up Questions Using Bloom’s Taxonomy and Grice’s Maxims")</f>
        <v>From Recall to Creation: Generating Follow-Up Questions Using Bloom’s Taxonomy and Grice’s Maxims</v>
      </c>
      <c r="C1568" s="7" t="str">
        <f>IFERROR(__xludf.DUMMYFUNCTION("""COMPUTED_VALUE"""),"In-car AI assistants enhance driving by enabling hands-free interactions, yet they often struggle with multi-turn conversations and fail to handle cognitively complex follow-up questions. This limits their effectiveness in real-world deployment. To addres"&amp;"s this limitation, we propose a framework that leverages Bloom’s Taxonomy to systematically generate follow-up questions with increasing cognitive complexity and a Gricean-inspired evaluation framework to assess their Logical Consistency, Informativeness,"&amp;" Relevance, and Clarity. We introduce a dataset comprising 750 human-annotated seed questions and 3750 follow-up questions, with human evaluation confirming that 96.68% of the generated questions adhere to the intended Bloom’s Taxonomy levels. Our approac"&amp;"h, validated through both LLM-based and human assessments, also identifies the specific cognitive complexity level at which in-car AI assistants begin to falter information that can help developers measure and optimize key cognitive aspects of conversatio"&amp;"nal performance.")</f>
        <v>In-car AI assistants enhance driving by enabling hands-free interactions, yet they often struggle with multi-turn conversations and fail to handle cognitively complex follow-up questions. This limits their effectiveness in real-world deployment. To address this limitation, we propose a framework that leverages Bloom’s Taxonomy to systematically generate follow-up questions with increasing cognitive complexity and a Gricean-inspired evaluation framework to assess their Logical Consistency, Informativeness, Relevance, and Clarity. We introduce a dataset comprising 750 human-annotated seed questions and 3750 follow-up questions, with human evaluation confirming that 96.68% of the generated questions adhere to the intended Bloom’s Taxonomy levels. Our approach, validated through both LLM-based and human assessments, also identifies the specific cognitive complexity level at which in-car AI assistants begin to falter information that can help developers measure and optimize key cognitive aspects of conversational performance.</v>
      </c>
      <c r="D1568" s="7" t="str">
        <f>IFERROR(__xludf.DUMMYFUNCTION("""COMPUTED_VALUE"""),"Archana Yadav")</f>
        <v>Archana Yadav</v>
      </c>
      <c r="E1568" s="7" t="str">
        <f>IFERROR(__xludf.DUMMYFUNCTION("""COMPUTED_VALUE"""),"Yes")</f>
        <v>Yes</v>
      </c>
      <c r="F1568" s="7" t="str">
        <f>IFERROR(__xludf.DUMMYFUNCTION("""COMPUTED_VALUE"""),"IP-Oral")</f>
        <v>IP-Oral</v>
      </c>
      <c r="G1568" s="7" t="str">
        <f>IFERROR(__xludf.DUMMYFUNCTION("""COMPUTED_VALUE"""),"In-person")</f>
        <v>In-person</v>
      </c>
      <c r="H1568" s="7" t="str">
        <f>IFERROR(__xludf.DUMMYFUNCTION("""COMPUTED_VALUE"""),"Hall L")</f>
        <v>Hall L</v>
      </c>
      <c r="I1568" s="7" t="str">
        <f>IFERROR(__xludf.DUMMYFUNCTION("""COMPUTED_VALUE"""),"Session 11: IP-Orals ")</f>
        <v>Session 11: IP-Orals </v>
      </c>
      <c r="J1568" s="7" t="str">
        <f>IFERROR(__xludf.DUMMYFUNCTION("""COMPUTED_VALUE"""),"Industry 5")</f>
        <v>Industry 5</v>
      </c>
      <c r="K1568" s="7"/>
      <c r="L1568" s="8"/>
      <c r="M1568" s="7" t="str">
        <f>IFERROR(__xludf.DUMMYFUNCTION("""COMPUTED_VALUE"""),"09:00-10:30")</f>
        <v>09:00-10:30</v>
      </c>
      <c r="N1568" s="7">
        <f>IFERROR(__xludf.DUMMYFUNCTION("""COMPUTED_VALUE"""),4.0)</f>
        <v>4</v>
      </c>
    </row>
    <row r="1569">
      <c r="A1569" s="7" t="str">
        <f>IFERROR(__xludf.DUMMYFUNCTION("""COMPUTED_VALUE"""),"384-IND")</f>
        <v>384-IND</v>
      </c>
      <c r="B1569" s="7" t="str">
        <f>IFERROR(__xludf.DUMMYFUNCTION("""COMPUTED_VALUE"""),"A Parallelized Framework for Simulating Large-Scale LLM Agents with Realistic Environments and Interactions")</f>
        <v>A Parallelized Framework for Simulating Large-Scale LLM Agents with Realistic Environments and Interactions</v>
      </c>
      <c r="C1569" s="7" t="str">
        <f>IFERROR(__xludf.DUMMYFUNCTION("""COMPUTED_VALUE"""),"The development of large language models (LLMs) offers a feasible approach to simulating complex behavioral patterns of individuals, enabling the reconstruction of microscopic and realistic human societal dynamics. However, this approach demands a realist"&amp;"ic environment to provide feedback for the evolving of agents, as well as a parallelized framework to support the massive and uncertain interactions among agents and environments. To address the gaps in existing works, which lack real-world environments a"&amp;"nd struggle with complex interactions, we design a scalable framework named **AgentSociety**, which integrates realistic societal environments and parallelized interactions to support simulations of large-scale agents. Experiments demonstrate that the fra"&amp;"mework can support simulations of 30,000 agents that are faster than the wall-clock time with 24 NVIDIA A800 GPUs and the performance grows linearly with the increase of LLM computational resources. We also show that the integration of realistic environme"&amp;"nts significantly enhances the authenticity of the agents' behaviors. Through the framework and experimental results, we are confident that deploying large-scale LLM Agents to simulate human societies becomes feasible. This will help practitioners in fiel"&amp;"ds such as social sciences and management sciences to obtain new scientific discoveries via language generation technologies, and even improve planning and decision-making in the real world. The code is available at https://github.com/tsinghua-fib-lab/age"&amp;"ntsociety/.")</f>
        <v>The development of large language models (LLMs) offers a feasible approach to simulating complex behavioral patterns of individuals, enabling the reconstruction of microscopic and realistic human societal dynamics. However, this approach demands a realistic environment to provide feedback for the evolving of agents, as well as a parallelized framework to support the massive and uncertain interactions among agents and environments. To address the gaps in existing works, which lack real-world environments and struggle with complex interactions, we design a scalable framework named **AgentSociety**, which integrates realistic societal environments and parallelized interactions to support simulations of large-scale agents. Experiments demonstrate that the framework can support simulations of 30,000 agents that are faster than the wall-clock time with 24 NVIDIA A800 GPUs and the performance grows linearly with the increase of LLM computational resources. We also show that the integration of realistic environments significantly enhances the authenticity of the agents' behaviors. Through the framework and experimental results, we are confident that deploying large-scale LLM Agents to simulate human societies becomes feasible. This will help practitioners in fields such as social sciences and management sciences to obtain new scientific discoveries via language generation technologies, and even improve planning and decision-making in the real world. The code is available at https://github.com/tsinghua-fib-lab/agentsociety/.</v>
      </c>
      <c r="D1569" s="7" t="str">
        <f>IFERROR(__xludf.DUMMYFUNCTION("""COMPUTED_VALUE"""),"Jun Zhang")</f>
        <v>Jun Zhang</v>
      </c>
      <c r="E1569" s="7" t="str">
        <f>IFERROR(__xludf.DUMMYFUNCTION("""COMPUTED_VALUE"""),"Yes")</f>
        <v>Yes</v>
      </c>
      <c r="F1569" s="7" t="str">
        <f>IFERROR(__xludf.DUMMYFUNCTION("""COMPUTED_VALUE"""),"V-Presentation")</f>
        <v>V-Presentation</v>
      </c>
      <c r="G1569" s="7" t="str">
        <f>IFERROR(__xludf.DUMMYFUNCTION("""COMPUTED_VALUE"""),"Virtual/Gather")</f>
        <v>Virtual/Gather</v>
      </c>
      <c r="H1569" s="7" t="str">
        <f>IFERROR(__xludf.DUMMYFUNCTION("""COMPUTED_VALUE"""),"Zoom")</f>
        <v>Zoom</v>
      </c>
      <c r="I1569" s="7" t="str">
        <f>IFERROR(__xludf.DUMMYFUNCTION("""COMPUTED_VALUE"""),"Session 10: V-Presentations")</f>
        <v>Session 10: V-Presentations</v>
      </c>
      <c r="J1569" s="7" t="str">
        <f>IFERROR(__xludf.DUMMYFUNCTION("""COMPUTED_VALUE"""),"Industry - Virtual Presentations 1")</f>
        <v>Industry - Virtual Presentations 1</v>
      </c>
      <c r="K1569" s="7"/>
      <c r="L1569" s="8">
        <f>IFERROR(__xludf.DUMMYFUNCTION("""COMPUTED_VALUE"""),45867.0)</f>
        <v>45867</v>
      </c>
      <c r="M1569" s="7" t="str">
        <f>IFERROR(__xludf.DUMMYFUNCTION("""COMPUTED_VALUE"""),"4:00-5:30 am CEST")</f>
        <v>4:00-5:30 am CEST</v>
      </c>
      <c r="N1569" s="7"/>
    </row>
    <row r="1570">
      <c r="A1570" s="7" t="str">
        <f>IFERROR(__xludf.DUMMYFUNCTION("""COMPUTED_VALUE"""),"387-IND")</f>
        <v>387-IND</v>
      </c>
      <c r="B1570" s="7" t="str">
        <f>IFERROR(__xludf.DUMMYFUNCTION("""COMPUTED_VALUE"""),"ENGinius: A Bilingual LLM Optimized for Plant Construction Engineering")</f>
        <v>ENGinius: A Bilingual LLM Optimized for Plant Construction Engineering</v>
      </c>
      <c r="C1570" s="7" t="str">
        <f>IFERROR(__xludf.DUMMYFUNCTION("""COMPUTED_VALUE"""),"Recent advances in large language models (LLMs) have drawn attention for their potential to automate and optimize processes across various sectors.
 However, the adoption of LLMs in the plant construction industry remains limited, mainly due to its highly"&amp;" specialized nature and the lack of resources for domain-specific training and evaluation.
 In this work, we propose ENGinius, the first LLM designed for plant construction engineering.
 We present procedures for data construction and model training, alon"&amp;"g with the first benchmarks tailored to this underrepresented domain.
 We show that ENGinius delivers optimized responses to plant engineers by leveraging enriched domain knowledge.
 We also demonstrate its practical impact and use cases, such as technica"&amp;"l document processing and multilingual communication.")</f>
        <v>Recent advances in large language models (LLMs) have drawn attention for their potential to automate and optimize processes across various sectors.
 However, the adoption of LLMs in the plant construction industry remains limited, mainly due to its highly specialized nature and the lack of resources for domain-specific training and evaluation.
 In this work, we propose ENGinius, the first LLM designed for plant construction engineering.
 We present procedures for data construction and model training, along with the first benchmarks tailored to this underrepresented domain.
 We show that ENGinius delivers optimized responses to plant engineers by leveraging enriched domain knowledge.
 We also demonstrate its practical impact and use cases, such as technical document processing and multilingual communication.</v>
      </c>
      <c r="D1570" s="7" t="str">
        <f>IFERROR(__xludf.DUMMYFUNCTION("""COMPUTED_VALUE"""),"Woncheol Lee")</f>
        <v>Woncheol Lee</v>
      </c>
      <c r="E1570" s="7" t="str">
        <f>IFERROR(__xludf.DUMMYFUNCTION("""COMPUTED_VALUE"""),"Yes")</f>
        <v>Yes</v>
      </c>
      <c r="F1570" s="7" t="str">
        <f>IFERROR(__xludf.DUMMYFUNCTION("""COMPUTED_VALUE"""),"V-Presentation")</f>
        <v>V-Presentation</v>
      </c>
      <c r="G1570" s="7" t="str">
        <f>IFERROR(__xludf.DUMMYFUNCTION("""COMPUTED_VALUE"""),"Virtual/Gather")</f>
        <v>Virtual/Gather</v>
      </c>
      <c r="H1570" s="7" t="str">
        <f>IFERROR(__xludf.DUMMYFUNCTION("""COMPUTED_VALUE"""),"Zoom")</f>
        <v>Zoom</v>
      </c>
      <c r="I1570" s="7" t="str">
        <f>IFERROR(__xludf.DUMMYFUNCTION("""COMPUTED_VALUE"""),"Session 10: V-Presentations")</f>
        <v>Session 10: V-Presentations</v>
      </c>
      <c r="J1570" s="7" t="str">
        <f>IFERROR(__xludf.DUMMYFUNCTION("""COMPUTED_VALUE"""),"Industry - Virtual Presentations 2")</f>
        <v>Industry - Virtual Presentations 2</v>
      </c>
      <c r="K1570" s="7"/>
      <c r="L1570" s="8">
        <f>IFERROR(__xludf.DUMMYFUNCTION("""COMPUTED_VALUE"""),45867.0)</f>
        <v>45867</v>
      </c>
      <c r="M1570" s="7" t="str">
        <f>IFERROR(__xludf.DUMMYFUNCTION("""COMPUTED_VALUE"""),"16:00-17:30")</f>
        <v>16:00-17:30</v>
      </c>
      <c r="N1570" s="7"/>
    </row>
    <row r="1571">
      <c r="A1571" s="7" t="str">
        <f>IFERROR(__xludf.DUMMYFUNCTION("""COMPUTED_VALUE"""),"394-IND")</f>
        <v>394-IND</v>
      </c>
      <c r="B1571" s="7" t="str">
        <f>IFERROR(__xludf.DUMMYFUNCTION("""COMPUTED_VALUE"""),"Consistency-Aware Online Multi-Objective Alignment for Related Search Query Generation")</f>
        <v>Consistency-Aware Online Multi-Objective Alignment for Related Search Query Generation</v>
      </c>
      <c r="C1571" s="7" t="str">
        <f>IFERROR(__xludf.DUMMYFUNCTION("""COMPUTED_VALUE"""),"Modern digital platforms rely on related search query recommendations to enhance engagement, yet existing methods fail to reconcile click-through rate (CTR) optimization with topic expansion. We propose CMAQ, a Consistent Multi-Objective Aligned Query gen"&amp;"eration framework that harmonizes these goals through three components: (1) reward modeling to quantify objectives, (2) style alignment for format compliance, and (3) consistency-aware optimization to coordinate joint improvements. CMAQ employs adaptive-b"&amp;"eta scaled DPO with geometric mean rewards, balancing CTR and expansion while mitigating objective conflicts. Extensive offline and online evaluations in a large-scale industrial setting demonstrate CMAQ’s superiority, achieving significant CTR gains (+2."&amp;"3%) and higher human-rated query quality compared to state-of-the-art methods. Our approach enables high-quality query generation while sustaining user engagement and platform ecosystem health.
")</f>
        <v>Modern digital platforms rely on related search query recommendations to enhance engagement, yet existing methods fail to reconcile click-through rate (CTR) optimization with topic expansion. We propose CMAQ, a Consistent Multi-Objective Aligned Query generation framework that harmonizes these goals through three components: (1) reward modeling to quantify objectives, (2) style alignment for format compliance, and (3) consistency-aware optimization to coordinate joint improvements. CMAQ employs adaptive-beta scaled DPO with geometric mean rewards, balancing CTR and expansion while mitigating objective conflicts. Extensive offline and online evaluations in a large-scale industrial setting demonstrate CMAQ’s superiority, achieving significant CTR gains (+2.3%) and higher human-rated query quality compared to state-of-the-art methods. Our approach enables high-quality query generation while sustaining user engagement and platform ecosystem health.
</v>
      </c>
      <c r="D1571" s="7" t="str">
        <f>IFERROR(__xludf.DUMMYFUNCTION("""COMPUTED_VALUE"""),"Shuxian Bi")</f>
        <v>Shuxian Bi</v>
      </c>
      <c r="E1571" s="7" t="str">
        <f>IFERROR(__xludf.DUMMYFUNCTION("""COMPUTED_VALUE"""),"Yes")</f>
        <v>Yes</v>
      </c>
      <c r="F1571" s="7" t="str">
        <f>IFERROR(__xludf.DUMMYFUNCTION("""COMPUTED_VALUE"""),"IP-Poster")</f>
        <v>IP-Poster</v>
      </c>
      <c r="G1571" s="7" t="str">
        <f>IFERROR(__xludf.DUMMYFUNCTION("""COMPUTED_VALUE"""),"In-person")</f>
        <v>In-person</v>
      </c>
      <c r="H1571" s="7" t="str">
        <f>IFERROR(__xludf.DUMMYFUNCTION("""COMPUTED_VALUE"""),"Hall 4X")</f>
        <v>Hall 4X</v>
      </c>
      <c r="I1571" s="7" t="str">
        <f>IFERROR(__xludf.DUMMYFUNCTION("""COMPUTED_VALUE"""),"Session 10: IP-Posters")</f>
        <v>Session 10: IP-Posters</v>
      </c>
      <c r="J1571" s="7" t="str">
        <f>IFERROR(__xludf.DUMMYFUNCTION("""COMPUTED_VALUE"""),"Industry - In-Person Posters")</f>
        <v>Industry - In-Person Posters</v>
      </c>
      <c r="K1571" s="7"/>
      <c r="L1571" s="8">
        <f>IFERROR(__xludf.DUMMYFUNCTION("""COMPUTED_VALUE"""),45867.0)</f>
        <v>45867</v>
      </c>
      <c r="M1571" s="7" t="str">
        <f>IFERROR(__xludf.DUMMYFUNCTION("""COMPUTED_VALUE"""),"16:00-17:30")</f>
        <v>16:00-17:30</v>
      </c>
      <c r="N1571" s="7"/>
    </row>
    <row r="1572">
      <c r="A1572" s="7" t="str">
        <f>IFERROR(__xludf.DUMMYFUNCTION("""COMPUTED_VALUE"""),"401-IND")</f>
        <v>401-IND</v>
      </c>
      <c r="B1572" s="7" t="str">
        <f>IFERROR(__xludf.DUMMYFUNCTION("""COMPUTED_VALUE"""),"Towards Generating Controllable and Solvable Geometry Problem by Leveraging Symbolic Deduction Engine")</f>
        <v>Towards Generating Controllable and Solvable Geometry Problem by Leveraging Symbolic Deduction Engine</v>
      </c>
      <c r="C1572" s="7" t="str">
        <f>IFERROR(__xludf.DUMMYFUNCTION("""COMPUTED_VALUE"""),"Generating high-quality geometry problems is both an important and challenging task in education. Compared to math word problems, geometry problems further emphasize multi-modal formats and the translation between informal and formal languages. In this pa"&amp;"per, we introduce a novel task for geometry problem generation and propose a new pipeline method: the Symbolic Deduction Engine-based Geometry Problem Generation framework (SDE-GPG). The framework leverages a symbolic deduction engine and contains four ma"&amp;"in steps: (1) searching a predefined mapping table from knowledge points to extended definitions, (2) sampling extended definitions and performing symbolic deduction, (3) filtering out unqualified problems, and (4) generating textual problems and diagrams"&amp;". Specifically, our method supports to avoid inherent biases in translating natural language into formal language by designing the mapping table, and guarantees to control the generated problems in terms of knowledge points and difficulties by an elaborat"&amp;"e checking function. With obtained formal problems, they are translated to natural language and the accompanying diagrams are automatically drew by rule-based methods. We conduct experiments using real-world combinations of knowledge points from two publi"&amp;"c datasets. The results demonstrate that the SDE-GPG can effectively generate readable, solvable and controllable geometry problems.")</f>
        <v>Generating high-quality geometry problems is both an important and challenging task in education. Compared to math word problems, geometry problems further emphasize multi-modal formats and the translation between informal and formal languages. In this paper, we introduce a novel task for geometry problem generation and propose a new pipeline method: the Symbolic Deduction Engine-based Geometry Problem Generation framework (SDE-GPG). The framework leverages a symbolic deduction engine and contains four main steps: (1) searching a predefined mapping table from knowledge points to extended definitions, (2) sampling extended definitions and performing symbolic deduction, (3) filtering out unqualified problems, and (4) generating textual problems and diagrams. Specifically, our method supports to avoid inherent biases in translating natural language into formal language by designing the mapping table, and guarantees to control the generated problems in terms of knowledge points and difficulties by an elaborate checking function. With obtained formal problems, they are translated to natural language and the accompanying diagrams are automatically drew by rule-based methods. We conduct experiments using real-world combinations of knowledge points from two public datasets. The results demonstrate that the SDE-GPG can effectively generate readable, solvable and controllable geometry problems.</v>
      </c>
      <c r="D1572" s="7" t="str">
        <f>IFERROR(__xludf.DUMMYFUNCTION("""COMPUTED_VALUE"""),"Zhuoxuan Jiang")</f>
        <v>Zhuoxuan Jiang</v>
      </c>
      <c r="E1572" s="7" t="str">
        <f>IFERROR(__xludf.DUMMYFUNCTION("""COMPUTED_VALUE"""),"Yes")</f>
        <v>Yes</v>
      </c>
      <c r="F1572" s="7" t="str">
        <f>IFERROR(__xludf.DUMMYFUNCTION("""COMPUTED_VALUE"""),"IP-Poster")</f>
        <v>IP-Poster</v>
      </c>
      <c r="G1572" s="7" t="str">
        <f>IFERROR(__xludf.DUMMYFUNCTION("""COMPUTED_VALUE"""),"In-person")</f>
        <v>In-person</v>
      </c>
      <c r="H1572" s="7" t="str">
        <f>IFERROR(__xludf.DUMMYFUNCTION("""COMPUTED_VALUE"""),"Hall 4X")</f>
        <v>Hall 4X</v>
      </c>
      <c r="I1572" s="7" t="str">
        <f>IFERROR(__xludf.DUMMYFUNCTION("""COMPUTED_VALUE"""),"Session 10: IP-Posters")</f>
        <v>Session 10: IP-Posters</v>
      </c>
      <c r="J1572" s="7" t="str">
        <f>IFERROR(__xludf.DUMMYFUNCTION("""COMPUTED_VALUE"""),"Industry - In-Person Posters")</f>
        <v>Industry - In-Person Posters</v>
      </c>
      <c r="K1572" s="7"/>
      <c r="L1572" s="8">
        <f>IFERROR(__xludf.DUMMYFUNCTION("""COMPUTED_VALUE"""),45867.0)</f>
        <v>45867</v>
      </c>
      <c r="M1572" s="7" t="str">
        <f>IFERROR(__xludf.DUMMYFUNCTION("""COMPUTED_VALUE"""),"16:00-17:30")</f>
        <v>16:00-17:30</v>
      </c>
      <c r="N1572" s="7"/>
    </row>
    <row r="1573">
      <c r="A1573" s="7" t="str">
        <f>IFERROR(__xludf.DUMMYFUNCTION("""COMPUTED_VALUE"""),"406-IND")</f>
        <v>406-IND</v>
      </c>
      <c r="B1573" s="7" t="str">
        <f>IFERROR(__xludf.DUMMYFUNCTION("""COMPUTED_VALUE"""),"TableCoder: Table Extraction from Text via Reliable Code Generation")</f>
        <v>TableCoder: Table Extraction from Text via Reliable Code Generation</v>
      </c>
      <c r="C1573" s="7" t="str">
        <f>IFERROR(__xludf.DUMMYFUNCTION("""COMPUTED_VALUE"""),"This paper introduces a task aimed at extracting structured tables from text using natural language (NL) instructions. 
 We present TableCoder, an approach that leverages the symbolic nature of code to enhance the robustness of table structure constructio"&amp;"n and content extraction. TableCoder first generates Python classes or SQL statements to explicitly construct table structures, capturing semantic ontology, computational dependencies, numerical properties, and format strings. This approach reliably mitig"&amp;"ates issues such as structural errors, erroneous computations, and mismatched value types. Subsequently, TableCoder proposes grounded content extraction, populating table cells sequentially and maintaining the exact order in which they are mentioned in th"&amp;"e source text. By simulating a grounded ""translation"" from text to code, this method reduces the likelihood of omissions and hallucinations.
 Experimental results demonstrate that TableCoder significantly improves F1 scores and mitigates hallucination"&amp;" and computational errors, crucial for high-stakes applications like government data analytics and financial compliance reporting. Moreover, the code-generation-based method naturally integrates with standard SQL databases and Python workflows, ensuring s"&amp;"eamless deployment in existing enterprise data pipelines.")</f>
        <v>This paper introduces a task aimed at extracting structured tables from text using natural language (NL) instructions. 
 We present TableCoder, an approach that leverages the symbolic nature of code to enhance the robustness of table structure construction and content extraction. TableCoder first generates Python classes or SQL statements to explicitly construct table structures, capturing semantic ontology, computational dependencies, numerical properties, and format strings. This approach reliably mitigates issues such as structural errors, erroneous computations, and mismatched value types. Subsequently, TableCoder proposes grounded content extraction, populating table cells sequentially and maintaining the exact order in which they are mentioned in the source text. By simulating a grounded "translation" from text to code, this method reduces the likelihood of omissions and hallucinations.
 Experimental results demonstrate that TableCoder significantly improves F1 scores and mitigates hallucination and computational errors, crucial for high-stakes applications like government data analytics and financial compliance reporting. Moreover, the code-generation-based method naturally integrates with standard SQL databases and Python workflows, ensuring seamless deployment in existing enterprise data pipelines.</v>
      </c>
      <c r="D1573" s="7" t="str">
        <f>IFERROR(__xludf.DUMMYFUNCTION("""COMPUTED_VALUE"""),"Haoyu Dong")</f>
        <v>Haoyu Dong</v>
      </c>
      <c r="E1573" s="7" t="str">
        <f>IFERROR(__xludf.DUMMYFUNCTION("""COMPUTED_VALUE"""),"Yes")</f>
        <v>Yes</v>
      </c>
      <c r="F1573" s="7" t="str">
        <f>IFERROR(__xludf.DUMMYFUNCTION("""COMPUTED_VALUE"""),"IP-Poster")</f>
        <v>IP-Poster</v>
      </c>
      <c r="G1573" s="7" t="str">
        <f>IFERROR(__xludf.DUMMYFUNCTION("""COMPUTED_VALUE"""),"In-person")</f>
        <v>In-person</v>
      </c>
      <c r="H1573" s="7" t="str">
        <f>IFERROR(__xludf.DUMMYFUNCTION("""COMPUTED_VALUE"""),"Hall 4X")</f>
        <v>Hall 4X</v>
      </c>
      <c r="I1573" s="7" t="str">
        <f>IFERROR(__xludf.DUMMYFUNCTION("""COMPUTED_VALUE"""),"Session 10: IP-Posters")</f>
        <v>Session 10: IP-Posters</v>
      </c>
      <c r="J1573" s="7" t="str">
        <f>IFERROR(__xludf.DUMMYFUNCTION("""COMPUTED_VALUE"""),"Industry - In-Person Posters")</f>
        <v>Industry - In-Person Posters</v>
      </c>
      <c r="K1573" s="7"/>
      <c r="L1573" s="8">
        <f>IFERROR(__xludf.DUMMYFUNCTION("""COMPUTED_VALUE"""),45867.0)</f>
        <v>45867</v>
      </c>
      <c r="M1573" s="7" t="str">
        <f>IFERROR(__xludf.DUMMYFUNCTION("""COMPUTED_VALUE"""),"16:00-17:30")</f>
        <v>16:00-17:30</v>
      </c>
      <c r="N1573" s="7"/>
    </row>
    <row r="1574">
      <c r="A1574" s="7" t="str">
        <f>IFERROR(__xludf.DUMMYFUNCTION("""COMPUTED_VALUE"""),"408-IND")</f>
        <v>408-IND</v>
      </c>
      <c r="B1574" s="7" t="str">
        <f>IFERROR(__xludf.DUMMYFUNCTION("""COMPUTED_VALUE"""),"Are LLMs reliable? An exploration of the reliability of large language models in clinical note generation")</f>
        <v>Are LLMs reliable? An exploration of the reliability of large language models in clinical note generation</v>
      </c>
      <c r="C1574" s="7" t="str">
        <f>IFERROR(__xludf.DUMMYFUNCTION("""COMPUTED_VALUE"""),"Due to the legal and ethical responsibilities of healthcare providers (HCPs) for accurate documentation and protection of patient data privacy, the natural variability in the responses of large language models (LLMs) presents challenges for incorporating "&amp;"clinical note generation (CNG) systems, driven by LLMs, into real-world clinical processes. The complexity is further amplified by the detailed nature of texts in CNG. To enhance the confidence of HCPs in tools powered by LLMs, this study evaluates the re"&amp;"liability of 12 open-weight and proprietary LLMs from Anthropic, Meta, Mistral, and OpenAI in CNG in terms of their ability to generate notes that are string equivalent (consistency rate), have the same meaning (semantic consistency) and are correct (sema"&amp;"ntic similarity), across several iterations using the same prompt. The results show that (1) LLMs from all model families are stable, such that their responses are semantically consistent despite being written in various ways, and (2) most of the LLMs gen"&amp;"erated notes close to the corresponding notes made by experts. Overall, Meta's Llama 70B was the most reliable, followed by Mistral's Small model. With these findings, we recommend the local deployment of these relatively smaller open-weight models for CN"&amp;"G to ensure compliance with data privacy regulations, as well as to improve the efficiency of HCPs in clinical documentation.")</f>
        <v>Due to the legal and ethical responsibilities of healthcare providers (HCPs) for accurate documentation and protection of patient data privacy, the natural variability in the responses of large language models (LLMs) presents challenges for incorporating clinical note generation (CNG) systems, driven by LLMs, into real-world clinical processes. The complexity is further amplified by the detailed nature of texts in CNG. To enhance the confidence of HCPs in tools powered by LLMs, this study evaluates the reliability of 12 open-weight and proprietary LLMs from Anthropic, Meta, Mistral, and OpenAI in CNG in terms of their ability to generate notes that are string equivalent (consistency rate), have the same meaning (semantic consistency) and are correct (semantic similarity), across several iterations using the same prompt. The results show that (1) LLMs from all model families are stable, such that their responses are semantically consistent despite being written in various ways, and (2) most of the LLMs generated notes close to the corresponding notes made by experts. Overall, Meta's Llama 70B was the most reliable, followed by Mistral's Small model. With these findings, we recommend the local deployment of these relatively smaller open-weight models for CNG to ensure compliance with data privacy regulations, as well as to improve the efficiency of HCPs in clinical documentation.</v>
      </c>
      <c r="D1574" s="7" t="str">
        <f>IFERROR(__xludf.DUMMYFUNCTION("""COMPUTED_VALUE"""),"Kristine Ann M. Carandang")</f>
        <v>Kristine Ann M. Carandang</v>
      </c>
      <c r="E1574" s="7" t="str">
        <f>IFERROR(__xludf.DUMMYFUNCTION("""COMPUTED_VALUE"""),"Yes")</f>
        <v>Yes</v>
      </c>
      <c r="F1574" s="7" t="str">
        <f>IFERROR(__xludf.DUMMYFUNCTION("""COMPUTED_VALUE"""),"IP-Poster")</f>
        <v>IP-Poster</v>
      </c>
      <c r="G1574" s="7" t="str">
        <f>IFERROR(__xludf.DUMMYFUNCTION("""COMPUTED_VALUE"""),"In-person")</f>
        <v>In-person</v>
      </c>
      <c r="H1574" s="7" t="str">
        <f>IFERROR(__xludf.DUMMYFUNCTION("""COMPUTED_VALUE"""),"Hall 4X")</f>
        <v>Hall 4X</v>
      </c>
      <c r="I1574" s="7" t="str">
        <f>IFERROR(__xludf.DUMMYFUNCTION("""COMPUTED_VALUE"""),"Session 10: IP-Posters")</f>
        <v>Session 10: IP-Posters</v>
      </c>
      <c r="J1574" s="7" t="str">
        <f>IFERROR(__xludf.DUMMYFUNCTION("""COMPUTED_VALUE"""),"Industry - In-Person Posters")</f>
        <v>Industry - In-Person Posters</v>
      </c>
      <c r="K1574" s="7"/>
      <c r="L1574" s="8">
        <f>IFERROR(__xludf.DUMMYFUNCTION("""COMPUTED_VALUE"""),45867.0)</f>
        <v>45867</v>
      </c>
      <c r="M1574" s="7" t="str">
        <f>IFERROR(__xludf.DUMMYFUNCTION("""COMPUTED_VALUE"""),"16:00-17:30")</f>
        <v>16:00-17:30</v>
      </c>
      <c r="N1574" s="7"/>
    </row>
    <row r="1575">
      <c r="A1575" s="7" t="str">
        <f>IFERROR(__xludf.DUMMYFUNCTION("""COMPUTED_VALUE"""),"409-IND")</f>
        <v>409-IND</v>
      </c>
      <c r="B1575" s="7" t="str">
        <f>IFERROR(__xludf.DUMMYFUNCTION("""COMPUTED_VALUE"""),"REVISE: A Framework for Revising OCRed text in Practical Information Systems with Data Contamination Strategy")</f>
        <v>REVISE: A Framework for Revising OCRed text in Practical Information Systems with Data Contamination Strategy</v>
      </c>
      <c r="C1575" s="7" t="str">
        <f>IFERROR(__xludf.DUMMYFUNCTION("""COMPUTED_VALUE"""),"Recent advances in large language models (LLMs) have significantly improved Document AI, demonstrating remarkable performance on document understanding tasks such as question answering. However, existing approaches primarily focus on solving specific task"&amp;"s, lacking the capability to structurally organize and systematically manage document information. To address this limitation, we propose Revise, a framework that systematically corrects errors introduced by OCR at the character, word, and structural leve"&amp;"ls. Specifically, Revise employs a comprehensive hierarchical taxonomy of common OCR errors and a synthetic data generation strategy that realistically simulates such errors to train an effective correction model. Experimental results demonstrate that Rev"&amp;"ise effectively corrects OCR outputs, enabling more structured representation and systematic management of document contents. Consequently, our method significantly enhances downstream performance in document retrieval and question answering tasks, highli"&amp;"ghting the potential to overcome the structural management limitations of existing Document AI frameworks.")</f>
        <v>Recent advances in large language models (LLMs) have significantly improved Document AI, demonstrating remarkable performance on document understanding tasks such as question answering. However, existing approaches primarily focus on solving specific tasks, lacking the capability to structurally organize and systematically manage document information. To address this limitation, we propose Revise, a framework that systematically corrects errors introduced by OCR at the character, word, and structural levels. Specifically, Revise employs a comprehensive hierarchical taxonomy of common OCR errors and a synthetic data generation strategy that realistically simulates such errors to train an effective correction model. Experimental results demonstrate that Revise effectively corrects OCR outputs, enabling more structured representation and systematic management of document contents. Consequently, our method significantly enhances downstream performance in document retrieval and question answering tasks, highlighting the potential to overcome the structural management limitations of existing Document AI frameworks.</v>
      </c>
      <c r="D1575" s="7" t="str">
        <f>IFERROR(__xludf.DUMMYFUNCTION("""COMPUTED_VALUE"""),"Gyuho Shim")</f>
        <v>Gyuho Shim</v>
      </c>
      <c r="E1575" s="7" t="str">
        <f>IFERROR(__xludf.DUMMYFUNCTION("""COMPUTED_VALUE"""),"Yes")</f>
        <v>Yes</v>
      </c>
      <c r="F1575" s="7" t="str">
        <f>IFERROR(__xludf.DUMMYFUNCTION("""COMPUTED_VALUE"""),"IP-Oral")</f>
        <v>IP-Oral</v>
      </c>
      <c r="G1575" s="7" t="str">
        <f>IFERROR(__xludf.DUMMYFUNCTION("""COMPUTED_VALUE"""),"In-person")</f>
        <v>In-person</v>
      </c>
      <c r="H1575" s="7" t="str">
        <f>IFERROR(__xludf.DUMMYFUNCTION("""COMPUTED_VALUE"""),"Hall L")</f>
        <v>Hall L</v>
      </c>
      <c r="I1575" s="7" t="str">
        <f>IFERROR(__xludf.DUMMYFUNCTION("""COMPUTED_VALUE"""),"Session 11: IP-Orals ")</f>
        <v>Session 11: IP-Orals </v>
      </c>
      <c r="J1575" s="7" t="str">
        <f>IFERROR(__xludf.DUMMYFUNCTION("""COMPUTED_VALUE"""),"Industry 5")</f>
        <v>Industry 5</v>
      </c>
      <c r="K1575" s="7"/>
      <c r="L1575" s="8"/>
      <c r="M1575" s="7" t="str">
        <f>IFERROR(__xludf.DUMMYFUNCTION("""COMPUTED_VALUE"""),"09:00-10:30")</f>
        <v>09:00-10:30</v>
      </c>
      <c r="N1575" s="7">
        <f>IFERROR(__xludf.DUMMYFUNCTION("""COMPUTED_VALUE"""),5.0)</f>
        <v>5</v>
      </c>
    </row>
    <row r="1576">
      <c r="A1576" s="7" t="str">
        <f>IFERROR(__xludf.DUMMYFUNCTION("""COMPUTED_VALUE"""),"412-IND")</f>
        <v>412-IND</v>
      </c>
      <c r="B1576" s="7" t="str">
        <f>IFERROR(__xludf.DUMMYFUNCTION("""COMPUTED_VALUE"""),"TaDA: Training-free recipe for Decoding with Adaptive KV Cache Compression and Mean-centering")</f>
        <v>TaDA: Training-free recipe for Decoding with Adaptive KV Cache Compression and Mean-centering</v>
      </c>
      <c r="C1576" s="7" t="str">
        <f>IFERROR(__xludf.DUMMYFUNCTION("""COMPUTED_VALUE"""),"The key-value (KV) cache in transformer models is a critical component for efficient decoding or inference, yet its memory demands scale poorly with sequence length, posing a major challenge for scalable deployment of large language models. 
 Among severa"&amp;"l approaches to KV cache compression, quantization of key and value activations has been widely explored. 
 Most KV cache quantization methods still need to manage sparse and noncontiguous outliers separately. To address this, we introduce TaDA, a trainin"&amp;"g-free recipe for KV cache compression with quantization precision that adapts to error sensitivity across layers and a mean centering to eliminate separate outlier handling. Our approach yields substantial accuracy improvements for multiple models suppor"&amp;"ting various context lengths. Moreover, our approach does not need to separately manage outlier elements—a persistent hurdle in most traditional quantization methods. Experiments on standard benchmarks demonstrate that our technique reduces KV cache memor"&amp;"y footprint to 27% of the original 16-bit baseline while achieving comparable accuracy. Our method paves the way for scalable and high-performance reasoning in language models by potentially enabling inference for longer context length models, reasoning m"&amp;"odels, and longer chain of thoughts.")</f>
        <v>The key-value (KV) cache in transformer models is a critical component for efficient decoding or inference, yet its memory demands scale poorly with sequence length, posing a major challenge for scalable deployment of large language models. 
 Among several approaches to KV cache compression, quantization of key and value activations has been widely explored. 
 Most KV cache quantization methods still need to manage sparse and noncontiguous outliers separately. To address this, we introduce TaDA, a training-free recipe for KV cache compression with quantization precision that adapts to error sensitivity across layers and a mean centering to eliminate separate outlier handling. Our approach yields substantial accuracy improvements for multiple models supporting various context lengths. Moreover, our approach does not need to separately manage outlier elements—a persistent hurdle in most traditional quantization methods. Experiments on standard benchmarks demonstrate that our technique reduces KV cache memory footprint to 27% of the original 16-bit baseline while achieving comparable accuracy. Our method paves the way for scalable and high-performance reasoning in language models by potentially enabling inference for longer context length models, reasoning models, and longer chain of thoughts.</v>
      </c>
      <c r="D1576" s="7" t="str">
        <f>IFERROR(__xludf.DUMMYFUNCTION("""COMPUTED_VALUE"""),"Vinay Joshi")</f>
        <v>Vinay Joshi</v>
      </c>
      <c r="E1576" s="7" t="str">
        <f>IFERROR(__xludf.DUMMYFUNCTION("""COMPUTED_VALUE"""),"Yes")</f>
        <v>Yes</v>
      </c>
      <c r="F1576" s="7" t="str">
        <f>IFERROR(__xludf.DUMMYFUNCTION("""COMPUTED_VALUE"""),"V-Presentation")</f>
        <v>V-Presentation</v>
      </c>
      <c r="G1576" s="7" t="str">
        <f>IFERROR(__xludf.DUMMYFUNCTION("""COMPUTED_VALUE"""),"Virtual/Gather")</f>
        <v>Virtual/Gather</v>
      </c>
      <c r="H1576" s="7" t="str">
        <f>IFERROR(__xludf.DUMMYFUNCTION("""COMPUTED_VALUE"""),"Zoom")</f>
        <v>Zoom</v>
      </c>
      <c r="I1576" s="7" t="str">
        <f>IFERROR(__xludf.DUMMYFUNCTION("""COMPUTED_VALUE"""),"Session 10: V-Presentations")</f>
        <v>Session 10: V-Presentations</v>
      </c>
      <c r="J1576" s="7" t="str">
        <f>IFERROR(__xludf.DUMMYFUNCTION("""COMPUTED_VALUE"""),"Industry - Virtual Presentations 2")</f>
        <v>Industry - Virtual Presentations 2</v>
      </c>
      <c r="K1576" s="7"/>
      <c r="L1576" s="8">
        <f>IFERROR(__xludf.DUMMYFUNCTION("""COMPUTED_VALUE"""),45867.0)</f>
        <v>45867</v>
      </c>
      <c r="M1576" s="7" t="str">
        <f>IFERROR(__xludf.DUMMYFUNCTION("""COMPUTED_VALUE"""),"16:00-17:30")</f>
        <v>16:00-17:30</v>
      </c>
      <c r="N1576" s="7"/>
    </row>
    <row r="1577">
      <c r="A1577" s="7" t="str">
        <f>IFERROR(__xludf.DUMMYFUNCTION("""COMPUTED_VALUE"""),"413-IND")</f>
        <v>413-IND</v>
      </c>
      <c r="B1577" s="7" t="str">
        <f>IFERROR(__xludf.DUMMYFUNCTION("""COMPUTED_VALUE"""),"Convert Language Model into a Value-based Strategic Planner")</f>
        <v>Convert Language Model into a Value-based Strategic Planner</v>
      </c>
      <c r="C1577" s="7" t="str">
        <f>IFERROR(__xludf.DUMMYFUNCTION("""COMPUTED_VALUE"""),"Emotional support conversation (ESC) aims to alleviate the emotional distress of individuals through effective conversations. Although large language models (LLMs) have obtained remarkable progress on ESC, most of these studies might not define the diagra"&amp;"m from the state model perspective, therefore providing a suboptimal solution for long-term satisfaction. To address such an issue, we leverage the Q-learning on LLMs, and propose a framework called straQ*. Our framework allows a plug-and-play LLM to boot"&amp;"strap the planning during ESC, determine the optimal strategy based on long-term returns, and finally guide the LLM to response. Substantial experiments on ESC datasets suggest that straQ* outperforms many baselines, including direct inference, self-refin"&amp;"e, chain of thought, finetuning, and finite state machines.")</f>
        <v>Emotional support conversation (ESC) aims to alleviate the emotional distress of individuals through effective conversations. Although large language models (LLMs) have obtained remarkable progress on ESC, most of these studies might not define the diagram from the state model perspective, therefore providing a suboptimal solution for long-term satisfaction. To address such an issue, we leverage the Q-learning on LLMs, and propose a framework called straQ*. Our framework allows a plug-and-play LLM to bootstrap the planning during ESC, determine the optimal strategy based on long-term returns, and finally guide the LLM to response. Substantial experiments on ESC datasets suggest that straQ* outperforms many baselines, including direct inference, self-refine, chain of thought, finetuning, and finite state machines.</v>
      </c>
      <c r="D1577" s="7" t="str">
        <f>IFERROR(__xludf.DUMMYFUNCTION("""COMPUTED_VALUE"""),"Luo Ji")</f>
        <v>Luo Ji</v>
      </c>
      <c r="E1577" s="7" t="str">
        <f>IFERROR(__xludf.DUMMYFUNCTION("""COMPUTED_VALUE"""),"Yes")</f>
        <v>Yes</v>
      </c>
      <c r="F1577" s="7" t="str">
        <f>IFERROR(__xludf.DUMMYFUNCTION("""COMPUTED_VALUE"""),"IP-Poster")</f>
        <v>IP-Poster</v>
      </c>
      <c r="G1577" s="7" t="str">
        <f>IFERROR(__xludf.DUMMYFUNCTION("""COMPUTED_VALUE"""),"In-person")</f>
        <v>In-person</v>
      </c>
      <c r="H1577" s="7" t="str">
        <f>IFERROR(__xludf.DUMMYFUNCTION("""COMPUTED_VALUE"""),"Hall 4X")</f>
        <v>Hall 4X</v>
      </c>
      <c r="I1577" s="7" t="str">
        <f>IFERROR(__xludf.DUMMYFUNCTION("""COMPUTED_VALUE"""),"Session 10: IP-Posters")</f>
        <v>Session 10: IP-Posters</v>
      </c>
      <c r="J1577" s="7" t="str">
        <f>IFERROR(__xludf.DUMMYFUNCTION("""COMPUTED_VALUE"""),"Industry - In-Person Posters")</f>
        <v>Industry - In-Person Posters</v>
      </c>
      <c r="K1577" s="7"/>
      <c r="L1577" s="8">
        <f>IFERROR(__xludf.DUMMYFUNCTION("""COMPUTED_VALUE"""),45867.0)</f>
        <v>45867</v>
      </c>
      <c r="M1577" s="7" t="str">
        <f>IFERROR(__xludf.DUMMYFUNCTION("""COMPUTED_VALUE"""),"16:00-17:30")</f>
        <v>16:00-17:30</v>
      </c>
      <c r="N1577" s="7"/>
    </row>
    <row r="1578">
      <c r="A1578" s="7" t="str">
        <f>IFERROR(__xludf.DUMMYFUNCTION("""COMPUTED_VALUE"""),"414-IND")</f>
        <v>414-IND</v>
      </c>
      <c r="B1578" s="7" t="str">
        <f>IFERROR(__xludf.DUMMYFUNCTION("""COMPUTED_VALUE"""),"MIRA: Empowering One-Touch AI Services on Smartphones with MLLM-based Instruction Recommendation")</f>
        <v>MIRA: Empowering One-Touch AI Services on Smartphones with MLLM-based Instruction Recommendation</v>
      </c>
      <c r="C1578" s="7" t="str">
        <f>IFERROR(__xludf.DUMMYFUNCTION("""COMPUTED_VALUE"""),"The rapid advancement of generative AI technologies is driving the integration of diverse AI-powered services into smartphones, transforming how users interact with their devices. To simplify access to predefined AI services, this paper introduces MIRA, a"&amp;" pioneering framework for task instruction recommendation that enables intuitive one-touch AI tasking on smartphones. With MIRA, users can long-press on images or text objects to receive contextually relevant instruction recommendations for executing AI t"&amp;"asks. Our work introduces three key innovations: 1) A multimodal large language model (MLLM)-based recommendation pipeline with structured reasoning to extract key entities, infer user intent, and generate precise instructions; 2) A template-augmented rea"&amp;"soning mechanism that integrates high-level reasoning templates, enhancing task inference accuracy; 3) A prefix-tree-based constrained decoding strategy that restricts outputs to predefined instruction candidates, ensuring coherence and intent alignment. "&amp;"Through evaluation using a real-world annotated datasets and a user study, MIRA has demonstrated substantial improvements in recommendation accuracy. The encouraging results highlight MIRA's potential to revolutionize the way users engage with AI services"&amp;" on their smartphones, offering a more seamless and efficient experience.")</f>
        <v>The rapid advancement of generative AI technologies is driving the integration of diverse AI-powered services into smartphones, transforming how users interact with their devices. To simplify access to predefined AI services, this paper introduces MIRA, a pioneering framework for task instruction recommendation that enables intuitive one-touch AI tasking on smartphones. With MIRA, users can long-press on images or text objects to receive contextually relevant instruction recommendations for executing AI tasks. Our work introduces three key innovations: 1) A multimodal large language model (MLLM)-based recommendation pipeline with structured reasoning to extract key entities, infer user intent, and generate precise instructions; 2) A template-augmented reasoning mechanism that integrates high-level reasoning templates, enhancing task inference accuracy; 3) A prefix-tree-based constrained decoding strategy that restricts outputs to predefined instruction candidates, ensuring coherence and intent alignment. Through evaluation using a real-world annotated datasets and a user study, MIRA has demonstrated substantial improvements in recommendation accuracy. The encouraging results highlight MIRA's potential to revolutionize the way users engage with AI services on their smartphones, offering a more seamless and efficient experience.</v>
      </c>
      <c r="D1578" s="7" t="str">
        <f>IFERROR(__xludf.DUMMYFUNCTION("""COMPUTED_VALUE"""),"Jieming Zhu")</f>
        <v>Jieming Zhu</v>
      </c>
      <c r="E1578" s="7" t="str">
        <f>IFERROR(__xludf.DUMMYFUNCTION("""COMPUTED_VALUE"""),"Yes")</f>
        <v>Yes</v>
      </c>
      <c r="F1578" s="7" t="str">
        <f>IFERROR(__xludf.DUMMYFUNCTION("""COMPUTED_VALUE"""),"IP-Oral")</f>
        <v>IP-Oral</v>
      </c>
      <c r="G1578" s="7" t="str">
        <f>IFERROR(__xludf.DUMMYFUNCTION("""COMPUTED_VALUE"""),"In-person")</f>
        <v>In-person</v>
      </c>
      <c r="H1578" s="7" t="str">
        <f>IFERROR(__xludf.DUMMYFUNCTION("""COMPUTED_VALUE"""),"Hall L")</f>
        <v>Hall L</v>
      </c>
      <c r="I1578" s="7" t="str">
        <f>IFERROR(__xludf.DUMMYFUNCTION("""COMPUTED_VALUE"""),"Session 11: IP-Orals ")</f>
        <v>Session 11: IP-Orals </v>
      </c>
      <c r="J1578" s="7" t="str">
        <f>IFERROR(__xludf.DUMMYFUNCTION("""COMPUTED_VALUE"""),"Industry 5")</f>
        <v>Industry 5</v>
      </c>
      <c r="K1578" s="7"/>
      <c r="L1578" s="8"/>
      <c r="M1578" s="7" t="str">
        <f>IFERROR(__xludf.DUMMYFUNCTION("""COMPUTED_VALUE"""),"09:00-10:30")</f>
        <v>09:00-10:30</v>
      </c>
      <c r="N1578" s="7">
        <f>IFERROR(__xludf.DUMMYFUNCTION("""COMPUTED_VALUE"""),6.0)</f>
        <v>6</v>
      </c>
    </row>
    <row r="1579">
      <c r="A1579" s="7" t="str">
        <f>IFERROR(__xludf.DUMMYFUNCTION("""COMPUTED_VALUE"""),"419-IND")</f>
        <v>419-IND</v>
      </c>
      <c r="B1579" s="7" t="str">
        <f>IFERROR(__xludf.DUMMYFUNCTION("""COMPUTED_VALUE"""),"ConCodeEval: Evaluating Large Language Models for Code Constraints in Domain-Specific Languages")</f>
        <v>ConCodeEval: Evaluating Large Language Models for Code Constraints in Domain-Specific Languages</v>
      </c>
      <c r="C1579" s="7" t="str">
        <f>IFERROR(__xludf.DUMMYFUNCTION("""COMPUTED_VALUE"""),"System-level programming is essential for modern enterprise infrastructure, enabling the automation and management of complex systems through declarative code. Developers write this code based on schemas, which themselves are a form of code that defines c"&amp;"onstraints like data types and required fields. These schemas help ensure operational correctness and smooth integration across systems. However, as enterprise schemas become complex, manually writing code adhering to these constraints becomes challenging"&amp;" for developers. Large Language Models (LLMs) have demonstrated potential in code generation and natural language understanding, particularly in zero-shot and few-shot settings. However, applying LLMs to handle constraints represented in code, essential f"&amp;"or system-level programming rather than natural language, has not been explored. Hence, we introduce ConCodeEval, a study across two key dimensions: format and constraint efficacy, with a first-of-its-kind benchmark involving two novel experiments for cod"&amp;"e constraints across five representations (JSON, YAML, XML, Python, and natural language). Our findings suggest that conscious choice of representations can lead to optimal use of LLMs in enterprise use cases involving constraints. Nonetheless, LLMs conti"&amp;"nue to struggle significantly with code constraints, motivating the need for innovation in this direction.")</f>
        <v>System-level programming is essential for modern enterprise infrastructure, enabling the automation and management of complex systems through declarative code. Developers write this code based on schemas, which themselves are a form of code that defines constraints like data types and required fields. These schemas help ensure operational correctness and smooth integration across systems. However, as enterprise schemas become complex, manually writing code adhering to these constraints becomes challenging for developers. Large Language Models (LLMs) have demonstrated potential in code generation and natural language understanding, particularly in zero-shot and few-shot settings. However, applying LLMs to handle constraints represented in code, essential for system-level programming rather than natural language, has not been explored. Hence, we introduce ConCodeEval, a study across two key dimensions: format and constraint efficacy, with a first-of-its-kind benchmark involving two novel experiments for code constraints across five representations (JSON, YAML, XML, Python, and natural language). Our findings suggest that conscious choice of representations can lead to optimal use of LLMs in enterprise use cases involving constraints. Nonetheless, LLMs continue to struggle significantly with code constraints, motivating the need for innovation in this direction.</v>
      </c>
      <c r="D1579" s="7" t="str">
        <f>IFERROR(__xludf.DUMMYFUNCTION("""COMPUTED_VALUE"""),"Mehant Kammakomati")</f>
        <v>Mehant Kammakomati</v>
      </c>
      <c r="E1579" s="7" t="str">
        <f>IFERROR(__xludf.DUMMYFUNCTION("""COMPUTED_VALUE"""),"Yes")</f>
        <v>Yes</v>
      </c>
      <c r="F1579" s="7" t="str">
        <f>IFERROR(__xludf.DUMMYFUNCTION("""COMPUTED_VALUE"""),"IP-Poster")</f>
        <v>IP-Poster</v>
      </c>
      <c r="G1579" s="7" t="str">
        <f>IFERROR(__xludf.DUMMYFUNCTION("""COMPUTED_VALUE"""),"In-person")</f>
        <v>In-person</v>
      </c>
      <c r="H1579" s="7" t="str">
        <f>IFERROR(__xludf.DUMMYFUNCTION("""COMPUTED_VALUE"""),"Hall 4X")</f>
        <v>Hall 4X</v>
      </c>
      <c r="I1579" s="7" t="str">
        <f>IFERROR(__xludf.DUMMYFUNCTION("""COMPUTED_VALUE"""),"Session 10: IP-Posters")</f>
        <v>Session 10: IP-Posters</v>
      </c>
      <c r="J1579" s="7" t="str">
        <f>IFERROR(__xludf.DUMMYFUNCTION("""COMPUTED_VALUE"""),"Industry - In-Person Posters")</f>
        <v>Industry - In-Person Posters</v>
      </c>
      <c r="K1579" s="7"/>
      <c r="L1579" s="8">
        <f>IFERROR(__xludf.DUMMYFUNCTION("""COMPUTED_VALUE"""),45867.0)</f>
        <v>45867</v>
      </c>
      <c r="M1579" s="7" t="str">
        <f>IFERROR(__xludf.DUMMYFUNCTION("""COMPUTED_VALUE"""),"16:00-17:30")</f>
        <v>16:00-17:30</v>
      </c>
      <c r="N1579" s="7"/>
    </row>
    <row r="1580">
      <c r="A1580" s="7" t="str">
        <f>IFERROR(__xludf.DUMMYFUNCTION("""COMPUTED_VALUE"""),"420-IND")</f>
        <v>420-IND</v>
      </c>
      <c r="B1580" s="7" t="str">
        <f>IFERROR(__xludf.DUMMYFUNCTION("""COMPUTED_VALUE"""),"Unveiling Dual Quality in Product Reviews: An NLP-Based Approach")</f>
        <v>Unveiling Dual Quality in Product Reviews: An NLP-Based Approach</v>
      </c>
      <c r="C1580" s="7" t="str">
        <f>IFERROR(__xludf.DUMMYFUNCTION("""COMPUTED_VALUE"""),"Consumers often face inconsistent product quality, particularly when identical products vary between markets, a situation known as the dual quality problem. To identify and address this issue, automated techniques are needed. This paper explores how natur"&amp;"al language processing (NLP) can aid in detecting such discrepancies and presents the full process of developing a solution. First, we describe in detail the creation of a new Polish-language dataset with 1,957 reviews, 540 highlighting dual quality issue"&amp;"s. We then discuss experiments with various approaches like SetFit with sentence-transformers, transformer-based encoders, and LLMs, including error analysis and robustness verification. Additionally, we evaluate multilingual transfer using a subset of op"&amp;"inions in English, French, and German. The paper concludes with insights on deployment and practical applications.")</f>
        <v>Consumers often face inconsistent product quality, particularly when identical products vary between markets, a situation known as the dual quality problem. To identify and address this issue, automated techniques are needed. This paper explores how natural language processing (NLP) can aid in detecting such discrepancies and presents the full process of developing a solution. First, we describe in detail the creation of a new Polish-language dataset with 1,957 reviews, 540 highlighting dual quality issues. We then discuss experiments with various approaches like SetFit with sentence-transformers, transformer-based encoders, and LLMs, including error analysis and robustness verification. Additionally, we evaluate multilingual transfer using a subset of opinions in English, French, and German. The paper concludes with insights on deployment and practical applications.</v>
      </c>
      <c r="D1580" s="7" t="str">
        <f>IFERROR(__xludf.DUMMYFUNCTION("""COMPUTED_VALUE"""),"Rafał Poświata")</f>
        <v>Rafał Poświata</v>
      </c>
      <c r="E1580" s="7" t="str">
        <f>IFERROR(__xludf.DUMMYFUNCTION("""COMPUTED_VALUE"""),"Yes")</f>
        <v>Yes</v>
      </c>
      <c r="F1580" s="7" t="str">
        <f>IFERROR(__xludf.DUMMYFUNCTION("""COMPUTED_VALUE"""),"IP-Poster")</f>
        <v>IP-Poster</v>
      </c>
      <c r="G1580" s="7" t="str">
        <f>IFERROR(__xludf.DUMMYFUNCTION("""COMPUTED_VALUE"""),"In-person")</f>
        <v>In-person</v>
      </c>
      <c r="H1580" s="7" t="str">
        <f>IFERROR(__xludf.DUMMYFUNCTION("""COMPUTED_VALUE"""),"Hall 4X")</f>
        <v>Hall 4X</v>
      </c>
      <c r="I1580" s="7" t="str">
        <f>IFERROR(__xludf.DUMMYFUNCTION("""COMPUTED_VALUE"""),"Session 10: IP-Posters")</f>
        <v>Session 10: IP-Posters</v>
      </c>
      <c r="J1580" s="7" t="str">
        <f>IFERROR(__xludf.DUMMYFUNCTION("""COMPUTED_VALUE"""),"Industry - In-Person Posters")</f>
        <v>Industry - In-Person Posters</v>
      </c>
      <c r="K1580" s="7"/>
      <c r="L1580" s="8">
        <f>IFERROR(__xludf.DUMMYFUNCTION("""COMPUTED_VALUE"""),45867.0)</f>
        <v>45867</v>
      </c>
      <c r="M1580" s="7" t="str">
        <f>IFERROR(__xludf.DUMMYFUNCTION("""COMPUTED_VALUE"""),"16:00-17:30")</f>
        <v>16:00-17:30</v>
      </c>
      <c r="N1580" s="7"/>
    </row>
    <row r="1581">
      <c r="A1581" s="7" t="str">
        <f>IFERROR(__xludf.DUMMYFUNCTION("""COMPUTED_VALUE"""),"421-IND")</f>
        <v>421-IND</v>
      </c>
      <c r="B1581" s="7" t="str">
        <f>IFERROR(__xludf.DUMMYFUNCTION("""COMPUTED_VALUE"""),"Enhancing Marker Scoring Accuracy through Ordinal Confidence Modelling in Educational Assessments")</f>
        <v>Enhancing Marker Scoring Accuracy through Ordinal Confidence Modelling in Educational Assessments</v>
      </c>
      <c r="C1581" s="7" t="str">
        <f>IFERROR(__xludf.DUMMYFUNCTION("""COMPUTED_VALUE"""),"A key ethical challenge in Automated Essay Scoring (AES) is ensuring that scores are only released when they meet high reliability standards. Confidence modelling addresses this by assigning a reliability estimate measure, in the form of a confidence scor"&amp;"e, to each automated score. In this study, we frame confidence estimation as a classification task: predicting whether an AES-generated score correctly places a candidate in the appropriate CEFR level. While this is a binary decision, we leverage the inhe"&amp;"rent granularity of the scoring domain in two ways. First, we reformulate the task as an n-ary classification problem using score binning. Second, we introduce a set of novel Kernel Weighted Ordinal Categorical Cross Entropy (KWOCCE) loss functions that i"&amp;"ncorporate the ordinal structure of CEFR labels. Our best-performing model achieves an F1 score of 0.97, and enables the system to release 47 percent of scores with 100 percent CEFR agreement and 99 percent with at least 95 percent CEFR agreement – compar"&amp;"ed to  92 percent (approx.) CEFR agreement from the standalone AES model where we release all AM predicted scores.")</f>
        <v>A key ethical challenge in Automated Essay Scoring (AES) is ensuring that scores are only released when they meet high reliability standards. Confidence modelling addresses this by assigning a reliability estimate measure, in the form of a confidence score, to each automated score. In this study, we frame confidence estimation as a classification task: predicting whether an AES-generated score correctly places a candidate in the appropriate CEFR level. While this is a binary decision, we leverage the inherent granularity of the scoring domain in two ways. First, we reformulate the task as an n-ary classification problem using score binning. Second, we introduce a set of novel Kernel Weighted Ordinal Categorical Cross Entropy (KWOCCE) loss functions that incorporate the ordinal structure of CEFR labels. Our best-performing model achieves an F1 score of 0.97, and enables the system to release 47 percent of scores with 100 percent CEFR agreement and 99 percent with at least 95 percent CEFR agreement – compared to  92 percent (approx.) CEFR agreement from the standalone AES model where we release all AM predicted scores.</v>
      </c>
      <c r="D1581" s="7" t="str">
        <f>IFERROR(__xludf.DUMMYFUNCTION("""COMPUTED_VALUE"""),"Abhirup Chakravarty")</f>
        <v>Abhirup Chakravarty</v>
      </c>
      <c r="E1581" s="7" t="str">
        <f>IFERROR(__xludf.DUMMYFUNCTION("""COMPUTED_VALUE"""),"Yes")</f>
        <v>Yes</v>
      </c>
      <c r="F1581" s="7" t="str">
        <f>IFERROR(__xludf.DUMMYFUNCTION("""COMPUTED_VALUE"""),"IP-Poster")</f>
        <v>IP-Poster</v>
      </c>
      <c r="G1581" s="7" t="str">
        <f>IFERROR(__xludf.DUMMYFUNCTION("""COMPUTED_VALUE"""),"In-person")</f>
        <v>In-person</v>
      </c>
      <c r="H1581" s="7" t="str">
        <f>IFERROR(__xludf.DUMMYFUNCTION("""COMPUTED_VALUE"""),"Hall 4X")</f>
        <v>Hall 4X</v>
      </c>
      <c r="I1581" s="7" t="str">
        <f>IFERROR(__xludf.DUMMYFUNCTION("""COMPUTED_VALUE"""),"Session 10: IP-Posters")</f>
        <v>Session 10: IP-Posters</v>
      </c>
      <c r="J1581" s="7" t="str">
        <f>IFERROR(__xludf.DUMMYFUNCTION("""COMPUTED_VALUE"""),"Industry - In-Person Posters")</f>
        <v>Industry - In-Person Posters</v>
      </c>
      <c r="K1581" s="7"/>
      <c r="L1581" s="8">
        <f>IFERROR(__xludf.DUMMYFUNCTION("""COMPUTED_VALUE"""),45867.0)</f>
        <v>45867</v>
      </c>
      <c r="M1581" s="7" t="str">
        <f>IFERROR(__xludf.DUMMYFUNCTION("""COMPUTED_VALUE"""),"16:00-17:30")</f>
        <v>16:00-17:30</v>
      </c>
      <c r="N1581" s="7"/>
    </row>
    <row r="1582">
      <c r="A1582" s="7" t="str">
        <f>IFERROR(__xludf.DUMMYFUNCTION("""COMPUTED_VALUE"""),"424-IND")</f>
        <v>424-IND</v>
      </c>
      <c r="B1582" s="7" t="str">
        <f>IFERROR(__xludf.DUMMYFUNCTION("""COMPUTED_VALUE"""),"A Practical Approach for Building Production-Grade Conversational Agents with Workflow Graphs")</f>
        <v>A Practical Approach for Building Production-Grade Conversational Agents with Workflow Graphs</v>
      </c>
      <c r="C1582" s="7" t="str">
        <f>IFERROR(__xludf.DUMMYFUNCTION("""COMPUTED_VALUE"""),"The advancement of Large Language Models (LLMs) has led to significant improvements in various service domains, including search, recommendation, and chatbot applications.
 However, applying state-of-the-art (SOTA) research to industrial settings presents"&amp;" challenges, as it requires maintaining flexible conversational abilities while also strictly complying with service-specific constraints.
 This can be seen as two conflicting requirements due to the probabilistic nature of LLMs.
 In this paper, we propos"&amp;"e our approach to addressing this challenge and detail the strategies we employed to overcome their inherent limitations in real-world applications.
 We conduct a practical case study of a conversational agent designed for the e-commerce domain, detailing"&amp;" our implementation workflow and optimizations.
 Our findings provide insights into bridging the gap between academic research and real-world application, introducing a framework for developing scalable, controllable, and reliable AI-driven agents.")</f>
        <v>The advancement of Large Language Models (LLMs) has led to significant improvements in various service domains, including search, recommendation, and chatbot applications.
 However, applying state-of-the-art (SOTA) research to industrial settings presents challenges, as it requires maintaining flexible conversational abilities while also strictly complying with service-specific constraints.
 This can be seen as two conflicting requirements due to the probabilistic nature of LLMs.
 In this paper, we propose our approach to addressing this challenge and detail the strategies we employed to overcome their inherent limitations in real-world applications.
 We conduct a practical case study of a conversational agent designed for the e-commerce domain, detailing our implementation workflow and optimizations.
 Our findings provide insights into bridging the gap between academic research and real-world application, introducing a framework for developing scalable, controllable, and reliable AI-driven agents.</v>
      </c>
      <c r="D1582" s="7" t="str">
        <f>IFERROR(__xludf.DUMMYFUNCTION("""COMPUTED_VALUE"""),"Daeryong Kim")</f>
        <v>Daeryong Kim</v>
      </c>
      <c r="E1582" s="7" t="str">
        <f>IFERROR(__xludf.DUMMYFUNCTION("""COMPUTED_VALUE"""),"Yes")</f>
        <v>Yes</v>
      </c>
      <c r="F1582" s="7" t="str">
        <f>IFERROR(__xludf.DUMMYFUNCTION("""COMPUTED_VALUE"""),"IP-Poster")</f>
        <v>IP-Poster</v>
      </c>
      <c r="G1582" s="7" t="str">
        <f>IFERROR(__xludf.DUMMYFUNCTION("""COMPUTED_VALUE"""),"In-person")</f>
        <v>In-person</v>
      </c>
      <c r="H1582" s="7" t="str">
        <f>IFERROR(__xludf.DUMMYFUNCTION("""COMPUTED_VALUE"""),"Hall 4X")</f>
        <v>Hall 4X</v>
      </c>
      <c r="I1582" s="7" t="str">
        <f>IFERROR(__xludf.DUMMYFUNCTION("""COMPUTED_VALUE"""),"Session 10: IP-Posters")</f>
        <v>Session 10: IP-Posters</v>
      </c>
      <c r="J1582" s="7" t="str">
        <f>IFERROR(__xludf.DUMMYFUNCTION("""COMPUTED_VALUE"""),"Industry - In-Person Posters")</f>
        <v>Industry - In-Person Posters</v>
      </c>
      <c r="K1582" s="7"/>
      <c r="L1582" s="8">
        <f>IFERROR(__xludf.DUMMYFUNCTION("""COMPUTED_VALUE"""),45867.0)</f>
        <v>45867</v>
      </c>
      <c r="M1582" s="7" t="str">
        <f>IFERROR(__xludf.DUMMYFUNCTION("""COMPUTED_VALUE"""),"16:00-17:30")</f>
        <v>16:00-17:30</v>
      </c>
      <c r="N1582" s="7"/>
    </row>
    <row r="1583">
      <c r="A1583" s="7" t="str">
        <f>IFERROR(__xludf.DUMMYFUNCTION("""COMPUTED_VALUE"""),"425-IND")</f>
        <v>425-IND</v>
      </c>
      <c r="B1583" s="7" t="str">
        <f>IFERROR(__xludf.DUMMYFUNCTION("""COMPUTED_VALUE"""),"EXPLAIN: Enhancing Retrieval-Augmented Generation with Entity Summary")</f>
        <v>EXPLAIN: Enhancing Retrieval-Augmented Generation with Entity Summary</v>
      </c>
      <c r="C1583" s="7" t="str">
        <f>IFERROR(__xludf.DUMMYFUNCTION("""COMPUTED_VALUE"""),"Document question answering plays a crucial role in enhancing employee productivity by providing quick and accurate access to information. Two primary approaches have been developed: retrieval-augmented generation (RAG), which reduces input tokens and inf"&amp;"erence costs, and long-context question answering (LC), which processes entire documents for higher accuracy. We introduce EXPLAIN (\textbf{EX}tracting, \textbf{P}re-summarizing, \textbf{L}inking and enh\textbf{A}c\textbf{IN}g RAG), a novel retrieval-augm"&amp;"ented generation method that automatically extracts useful entities and generates summaries from documents. EXPLAIN improves accuracy by retrieving more informative entity summaries, achieving precision comparable to LC while maintaining low token consump"&amp;"tion. Experimental results on internal dataset (ROUGE-L from 30.14\% to 30.31\%) and three public datasets (HotpotQA, 2WikiMQA, and Quality, average score from 62\% to 64\%) demonstrate the efficacy of EXPLAIN. Human evaluation in ant group production dep"&amp;"loyment indicates EXPLAIN surpasses baseline RAG in comprehensiveness.")</f>
        <v>Document question answering plays a crucial role in enhancing employee productivity by providing quick and accurate access to information. Two primary approaches have been developed: retrieval-augmented generation (RAG), which reduces input tokens and inference costs, and long-context question answering (LC), which processes entire documents for higher accuracy. We introduce EXPLAIN (\textbf{EX}tracting, \textbf{P}re-summarizing, \textbf{L}inking and enh\textbf{A}c\textbf{IN}g RAG), a novel retrieval-augmented generation method that automatically extracts useful entities and generates summaries from documents. EXPLAIN improves accuracy by retrieving more informative entity summaries, achieving precision comparable to LC while maintaining low token consumption. Experimental results on internal dataset (ROUGE-L from 30.14\% to 30.31\%) and three public datasets (HotpotQA, 2WikiMQA, and Quality, average score from 62\% to 64\%) demonstrate the efficacy of EXPLAIN. Human evaluation in ant group production deployment indicates EXPLAIN surpasses baseline RAG in comprehensiveness.</v>
      </c>
      <c r="D1583" s="7" t="str">
        <f>IFERROR(__xludf.DUMMYFUNCTION("""COMPUTED_VALUE"""),"Yaozhen Liang")</f>
        <v>Yaozhen Liang</v>
      </c>
      <c r="E1583" s="7" t="str">
        <f>IFERROR(__xludf.DUMMYFUNCTION("""COMPUTED_VALUE"""),"Yes")</f>
        <v>Yes</v>
      </c>
      <c r="F1583" s="7" t="str">
        <f>IFERROR(__xludf.DUMMYFUNCTION("""COMPUTED_VALUE"""),"V-Presentation")</f>
        <v>V-Presentation</v>
      </c>
      <c r="G1583" s="7" t="str">
        <f>IFERROR(__xludf.DUMMYFUNCTION("""COMPUTED_VALUE"""),"Virtual/Gather")</f>
        <v>Virtual/Gather</v>
      </c>
      <c r="H1583" s="7" t="str">
        <f>IFERROR(__xludf.DUMMYFUNCTION("""COMPUTED_VALUE"""),"Zoom")</f>
        <v>Zoom</v>
      </c>
      <c r="I1583" s="7" t="str">
        <f>IFERROR(__xludf.DUMMYFUNCTION("""COMPUTED_VALUE"""),"Session 10: V-Presentations")</f>
        <v>Session 10: V-Presentations</v>
      </c>
      <c r="J1583" s="7" t="str">
        <f>IFERROR(__xludf.DUMMYFUNCTION("""COMPUTED_VALUE"""),"Industry - Virtual Presentations 1")</f>
        <v>Industry - Virtual Presentations 1</v>
      </c>
      <c r="K1583" s="7"/>
      <c r="L1583" s="8">
        <f>IFERROR(__xludf.DUMMYFUNCTION("""COMPUTED_VALUE"""),45867.0)</f>
        <v>45867</v>
      </c>
      <c r="M1583" s="7" t="str">
        <f>IFERROR(__xludf.DUMMYFUNCTION("""COMPUTED_VALUE"""),"4:00-5:30 am CEST")</f>
        <v>4:00-5:30 am CEST</v>
      </c>
      <c r="N1583" s="7"/>
    </row>
    <row r="1584">
      <c r="A1584" s="7" t="str">
        <f>IFERROR(__xludf.DUMMYFUNCTION("""COMPUTED_VALUE"""),"426-IND")</f>
        <v>426-IND</v>
      </c>
      <c r="B1584" s="7" t="str">
        <f>IFERROR(__xludf.DUMMYFUNCTION("""COMPUTED_VALUE"""),"EcoDoc: A Cost-Efficient Multimodal Document Processing System for Enterprises Using LLMs")</f>
        <v>EcoDoc: A Cost-Efficient Multimodal Document Processing System for Enterprises Using LLMs</v>
      </c>
      <c r="C1584" s="7" t="str">
        <f>IFERROR(__xludf.DUMMYFUNCTION("""COMPUTED_VALUE"""),"Enterprises are increasingly adopting Generative AI applications to extract insights from large volumes of multimodal documents in domains such as finance, law, healthcare, and industry. These documents contain structured and unstructured data (images, ch"&amp;"arts, handwritten texts, etc.) requiring robust AI systems for effective retrieval and comprehension. Recent advancements in Retrieval-Augmented Generation (RAG) frameworks and Vision-Language Models (VLMs) have improved retrieval performance on multimoda"&amp;"l documents by processing pages as images. However, large-scale deployment remains challenging due to the high cost of LLM API usage and the slower inference speed of image-based processing of pages compared to text-based processing. To address these chal"&amp;"lenges, we propose EcoDoc, a cost-effective multimodal document processing system that dynamically selects the processing  modalities for each page as an image or text based on page characteristics and query intent. Our experimental evaluation on TAT-DQA "&amp;"and DocVQA benchmarks shows that EcoDoc reduces average query processing latency by up to 2.29x and cost by up to 10x, without compromising accuracy.")</f>
        <v>Enterprises are increasingly adopting Generative AI applications to extract insights from large volumes of multimodal documents in domains such as finance, law, healthcare, and industry. These documents contain structured and unstructured data (images, charts, handwritten texts, etc.) requiring robust AI systems for effective retrieval and comprehension. Recent advancements in Retrieval-Augmented Generation (RAG) frameworks and Vision-Language Models (VLMs) have improved retrieval performance on multimodal documents by processing pages as images. However, large-scale deployment remains challenging due to the high cost of LLM API usage and the slower inference speed of image-based processing of pages compared to text-based processing. To address these challenges, we propose EcoDoc, a cost-effective multimodal document processing system that dynamically selects the processing  modalities for each page as an image or text based on page characteristics and query intent. Our experimental evaluation on TAT-DQA and DocVQA benchmarks shows that EcoDoc reduces average query processing latency by up to 2.29x and cost by up to 10x, without compromising accuracy.</v>
      </c>
      <c r="D1584" s="7" t="str">
        <f>IFERROR(__xludf.DUMMYFUNCTION("""COMPUTED_VALUE"""),"Biplob Debnath")</f>
        <v>Biplob Debnath</v>
      </c>
      <c r="E1584" s="7" t="str">
        <f>IFERROR(__xludf.DUMMYFUNCTION("""COMPUTED_VALUE"""),"Yes")</f>
        <v>Yes</v>
      </c>
      <c r="F1584" s="7" t="str">
        <f>IFERROR(__xludf.DUMMYFUNCTION("""COMPUTED_VALUE"""),"IP-Oral")</f>
        <v>IP-Oral</v>
      </c>
      <c r="G1584" s="7" t="str">
        <f>IFERROR(__xludf.DUMMYFUNCTION("""COMPUTED_VALUE"""),"In-person")</f>
        <v>In-person</v>
      </c>
      <c r="H1584" s="7" t="str">
        <f>IFERROR(__xludf.DUMMYFUNCTION("""COMPUTED_VALUE"""),"Hall L")</f>
        <v>Hall L</v>
      </c>
      <c r="I1584" s="7" t="str">
        <f>IFERROR(__xludf.DUMMYFUNCTION("""COMPUTED_VALUE"""),"Session 11: IP-Orals ")</f>
        <v>Session 11: IP-Orals </v>
      </c>
      <c r="J1584" s="7" t="str">
        <f>IFERROR(__xludf.DUMMYFUNCTION("""COMPUTED_VALUE"""),"Industry 5")</f>
        <v>Industry 5</v>
      </c>
      <c r="K1584" s="7"/>
      <c r="L1584" s="8"/>
      <c r="M1584" s="7" t="str">
        <f>IFERROR(__xludf.DUMMYFUNCTION("""COMPUTED_VALUE"""),"09:00-10:30")</f>
        <v>09:00-10:30</v>
      </c>
      <c r="N1584" s="7">
        <f>IFERROR(__xludf.DUMMYFUNCTION("""COMPUTED_VALUE"""),7.0)</f>
        <v>7</v>
      </c>
    </row>
    <row r="1585">
      <c r="A1585" s="7" t="str">
        <f>IFERROR(__xludf.DUMMYFUNCTION("""COMPUTED_VALUE"""),"2-MAIN")</f>
        <v>2-MAIN</v>
      </c>
      <c r="B1585" s="7" t="str">
        <f>IFERROR(__xludf.DUMMYFUNCTION("""COMPUTED_VALUE"""),"EcomScriptBench: A Multi-task Benchmark for E-commerce Script Planning via Step-wise Intention-Driven Product Association")</f>
        <v>EcomScriptBench: A Multi-task Benchmark for E-commerce Script Planning via Step-wise Intention-Driven Product Association</v>
      </c>
      <c r="C1585" s="7" t="str">
        <f>IFERROR(__xludf.DUMMYFUNCTION("""COMPUTED_VALUE"""),"Goal-oriented script planning, or the ability to devise coherent sequences of actions toward specific goals, is commonly employed by humans to plan for typical activities. In e-commerce, customers increasingly seek LLM-based assistants to generate scripts"&amp;" and recommend products at each step, thereby facilitating convenient and efficient shopping experiences. However, this capability remains underexplored due to several challenges, including the inability of LLMs to simultaneously conduct script planning a"&amp;"nd product retrieval, difficulties in matching products caused by semantic discrepancies between planned actions and search queries, and a lack of methods and benchmark data for evaluation. In this paper, we step forward by formally defining the task of E"&amp;"-commerce Script Planning (EcomScript) as three sequential subtasks. We propose a novel framework that enables the scalable generation of product-enriched scripts by associating products with each step based on the semantic similarity between the actions "&amp;"and their purchase intentions. By applying our framework to real-world e-commerce data, we construct the very first large-scale EcomScript dataset, EcomScriptBench, which includes 605,229 scripts sourced from 2.4 million products. Human annotations are th"&amp;"en conducted to provide gold labels for a sampled subset, forming an evaluation benchmark. Extensive experiments reveal that current (L)LMs face significant challenges with EcomScript tasks, even after fine-tuning, while injecting product purchase intenti"&amp;"ons improves their performance.")</f>
        <v>Goal-oriented script planning, or the ability to devise coherent sequences of actions toward specific goals, is commonly employed by humans to plan for typical activities. In e-commerce, customers increasingly seek LLM-based assistants to generate scripts and recommend products at each step, thereby facilitating convenient and efficient shopping experiences. However, this capability remains underexplored due to several challenges, including the inability of LLMs to simultaneously conduct script planning and product retrieval, difficulties in matching products caused by semantic discrepancies between planned actions and search queries, and a lack of methods and benchmark data for evaluation. In this paper, we step forward by formally defining the task of E-commerce Script Planning (EcomScript) as three sequential subtasks. We propose a novel framework that enables the scalable generation of product-enriched scripts by associating products with each step based on the semantic similarity between the actions and their purchase intentions. By applying our framework to real-world e-commerce data, we construct the very first large-scale EcomScript dataset, EcomScriptBench, which includes 605,229 scripts sourced from 2.4 million products. Human annotations are then conducted to provide gold labels for a sampled subset, forming an evaluation benchmark. Extensive experiments reveal that current (L)LMs face significant challenges with EcomScript tasks, even after fine-tuning, while injecting product purchase intentions improves their performance.</v>
      </c>
      <c r="D1585" s="7" t="str">
        <f>IFERROR(__xludf.DUMMYFUNCTION("""COMPUTED_VALUE"""),"Weiqi Wang")</f>
        <v>Weiqi Wang</v>
      </c>
      <c r="E1585" s="7" t="str">
        <f>IFERROR(__xludf.DUMMYFUNCTION("""COMPUTED_VALUE"""),"Yes")</f>
        <v>Yes</v>
      </c>
      <c r="F1585" s="7" t="str">
        <f>IFERROR(__xludf.DUMMYFUNCTION("""COMPUTED_VALUE"""),"IP-Poster")</f>
        <v>IP-Poster</v>
      </c>
      <c r="G1585" s="7" t="str">
        <f>IFERROR(__xludf.DUMMYFUNCTION("""COMPUTED_VALUE"""),"In-Person")</f>
        <v>In-Person</v>
      </c>
      <c r="H1585" s="7" t="str">
        <f>IFERROR(__xludf.DUMMYFUNCTION("""COMPUTED_VALUE"""),"Hall 4/5")</f>
        <v>Hall 4/5</v>
      </c>
      <c r="I1585" s="7" t="str">
        <f>IFERROR(__xludf.DUMMYFUNCTION("""COMPUTED_VALUE"""),"Session 2: IP-Posters ")</f>
        <v>Session 2: IP-Posters </v>
      </c>
      <c r="J1585" s="7" t="str">
        <f>IFERROR(__xludf.DUMMYFUNCTION("""COMPUTED_VALUE"""),"Poster Session 1")</f>
        <v>Poster Session 1</v>
      </c>
      <c r="K1585" s="7"/>
      <c r="L1585" s="8">
        <f>IFERROR(__xludf.DUMMYFUNCTION("""COMPUTED_VALUE"""),45866.0)</f>
        <v>45866</v>
      </c>
      <c r="M1585" s="7" t="str">
        <f>IFERROR(__xludf.DUMMYFUNCTION("""COMPUTED_VALUE"""),"11:00-12:30")</f>
        <v>11:00-12:30</v>
      </c>
      <c r="N1585" s="7"/>
    </row>
    <row r="1586">
      <c r="A1586" s="7" t="str">
        <f>IFERROR(__xludf.DUMMYFUNCTION("""COMPUTED_VALUE"""),"14-MAIN")</f>
        <v>14-MAIN</v>
      </c>
      <c r="B1586" s="7" t="str">
        <f>IFERROR(__xludf.DUMMYFUNCTION("""COMPUTED_VALUE"""),"TAGExplainer: Narrating Graph Explanations for Text-Attributed Graph Learning Models")</f>
        <v>TAGExplainer: Narrating Graph Explanations for Text-Attributed Graph Learning Models</v>
      </c>
      <c r="C1586" s="7" t="str">
        <f>IFERROR(__xludf.DUMMYFUNCTION("""COMPUTED_VALUE"""),"Graph representation learning has garnered significant attention due to its broad applications in various domains, such as recommendation systems and social network analysis. Despite advancements in graph learning methods, challenges still remain in expla"&amp;"inability when graphs are associated with semantic features. In this paper, we present GraphNarrator, the first method designed to generate natural language explanations for Graph Neural Networks. GraphNarrator employs a generative language model that map"&amp;"s input-output pairs to explanations reflecting the model's decision-making process. To address the lack of ground truth explanations to train the model, we propose first generating pseudo-labels that capture the model's decisions from saliency-based expl"&amp;"anations, then using Expert Iteration to iteratively train the pseudo-label generator based on training objectives on explanation quality. The high-quality pseudo-labels are finally utilized to train an end-to-end explanation generator model. Extensive ex"&amp;"periments are conducted to demonstrate the effectiveness of GraphNarrator in producing faithful, concise, and human-preferred natural language explanations.")</f>
        <v>Graph representation learning has garnered significant attention due to its broad applications in various domains, such as recommendation systems and social network analysis. Despite advancements in graph learning methods, challenges still remain in explainability when graphs are associated with semantic features. In this paper, we present GraphNarrator, the first method designed to generate natural language explanations for Graph Neural Networks. GraphNarrator employs a generative language model that maps input-output pairs to explanations reflecting the model's decision-making process. To address the lack of ground truth explanations to train the model, we propose first generating pseudo-labels that capture the model's decisions from saliency-based explanations, then using Expert Iteration to iteratively train the pseudo-label generator based on training objectives on explanation quality. The high-quality pseudo-labels are finally utilized to train an end-to-end explanation generator model. Extensive experiments are conducted to demonstrate the effectiveness of GraphNarrator in producing faithful, concise, and human-preferred natural language explanations.</v>
      </c>
      <c r="D1586" s="7" t="str">
        <f>IFERROR(__xludf.DUMMYFUNCTION("""COMPUTED_VALUE"""),"Bo Pan")</f>
        <v>Bo Pan</v>
      </c>
      <c r="E1586" s="7" t="str">
        <f>IFERROR(__xludf.DUMMYFUNCTION("""COMPUTED_VALUE"""),"Yes")</f>
        <v>Yes</v>
      </c>
      <c r="F1586" s="7" t="str">
        <f>IFERROR(__xludf.DUMMYFUNCTION("""COMPUTED_VALUE"""),"IP-Poster")</f>
        <v>IP-Poster</v>
      </c>
      <c r="G1586" s="7" t="str">
        <f>IFERROR(__xludf.DUMMYFUNCTION("""COMPUTED_VALUE"""),"In-Person")</f>
        <v>In-Person</v>
      </c>
      <c r="H1586" s="7" t="str">
        <f>IFERROR(__xludf.DUMMYFUNCTION("""COMPUTED_VALUE"""),"Hall 4/5")</f>
        <v>Hall 4/5</v>
      </c>
      <c r="I1586" s="7" t="str">
        <f>IFERROR(__xludf.DUMMYFUNCTION("""COMPUTED_VALUE"""),"Session 7: IP-Posters")</f>
        <v>Session 7: IP-Posters</v>
      </c>
      <c r="J1586" s="7" t="str">
        <f>IFERROR(__xludf.DUMMYFUNCTION("""COMPUTED_VALUE"""),"Poster Session 2")</f>
        <v>Poster Session 2</v>
      </c>
      <c r="K1586" s="7"/>
      <c r="L1586" s="8">
        <f>IFERROR(__xludf.DUMMYFUNCTION("""COMPUTED_VALUE"""),45867.0)</f>
        <v>45867</v>
      </c>
      <c r="M1586" s="7" t="str">
        <f>IFERROR(__xludf.DUMMYFUNCTION("""COMPUTED_VALUE"""),"10:30-12:00")</f>
        <v>10:30-12:00</v>
      </c>
      <c r="N1586" s="7"/>
    </row>
    <row r="1587">
      <c r="A1587" s="7" t="str">
        <f>IFERROR(__xludf.DUMMYFUNCTION("""COMPUTED_VALUE"""),"15-MAIN")</f>
        <v>15-MAIN</v>
      </c>
      <c r="B1587" s="7" t="str">
        <f>IFERROR(__xludf.DUMMYFUNCTION("""COMPUTED_VALUE"""),"M-RewardBench: Evaluating Reward Models in Multilingual Settings")</f>
        <v>M-RewardBench: Evaluating Reward Models in Multilingual Settings</v>
      </c>
      <c r="C1587" s="7" t="str">
        <f>IFERROR(__xludf.DUMMYFUNCTION("""COMPUTED_VALUE"""),"Reward models (RMs) have driven the state-of-the-art performance of LLMs today by enabling the integration of human feedback into the language modeling process. However, RMs are primarily trained and evaluated in English, and their capabilities in multili"&amp;"ngual settings remain largely understudied. In this work, we conduct a systematic evaluation of several reward models in multilingual settings. We first construct the first-of-its-kind multilingual RM evaluation benchmark, M-RewardBench, consisting of 2.8"&amp;"7k preference instances for 23 typologically diverse languages, that tests the chat, safety, reasoning, and translation capabilities of RMs. We then rigorously evaluate a wide range of reward models on M-RewardBench, offering fresh insights into their per"&amp;"formance across diverse languages. We identify a significant gap in RMs' performances between English and non-English languages and show that RM preferences can change substantially from one language to another. We also present several findings on how dif"&amp;"ferent multilingual aspects impact RM performance. Specifically, we show that the performance of RMs is improved with improved translation quality. Similarly, we demonstrate that the models exhibit better performance for high-resource languages. We releas"&amp;"e M-RewardBench dataset and the codebase in this study to facilitate a better understanding of RM evaluation in multilingual settings.")</f>
        <v>Reward models (RMs) have driven the state-of-the-art performance of LLMs today by enabling the integration of human feedback into the language modeling process. However, RMs are primarily trained and evaluated in English, and their capabilities in multilingual settings remain largely understudied. In this work, we conduct a systematic evaluation of several reward models in multilingual settings. We first construct the first-of-its-kind multilingual RM evaluation benchmark, M-RewardBench, consisting of 2.87k preference instances for 23 typologically diverse languages, that tests the chat, safety, reasoning, and translation capabilities of RMs. We then rigorously evaluate a wide range of reward models on M-RewardBench, offering fresh insights into their performance across diverse languages. We identify a significant gap in RMs' performances between English and non-English languages and show that RM preferences can change substantially from one language to another. We also present several findings on how different multilingual aspects impact RM performance. Specifically, we show that the performance of RMs is improved with improved translation quality. Similarly, we demonstrate that the models exhibit better performance for high-resource languages. We release M-RewardBench dataset and the codebase in this study to facilitate a better understanding of RM evaluation in multilingual settings.</v>
      </c>
      <c r="D1587" s="7" t="str">
        <f>IFERROR(__xludf.DUMMYFUNCTION("""COMPUTED_VALUE"""),"Lester James Validad Miranda")</f>
        <v>Lester James Validad Miranda</v>
      </c>
      <c r="E1587" s="7" t="str">
        <f>IFERROR(__xludf.DUMMYFUNCTION("""COMPUTED_VALUE"""),"Yes")</f>
        <v>Yes</v>
      </c>
      <c r="F1587" s="7" t="str">
        <f>IFERROR(__xludf.DUMMYFUNCTION("""COMPUTED_VALUE"""),"IP-Poster")</f>
        <v>IP-Poster</v>
      </c>
      <c r="G1587" s="7" t="str">
        <f>IFERROR(__xludf.DUMMYFUNCTION("""COMPUTED_VALUE"""),"In-Person")</f>
        <v>In-Person</v>
      </c>
      <c r="H1587" s="7" t="str">
        <f>IFERROR(__xludf.DUMMYFUNCTION("""COMPUTED_VALUE"""),"Hall 4/5")</f>
        <v>Hall 4/5</v>
      </c>
      <c r="I1587" s="7" t="str">
        <f>IFERROR(__xludf.DUMMYFUNCTION("""COMPUTED_VALUE"""),"Session 2: IP-Posters ")</f>
        <v>Session 2: IP-Posters </v>
      </c>
      <c r="J1587" s="7" t="str">
        <f>IFERROR(__xludf.DUMMYFUNCTION("""COMPUTED_VALUE"""),"Poster Session 1")</f>
        <v>Poster Session 1</v>
      </c>
      <c r="K1587" s="7"/>
      <c r="L1587" s="8">
        <f>IFERROR(__xludf.DUMMYFUNCTION("""COMPUTED_VALUE"""),45866.0)</f>
        <v>45866</v>
      </c>
      <c r="M1587" s="7" t="str">
        <f>IFERROR(__xludf.DUMMYFUNCTION("""COMPUTED_VALUE"""),"11:00-12:30")</f>
        <v>11:00-12:30</v>
      </c>
      <c r="N1587" s="7"/>
    </row>
    <row r="1588">
      <c r="A1588" s="7" t="str">
        <f>IFERROR(__xludf.DUMMYFUNCTION("""COMPUTED_VALUE"""),"17-MAIN")</f>
        <v>17-MAIN</v>
      </c>
      <c r="B1588" s="7" t="str">
        <f>IFERROR(__xludf.DUMMYFUNCTION("""COMPUTED_VALUE"""),"ELABORATION: A Comprehensive Benchmark on Human-LLM Competitive Programming")</f>
        <v>ELABORATION: A Comprehensive Benchmark on Human-LLM Competitive Programming</v>
      </c>
      <c r="C1588" s="7" t="str">
        <f>IFERROR(__xludf.DUMMYFUNCTION("""COMPUTED_VALUE"""),"While recent research increasingly emphasizes the value of human-LLM collaboration in competitive programming and proposes numerous empirical methods, a comprehensive understanding remains elusive due to the fragmented nature of existing studies and their"&amp;" use of diverse, application-specific human feedback. Thus, our work serves a three-fold purpose: First, we present the first taxonomy of human feedback consolidating the entire programming process, which promotes fine-grained evaluation. Second, we intro"&amp;"duce ELABORATIONSET, a novel programming dataset specifically designed for human-LLM collaboration, meticulously annotated to enable large-scale simulated human feedback and facilitate cost-effective real human interaction studies. Third, we introduce ELA"&amp;"BORATION, a novel benchmark to facilitate a thorough assessment of human-LLM competitive programming. With ELABORATION, we pinpoint strengthes and weaknesses of existing methods, thereby setting the foundation for furture improvement. Our dataset and code"&amp;" will be openly released.")</f>
        <v>While recent research increasingly emphasizes the value of human-LLM collaboration in competitive programming and proposes numerous empirical methods, a comprehensive understanding remains elusive due to the fragmented nature of existing studies and their use of diverse, application-specific human feedback. Thus, our work serves a three-fold purpose: First, we present the first taxonomy of human feedback consolidating the entire programming process, which promotes fine-grained evaluation. Second, we introduce ELABORATIONSET, a novel programming dataset specifically designed for human-LLM collaboration, meticulously annotated to enable large-scale simulated human feedback and facilitate cost-effective real human interaction studies. Third, we introduce ELABORATION, a novel benchmark to facilitate a thorough assessment of human-LLM competitive programming. With ELABORATION, we pinpoint strengthes and weaknesses of existing methods, thereby setting the foundation for furture improvement. Our dataset and code will be openly released.</v>
      </c>
      <c r="D1588" s="7" t="str">
        <f>IFERROR(__xludf.DUMMYFUNCTION("""COMPUTED_VALUE"""),"Xinwei Yang")</f>
        <v>Xinwei Yang</v>
      </c>
      <c r="E1588" s="7" t="str">
        <f>IFERROR(__xludf.DUMMYFUNCTION("""COMPUTED_VALUE"""),"Yes")</f>
        <v>Yes</v>
      </c>
      <c r="F1588" s="7" t="str">
        <f>IFERROR(__xludf.DUMMYFUNCTION("""COMPUTED_VALUE"""),"IP-Poster")</f>
        <v>IP-Poster</v>
      </c>
      <c r="G1588" s="7" t="str">
        <f>IFERROR(__xludf.DUMMYFUNCTION("""COMPUTED_VALUE"""),"In-Person")</f>
        <v>In-Person</v>
      </c>
      <c r="H1588" s="7" t="str">
        <f>IFERROR(__xludf.DUMMYFUNCTION("""COMPUTED_VALUE"""),"Hall 4/5")</f>
        <v>Hall 4/5</v>
      </c>
      <c r="I1588" s="7" t="str">
        <f>IFERROR(__xludf.DUMMYFUNCTION("""COMPUTED_VALUE"""),"Session 12: IP-Posters")</f>
        <v>Session 12: IP-Posters</v>
      </c>
      <c r="J1588" s="7" t="str">
        <f>IFERROR(__xludf.DUMMYFUNCTION("""COMPUTED_VALUE"""),"Poster Session 4")</f>
        <v>Poster Session 4</v>
      </c>
      <c r="K1588" s="7"/>
      <c r="L1588" s="8">
        <f>IFERROR(__xludf.DUMMYFUNCTION("""COMPUTED_VALUE"""),45868.0)</f>
        <v>45868</v>
      </c>
      <c r="M1588" s="7" t="str">
        <f>IFERROR(__xludf.DUMMYFUNCTION("""COMPUTED_VALUE"""),"11:00-12:30")</f>
        <v>11:00-12:30</v>
      </c>
      <c r="N1588" s="7"/>
    </row>
    <row r="1589">
      <c r="A1589" s="7" t="str">
        <f>IFERROR(__xludf.DUMMYFUNCTION("""COMPUTED_VALUE"""),"18-MAIN")</f>
        <v>18-MAIN</v>
      </c>
      <c r="B1589" s="7" t="str">
        <f>IFERROR(__xludf.DUMMYFUNCTION("""COMPUTED_VALUE"""),"The Impossibility of Fair LLMs")</f>
        <v>The Impossibility of Fair LLMs</v>
      </c>
      <c r="C1589" s="7" t="str">
        <f>IFERROR(__xludf.DUMMYFUNCTION("""COMPUTED_VALUE"""),"The rise of general-purpose artificial intelligence (AI) systems, particularly large language models (LLMs), has raised pressing moral questions about how to reduce bias and ensure fairness at scale. Researchers have documented a sort of “bias” in the sig"&amp;"nificant correlations between demographics (e.g., race, gender) in LLM prompts and responses, but it remains unclear how LLM fairness could be evaluated with more rigorous definitions, such as group fairness or fair representations. We analyze a variety o"&amp;"f technical fairness frameworks and find inherent challenges in each that make the development of a fair LLM intractable. We show that each framework either does not logically extend to the general-purpose AI context or is infeasible in practice, primaril"&amp;"y due to the large amounts of unstructured training data and the many potential combinations of human populations, use cases, and sensitive attributes. These inherent challenges would persist for general-purpose AI, including LLMs, even if empirical chall"&amp;"enges, such as limited participatory input and limited measurement methods, were overcome. Nonetheless, fairness will remain an important type of model evaluation, and there are still promising research directions, particularly the development of standard"&amp;"s for the responsibility of LLM developers, context-specific evaluations, and methods of iterative, participatory, and AI-assisted evaluation that could scale fairness across the diverse contexts of modern human-AI interaction.")</f>
        <v>The rise of general-purpose artificial intelligence (AI) systems, particularly large language models (LLMs), has raised pressing moral questions about how to reduce bias and ensure fairness at scale. Researchers have documented a sort of “bias” in the significant correlations between demographics (e.g., race, gender) in LLM prompts and responses, but it remains unclear how LLM fairness could be evaluated with more rigorous definitions, such as group fairness or fair representations. We analyze a variety of technical fairness frameworks and find inherent challenges in each that make the development of a fair LLM intractable. We show that each framework either does not logically extend to the general-purpose AI context or is infeasible in practice, primarily due to the large amounts of unstructured training data and the many potential combinations of human populations, use cases, and sensitive attributes. These inherent challenges would persist for general-purpose AI, including LLMs, even if empirical challenges, such as limited participatory input and limited measurement methods, were overcome. Nonetheless, fairness will remain an important type of model evaluation, and there are still promising research directions, particularly the development of standards for the responsibility of LLM developers, context-specific evaluations, and methods of iterative, participatory, and AI-assisted evaluation that could scale fairness across the diverse contexts of modern human-AI interaction.</v>
      </c>
      <c r="D1589" s="7" t="str">
        <f>IFERROR(__xludf.DUMMYFUNCTION("""COMPUTED_VALUE"""),"Jacy Reese Anthis")</f>
        <v>Jacy Reese Anthis</v>
      </c>
      <c r="E1589" s="7" t="str">
        <f>IFERROR(__xludf.DUMMYFUNCTION("""COMPUTED_VALUE"""),"Yes")</f>
        <v>Yes</v>
      </c>
      <c r="F1589" s="7" t="str">
        <f>IFERROR(__xludf.DUMMYFUNCTION("""COMPUTED_VALUE"""),"IP-Poster")</f>
        <v>IP-Poster</v>
      </c>
      <c r="G1589" s="7" t="str">
        <f>IFERROR(__xludf.DUMMYFUNCTION("""COMPUTED_VALUE"""),"In-Person")</f>
        <v>In-Person</v>
      </c>
      <c r="H1589" s="7" t="str">
        <f>IFERROR(__xludf.DUMMYFUNCTION("""COMPUTED_VALUE"""),"Hall 4/5")</f>
        <v>Hall 4/5</v>
      </c>
      <c r="I1589" s="7" t="str">
        <f>IFERROR(__xludf.DUMMYFUNCTION("""COMPUTED_VALUE"""),"Session 10: IP-Posters")</f>
        <v>Session 10: IP-Posters</v>
      </c>
      <c r="J1589" s="7" t="str">
        <f>IFERROR(__xludf.DUMMYFUNCTION("""COMPUTED_VALUE"""),"Poster Session 3")</f>
        <v>Poster Session 3</v>
      </c>
      <c r="K1589" s="7"/>
      <c r="L1589" s="8">
        <f>IFERROR(__xludf.DUMMYFUNCTION("""COMPUTED_VALUE"""),45867.0)</f>
        <v>45867</v>
      </c>
      <c r="M1589" s="7" t="str">
        <f>IFERROR(__xludf.DUMMYFUNCTION("""COMPUTED_VALUE"""),"16:00-17:30")</f>
        <v>16:00-17:30</v>
      </c>
      <c r="N1589" s="7"/>
    </row>
    <row r="1590">
      <c r="A1590" s="7" t="str">
        <f>IFERROR(__xludf.DUMMYFUNCTION("""COMPUTED_VALUE"""),"19-MAIN")</f>
        <v>19-MAIN</v>
      </c>
      <c r="B1590" s="7" t="str">
        <f>IFERROR(__xludf.DUMMYFUNCTION("""COMPUTED_VALUE"""),"Intuitive Fine-Tuning: Towards Simplifying Alignment into a Single Process")</f>
        <v>Intuitive Fine-Tuning: Towards Simplifying Alignment into a Single Process</v>
      </c>
      <c r="C1590" s="7" t="str">
        <f>IFERROR(__xludf.DUMMYFUNCTION("""COMPUTED_VALUE"""),"Supervised Fine-Tuning (SFT) and Preference Optimization (PO) are key processes for aligning Language Models (LMs) with human preferences post pre-training. While SFT excels in efficiency and PO in effectiveness, they are often combined sequentially witho"&amp;"ut integrating their optimization objectives. This approach ignores the opportunities to bridge their paradigm gap and take the strengths from both. In this paper, we interpret SFT and PO with two sub-processes — *Preference Estimation* and *Transition Op"&amp;"timization* — defined at token level within the Markov Decision Process (MDP). This modeling shows that SFT is only a special case of PO with inferior estimation and optimization. PO estimates the model's preference by its entire generation, while SFT onl"&amp;"y scores model's subsequent predicted tokens based on prior tokens from ground truth answer. These priors deviates from model's distribution, hindering the preference estimation and transition optimization. Building on this view, we introduce **Intuitive "&amp;"Fine-Tuning (IFT)** to integrate SFT and PO into a single process. Through a temporal residual connection, IFT brings better estimation and optimization by capturing LMs' intuitive sense of its entire answers. But it solely relies on a single policy and t"&amp;"he same volume of non-preference-labeled data as SFT. Our experiments show that IFT performs comparably or even superiorly to SFT and some typical PO methods across several tasks, particularly those requires generation, reasoning, and fact-following abili"&amp;"ties. An explainable Frozen Lake game further validates the effectiveness of IFT for getting competitive policy.")</f>
        <v>Supervised Fine-Tuning (SFT) and Preference Optimization (PO) are key processes for aligning Language Models (LMs) with human preferences post pre-training. While SFT excels in efficiency and PO in effectiveness, they are often combined sequentially without integrating their optimization objectives. This approach ignores the opportunities to bridge their paradigm gap and take the strengths from both. In this paper, we interpret SFT and PO with two sub-processes — *Preference Estimation* and *Transition Optimization* — defined at token level within the Markov Decision Process (MDP). This modeling shows that SFT is only a special case of PO with inferior estimation and optimization. PO estimates the model's preference by its entire generation, while SFT only scores model's subsequent predicted tokens based on prior tokens from ground truth answer. These priors deviates from model's distribution, hindering the preference estimation and transition optimization. Building on this view, we introduce **Intuitive Fine-Tuning (IFT)** to integrate SFT and PO into a single process. Through a temporal residual connection, IFT brings better estimation and optimization by capturing LMs' intuitive sense of its entire answers. But it solely relies on a single policy and the same volume of non-preference-labeled data as SFT. Our experiments show that IFT performs comparably or even superiorly to SFT and some typical PO methods across several tasks, particularly those requires generation, reasoning, and fact-following abilities. An explainable Frozen Lake game further validates the effectiveness of IFT for getting competitive policy.</v>
      </c>
      <c r="D1590" s="7" t="str">
        <f>IFERROR(__xludf.DUMMYFUNCTION("""COMPUTED_VALUE"""),"Ermo Hua")</f>
        <v>Ermo Hua</v>
      </c>
      <c r="E1590" s="7" t="str">
        <f>IFERROR(__xludf.DUMMYFUNCTION("""COMPUTED_VALUE"""),"Yes")</f>
        <v>Yes</v>
      </c>
      <c r="F1590" s="7" t="str">
        <f>IFERROR(__xludf.DUMMYFUNCTION("""COMPUTED_VALUE"""),"IP-Oral")</f>
        <v>IP-Oral</v>
      </c>
      <c r="G1590" s="7" t="str">
        <f>IFERROR(__xludf.DUMMYFUNCTION("""COMPUTED_VALUE"""),"In-Person")</f>
        <v>In-Person</v>
      </c>
      <c r="H1590" s="7" t="str">
        <f>IFERROR(__xludf.DUMMYFUNCTION("""COMPUTED_VALUE"""),"Hall B")</f>
        <v>Hall B</v>
      </c>
      <c r="I1590" s="7" t="str">
        <f>IFERROR(__xludf.DUMMYFUNCTION("""COMPUTED_VALUE"""),"Session 11: IP-Orals ")</f>
        <v>Session 11: IP-Orals </v>
      </c>
      <c r="J1590" s="7" t="str">
        <f>IFERROR(__xludf.DUMMYFUNCTION("""COMPUTED_VALUE"""),"Panel 2: LLM alignment")</f>
        <v>Panel 2: LLM alignment</v>
      </c>
      <c r="K1590" s="7"/>
      <c r="L1590" s="8">
        <f>IFERROR(__xludf.DUMMYFUNCTION("""COMPUTED_VALUE"""),45868.0)</f>
        <v>45868</v>
      </c>
      <c r="M1590" s="7" t="str">
        <f>IFERROR(__xludf.DUMMYFUNCTION("""COMPUTED_VALUE"""),"09:00-10:30")</f>
        <v>09:00-10:30</v>
      </c>
      <c r="N1590" s="7">
        <f>IFERROR(__xludf.DUMMYFUNCTION("""COMPUTED_VALUE"""),1.0)</f>
        <v>1</v>
      </c>
    </row>
    <row r="1591">
      <c r="A1591" s="7" t="str">
        <f>IFERROR(__xludf.DUMMYFUNCTION("""COMPUTED_VALUE"""),"20-MAIN")</f>
        <v>20-MAIN</v>
      </c>
      <c r="B1591" s="7" t="str">
        <f>IFERROR(__xludf.DUMMYFUNCTION("""COMPUTED_VALUE"""),"Bias in Language Models: Beyond Trick Tests and Towards RUTEd Evaluation")</f>
        <v>Bias in Language Models: Beyond Trick Tests and Towards RUTEd Evaluation</v>
      </c>
      <c r="C1591" s="7" t="str">
        <f>IFERROR(__xludf.DUMMYFUNCTION("""COMPUTED_VALUE"""),"Standard bias benchmarks used for large language models (LLMs) measure the association between social attributes in model inputs and single-word model outputs. We test whether these benchmarks are robust to lengthening the model outputs via a more realist"&amp;"ic user prompt, in the commonly studied domain of gender-occupation bias, as a step towards measuring Realistic Use and Tangible Effects (i.e., RUTEd evaluations). From the current literature, we adapt three standard metrics of next-word prediction (neutr"&amp;"ality, skew, and stereotype), and we develop analogous RUTEd evaluations in three contexts of real-world LLM use: children's bedtime stories, user personas, and English language learning exercises. We find that standard bias metrics have no significant co"&amp;"rrelation with long-form output metrics. For example, selecting the least biased model based on the standard “trick tests” coincides with selecting the least biased model based on longer output no more than random chance. There may not yet be evidence to "&amp;"justify standard benchmarks as reliable proxies of real-world biases, and we encourage further development of context-specific RUTEd evaluations.")</f>
        <v>Standard bias benchmarks used for large language models (LLMs) measure the association between social attributes in model inputs and single-word model outputs. We test whether these benchmarks are robust to lengthening the model outputs via a more realistic user prompt, in the commonly studied domain of gender-occupation bias, as a step towards measuring Realistic Use and Tangible Effects (i.e., RUTEd evaluations). From the current literature, we adapt three standard metrics of next-word prediction (neutrality, skew, and stereotype), and we develop analogous RUTEd evaluations in three contexts of real-world LLM use: children's bedtime stories, user personas, and English language learning exercises. We find that standard bias metrics have no significant correlation with long-form output metrics. For example, selecting the least biased model based on the standard “trick tests” coincides with selecting the least biased model based on longer output no more than random chance. There may not yet be evidence to justify standard benchmarks as reliable proxies of real-world biases, and we encourage further development of context-specific RUTEd evaluations.</v>
      </c>
      <c r="D1591" s="7" t="str">
        <f>IFERROR(__xludf.DUMMYFUNCTION("""COMPUTED_VALUE"""),"Jacy Reese Anthis")</f>
        <v>Jacy Reese Anthis</v>
      </c>
      <c r="E1591" s="7" t="str">
        <f>IFERROR(__xludf.DUMMYFUNCTION("""COMPUTED_VALUE"""),"Yes")</f>
        <v>Yes</v>
      </c>
      <c r="F1591" s="7" t="str">
        <f>IFERROR(__xludf.DUMMYFUNCTION("""COMPUTED_VALUE"""),"IP-Poster")</f>
        <v>IP-Poster</v>
      </c>
      <c r="G1591" s="7" t="str">
        <f>IFERROR(__xludf.DUMMYFUNCTION("""COMPUTED_VALUE"""),"In-Person")</f>
        <v>In-Person</v>
      </c>
      <c r="H1591" s="7" t="str">
        <f>IFERROR(__xludf.DUMMYFUNCTION("""COMPUTED_VALUE"""),"Hall 4/5")</f>
        <v>Hall 4/5</v>
      </c>
      <c r="I1591" s="7" t="str">
        <f>IFERROR(__xludf.DUMMYFUNCTION("""COMPUTED_VALUE"""),"Session 2: IP-Posters ")</f>
        <v>Session 2: IP-Posters </v>
      </c>
      <c r="J1591" s="7" t="str">
        <f>IFERROR(__xludf.DUMMYFUNCTION("""COMPUTED_VALUE"""),"Poster Session 1")</f>
        <v>Poster Session 1</v>
      </c>
      <c r="K1591" s="7"/>
      <c r="L1591" s="8">
        <f>IFERROR(__xludf.DUMMYFUNCTION("""COMPUTED_VALUE"""),45866.0)</f>
        <v>45866</v>
      </c>
      <c r="M1591" s="7" t="str">
        <f>IFERROR(__xludf.DUMMYFUNCTION("""COMPUTED_VALUE"""),"11:00-12:30")</f>
        <v>11:00-12:30</v>
      </c>
      <c r="N1591" s="7"/>
    </row>
    <row r="1592">
      <c r="A1592" s="7" t="str">
        <f>IFERROR(__xludf.DUMMYFUNCTION("""COMPUTED_VALUE"""),"21-MAIN")</f>
        <v>21-MAIN</v>
      </c>
      <c r="B1592" s="7" t="str">
        <f>IFERROR(__xludf.DUMMYFUNCTION("""COMPUTED_VALUE"""),"Sliding Windows Are Not the End: Exploring Full Ranking with Long-Context Large Language Models")</f>
        <v>Sliding Windows Are Not the End: Exploring Full Ranking with Long-Context Large Language Models</v>
      </c>
      <c r="C1592" s="7" t="str">
        <f>IFERROR(__xludf.DUMMYFUNCTION("""COMPUTED_VALUE"""),"Large Language Models (LLMs) have shown exciting performance in listwise passage ranking. Due to the limited input length, existing methods often adopt the sliding window strategy. Such a strategy, though effective, is inefficient as it involves repetitiv"&amp;"e and serialized processing, which usually re-evaluates relevant passages multiple times. As a result, it incurs redundant API costs, which are proportional to the number of inference tokens. The development of long-context LLMs enables the full ranking o"&amp;"f all passages within a single inference, avoiding redundant API costs. In this paper, we conduct a comprehensive study of long-context LLMs for ranking tasks in terms of efficiency and effectiveness. Surprisingly, our experiments reveal that full ranking"&amp;" with long-context LLMs can deliver superior performance in the supervised fine-tuning setting with a huge efficiency improvement. Furthermore, we identify two limitations of fine-tuning the full ranking model based on existing methods: (1) sliding window"&amp;" strategy fails to produce a full ranking list as a training label, and (2) the language modeling loss cannot emphasize top-ranked passage IDs in the label. To alleviate these issues, we propose a new complete listwise label construction approach and a no"&amp;"vel importance-aware learning objective for full ranking. Experiments show the superior performance of our method over baselines.")</f>
        <v>Large Language Models (LLMs) have shown exciting performance in listwise passage ranking. Due to the limited input length, existing methods often adopt the sliding window strategy. Such a strategy, though effective, is inefficient as it involves repetitive and serialized processing, which usually re-evaluates relevant passages multiple times. As a result, it incurs redundant API costs, which are proportional to the number of inference tokens. The development of long-context LLMs enables the full ranking of all passages within a single inference, avoiding redundant API costs. In this paper, we conduct a comprehensive study of long-context LLMs for ranking tasks in terms of efficiency and effectiveness. Surprisingly, our experiments reveal that full ranking with long-context LLMs can deliver superior performance in the supervised fine-tuning setting with a huge efficiency improvement. Furthermore, we identify two limitations of fine-tuning the full ranking model based on existing methods: (1) sliding window strategy fails to produce a full ranking list as a training label, and (2) the language modeling loss cannot emphasize top-ranked passage IDs in the label. To alleviate these issues, we propose a new complete listwise label construction approach and a novel importance-aware learning objective for full ranking. Experiments show the superior performance of our method over baselines.</v>
      </c>
      <c r="D1592" s="7" t="str">
        <f>IFERROR(__xludf.DUMMYFUNCTION("""COMPUTED_VALUE"""),"Wenhan Liu")</f>
        <v>Wenhan Liu</v>
      </c>
      <c r="E1592" s="7" t="str">
        <f>IFERROR(__xludf.DUMMYFUNCTION("""COMPUTED_VALUE"""),"Yes")</f>
        <v>Yes</v>
      </c>
      <c r="F1592" s="7" t="str">
        <f>IFERROR(__xludf.DUMMYFUNCTION("""COMPUTED_VALUE"""),"IP-Oral")</f>
        <v>IP-Oral</v>
      </c>
      <c r="G1592" s="7" t="str">
        <f>IFERROR(__xludf.DUMMYFUNCTION("""COMPUTED_VALUE"""),"In-Person")</f>
        <v>In-Person</v>
      </c>
      <c r="H1592" s="7" t="str">
        <f>IFERROR(__xludf.DUMMYFUNCTION("""COMPUTED_VALUE"""),"Hall N.1")</f>
        <v>Hall N.1</v>
      </c>
      <c r="I1592" s="7" t="str">
        <f>IFERROR(__xludf.DUMMYFUNCTION("""COMPUTED_VALUE"""),"Session 3: IP-Orals")</f>
        <v>Session 3: IP-Orals</v>
      </c>
      <c r="J1592" s="7" t="str">
        <f>IFERROR(__xludf.DUMMYFUNCTION("""COMPUTED_VALUE"""),"Information Retrieval and Text Mining")</f>
        <v>Information Retrieval and Text Mining</v>
      </c>
      <c r="K1592" s="7"/>
      <c r="L1592" s="8">
        <f>IFERROR(__xludf.DUMMYFUNCTION("""COMPUTED_VALUE"""),45866.0)</f>
        <v>45866</v>
      </c>
      <c r="M1592" s="7" t="str">
        <f>IFERROR(__xludf.DUMMYFUNCTION("""COMPUTED_VALUE"""),"14:00-15:30")</f>
        <v>14:00-15:30</v>
      </c>
      <c r="N1592" s="7">
        <f>IFERROR(__xludf.DUMMYFUNCTION("""COMPUTED_VALUE"""),7.0)</f>
        <v>7</v>
      </c>
    </row>
    <row r="1593">
      <c r="A1593" s="7" t="str">
        <f>IFERROR(__xludf.DUMMYFUNCTION("""COMPUTED_VALUE"""),"22-MAIN")</f>
        <v>22-MAIN</v>
      </c>
      <c r="B1593" s="7" t="str">
        <f>IFERROR(__xludf.DUMMYFUNCTION("""COMPUTED_VALUE"""),"The Impact of Auxiliary Patient Data on Automated Chest X-Ray Report Generation and How to Incorporate It")</f>
        <v>The Impact of Auxiliary Patient Data on Automated Chest X-Ray Report Generation and How to Incorporate It</v>
      </c>
      <c r="C1593" s="7" t="str">
        <f>IFERROR(__xludf.DUMMYFUNCTION("""COMPUTED_VALUE"""),"This study investigates the integration of diverse patient data sources into multimodal language models for automated chest X-ray (CXR) report generation. Traditionally, CXR report generation relies solely on data from a patient's CXR exam, overlooking va"&amp;"luable information from patient electronic health records. Utilising the MIMIC-CXR and MIMIC-IV-ED datasets, we investigate the use of patient data from emergency department (ED) records — such as vital signs measured and medicines reconciled during an ED"&amp;" stay — for CXR report generation, with the aim of enhancing diagnostic accuracy. We also investigate conditioning CXR report generation on the clinical history section of radiology reports, which has been overlooked in the literature. We introduce a nove"&amp;"l approach to transform these heterogeneous data sources into patient data embeddings that prompt a multimodal language model (CXRMate-ED). Our comprehensive evaluation indicates that using a broader set of patient data significantly enhances diagnostic a"&amp;"ccuracy. The model, training code, and dataset are publicly available.")</f>
        <v>This study investigates the integration of diverse patient data sources into multimodal language models for automated chest X-ray (CXR) report generation. Traditionally, CXR report generation relies solely on data from a patient's CXR exam, overlooking valuable information from patient electronic health records. Utilising the MIMIC-CXR and MIMIC-IV-ED datasets, we investigate the use of patient data from emergency department (ED) records — such as vital signs measured and medicines reconciled during an ED stay — for CXR report generation, with the aim of enhancing diagnostic accuracy. We also investigate conditioning CXR report generation on the clinical history section of radiology reports, which has been overlooked in the literature. We introduce a novel approach to transform these heterogeneous data sources into patient data embeddings that prompt a multimodal language model (CXRMate-ED). Our comprehensive evaluation indicates that using a broader set of patient data significantly enhances diagnostic accuracy. The model, training code, and dataset are publicly available.</v>
      </c>
      <c r="D1593" s="7" t="str">
        <f>IFERROR(__xludf.DUMMYFUNCTION("""COMPUTED_VALUE"""),"Aaron Nicolson")</f>
        <v>Aaron Nicolson</v>
      </c>
      <c r="E1593" s="7" t="str">
        <f>IFERROR(__xludf.DUMMYFUNCTION("""COMPUTED_VALUE"""),"Yes")</f>
        <v>Yes</v>
      </c>
      <c r="F1593" s="7" t="str">
        <f>IFERROR(__xludf.DUMMYFUNCTION("""COMPUTED_VALUE"""),"IP-Poster")</f>
        <v>IP-Poster</v>
      </c>
      <c r="G1593" s="7" t="str">
        <f>IFERROR(__xludf.DUMMYFUNCTION("""COMPUTED_VALUE"""),"In-Person")</f>
        <v>In-Person</v>
      </c>
      <c r="H1593" s="7" t="str">
        <f>IFERROR(__xludf.DUMMYFUNCTION("""COMPUTED_VALUE"""),"Hall 4/5")</f>
        <v>Hall 4/5</v>
      </c>
      <c r="I1593" s="7" t="str">
        <f>IFERROR(__xludf.DUMMYFUNCTION("""COMPUTED_VALUE"""),"Session 10: IP-Posters")</f>
        <v>Session 10: IP-Posters</v>
      </c>
      <c r="J1593" s="7" t="str">
        <f>IFERROR(__xludf.DUMMYFUNCTION("""COMPUTED_VALUE"""),"Poster Session 3")</f>
        <v>Poster Session 3</v>
      </c>
      <c r="K1593" s="7"/>
      <c r="L1593" s="8">
        <f>IFERROR(__xludf.DUMMYFUNCTION("""COMPUTED_VALUE"""),45867.0)</f>
        <v>45867</v>
      </c>
      <c r="M1593" s="7" t="str">
        <f>IFERROR(__xludf.DUMMYFUNCTION("""COMPUTED_VALUE"""),"16:00-17:30")</f>
        <v>16:00-17:30</v>
      </c>
      <c r="N1593" s="7"/>
    </row>
    <row r="1594">
      <c r="A1594" s="7" t="str">
        <f>IFERROR(__xludf.DUMMYFUNCTION("""COMPUTED_VALUE"""),"23-MAIN")</f>
        <v>23-MAIN</v>
      </c>
      <c r="B1594" s="7" t="str">
        <f>IFERROR(__xludf.DUMMYFUNCTION("""COMPUTED_VALUE"""),"CLEME2.0: Towards Interpretable Evaluation by Disentangling Edits for Grammatical Error Correction")</f>
        <v>CLEME2.0: Towards Interpretable Evaluation by Disentangling Edits for Grammatical Error Correction</v>
      </c>
      <c r="C1594" s="7" t="str">
        <f>IFERROR(__xludf.DUMMYFUNCTION("""COMPUTED_VALUE"""),"The paper focuses on the interpretability of Grammatical Error Correction (GEC) evaluation metrics, which received little attention in previous studies. To bridge the gap, we introduce **CLEME2.0**, a reference-based metric describing four fundamental asp"&amp;"ects of GEC systems: hit-correction, wrong-correction, under-correction, and over-correction. They collectively contribute to exposing critical qualities and locating drawbacks of GEC systems. Evaluating systems by combining these aspects also leads to su"&amp;"perior human consistency over other reference-based and reference-less metrics. Extensive experiments on two human judgment datasets and six reference datasets demonstrate the effectiveness and robustness of our method, achieving a new state-of-the-art re"&amp;"sult. Our codes are released at https://github.com/THUKElab/CLEME.")</f>
        <v>The paper focuses on the interpretability of Grammatical Error Correction (GEC) evaluation metrics, which received little attention in previous studies. To bridge the gap, we introduce **CLEME2.0**, a reference-based metric describing four fundamental aspects of GEC systems: hit-correction, wrong-correction, under-correction, and over-correction. They collectively contribute to exposing critical qualities and locating drawbacks of GEC systems. Evaluating systems by combining these aspects also leads to superior human consistency over other reference-based and reference-less metrics. Extensive experiments on two human judgment datasets and six reference datasets demonstrate the effectiveness and robustness of our method, achieving a new state-of-the-art result. Our codes are released at https://github.com/THUKElab/CLEME.</v>
      </c>
      <c r="D1594" s="7" t="str">
        <f>IFERROR(__xludf.DUMMYFUNCTION("""COMPUTED_VALUE"""),"Jingheng Ye")</f>
        <v>Jingheng Ye</v>
      </c>
      <c r="E1594" s="7" t="str">
        <f>IFERROR(__xludf.DUMMYFUNCTION("""COMPUTED_VALUE"""),"Yes")</f>
        <v>Yes</v>
      </c>
      <c r="F1594" s="7" t="str">
        <f>IFERROR(__xludf.DUMMYFUNCTION("""COMPUTED_VALUE"""),"IP-Poster")</f>
        <v>IP-Poster</v>
      </c>
      <c r="G1594" s="7" t="str">
        <f>IFERROR(__xludf.DUMMYFUNCTION("""COMPUTED_VALUE"""),"In-Person")</f>
        <v>In-Person</v>
      </c>
      <c r="H1594" s="7" t="str">
        <f>IFERROR(__xludf.DUMMYFUNCTION("""COMPUTED_VALUE"""),"Hall 4/5")</f>
        <v>Hall 4/5</v>
      </c>
      <c r="I1594" s="7" t="str">
        <f>IFERROR(__xludf.DUMMYFUNCTION("""COMPUTED_VALUE"""),"Session 2: IP-Posters ")</f>
        <v>Session 2: IP-Posters </v>
      </c>
      <c r="J1594" s="7" t="str">
        <f>IFERROR(__xludf.DUMMYFUNCTION("""COMPUTED_VALUE"""),"Poster Session 1")</f>
        <v>Poster Session 1</v>
      </c>
      <c r="K1594" s="7"/>
      <c r="L1594" s="8">
        <f>IFERROR(__xludf.DUMMYFUNCTION("""COMPUTED_VALUE"""),45866.0)</f>
        <v>45866</v>
      </c>
      <c r="M1594" s="7" t="str">
        <f>IFERROR(__xludf.DUMMYFUNCTION("""COMPUTED_VALUE"""),"11:00-12:30")</f>
        <v>11:00-12:30</v>
      </c>
      <c r="N1594" s="7"/>
    </row>
    <row r="1595">
      <c r="A1595" s="7" t="str">
        <f>IFERROR(__xludf.DUMMYFUNCTION("""COMPUTED_VALUE"""),"24-MAIN")</f>
        <v>24-MAIN</v>
      </c>
      <c r="B1595" s="7" t="str">
        <f>IFERROR(__xludf.DUMMYFUNCTION("""COMPUTED_VALUE"""),"Towards LLM-powered Attentive Listener: A Pragmatic Approach through Quantity Self-Repair")</f>
        <v>Towards LLM-powered Attentive Listener: A Pragmatic Approach through Quantity Self-Repair</v>
      </c>
      <c r="C1595" s="7" t="str">
        <f>IFERROR(__xludf.DUMMYFUNCTION("""COMPUTED_VALUE"""),"Grice's Quantity Maxims dictate that human speakers aim for the optimal quantity of information during conversation. To empower LLMs to self-repair their responses toward optimal quantity and improve their attentive listening skills, we propose Q-Tuning a"&amp;"nd Q-Traveling, which draw on heuristic path-finding to enable decoder-only LLMs to travel among multiple ``Q-alternatives'' (Quantity Alternatives) and search for the optimal quantity in coordination with a conversation goal. Automatic and human evaluati"&amp;"ons demonstrate the effectiveness of Q-Tuning and Q-Traveling in constructing human-like, user-centered conversation agents.")</f>
        <v>Grice's Quantity Maxims dictate that human speakers aim for the optimal quantity of information during conversation. To empower LLMs to self-repair their responses toward optimal quantity and improve their attentive listening skills, we propose Q-Tuning and Q-Traveling, which draw on heuristic path-finding to enable decoder-only LLMs to travel among multiple ``Q-alternatives'' (Quantity Alternatives) and search for the optimal quantity in coordination with a conversation goal. Automatic and human evaluations demonstrate the effectiveness of Q-Tuning and Q-Traveling in constructing human-like, user-centered conversation agents.</v>
      </c>
      <c r="D1595" s="7" t="str">
        <f>IFERROR(__xludf.DUMMYFUNCTION("""COMPUTED_VALUE"""),"Junlin LI")</f>
        <v>Junlin LI</v>
      </c>
      <c r="E1595" s="7" t="str">
        <f>IFERROR(__xludf.DUMMYFUNCTION("""COMPUTED_VALUE"""),"Yes")</f>
        <v>Yes</v>
      </c>
      <c r="F1595" s="7" t="str">
        <f>IFERROR(__xludf.DUMMYFUNCTION("""COMPUTED_VALUE"""),"IP-Poster")</f>
        <v>IP-Poster</v>
      </c>
      <c r="G1595" s="7" t="str">
        <f>IFERROR(__xludf.DUMMYFUNCTION("""COMPUTED_VALUE"""),"In-Person")</f>
        <v>In-Person</v>
      </c>
      <c r="H1595" s="7" t="str">
        <f>IFERROR(__xludf.DUMMYFUNCTION("""COMPUTED_VALUE"""),"Hall 4/5")</f>
        <v>Hall 4/5</v>
      </c>
      <c r="I1595" s="7" t="str">
        <f>IFERROR(__xludf.DUMMYFUNCTION("""COMPUTED_VALUE"""),"Session 12: IP-Posters")</f>
        <v>Session 12: IP-Posters</v>
      </c>
      <c r="J1595" s="7" t="str">
        <f>IFERROR(__xludf.DUMMYFUNCTION("""COMPUTED_VALUE"""),"Poster Session 4")</f>
        <v>Poster Session 4</v>
      </c>
      <c r="K1595" s="7"/>
      <c r="L1595" s="8">
        <f>IFERROR(__xludf.DUMMYFUNCTION("""COMPUTED_VALUE"""),45868.0)</f>
        <v>45868</v>
      </c>
      <c r="M1595" s="7" t="str">
        <f>IFERROR(__xludf.DUMMYFUNCTION("""COMPUTED_VALUE"""),"11:00-12:30")</f>
        <v>11:00-12:30</v>
      </c>
      <c r="N1595" s="7"/>
    </row>
    <row r="1596">
      <c r="A1596" s="7" t="str">
        <f>IFERROR(__xludf.DUMMYFUNCTION("""COMPUTED_VALUE"""),"26-MAIN")</f>
        <v>26-MAIN</v>
      </c>
      <c r="B1596" s="7" t="str">
        <f>IFERROR(__xludf.DUMMYFUNCTION("""COMPUTED_VALUE"""),"StrucText-Eval: Evaluating Large Language Model's Reasoning Ability in Structure-Rich Text")</f>
        <v>StrucText-Eval: Evaluating Large Language Model's Reasoning Ability in Structure-Rich Text</v>
      </c>
      <c r="C1596" s="7" t="str">
        <f>IFERROR(__xludf.DUMMYFUNCTION("""COMPUTED_VALUE"""),"The effective utilization of structured data, integral to corporate data strategies, has been challenged by the rise of large language models (LLMs) capable of processing unstructured information. This shift prompts the question: can LLMs interpret struct"&amp;"ured data directly in its unstructured form? We propose an automatic evaluation data generation method for assessing LLMs' reasoning capabilities on structure-rich text to explore this. Our approach supports 8 structured languages and 29 tasks, generating"&amp;" data with adjustable complexity through controllable nesting and structural width. We introduce StrucText-Eval, a benchmark containing 5,800 pre-generated and annotated samples designed to evaluate how well LLMs understand and reason through structured t"&amp;"ext. StrucText-Eval is divided into two suites: a regular Test suite (3,712 samples) and a Test-Hard suite (2,088 samples), the latter emphasizing the gap between human and model performance on more complex tasks. Experimental results show that while open"&amp;"-source LLMs achieve a maximum accuracy of 74.9% on the standard dataset, their performance drops significantly to 45.8% on the harder dataset. In contrast, human participants reach an accuracy of 92.6% on StrucText-Eval-Hard, highlighting LLMs' current l"&amp;"imitations in handling intricate structural information.")</f>
        <v>The effective utilization of structured data, integral to corporate data strategies, has been challenged by the rise of large language models (LLMs) capable of processing unstructured information. This shift prompts the question: can LLMs interpret structured data directly in its unstructured form? We propose an automatic evaluation data generation method for assessing LLMs' reasoning capabilities on structure-rich text to explore this. Our approach supports 8 structured languages and 29 tasks, generating data with adjustable complexity through controllable nesting and structural width. We introduce StrucText-Eval, a benchmark containing 5,800 pre-generated and annotated samples designed to evaluate how well LLMs understand and reason through structured text. StrucText-Eval is divided into two suites: a regular Test suite (3,712 samples) and a Test-Hard suite (2,088 samples), the latter emphasizing the gap between human and model performance on more complex tasks. Experimental results show that while open-source LLMs achieve a maximum accuracy of 74.9% on the standard dataset, their performance drops significantly to 45.8% on the harder dataset. In contrast, human participants reach an accuracy of 92.6% on StrucText-Eval-Hard, highlighting LLMs' current limitations in handling intricate structural information.</v>
      </c>
      <c r="D1596" s="7" t="str">
        <f>IFERROR(__xludf.DUMMYFUNCTION("""COMPUTED_VALUE"""),"Zhouhong Gu")</f>
        <v>Zhouhong Gu</v>
      </c>
      <c r="E1596" s="7" t="str">
        <f>IFERROR(__xludf.DUMMYFUNCTION("""COMPUTED_VALUE"""),"Yes")</f>
        <v>Yes</v>
      </c>
      <c r="F1596" s="7" t="str">
        <f>IFERROR(__xludf.DUMMYFUNCTION("""COMPUTED_VALUE"""),"IP-Poster")</f>
        <v>IP-Poster</v>
      </c>
      <c r="G1596" s="7" t="str">
        <f>IFERROR(__xludf.DUMMYFUNCTION("""COMPUTED_VALUE"""),"In-Person")</f>
        <v>In-Person</v>
      </c>
      <c r="H1596" s="7" t="str">
        <f>IFERROR(__xludf.DUMMYFUNCTION("""COMPUTED_VALUE"""),"Hall 4/5")</f>
        <v>Hall 4/5</v>
      </c>
      <c r="I1596" s="7" t="str">
        <f>IFERROR(__xludf.DUMMYFUNCTION("""COMPUTED_VALUE"""),"Session 12: IP-Posters")</f>
        <v>Session 12: IP-Posters</v>
      </c>
      <c r="J1596" s="7" t="str">
        <f>IFERROR(__xludf.DUMMYFUNCTION("""COMPUTED_VALUE"""),"Poster Session 4")</f>
        <v>Poster Session 4</v>
      </c>
      <c r="K1596" s="7"/>
      <c r="L1596" s="8">
        <f>IFERROR(__xludf.DUMMYFUNCTION("""COMPUTED_VALUE"""),45868.0)</f>
        <v>45868</v>
      </c>
      <c r="M1596" s="7" t="str">
        <f>IFERROR(__xludf.DUMMYFUNCTION("""COMPUTED_VALUE"""),"11:00-12:30")</f>
        <v>11:00-12:30</v>
      </c>
      <c r="N1596" s="7"/>
    </row>
    <row r="1597">
      <c r="A1597" s="7" t="str">
        <f>IFERROR(__xludf.DUMMYFUNCTION("""COMPUTED_VALUE"""),"27-MAIN")</f>
        <v>27-MAIN</v>
      </c>
      <c r="B1597" s="7" t="str">
        <f>IFERROR(__xludf.DUMMYFUNCTION("""COMPUTED_VALUE"""),"Literature Meets Data: A Synergistic Approach to Hypothesis Generation")</f>
        <v>Literature Meets Data: A Synergistic Approach to Hypothesis Generation</v>
      </c>
      <c r="C1597" s="7" t="str">
        <f>IFERROR(__xludf.DUMMYFUNCTION("""COMPUTED_VALUE"""),"AI holds promise for transforming scientific processes, including hypothesis generation. Prior work on hypothesis generation can be broadly categorized into theory-driven and data-driven approaches. While both have proven effective in generating novel and"&amp;" plausible hypotheses, it remains an open question whether they can complement each other. To address this, we develop the first method that combines literature-based insights with data to perform LLM-powered hypothesis generation. We apply our method on "&amp;"five different datasets and demonstrate that integrating literature and data outperforms other baselines (8.97% over few-shot, 15.75% over literature-based alone, and 3.37% over data-driven alone). Additionally, we conduct the first human evaluation to as"&amp;"sess the utility of LLM-generated hypotheses in assisting human decision-making on two challenging tasks: deception detection and AI generated content detection. Our results show that human accuracy improves significantly by 7.44% and 14.19% on these task"&amp;"s, respectively. These findings suggest that integrating literature-based and data-driven approaches provides a comprehensive and nuanced framework for hypothesis generation and could open new avenues for scientific inquiry.")</f>
        <v>AI holds promise for transforming scientific processes, including hypothesis generation. Prior work on hypothesis generation can be broadly categorized into theory-driven and data-driven approaches. While both have proven effective in generating novel and plausible hypotheses, it remains an open question whether they can complement each other. To address this, we develop the first method that combines literature-based insights with data to perform LLM-powered hypothesis generation. We apply our method on five different datasets and demonstrate that integrating literature and data outperforms other baselines (8.97% over few-shot, 15.75% over literature-based alone, and 3.37% over data-driven alone). Additionally, we conduct the first human evaluation to assess the utility of LLM-generated hypotheses in assisting human decision-making on two challenging tasks: deception detection and AI generated content detection. Our results show that human accuracy improves significantly by 7.44% and 14.19% on these tasks, respectively. These findings suggest that integrating literature-based and data-driven approaches provides a comprehensive and nuanced framework for hypothesis generation and could open new avenues for scientific inquiry.</v>
      </c>
      <c r="D1597" s="7" t="str">
        <f>IFERROR(__xludf.DUMMYFUNCTION("""COMPUTED_VALUE"""),"Mingxuan Li ")</f>
        <v>Mingxuan Li </v>
      </c>
      <c r="E1597" s="7" t="str">
        <f>IFERROR(__xludf.DUMMYFUNCTION("""COMPUTED_VALUE"""),"Yes")</f>
        <v>Yes</v>
      </c>
      <c r="F1597" s="7" t="str">
        <f>IFERROR(__xludf.DUMMYFUNCTION("""COMPUTED_VALUE"""),"IP-Poster")</f>
        <v>IP-Poster</v>
      </c>
      <c r="G1597" s="7" t="str">
        <f>IFERROR(__xludf.DUMMYFUNCTION("""COMPUTED_VALUE"""),"In-Person")</f>
        <v>In-Person</v>
      </c>
      <c r="H1597" s="7" t="str">
        <f>IFERROR(__xludf.DUMMYFUNCTION("""COMPUTED_VALUE"""),"Hall 4/5")</f>
        <v>Hall 4/5</v>
      </c>
      <c r="I1597" s="7" t="str">
        <f>IFERROR(__xludf.DUMMYFUNCTION("""COMPUTED_VALUE"""),"Session 2: IP-Posters ")</f>
        <v>Session 2: IP-Posters </v>
      </c>
      <c r="J1597" s="7" t="str">
        <f>IFERROR(__xludf.DUMMYFUNCTION("""COMPUTED_VALUE"""),"Poster Session 1")</f>
        <v>Poster Session 1</v>
      </c>
      <c r="K1597" s="7"/>
      <c r="L1597" s="8">
        <f>IFERROR(__xludf.DUMMYFUNCTION("""COMPUTED_VALUE"""),45866.0)</f>
        <v>45866</v>
      </c>
      <c r="M1597" s="7" t="str">
        <f>IFERROR(__xludf.DUMMYFUNCTION("""COMPUTED_VALUE"""),"11:00-12:30")</f>
        <v>11:00-12:30</v>
      </c>
      <c r="N1597" s="7"/>
    </row>
    <row r="1598">
      <c r="A1598" s="7" t="str">
        <f>IFERROR(__xludf.DUMMYFUNCTION("""COMPUTED_VALUE"""),"30-MAIN")</f>
        <v>30-MAIN</v>
      </c>
      <c r="B1598" s="7" t="str">
        <f>IFERROR(__xludf.DUMMYFUNCTION("""COMPUTED_VALUE"""),"GAPO: Learning Preferential Prompt through Generative Adversarial Policy Optimization")</f>
        <v>GAPO: Learning Preferential Prompt through Generative Adversarial Policy Optimization</v>
      </c>
      <c r="C1598" s="7" t="str">
        <f>IFERROR(__xludf.DUMMYFUNCTION("""COMPUTED_VALUE"""),"Recent advances in large language models have highlighted the critical need for precise control over model outputs through predefined constraints. While existing methods attempt to achieve this through either direct instruction-response synthesis or prefe"&amp;"rential response optimization, they often struggle with constraint understanding and adaptation. This limitation becomes particularly evident when handling fine-grained constraints, leading to either hallucination or brittle performance. We introduce Gene"&amp;"rative Adversarial Policy Optimization (GAPO), a novel framework that combines GAN-based training dynamics with an encoder-only reward model to progressively learn and adapt to increasingly complex constraints. GAPO leverages adversarial training to autom"&amp;"atically generate training samples of varying difficulty while utilizing the encoder-only architecture to better capture prompt-response relationships. Extensive experiments demonstrate GAPO's superior performance across multiple benchmarks, particularly "&amp;"in scenarios requiring fine-grained constraint handling, where it significantly outperforms existing methods like PPO, DPO, and KTO. Our results suggest that GAPO's unique approach to preferential prompt learning offers a more robust and effective solutio"&amp;"n for controlling LLM outputs.")</f>
        <v>Recent advances in large language models have highlighted the critical need for precise control over model outputs through predefined constraints. While existing methods attempt to achieve this through either direct instruction-response synthesis or preferential response optimization, they often struggle with constraint understanding and adaptation. This limitation becomes particularly evident when handling fine-grained constraints, leading to either hallucination or brittle performance. We introduce Generative Adversarial Policy Optimization (GAPO), a novel framework that combines GAN-based training dynamics with an encoder-only reward model to progressively learn and adapt to increasingly complex constraints. GAPO leverages adversarial training to automatically generate training samples of varying difficulty while utilizing the encoder-only architecture to better capture prompt-response relationships. Extensive experiments demonstrate GAPO's superior performance across multiple benchmarks, particularly in scenarios requiring fine-grained constraint handling, where it significantly outperforms existing methods like PPO, DPO, and KTO. Our results suggest that GAPO's unique approach to preferential prompt learning offers a more robust and effective solution for controlling LLM outputs.</v>
      </c>
      <c r="D1598" s="7" t="str">
        <f>IFERROR(__xludf.DUMMYFUNCTION("""COMPUTED_VALUE"""),"Xingzhou Chen")</f>
        <v>Xingzhou Chen</v>
      </c>
      <c r="E1598" s="7" t="str">
        <f>IFERROR(__xludf.DUMMYFUNCTION("""COMPUTED_VALUE"""),"Yes")</f>
        <v>Yes</v>
      </c>
      <c r="F1598" s="7" t="str">
        <f>IFERROR(__xludf.DUMMYFUNCTION("""COMPUTED_VALUE"""),"IP-Poster")</f>
        <v>IP-Poster</v>
      </c>
      <c r="G1598" s="7" t="str">
        <f>IFERROR(__xludf.DUMMYFUNCTION("""COMPUTED_VALUE"""),"In-Person")</f>
        <v>In-Person</v>
      </c>
      <c r="H1598" s="7" t="str">
        <f>IFERROR(__xludf.DUMMYFUNCTION("""COMPUTED_VALUE"""),"Hall 4/5")</f>
        <v>Hall 4/5</v>
      </c>
      <c r="I1598" s="7" t="str">
        <f>IFERROR(__xludf.DUMMYFUNCTION("""COMPUTED_VALUE"""),"Session 12: IP-Posters")</f>
        <v>Session 12: IP-Posters</v>
      </c>
      <c r="J1598" s="7" t="str">
        <f>IFERROR(__xludf.DUMMYFUNCTION("""COMPUTED_VALUE"""),"Poster Session 4")</f>
        <v>Poster Session 4</v>
      </c>
      <c r="K1598" s="7"/>
      <c r="L1598" s="8">
        <f>IFERROR(__xludf.DUMMYFUNCTION("""COMPUTED_VALUE"""),45868.0)</f>
        <v>45868</v>
      </c>
      <c r="M1598" s="7" t="str">
        <f>IFERROR(__xludf.DUMMYFUNCTION("""COMPUTED_VALUE"""),"11:00-12:30")</f>
        <v>11:00-12:30</v>
      </c>
      <c r="N1598" s="7"/>
    </row>
    <row r="1599">
      <c r="A1599" s="7" t="str">
        <f>IFERROR(__xludf.DUMMYFUNCTION("""COMPUTED_VALUE"""),"31-MAIN")</f>
        <v>31-MAIN</v>
      </c>
      <c r="B1599" s="7" t="str">
        <f>IFERROR(__xludf.DUMMYFUNCTION("""COMPUTED_VALUE"""),"Tree-of-Evolution: Tree-Structured Instruction Evolution for Code Generation in Large Language Models")</f>
        <v>Tree-of-Evolution: Tree-Structured Instruction Evolution for Code Generation in Large Language Models</v>
      </c>
      <c r="C1599" s="7" t="str">
        <f>IFERROR(__xludf.DUMMYFUNCTION("""COMPUTED_VALUE"""),"Data synthesis has become a crucial research area in large language models (LLMs), especially for generating high-quality instruction fine-tuning data to enhance downstream performance. In code generation, a key application of LLMs, manual annotation of c"&amp;"ode instruction data is costly. Recent methods, such as Code Evol-Instruct and OSS-Instruct, leverage LLMs to synthesize large-scale code instruction data, significantly improving LLM coding capabilities. However, these approaches face limitations due to "&amp;"unidirectional synthesis and randomness-driven generation, which restrict data quality and diversity. To overcome these challenges, we introduce Tree-of-Evolution (ToE), a novel framework that models code instruction synthesis process with a tree structur"&amp;"e, exploring multiple evolutionary paths to alleviate the constraints of unidirectional generation. Additionally, we propose optimization-driven evolution, which refines each generation step based on the quality of the previous iteration. Experimental res"&amp;"ults across five widely-used coding benchmarks—HumanEval, MBPP, EvalPlus, LiveCodeBench, and BigCodeBench—demonstrate that base models fine-tuned on just 75k data synthesized by our method achieve comparable or superior performance to the state-of-the-art"&amp;" open-weight Code LLM, Qwen2.5-Coder-Instruct, which was fine-tuned on millions of samples.")</f>
        <v>Data synthesis has become a crucial research area in large language models (LLMs), especially for generating high-quality instruction fine-tuning data to enhance downstream performance. In code generation, a key application of LLMs, manual annotation of code instruction data is costly. Recent methods, such as Code Evol-Instruct and OSS-Instruct, leverage LLMs to synthesize large-scale code instruction data, significantly improving LLM coding capabilities. However, these approaches face limitations due to unidirectional synthesis and randomness-driven generation, which restrict data quality and diversity. To overcome these challenges, we introduce Tree-of-Evolution (ToE), a novel framework that models code instruction synthesis process with a tree structure, exploring multiple evolutionary paths to alleviate the constraints of unidirectional generation. Additionally, we propose optimization-driven evolution, which refines each generation step based on the quality of the previous iteration. Experimental results across five widely-used coding benchmarks—HumanEval, MBPP, EvalPlus, LiveCodeBench, and BigCodeBench—demonstrate that base models fine-tuned on just 75k data synthesized by our method achieve comparable or superior performance to the state-of-the-art open-weight Code LLM, Qwen2.5-Coder-Instruct, which was fine-tuned on millions of samples.</v>
      </c>
      <c r="D1599" s="7" t="str">
        <f>IFERROR(__xludf.DUMMYFUNCTION("""COMPUTED_VALUE"""),"Ziyang Luo")</f>
        <v>Ziyang Luo</v>
      </c>
      <c r="E1599" s="7" t="str">
        <f>IFERROR(__xludf.DUMMYFUNCTION("""COMPUTED_VALUE"""),"Yes")</f>
        <v>Yes</v>
      </c>
      <c r="F1599" s="7" t="str">
        <f>IFERROR(__xludf.DUMMYFUNCTION("""COMPUTED_VALUE"""),"V-Presentation")</f>
        <v>V-Presentation</v>
      </c>
      <c r="G1599" s="7" t="str">
        <f>IFERROR(__xludf.DUMMYFUNCTION("""COMPUTED_VALUE"""),"Virtual/Gather")</f>
        <v>Virtual/Gather</v>
      </c>
      <c r="H1599" s="7" t="str">
        <f>IFERROR(__xludf.DUMMYFUNCTION("""COMPUTED_VALUE"""),"Zoom")</f>
        <v>Zoom</v>
      </c>
      <c r="I1599" s="7" t="str">
        <f>IFERROR(__xludf.DUMMYFUNCTION("""COMPUTED_VALUE"""),"Session 12: V-Presentations")</f>
        <v>Session 12: V-Presentations</v>
      </c>
      <c r="J1599" s="7" t="str">
        <f>IFERROR(__xludf.DUMMYFUNCTION("""COMPUTED_VALUE"""),"Virtual Presentations 4")</f>
        <v>Virtual Presentations 4</v>
      </c>
      <c r="K1599" s="7"/>
      <c r="L1599" s="8">
        <f>IFERROR(__xludf.DUMMYFUNCTION("""COMPUTED_VALUE"""),45868.0)</f>
        <v>45868</v>
      </c>
      <c r="M1599" s="7" t="str">
        <f>IFERROR(__xludf.DUMMYFUNCTION("""COMPUTED_VALUE"""),"11:00-12:30")</f>
        <v>11:00-12:30</v>
      </c>
      <c r="N1599" s="7"/>
    </row>
    <row r="1600">
      <c r="A1600" s="7" t="str">
        <f>IFERROR(__xludf.DUMMYFUNCTION("""COMPUTED_VALUE"""),"32-MAIN")</f>
        <v>32-MAIN</v>
      </c>
      <c r="B1600" s="7" t="str">
        <f>IFERROR(__xludf.DUMMYFUNCTION("""COMPUTED_VALUE"""),"Delving into Multilingual Ethical Bias: The MSQAD with Statistical Hypothesis Tests for Large Language Models")</f>
        <v>Delving into Multilingual Ethical Bias: The MSQAD with Statistical Hypothesis Tests for Large Language Models</v>
      </c>
      <c r="C1600" s="7" t="str">
        <f>IFERROR(__xludf.DUMMYFUNCTION("""COMPUTED_VALUE"""),"Despite the recent strides in large language models, studies have underscored the existence of social biases within these systems. In this paper, we delve into the validation and comparison of the ethical biases of LLMs concerning globally discussed and p"&amp;"otentially sensitive topics, hypothesizing that these biases may arise from language-specific distinctions. Introducing the Multilingual Sensitive Questions &amp; Answers Dataset (**MSQAD**), we collected news articles from Human Rights Watch covering 17 topi"&amp;"cs, and generated socially sensitive questions along with corresponding responses in multiple languages. We scrutinized the biases of these responses across languages and topics, employing two statistical hypothesis tests. The results showed that the null"&amp;" hypotheses were rejected in most cases, indicating biases arising from cross-language differences. It demonstrates that ethical biases in responses are widespread across various languages, and notably, these biases were prevalent even among different LLM"&amp;"s. By making the proposed MSQAD openly available, we aim to facilitate future research endeavors focused on examining cross-language biases in LLMs and their variant models.")</f>
        <v>Despite the recent strides in large language models, studies have underscored the existence of social biases within these systems. In this paper, we delve into the validation and comparison of the ethical biases of LLMs concerning globally discussed and potentially sensitive topics, hypothesizing that these biases may arise from language-specific distinctions. Introducing the Multilingual Sensitive Questions &amp; Answers Dataset (**MSQAD**), we collected news articles from Human Rights Watch covering 17 topics, and generated socially sensitive questions along with corresponding responses in multiple languages. We scrutinized the biases of these responses across languages and topics, employing two statistical hypothesis tests. The results showed that the null hypotheses were rejected in most cases, indicating biases arising from cross-language differences. It demonstrates that ethical biases in responses are widespread across various languages, and notably, these biases were prevalent even among different LLMs. By making the proposed MSQAD openly available, we aim to facilitate future research endeavors focused on examining cross-language biases in LLMs and their variant models.</v>
      </c>
      <c r="D1600" s="7" t="str">
        <f>IFERROR(__xludf.DUMMYFUNCTION("""COMPUTED_VALUE"""),"Seunguk Yu")</f>
        <v>Seunguk Yu</v>
      </c>
      <c r="E1600" s="7" t="str">
        <f>IFERROR(__xludf.DUMMYFUNCTION("""COMPUTED_VALUE"""),"Yes")</f>
        <v>Yes</v>
      </c>
      <c r="F1600" s="7" t="str">
        <f>IFERROR(__xludf.DUMMYFUNCTION("""COMPUTED_VALUE"""),"IP-Poster")</f>
        <v>IP-Poster</v>
      </c>
      <c r="G1600" s="7" t="str">
        <f>IFERROR(__xludf.DUMMYFUNCTION("""COMPUTED_VALUE"""),"In-Person")</f>
        <v>In-Person</v>
      </c>
      <c r="H1600" s="7" t="str">
        <f>IFERROR(__xludf.DUMMYFUNCTION("""COMPUTED_VALUE"""),"Hall 4/5")</f>
        <v>Hall 4/5</v>
      </c>
      <c r="I1600" s="7" t="str">
        <f>IFERROR(__xludf.DUMMYFUNCTION("""COMPUTED_VALUE"""),"Session 10: IP-Posters")</f>
        <v>Session 10: IP-Posters</v>
      </c>
      <c r="J1600" s="7" t="str">
        <f>IFERROR(__xludf.DUMMYFUNCTION("""COMPUTED_VALUE"""),"Poster Session 3")</f>
        <v>Poster Session 3</v>
      </c>
      <c r="K1600" s="7"/>
      <c r="L1600" s="8">
        <f>IFERROR(__xludf.DUMMYFUNCTION("""COMPUTED_VALUE"""),45867.0)</f>
        <v>45867</v>
      </c>
      <c r="M1600" s="7" t="str">
        <f>IFERROR(__xludf.DUMMYFUNCTION("""COMPUTED_VALUE"""),"16:00-17:30")</f>
        <v>16:00-17:30</v>
      </c>
      <c r="N1600" s="7"/>
    </row>
    <row r="1601">
      <c r="A1601" s="7" t="str">
        <f>IFERROR(__xludf.DUMMYFUNCTION("""COMPUTED_VALUE"""),"34-MAIN")</f>
        <v>34-MAIN</v>
      </c>
      <c r="B1601" s="7" t="str">
        <f>IFERROR(__xludf.DUMMYFUNCTION("""COMPUTED_VALUE"""),"ReSCORE: Label-free Iterative Retriever Training for Multi-hop Question Answering with Relevance-Consistency Supervision")</f>
        <v>ReSCORE: Label-free Iterative Retriever Training for Multi-hop Question Answering with Relevance-Consistency Supervision</v>
      </c>
      <c r="C1601" s="7" t="str">
        <f>IFERROR(__xludf.DUMMYFUNCTION("""COMPUTED_VALUE"""),"Multi-hop question answering (MHQA) involves reasoning across multiple documents to answer complex questions. Dense retrievers typically outperform sparse methods like BM25 by leveraging semantic embeddings in many tasks; however, they require labeled que"&amp;"ry-document pairs for fine-tuning, which poses a significant challenge in MHQA due to the complexity of the reasoning steps. To overcome this limitation, we introduce Retriever Supervision with Consistency and Relevance (ReSCORE), a novel method for train"&amp;"ing dense retrievers for MHQA without the need for labeled documents. ReSCORE leverages large language models to measure document-question relevance with answer consistency and utilizes this information to train a retriever within an iterative question-an"&amp;"swering framework. Evaluated on three MHQA benchmarks, our extensive experiments demonstrate the effectiveness of ReSCORE, with significant improvements in retrieval performance that consequently lead to state-of-the-art Exact Match and F1 scores for MHQA"&amp;".")</f>
        <v>Multi-hop question answering (MHQA) involves reasoning across multiple documents to answer complex questions. Dense retrievers typically outperform sparse methods like BM25 by leveraging semantic embeddings in many tasks; however, they require labeled query-document pairs for fine-tuning, which poses a significant challenge in MHQA due to the complexity of the reasoning steps. To overcome this limitation, we introduce Retriever Supervision with Consistency and Relevance (ReSCORE), a novel method for training dense retrievers for MHQA without the need for labeled documents. ReSCORE leverages large language models to measure document-question relevance with answer consistency and utilizes this information to train a retriever within an iterative question-answering framework. Evaluated on three MHQA benchmarks, our extensive experiments demonstrate the effectiveness of ReSCORE, with significant improvements in retrieval performance that consequently lead to state-of-the-art Exact Match and F1 scores for MHQA.</v>
      </c>
      <c r="D1601" s="7" t="str">
        <f>IFERROR(__xludf.DUMMYFUNCTION("""COMPUTED_VALUE"""),"Dosung Lee")</f>
        <v>Dosung Lee</v>
      </c>
      <c r="E1601" s="7" t="str">
        <f>IFERROR(__xludf.DUMMYFUNCTION("""COMPUTED_VALUE"""),"Yes")</f>
        <v>Yes</v>
      </c>
      <c r="F1601" s="7" t="str">
        <f>IFERROR(__xludf.DUMMYFUNCTION("""COMPUTED_VALUE"""),"IP-Poster")</f>
        <v>IP-Poster</v>
      </c>
      <c r="G1601" s="7" t="str">
        <f>IFERROR(__xludf.DUMMYFUNCTION("""COMPUTED_VALUE"""),"In-Person")</f>
        <v>In-Person</v>
      </c>
      <c r="H1601" s="7" t="str">
        <f>IFERROR(__xludf.DUMMYFUNCTION("""COMPUTED_VALUE"""),"Hall 4/5")</f>
        <v>Hall 4/5</v>
      </c>
      <c r="I1601" s="7" t="str">
        <f>IFERROR(__xludf.DUMMYFUNCTION("""COMPUTED_VALUE"""),"Session 2: IP-Posters ")</f>
        <v>Session 2: IP-Posters </v>
      </c>
      <c r="J1601" s="7" t="str">
        <f>IFERROR(__xludf.DUMMYFUNCTION("""COMPUTED_VALUE"""),"Poster Session 1")</f>
        <v>Poster Session 1</v>
      </c>
      <c r="K1601" s="7"/>
      <c r="L1601" s="8">
        <f>IFERROR(__xludf.DUMMYFUNCTION("""COMPUTED_VALUE"""),45866.0)</f>
        <v>45866</v>
      </c>
      <c r="M1601" s="7" t="str">
        <f>IFERROR(__xludf.DUMMYFUNCTION("""COMPUTED_VALUE"""),"11:00-12:30")</f>
        <v>11:00-12:30</v>
      </c>
      <c r="N1601" s="7"/>
    </row>
    <row r="1602">
      <c r="A1602" s="7" t="str">
        <f>IFERROR(__xludf.DUMMYFUNCTION("""COMPUTED_VALUE"""),"35-MAIN")</f>
        <v>35-MAIN</v>
      </c>
      <c r="B1602" s="7" t="str">
        <f>IFERROR(__xludf.DUMMYFUNCTION("""COMPUTED_VALUE"""),"MIRAGE: Exploring How Large Language Models Perform in Complex Social Interactive Environments")</f>
        <v>MIRAGE: Exploring How Large Language Models Perform in Complex Social Interactive Environments</v>
      </c>
      <c r="C1602" s="7" t="str">
        <f>IFERROR(__xludf.DUMMYFUNCTION("""COMPUTED_VALUE"""),"Large Language Models (LLMs) have shown remarkable capabilities in environmental perception, reasoning-based decision-making, and simulating complex human behaviors, particularly in interactive role-playing contexts. This paper introduces the Multiverse I"&amp;"nteractive Role-play Ability General Evaluation (MIRAGE), a comprehensive framework designed to assess LLMs' proficiency in portraying advanced human behaviors through murder mystery games. MIRAGE features eight intricately crafted scripts encompassing di"&amp;"verse themes and styles, providing a rich simulation. To evaluate LLMs' performance, MIRAGE employs four distinct methods: the Trust Inclination Index (TII) to measure dynamics of trust and suspicion, the Clue Investigation Capability (CIC) to measure LLM"&amp;"s' capability of conducting information, the Interactivity Capability Index (ICI) to assess role-playing capabilities and the Script Compliance Index (SCI) to assess LLMs' capability of understanding and following instructions. Our experiments indicate th"&amp;"at even popular models like GPT-4 face significant challenges in navigating the complexities presented by the MIRAGE. The datasets and simulation codes are available in https://github.com/lime728/MIRAGE.")</f>
        <v>Large Language Models (LLMs) have shown remarkable capabilities in environmental perception, reasoning-based decision-making, and simulating complex human behaviors, particularly in interactive role-playing contexts. This paper introduces the Multiverse Interactive Role-play Ability General Evaluation (MIRAGE), a comprehensive framework designed to assess LLMs' proficiency in portraying advanced human behaviors through murder mystery games. MIRAGE features eight intricately crafted scripts encompassing diverse themes and styles, providing a rich simulation. To evaluate LLMs' performance, MIRAGE employs four distinct methods: the Trust Inclination Index (TII) to measure dynamics of trust and suspicion, the Clue Investigation Capability (CIC) to measure LLMs' capability of conducting information, the Interactivity Capability Index (ICI) to assess role-playing capabilities and the Script Compliance Index (SCI) to assess LLMs' capability of understanding and following instructions. Our experiments indicate that even popular models like GPT-4 face significant challenges in navigating the complexities presented by the MIRAGE. The datasets and simulation codes are available in https://github.com/lime728/MIRAGE.</v>
      </c>
      <c r="D1602" s="7" t="str">
        <f>IFERROR(__xludf.DUMMYFUNCTION("""COMPUTED_VALUE"""),"Yin Cai")</f>
        <v>Yin Cai</v>
      </c>
      <c r="E1602" s="7" t="str">
        <f>IFERROR(__xludf.DUMMYFUNCTION("""COMPUTED_VALUE"""),"Yes")</f>
        <v>Yes</v>
      </c>
      <c r="F1602" s="7" t="str">
        <f>IFERROR(__xludf.DUMMYFUNCTION("""COMPUTED_VALUE"""),"IP-Poster")</f>
        <v>IP-Poster</v>
      </c>
      <c r="G1602" s="7" t="str">
        <f>IFERROR(__xludf.DUMMYFUNCTION("""COMPUTED_VALUE"""),"In-Person")</f>
        <v>In-Person</v>
      </c>
      <c r="H1602" s="7" t="str">
        <f>IFERROR(__xludf.DUMMYFUNCTION("""COMPUTED_VALUE"""),"Hall 4/5")</f>
        <v>Hall 4/5</v>
      </c>
      <c r="I1602" s="7" t="str">
        <f>IFERROR(__xludf.DUMMYFUNCTION("""COMPUTED_VALUE"""),"Session 12: IP-Posters")</f>
        <v>Session 12: IP-Posters</v>
      </c>
      <c r="J1602" s="7" t="str">
        <f>IFERROR(__xludf.DUMMYFUNCTION("""COMPUTED_VALUE"""),"Poster Session 4")</f>
        <v>Poster Session 4</v>
      </c>
      <c r="K1602" s="7"/>
      <c r="L1602" s="8">
        <f>IFERROR(__xludf.DUMMYFUNCTION("""COMPUTED_VALUE"""),45868.0)</f>
        <v>45868</v>
      </c>
      <c r="M1602" s="7" t="str">
        <f>IFERROR(__xludf.DUMMYFUNCTION("""COMPUTED_VALUE"""),"11:00-12:30")</f>
        <v>11:00-12:30</v>
      </c>
      <c r="N1602" s="7"/>
    </row>
    <row r="1603">
      <c r="A1603" s="7" t="str">
        <f>IFERROR(__xludf.DUMMYFUNCTION("""COMPUTED_VALUE"""),"36-MAIN")</f>
        <v>36-MAIN</v>
      </c>
      <c r="B1603" s="7" t="str">
        <f>IFERROR(__xludf.DUMMYFUNCTION("""COMPUTED_VALUE"""),"FACT-AUDIT: An Adaptive Multi-Agent Framework for Dynamic Fact-Checking Evaluation of Large Language Models")</f>
        <v>FACT-AUDIT: An Adaptive Multi-Agent Framework for Dynamic Fact-Checking Evaluation of Large Language Models</v>
      </c>
      <c r="C1603" s="7" t="str">
        <f>IFERROR(__xludf.DUMMYFUNCTION("""COMPUTED_VALUE"""),"Large Language Models (LLMs) have significantly advanced the fact-checking studies. However, existing automated fact-checking evaluation methods rely on static datasets and classification metrics, which fail to automatically evaluate the justification pro"&amp;"duction and uncover the nuanced limitations of LLMs in fact-checking. In this work, we introduce FACT-AUDIT, an agent-driven framework that adaptively and dynamically assesses LLMs' fact-checking capabilities. Leveraging importance sampling principles and"&amp;" multi-agent collaboration, FACT-AUDIT generates adaptive and scalable datasets, performs iterative model-centric evaluations, and updates assessments based on model-specific responses. By incorporating justification production alongside verdict predictio"&amp;"n, this framework provides a comprehensive and evolving audit of LLMs' factual reasoning capabilities, to investigate their trustworthiness. Extensive experiments demonstrate that FACT-AUDIT effectively differentiates among state-of-the-art LLMs, providin"&amp;"g valuable insights into model strengths and limitations in model-centric fact-checking analysis.")</f>
        <v>Large Language Models (LLMs) have significantly advanced the fact-checking studies. However, existing automated fact-checking evaluation methods rely on static datasets and classification metrics, which fail to automatically evaluate the justification production and uncover the nuanced limitations of LLMs in fact-checking. In this work, we introduce FACT-AUDIT, an agent-driven framework that adaptively and dynamically assesses LLMs' fact-checking capabilities. Leveraging importance sampling principles and multi-agent collaboration, FACT-AUDIT generates adaptive and scalable datasets, performs iterative model-centric evaluations, and updates assessments based on model-specific responses. By incorporating justification production alongside verdict prediction, this framework provides a comprehensive and evolving audit of LLMs' factual reasoning capabilities, to investigate their trustworthiness. Extensive experiments demonstrate that FACT-AUDIT effectively differentiates among state-of-the-art LLMs, providing valuable insights into model strengths and limitations in model-centric fact-checking analysis.</v>
      </c>
      <c r="D1603" s="7" t="str">
        <f>IFERROR(__xludf.DUMMYFUNCTION("""COMPUTED_VALUE"""),"Hongzhan Lin")</f>
        <v>Hongzhan Lin</v>
      </c>
      <c r="E1603" s="7" t="str">
        <f>IFERROR(__xludf.DUMMYFUNCTION("""COMPUTED_VALUE"""),"Yes")</f>
        <v>Yes</v>
      </c>
      <c r="F1603" s="7" t="str">
        <f>IFERROR(__xludf.DUMMYFUNCTION("""COMPUTED_VALUE"""),"IP-Poster")</f>
        <v>IP-Poster</v>
      </c>
      <c r="G1603" s="7" t="str">
        <f>IFERROR(__xludf.DUMMYFUNCTION("""COMPUTED_VALUE"""),"In-Person")</f>
        <v>In-Person</v>
      </c>
      <c r="H1603" s="7" t="str">
        <f>IFERROR(__xludf.DUMMYFUNCTION("""COMPUTED_VALUE"""),"Hall 4/5")</f>
        <v>Hall 4/5</v>
      </c>
      <c r="I1603" s="7" t="str">
        <f>IFERROR(__xludf.DUMMYFUNCTION("""COMPUTED_VALUE"""),"Session 2: IP-Posters ")</f>
        <v>Session 2: IP-Posters </v>
      </c>
      <c r="J1603" s="7" t="str">
        <f>IFERROR(__xludf.DUMMYFUNCTION("""COMPUTED_VALUE"""),"Poster Session 1")</f>
        <v>Poster Session 1</v>
      </c>
      <c r="K1603" s="7"/>
      <c r="L1603" s="8">
        <f>IFERROR(__xludf.DUMMYFUNCTION("""COMPUTED_VALUE"""),45866.0)</f>
        <v>45866</v>
      </c>
      <c r="M1603" s="7" t="str">
        <f>IFERROR(__xludf.DUMMYFUNCTION("""COMPUTED_VALUE"""),"11:00-12:30")</f>
        <v>11:00-12:30</v>
      </c>
      <c r="N1603" s="7"/>
    </row>
    <row r="1604">
      <c r="A1604" s="7" t="str">
        <f>IFERROR(__xludf.DUMMYFUNCTION("""COMPUTED_VALUE"""),"37-MAIN")</f>
        <v>37-MAIN</v>
      </c>
      <c r="B1604" s="7" t="str">
        <f>IFERROR(__xludf.DUMMYFUNCTION("""COMPUTED_VALUE"""),"Statistical Deficiency for Task Inclusion Estimation")</f>
        <v>Statistical Deficiency for Task Inclusion Estimation</v>
      </c>
      <c r="C1604" s="7" t="str">
        <f>IFERROR(__xludf.DUMMYFUNCTION("""COMPUTED_VALUE"""),"Tasks are central in machine learning, as they are the most natural objects to assess the capabilities of current models. The trend is to build general models able to address any task. Even though transfer learning and multitask learning try to leverage t"&amp;"he underlying task space, no well-founded tools are available to study its structure. This study proposes a theoretically grounded setup to define the notion of task and to compute the inclusion between two tasks from a statistical deficiency point of vie"&amp;"w. We propose a tractable proxy as information sufficiency to estimate the degree of inclusion between tasks, show its soundness on synthetic data, and use it to reconstruct empirically the classic NLP pipeline.")</f>
        <v>Tasks are central in machine learning, as they are the most natural objects to assess the capabilities of current models. The trend is to build general models able to address any task. Even though transfer learning and multitask learning try to leverage the underlying task space, no well-founded tools are available to study its structure. This study proposes a theoretically grounded setup to define the notion of task and to compute the inclusion between two tasks from a statistical deficiency point of view. We propose a tractable proxy as information sufficiency to estimate the degree of inclusion between tasks, show its soundness on synthetic data, and use it to reconstruct empirically the classic NLP pipeline.</v>
      </c>
      <c r="D1604" s="7" t="str">
        <f>IFERROR(__xludf.DUMMYFUNCTION("""COMPUTED_VALUE"""),"Loïc Fosse")</f>
        <v>Loïc Fosse</v>
      </c>
      <c r="E1604" s="7" t="str">
        <f>IFERROR(__xludf.DUMMYFUNCTION("""COMPUTED_VALUE"""),"Yes")</f>
        <v>Yes</v>
      </c>
      <c r="F1604" s="7" t="str">
        <f>IFERROR(__xludf.DUMMYFUNCTION("""COMPUTED_VALUE"""),"IP-Poster")</f>
        <v>IP-Poster</v>
      </c>
      <c r="G1604" s="7" t="str">
        <f>IFERROR(__xludf.DUMMYFUNCTION("""COMPUTED_VALUE"""),"In-Person")</f>
        <v>In-Person</v>
      </c>
      <c r="H1604" s="7" t="str">
        <f>IFERROR(__xludf.DUMMYFUNCTION("""COMPUTED_VALUE"""),"Hall 4/5")</f>
        <v>Hall 4/5</v>
      </c>
      <c r="I1604" s="7" t="str">
        <f>IFERROR(__xludf.DUMMYFUNCTION("""COMPUTED_VALUE"""),"Session 7: IP-Posters")</f>
        <v>Session 7: IP-Posters</v>
      </c>
      <c r="J1604" s="7" t="str">
        <f>IFERROR(__xludf.DUMMYFUNCTION("""COMPUTED_VALUE"""),"Poster Session 2")</f>
        <v>Poster Session 2</v>
      </c>
      <c r="K1604" s="7"/>
      <c r="L1604" s="8">
        <f>IFERROR(__xludf.DUMMYFUNCTION("""COMPUTED_VALUE"""),45867.0)</f>
        <v>45867</v>
      </c>
      <c r="M1604" s="7" t="str">
        <f>IFERROR(__xludf.DUMMYFUNCTION("""COMPUTED_VALUE"""),"10:30-12:00")</f>
        <v>10:30-12:00</v>
      </c>
      <c r="N1604" s="7"/>
    </row>
    <row r="1605">
      <c r="A1605" s="7" t="str">
        <f>IFERROR(__xludf.DUMMYFUNCTION("""COMPUTED_VALUE"""),"38-MAIN")</f>
        <v>38-MAIN</v>
      </c>
      <c r="B1605" s="7" t="str">
        <f>IFERROR(__xludf.DUMMYFUNCTION("""COMPUTED_VALUE"""),"Towards Robust and Efficient Federated Low-Rank Adaptation with Heterogeneous Clients")</f>
        <v>Towards Robust and Efficient Federated Low-Rank Adaptation with Heterogeneous Clients</v>
      </c>
      <c r="C1605" s="7" t="str">
        <f>IFERROR(__xludf.DUMMYFUNCTION("""COMPUTED_VALUE"""),"Federated fine-tuning for Large Language Models (LLMs) has recently gained attention due to the heavy communication overhead of transmitting large model updates. Low Rank Adaptation (LoRA) has been proposed as a solution, yet its application in federated "&amp;"learning is complicated by discordance in aggregation. Existing methods addressing this discordance often suffer from performance degradation at low ranks in heterogeneous data settings. In response, we introduce LoRA-A^2
 (Low Rank Adaptation with Altern"&amp;"ating freeze and Adaptive rank selection), which demonstrates robustness in challenging settings with low ranks and high data heterogeneity. Our experimental findings reveal that LoRA-A^2
 maintains performance even under extreme heterogeneity and low ran"&amp;"k conditions, achieving up to a 99.8% reduction in uploaded parameters compared to full fine-tuning without compromising performance. This adaptive mechanism boosts robustness and communication efficiency in federated fine-tuning, enabling the practical d"&amp;"eployment of LLMs in resource-constrained environments.")</f>
        <v>Federated fine-tuning for Large Language Models (LLMs) has recently gained attention due to the heavy communication overhead of transmitting large model updates. Low Rank Adaptation (LoRA) has been proposed as a solution, yet its application in federated learning is complicated by discordance in aggregation. Existing methods addressing this discordance often suffer from performance degradation at low ranks in heterogeneous data settings. In response, we introduce LoRA-A^2
 (Low Rank Adaptation with Alternating freeze and Adaptive rank selection), which demonstrates robustness in challenging settings with low ranks and high data heterogeneity. Our experimental findings reveal that LoRA-A^2
 maintains performance even under extreme heterogeneity and low rank conditions, achieving up to a 99.8% reduction in uploaded parameters compared to full fine-tuning without compromising performance. This adaptive mechanism boosts robustness and communication efficiency in federated fine-tuning, enabling the practical deployment of LLMs in resource-constrained environments.</v>
      </c>
      <c r="D1605" s="7" t="str">
        <f>IFERROR(__xludf.DUMMYFUNCTION("""COMPUTED_VALUE"""),"Jabin Koo")</f>
        <v>Jabin Koo</v>
      </c>
      <c r="E1605" s="7" t="str">
        <f>IFERROR(__xludf.DUMMYFUNCTION("""COMPUTED_VALUE"""),"Yes")</f>
        <v>Yes</v>
      </c>
      <c r="F1605" s="7" t="str">
        <f>IFERROR(__xludf.DUMMYFUNCTION("""COMPUTED_VALUE"""),"IP-Oral")</f>
        <v>IP-Oral</v>
      </c>
      <c r="G1605" s="7" t="str">
        <f>IFERROR(__xludf.DUMMYFUNCTION("""COMPUTED_VALUE"""),"In-Person")</f>
        <v>In-Person</v>
      </c>
      <c r="H1605" s="7" t="str">
        <f>IFERROR(__xludf.DUMMYFUNCTION("""COMPUTED_VALUE"""),"Hall M.1")</f>
        <v>Hall M.1</v>
      </c>
      <c r="I1605" s="7" t="str">
        <f>IFERROR(__xludf.DUMMYFUNCTION("""COMPUTED_VALUE"""),"Session 9: IP-Orals")</f>
        <v>Session 9: IP-Orals</v>
      </c>
      <c r="J1605" s="7" t="str">
        <f>IFERROR(__xludf.DUMMYFUNCTION("""COMPUTED_VALUE"""),"Efficient Methods for NLP 1")</f>
        <v>Efficient Methods for NLP 1</v>
      </c>
      <c r="K1605" s="7"/>
      <c r="L1605" s="8">
        <f>IFERROR(__xludf.DUMMYFUNCTION("""COMPUTED_VALUE"""),45867.0)</f>
        <v>45867</v>
      </c>
      <c r="M1605" s="7" t="str">
        <f>IFERROR(__xludf.DUMMYFUNCTION("""COMPUTED_VALUE"""),"14:00-15:30")</f>
        <v>14:00-15:30</v>
      </c>
      <c r="N1605" s="7">
        <f>IFERROR(__xludf.DUMMYFUNCTION("""COMPUTED_VALUE"""),1.0)</f>
        <v>1</v>
      </c>
    </row>
    <row r="1606">
      <c r="A1606" s="7" t="str">
        <f>IFERROR(__xludf.DUMMYFUNCTION("""COMPUTED_VALUE"""),"40-MAIN")</f>
        <v>40-MAIN</v>
      </c>
      <c r="B1606" s="7" t="str">
        <f>IFERROR(__xludf.DUMMYFUNCTION("""COMPUTED_VALUE"""),"Dynamic Label Name Refinement for Few-Shot Dialogue Intent Classification")</f>
        <v>Dynamic Label Name Refinement for Few-Shot Dialogue Intent Classification</v>
      </c>
      <c r="C1606" s="7" t="str">
        <f>IFERROR(__xludf.DUMMYFUNCTION("""COMPUTED_VALUE"""),"Dialogue intent classification aims to identify the underlying purpose or intent of a user’s input in a conversation. Current intent classification systems encounter considerable challenges, primarily due to the vast number of possible intents and the sig"&amp;"nificant semantic overlap among similar intent classes. In this paper, we propose a novel approach to few-shot dialogue intent classification through in context learning, incorporating dynamic label refinement to address these challenges. Our method retri"&amp;"eves relevant examples for a test input from the training set and leverages a large language model to dynamically refine intent labels based on semantic understanding, ensuring that intents are clearly distinguishable from one another. Experimental result"&amp;"s demonstrate that our approach effectively resolves confusion between semantically similar intents, resulting in significantly enhanced performance across multiple datasets compared to baselines. We also show that our method generates more interpretable "&amp;"intent labels, and has a better semantic coherence in capturing underlying user intents compared to baselines.")</f>
        <v>Dialogue intent classification aims to identify the underlying purpose or intent of a user’s input in a conversation. Current intent classification systems encounter considerable challenges, primarily due to the vast number of possible intents and the significant semantic overlap among similar intent classes. In this paper, we propose a novel approach to few-shot dialogue intent classification through in context learning, incorporating dynamic label refinement to address these challenges. Our method retrieves relevant examples for a test input from the training set and leverages a large language model to dynamically refine intent labels based on semantic understanding, ensuring that intents are clearly distinguishable from one another. Experimental results demonstrate that our approach effectively resolves confusion between semantically similar intents, resulting in significantly enhanced performance across multiple datasets compared to baselines. We also show that our method generates more interpretable intent labels, and has a better semantic coherence in capturing underlying user intents compared to baselines.</v>
      </c>
      <c r="D1606" s="7" t="str">
        <f>IFERROR(__xludf.DUMMYFUNCTION("""COMPUTED_VALUE"""),"Gyutae Park")</f>
        <v>Gyutae Park</v>
      </c>
      <c r="E1606" s="7" t="str">
        <f>IFERROR(__xludf.DUMMYFUNCTION("""COMPUTED_VALUE"""),"Yes")</f>
        <v>Yes</v>
      </c>
      <c r="F1606" s="7" t="str">
        <f>IFERROR(__xludf.DUMMYFUNCTION("""COMPUTED_VALUE"""),"IP-Poster")</f>
        <v>IP-Poster</v>
      </c>
      <c r="G1606" s="7" t="str">
        <f>IFERROR(__xludf.DUMMYFUNCTION("""COMPUTED_VALUE"""),"In-Person")</f>
        <v>In-Person</v>
      </c>
      <c r="H1606" s="7" t="str">
        <f>IFERROR(__xludf.DUMMYFUNCTION("""COMPUTED_VALUE"""),"Hall 4/5")</f>
        <v>Hall 4/5</v>
      </c>
      <c r="I1606" s="7" t="str">
        <f>IFERROR(__xludf.DUMMYFUNCTION("""COMPUTED_VALUE"""),"Session 7: IP-Posters")</f>
        <v>Session 7: IP-Posters</v>
      </c>
      <c r="J1606" s="7" t="str">
        <f>IFERROR(__xludf.DUMMYFUNCTION("""COMPUTED_VALUE"""),"Poster Session 2")</f>
        <v>Poster Session 2</v>
      </c>
      <c r="K1606" s="7"/>
      <c r="L1606" s="8">
        <f>IFERROR(__xludf.DUMMYFUNCTION("""COMPUTED_VALUE"""),45867.0)</f>
        <v>45867</v>
      </c>
      <c r="M1606" s="7" t="str">
        <f>IFERROR(__xludf.DUMMYFUNCTION("""COMPUTED_VALUE"""),"10:30-12:00")</f>
        <v>10:30-12:00</v>
      </c>
      <c r="N1606" s="7"/>
    </row>
    <row r="1607">
      <c r="A1607" s="7" t="str">
        <f>IFERROR(__xludf.DUMMYFUNCTION("""COMPUTED_VALUE"""),"41-MAIN")</f>
        <v>41-MAIN</v>
      </c>
      <c r="B1607" s="7" t="str">
        <f>IFERROR(__xludf.DUMMYFUNCTION("""COMPUTED_VALUE"""),"LLM-Powered Test Case Generation for Detecting Bugs in Plausible Programs")</f>
        <v>LLM-Powered Test Case Generation for Detecting Bugs in Plausible Programs</v>
      </c>
      <c r="C1607" s="7" t="str">
        <f>IFERROR(__xludf.DUMMYFUNCTION("""COMPUTED_VALUE"""),"Detecting tricky bugs in plausible programs, those that pass existing test suites yet still contain bugs, remains a significant challenge in software testing. To address this problem, we propose TrickCatcher, an LLM-powered approach to generating test cas"&amp;"es for uncovering bugs in plausible programs. TrickCatcher operates in three stages: First, it uses an LLM to generate program variants based on the program under test (PUT) and its specification. Second, it employs an LLM to construct an input generator "&amp;"from the specification for producing test inputs. Finally, these inputs are executed on both the PUT and its program variants to detect inconsistencies in their outputs. We evaluate TrickCatcher on two datasets, TrickyBugs and EvalPlus, which include 366 "&amp;"human-written and 151 AI-generated plausible programs with tricky bugs. TrickCatcher achieves recall, precision, and F1 scores that are 1.80×, 2.65×, and 1.66× those of the state-of-the-art baselines, respectively. Code and data used are available at http"&amp;"s://github.com/RinCloud/TrickCatcher/.")</f>
        <v>Detecting tricky bugs in plausible programs, those that pass existing test suites yet still contain bugs, remains a significant challenge in software testing. To address this problem, we propose TrickCatcher, an LLM-powered approach to generating test cases for uncovering bugs in plausible programs. TrickCatcher operates in three stages: First, it uses an LLM to generate program variants based on the program under test (PUT) and its specification. Second, it employs an LLM to construct an input generator from the specification for producing test inputs. Finally, these inputs are executed on both the PUT and its program variants to detect inconsistencies in their outputs. We evaluate TrickCatcher on two datasets, TrickyBugs and EvalPlus, which include 366 human-written and 151 AI-generated plausible programs with tricky bugs. TrickCatcher achieves recall, precision, and F1 scores that are 1.80×, 2.65×, and 1.66× those of the state-of-the-art baselines, respectively. Code and data used are available at https://github.com/RinCloud/TrickCatcher/.</v>
      </c>
      <c r="D1607" s="7" t="str">
        <f>IFERROR(__xludf.DUMMYFUNCTION("""COMPUTED_VALUE"""),"Kaibo Liu")</f>
        <v>Kaibo Liu</v>
      </c>
      <c r="E1607" s="7" t="str">
        <f>IFERROR(__xludf.DUMMYFUNCTION("""COMPUTED_VALUE"""),"Yes")</f>
        <v>Yes</v>
      </c>
      <c r="F1607" s="7" t="str">
        <f>IFERROR(__xludf.DUMMYFUNCTION("""COMPUTED_VALUE"""),"IP-Poster")</f>
        <v>IP-Poster</v>
      </c>
      <c r="G1607" s="7" t="str">
        <f>IFERROR(__xludf.DUMMYFUNCTION("""COMPUTED_VALUE"""),"In-Person")</f>
        <v>In-Person</v>
      </c>
      <c r="H1607" s="7" t="str">
        <f>IFERROR(__xludf.DUMMYFUNCTION("""COMPUTED_VALUE"""),"Hall 4/5")</f>
        <v>Hall 4/5</v>
      </c>
      <c r="I1607" s="7" t="str">
        <f>IFERROR(__xludf.DUMMYFUNCTION("""COMPUTED_VALUE"""),"Session 2: IP-Posters ")</f>
        <v>Session 2: IP-Posters </v>
      </c>
      <c r="J1607" s="7" t="str">
        <f>IFERROR(__xludf.DUMMYFUNCTION("""COMPUTED_VALUE"""),"Poster Session 1")</f>
        <v>Poster Session 1</v>
      </c>
      <c r="K1607" s="7"/>
      <c r="L1607" s="8">
        <f>IFERROR(__xludf.DUMMYFUNCTION("""COMPUTED_VALUE"""),45866.0)</f>
        <v>45866</v>
      </c>
      <c r="M1607" s="7" t="str">
        <f>IFERROR(__xludf.DUMMYFUNCTION("""COMPUTED_VALUE"""),"11:00-12:30")</f>
        <v>11:00-12:30</v>
      </c>
      <c r="N1607" s="7"/>
    </row>
    <row r="1608">
      <c r="A1608" s="7" t="str">
        <f>IFERROR(__xludf.DUMMYFUNCTION("""COMPUTED_VALUE"""),"42-MAIN")</f>
        <v>42-MAIN</v>
      </c>
      <c r="B1608" s="7" t="str">
        <f>IFERROR(__xludf.DUMMYFUNCTION("""COMPUTED_VALUE"""),"Capture the Key in Reasoning to Enhance CoT Distillation Generalization")</f>
        <v>Capture the Key in Reasoning to Enhance CoT Distillation Generalization</v>
      </c>
      <c r="C1608" s="7" t="str">
        <f>IFERROR(__xludf.DUMMYFUNCTION("""COMPUTED_VALUE"""),"As Large Language Models (LLMs) scale up and gain powerful Chain-of-Thoughts (CoTs) reasoning abilities, practical resource constraints drive efforts to distill these capabilities into more compact Smaller Language Models (SLMs). We find that CoTs consist"&amp;" mainly of simple reasoning forms, with a small proportion (\~4.7%) of key reasoning steps that truly impact conclusions. However, previous distillation methods typically involve supervised fine-tuning student SLMs only on correct CoTs data produced by te"&amp;"acher LLMs, resulting in students struggling to learn the key, instead imitating the teacher's reasoning forms and making errors or omissions in reasoning. To address these issues, drawing an analogy to human learning, where analyzing mistakes according t"&amp;"o correct solutions often reveals the crucial steps leading to successes or failures, we propose mistak\textbf{E}-\textbf{D}riven key reason\textbf{I}ng step distilla\textbf{T}ion (\textbf{EDIT}), a novel method that further aids SLMs learning key reasoni"&amp;"ng steps rather than mere simple fine-tuning. Firstly, to expose the crucial steps in CoTs, we carefully design specific prompts to generate dual CoTs data with similar reasoning paths but divergent conclusions. Then, we apply the minimum edit distance al"&amp;"gorithm on the dual CoTs data to locate these key steps and optimize the likelihood on these tokens. Extensive experiments and analysis validate the effectiveness of EDIT across both in-domain(IND) and out-of-domain(OOD) benchmark reasoning datasets\footn"&amp;"ote{Code can be found at \url{https://github.com/C-W-D/EDIT}}.")</f>
        <v>As Large Language Models (LLMs) scale up and gain powerful Chain-of-Thoughts (CoTs) reasoning abilities, practical resource constraints drive efforts to distill these capabilities into more compact Smaller Language Models (SLMs). We find that CoTs consist mainly of simple reasoning forms, with a small proportion (\~4.7%) of key reasoning steps that truly impact conclusions. However, previous distillation methods typically involve supervised fine-tuning student SLMs only on correct CoTs data produced by teacher LLMs, resulting in students struggling to learn the key, instead imitating the teacher's reasoning forms and making errors or omissions in reasoning. To address these issues, drawing an analogy to human learning, where analyzing mistakes according to correct solutions often reveals the crucial steps leading to successes or failures, we propose mistak\textbf{E}-\textbf{D}riven key reason\textbf{I}ng step distilla\textbf{T}ion (\textbf{EDIT}), a novel method that further aids SLMs learning key reasoning steps rather than mere simple fine-tuning. Firstly, to expose the crucial steps in CoTs, we carefully design specific prompts to generate dual CoTs data with similar reasoning paths but divergent conclusions. Then, we apply the minimum edit distance algorithm on the dual CoTs data to locate these key steps and optimize the likelihood on these tokens. Extensive experiments and analysis validate the effectiveness of EDIT across both in-domain(IND) and out-of-domain(OOD) benchmark reasoning datasets\footnote{Code can be found at \url{https://github.com/C-W-D/EDIT}}.</v>
      </c>
      <c r="D1608" s="7" t="str">
        <f>IFERROR(__xludf.DUMMYFUNCTION("""COMPUTED_VALUE"""),"Chengwei Dai")</f>
        <v>Chengwei Dai</v>
      </c>
      <c r="E1608" s="7" t="str">
        <f>IFERROR(__xludf.DUMMYFUNCTION("""COMPUTED_VALUE"""),"Yes")</f>
        <v>Yes</v>
      </c>
      <c r="F1608" s="7" t="str">
        <f>IFERROR(__xludf.DUMMYFUNCTION("""COMPUTED_VALUE"""),"V-Presentation")</f>
        <v>V-Presentation</v>
      </c>
      <c r="G1608" s="7" t="str">
        <f>IFERROR(__xludf.DUMMYFUNCTION("""COMPUTED_VALUE"""),"Virtual/Gather")</f>
        <v>Virtual/Gather</v>
      </c>
      <c r="H1608" s="7" t="str">
        <f>IFERROR(__xludf.DUMMYFUNCTION("""COMPUTED_VALUE"""),"Zoom")</f>
        <v>Zoom</v>
      </c>
      <c r="I1608" s="7" t="str">
        <f>IFERROR(__xludf.DUMMYFUNCTION("""COMPUTED_VALUE"""),"Session 10: V-Presentations")</f>
        <v>Session 10: V-Presentations</v>
      </c>
      <c r="J1608" s="7" t="str">
        <f>IFERROR(__xludf.DUMMYFUNCTION("""COMPUTED_VALUE"""),"Virtual Presentations 3")</f>
        <v>Virtual Presentations 3</v>
      </c>
      <c r="K1608" s="7"/>
      <c r="L1608" s="8">
        <f>IFERROR(__xludf.DUMMYFUNCTION("""COMPUTED_VALUE"""),45867.0)</f>
        <v>45867</v>
      </c>
      <c r="M1608" s="7" t="str">
        <f>IFERROR(__xludf.DUMMYFUNCTION("""COMPUTED_VALUE"""),"16:00-17:30")</f>
        <v>16:00-17:30</v>
      </c>
      <c r="N1608" s="7"/>
    </row>
    <row r="1609">
      <c r="A1609" s="7" t="str">
        <f>IFERROR(__xludf.DUMMYFUNCTION("""COMPUTED_VALUE"""),"43-MAIN")</f>
        <v>43-MAIN</v>
      </c>
      <c r="B1609" s="7" t="str">
        <f>IFERROR(__xludf.DUMMYFUNCTION("""COMPUTED_VALUE"""),"How to Enable Effective Cooperation Between Humans and NLP Models: A Survey of Principles, Formalizations, and Beyond")</f>
        <v>How to Enable Effective Cooperation Between Humans and NLP Models: A Survey of Principles, Formalizations, and Beyond</v>
      </c>
      <c r="C1609" s="7" t="str">
        <f>IFERROR(__xludf.DUMMYFUNCTION("""COMPUTED_VALUE"""),"With the advancement of large language models (LLMs), intelligent models have evolved from mere tools to autonomous agents with their own goals and strategies for cooperating with humans. This evolution has birthed a novel paradigm in NLP, i.e., human-mod"&amp;"el cooperation, that has yielded remarkable progress in numerous NLP tasks in recent years. In this paper, we take the first step to present a thorough review of human-model cooperation, exploring its principles, formalizations, and open challenges. In pa"&amp;"rticular, we introduce a new taxonomy that provides a unified perspective to summarize existing approaches. Also, we discuss potential frontier areas and their corresponding challenges. We regard our work as an entry point, paving the way for more breakth"&amp;"rough research in this regard.")</f>
        <v>With the advancement of large language models (LLMs), intelligent models have evolved from mere tools to autonomous agents with their own goals and strategies for cooperating with humans. This evolution has birthed a novel paradigm in NLP, i.e., human-model cooperation, that has yielded remarkable progress in numerous NLP tasks in recent years. In this paper, we take the first step to present a thorough review of human-model cooperation, exploring its principles, formalizations, and open challenges. In particular, we introduce a new taxonomy that provides a unified perspective to summarize existing approaches. Also, we discuss potential frontier areas and their corresponding challenges. We regard our work as an entry point, paving the way for more breakthrough research in this regard.</v>
      </c>
      <c r="D1609" s="7" t="str">
        <f>IFERROR(__xludf.DUMMYFUNCTION("""COMPUTED_VALUE"""),"Wenqiang Lei")</f>
        <v>Wenqiang Lei</v>
      </c>
      <c r="E1609" s="7" t="str">
        <f>IFERROR(__xludf.DUMMYFUNCTION("""COMPUTED_VALUE"""),"Yes")</f>
        <v>Yes</v>
      </c>
      <c r="F1609" s="7" t="str">
        <f>IFERROR(__xludf.DUMMYFUNCTION("""COMPUTED_VALUE"""),"V-Presentation")</f>
        <v>V-Presentation</v>
      </c>
      <c r="G1609" s="7" t="str">
        <f>IFERROR(__xludf.DUMMYFUNCTION("""COMPUTED_VALUE"""),"Virtual/Gather")</f>
        <v>Virtual/Gather</v>
      </c>
      <c r="H1609" s="7" t="str">
        <f>IFERROR(__xludf.DUMMYFUNCTION("""COMPUTED_VALUE"""),"Zoom")</f>
        <v>Zoom</v>
      </c>
      <c r="I1609" s="7" t="str">
        <f>IFERROR(__xludf.DUMMYFUNCTION("""COMPUTED_VALUE"""),"Session 10: V-Presenations")</f>
        <v>Session 10: V-Presenations</v>
      </c>
      <c r="J1609" s="7" t="str">
        <f>IFERROR(__xludf.DUMMYFUNCTION("""COMPUTED_VALUE"""),"Virtual Presentations 3")</f>
        <v>Virtual Presentations 3</v>
      </c>
      <c r="K1609" s="7"/>
      <c r="L1609" s="8">
        <f>IFERROR(__xludf.DUMMYFUNCTION("""COMPUTED_VALUE"""),45867.0)</f>
        <v>45867</v>
      </c>
      <c r="M1609" s="7" t="str">
        <f>IFERROR(__xludf.DUMMYFUNCTION("""COMPUTED_VALUE"""),"16:00-17:30")</f>
        <v>16:00-17:30</v>
      </c>
      <c r="N1609" s="7"/>
    </row>
    <row r="1610">
      <c r="A1610" s="7" t="str">
        <f>IFERROR(__xludf.DUMMYFUNCTION("""COMPUTED_VALUE"""),"44-MAIN")</f>
        <v>44-MAIN</v>
      </c>
      <c r="B1610" s="7" t="str">
        <f>IFERROR(__xludf.DUMMYFUNCTION("""COMPUTED_VALUE"""),"Enhancing Hyperbole and Metaphor Detection with Their Bidirectional Dynamic Interaction and Emotion Knowledge")</f>
        <v>Enhancing Hyperbole and Metaphor Detection with Their Bidirectional Dynamic Interaction and Emotion Knowledge</v>
      </c>
      <c r="C1610" s="7" t="str">
        <f>IFERROR(__xludf.DUMMYFUNCTION("""COMPUTED_VALUE"""),"Text-based hyperbole and metaphor detection are of great significance for natural language processing (NLP) tasks.  However, due to their semantic obscurity and expressive diversity, it is rather challenging to identify them. Existing methods mostly focus"&amp;" on superficial text features, ignoring the associations of hyperbole and metaphor as well as the effect of implicit emotion on perceiving these rhetorical devices. To implement these hypotheses, we propose an emotion-guided hyperbole and metaphor detecti"&amp;"on framework based on bidirectional dynamic interaction (EmoBi). Firstly, the emotion analysis module deeply mines the emotion connotations behind hyperbole and metaphor.  Next, the emotion-based domain mapping module identifies the target and source doma"&amp;"ins to gain a deeper understanding of the implicit meanings of hyperbole and metaphor. Finally, the bidirectional dynamic interaction module enables the mutual promotion between hyperbole and metaphor. Meanwhile, a verification mechanism is designed to en"&amp;"sure detection accuracy and reliability. Experiments show that EmoBi outperforms all baseline methods on four datasets. Specifically, compared to the current SoTA, the F1 score increased by 28.1\% for hyperbole detection on the TroFi dataset and 23.1\% fo"&amp;"r metaphor detection on the HYPO-L dataset. These results, underpinned by in-depth analyses, underscore the effectiveness and potential of our approach for advancing hyperbole and metaphor detection.")</f>
        <v>Text-based hyperbole and metaphor detection are of great significance for natural language processing (NLP) tasks.  However, due to their semantic obscurity and expressive diversity, it is rather challenging to identify them. Existing methods mostly focus on superficial text features, ignoring the associations of hyperbole and metaphor as well as the effect of implicit emotion on perceiving these rhetorical devices. To implement these hypotheses, we propose an emotion-guided hyperbole and metaphor detection framework based on bidirectional dynamic interaction (EmoBi). Firstly, the emotion analysis module deeply mines the emotion connotations behind hyperbole and metaphor.  Next, the emotion-based domain mapping module identifies the target and source domains to gain a deeper understanding of the implicit meanings of hyperbole and metaphor. Finally, the bidirectional dynamic interaction module enables the mutual promotion between hyperbole and metaphor. Meanwhile, a verification mechanism is designed to ensure detection accuracy and reliability. Experiments show that EmoBi outperforms all baseline methods on four datasets. Specifically, compared to the current SoTA, the F1 score increased by 28.1\% for hyperbole detection on the TroFi dataset and 23.1\% for metaphor detection on the HYPO-L dataset. These results, underpinned by in-depth analyses, underscore the effectiveness and potential of our approach for advancing hyperbole and metaphor detection.</v>
      </c>
      <c r="D1610" s="7" t="str">
        <f>IFERROR(__xludf.DUMMYFUNCTION("""COMPUTED_VALUE"""),"Li Zheng")</f>
        <v>Li Zheng</v>
      </c>
      <c r="E1610" s="7" t="str">
        <f>IFERROR(__xludf.DUMMYFUNCTION("""COMPUTED_VALUE"""),"Yes")</f>
        <v>Yes</v>
      </c>
      <c r="F1610" s="7" t="str">
        <f>IFERROR(__xludf.DUMMYFUNCTION("""COMPUTED_VALUE"""),"IP-Poster")</f>
        <v>IP-Poster</v>
      </c>
      <c r="G1610" s="7" t="str">
        <f>IFERROR(__xludf.DUMMYFUNCTION("""COMPUTED_VALUE"""),"In-Person")</f>
        <v>In-Person</v>
      </c>
      <c r="H1610" s="7" t="str">
        <f>IFERROR(__xludf.DUMMYFUNCTION("""COMPUTED_VALUE"""),"Hall 4/5")</f>
        <v>Hall 4/5</v>
      </c>
      <c r="I1610" s="7" t="str">
        <f>IFERROR(__xludf.DUMMYFUNCTION("""COMPUTED_VALUE"""),"Session 2: IP-Posters ")</f>
        <v>Session 2: IP-Posters </v>
      </c>
      <c r="J1610" s="7" t="str">
        <f>IFERROR(__xludf.DUMMYFUNCTION("""COMPUTED_VALUE"""),"Poster Session 1")</f>
        <v>Poster Session 1</v>
      </c>
      <c r="K1610" s="7"/>
      <c r="L1610" s="8">
        <f>IFERROR(__xludf.DUMMYFUNCTION("""COMPUTED_VALUE"""),45866.0)</f>
        <v>45866</v>
      </c>
      <c r="M1610" s="7" t="str">
        <f>IFERROR(__xludf.DUMMYFUNCTION("""COMPUTED_VALUE"""),"11:00-12:30")</f>
        <v>11:00-12:30</v>
      </c>
      <c r="N1610" s="7"/>
    </row>
    <row r="1611">
      <c r="A1611" s="7" t="str">
        <f>IFERROR(__xludf.DUMMYFUNCTION("""COMPUTED_VALUE"""),"45-MAIN")</f>
        <v>45-MAIN</v>
      </c>
      <c r="B1611" s="7" t="str">
        <f>IFERROR(__xludf.DUMMYFUNCTION("""COMPUTED_VALUE"""),"UniICL: An Efficient ICL Framework Unifying Compression, Selection, and Generation")</f>
        <v>UniICL: An Efficient ICL Framework Unifying Compression, Selection, and Generation</v>
      </c>
      <c r="C1611" s="7" t="str">
        <f>IFERROR(__xludf.DUMMYFUNCTION("""COMPUTED_VALUE"""),"In-context learning (ICL) enhances the reasoning abilities of Large Language Models (LLMs) by prepending a few demonstrations. It motivates researchers to introduce more examples to provide additional contextual information for the generation. However, ex"&amp;"isting methods show a significant limitation due to the problem of excessive growth in context length which causes a large hardware burden. Additionally, shallow-relevant examples selected by out-off-shelf tools hinder LLMs from capturing useful contextua"&amp;"l information for generation. In this paper, to approach these limitations, we propose \textbf{UniICL}, a novel Unified ICL framework that unifies demonstration compression, demonstration selection, and final response generation. Furthermore, to avoid rep"&amp;"eated compression of the same demonstration and boost inference efficiency, we design a tailored compression strategy that allows UniICL caching compression results into Demonstration Bank(DB). Extensive out-of-domain evaluations prove the advantages of U"&amp;"niICL in both effectiveness and efficiency.")</f>
        <v>In-context learning (ICL) enhances the reasoning abilities of Large Language Models (LLMs) by prepending a few demonstrations. It motivates researchers to introduce more examples to provide additional contextual information for the generation. However, existing methods show a significant limitation due to the problem of excessive growth in context length which causes a large hardware burden. Additionally, shallow-relevant examples selected by out-off-shelf tools hinder LLMs from capturing useful contextual information for generation. In this paper, to approach these limitations, we propose \textbf{UniICL}, a novel Unified ICL framework that unifies demonstration compression, demonstration selection, and final response generation. Furthermore, to avoid repeated compression of the same demonstration and boost inference efficiency, we design a tailored compression strategy that allows UniICL caching compression results into Demonstration Bank(DB). Extensive out-of-domain evaluations prove the advantages of UniICL in both effectiveness and efficiency.</v>
      </c>
      <c r="D1611" s="7" t="str">
        <f>IFERROR(__xludf.DUMMYFUNCTION("""COMPUTED_VALUE"""),"Jun Gao")</f>
        <v>Jun Gao</v>
      </c>
      <c r="E1611" s="7" t="str">
        <f>IFERROR(__xludf.DUMMYFUNCTION("""COMPUTED_VALUE"""),"Yes")</f>
        <v>Yes</v>
      </c>
      <c r="F1611" s="7" t="str">
        <f>IFERROR(__xludf.DUMMYFUNCTION("""COMPUTED_VALUE"""),"V-Presentation")</f>
        <v>V-Presentation</v>
      </c>
      <c r="G1611" s="7" t="str">
        <f>IFERROR(__xludf.DUMMYFUNCTION("""COMPUTED_VALUE"""),"Virtual/Gather")</f>
        <v>Virtual/Gather</v>
      </c>
      <c r="H1611" s="7" t="str">
        <f>IFERROR(__xludf.DUMMYFUNCTION("""COMPUTED_VALUE"""),"Zoom")</f>
        <v>Zoom</v>
      </c>
      <c r="I1611" s="7" t="str">
        <f>IFERROR(__xludf.DUMMYFUNCTION("""COMPUTED_VALUE"""),"Session 10: V-Presenations")</f>
        <v>Session 10: V-Presenations</v>
      </c>
      <c r="J1611" s="7" t="str">
        <f>IFERROR(__xludf.DUMMYFUNCTION("""COMPUTED_VALUE"""),"Virtual Presentations 3")</f>
        <v>Virtual Presentations 3</v>
      </c>
      <c r="K1611" s="7"/>
      <c r="L1611" s="8">
        <f>IFERROR(__xludf.DUMMYFUNCTION("""COMPUTED_VALUE"""),45867.0)</f>
        <v>45867</v>
      </c>
      <c r="M1611" s="7" t="str">
        <f>IFERROR(__xludf.DUMMYFUNCTION("""COMPUTED_VALUE"""),"16:00-17:30")</f>
        <v>16:00-17:30</v>
      </c>
      <c r="N1611" s="7"/>
    </row>
    <row r="1612">
      <c r="A1612" s="7" t="str">
        <f>IFERROR(__xludf.DUMMYFUNCTION("""COMPUTED_VALUE"""),"48-MAIN")</f>
        <v>48-MAIN</v>
      </c>
      <c r="B1612" s="7" t="str">
        <f>IFERROR(__xludf.DUMMYFUNCTION("""COMPUTED_VALUE"""),"BelarusianGLUE: Towards a Natural Language Understanding Benchmark for Belarusian")</f>
        <v>BelarusianGLUE: Towards a Natural Language Understanding Benchmark for Belarusian</v>
      </c>
      <c r="C1612" s="7" t="str">
        <f>IFERROR(__xludf.DUMMYFUNCTION("""COMPUTED_VALUE"""),"In the epoch of multilingual large language models (LLMs), it is still challenging to evaluate the models’ understanding of lower-resourced languages, which motivates further development of expert-crafted natural language understanding benchmarks. We intr"&amp;"oduce BelarusianGLUE — a natural language understanding benchmark for Belarusian, an East Slavic language, with ≈15K instances in five tasks: sentiment analysis, linguistic acceptability, word in context, Winograd schema challenge, textual entailment. A s"&amp;"ystematic evaluation of BERT models and LLMs against this novel benchmark reveals that both types of models approach human-level performance on easier tasks, such as sentiment analysis, but there is a significant gap in performance between machine and hum"&amp;"an on a harder task — Winograd schema challenge. We find the optimal choice of model type to be task-specific: e.g. BERT models underperform on textual entailment task but are competitive for linguistic acceptability. We release the datasets (https://hf.c"&amp;"o/datasets/maaxap/BelarusianGLUE) and evaluation code (https://github.com/maaxap/BelarusianGLUE).")</f>
        <v>In the epoch of multilingual large language models (LLMs), it is still challenging to evaluate the models’ understanding of lower-resourced languages, which motivates further development of expert-crafted natural language understanding benchmarks. We introduce BelarusianGLUE — a natural language understanding benchmark for Belarusian, an East Slavic language, with ≈15K instances in five tasks: sentiment analysis, linguistic acceptability, word in context, Winograd schema challenge, textual entailment. A systematic evaluation of BERT models and LLMs against this novel benchmark reveals that both types of models approach human-level performance on easier tasks, such as sentiment analysis, but there is a significant gap in performance between machine and human on a harder task — Winograd schema challenge. We find the optimal choice of model type to be task-specific: e.g. BERT models underperform on textual entailment task but are competitive for linguistic acceptability. We release the datasets (https://hf.co/datasets/maaxap/BelarusianGLUE) and evaluation code (https://github.com/maaxap/BelarusianGLUE).</v>
      </c>
      <c r="D1612" s="7" t="str">
        <f>IFERROR(__xludf.DUMMYFUNCTION("""COMPUTED_VALUE"""),"Maksim Aparovich")</f>
        <v>Maksim Aparovich</v>
      </c>
      <c r="E1612" s="7" t="str">
        <f>IFERROR(__xludf.DUMMYFUNCTION("""COMPUTED_VALUE"""),"Yes")</f>
        <v>Yes</v>
      </c>
      <c r="F1612" s="7" t="str">
        <f>IFERROR(__xludf.DUMMYFUNCTION("""COMPUTED_VALUE"""),"IP-Poster")</f>
        <v>IP-Poster</v>
      </c>
      <c r="G1612" s="7" t="str">
        <f>IFERROR(__xludf.DUMMYFUNCTION("""COMPUTED_VALUE"""),"In-Person")</f>
        <v>In-Person</v>
      </c>
      <c r="H1612" s="7" t="str">
        <f>IFERROR(__xludf.DUMMYFUNCTION("""COMPUTED_VALUE"""),"Hall 4/5")</f>
        <v>Hall 4/5</v>
      </c>
      <c r="I1612" s="7" t="str">
        <f>IFERROR(__xludf.DUMMYFUNCTION("""COMPUTED_VALUE"""),"Session 2: IP-Posters ")</f>
        <v>Session 2: IP-Posters </v>
      </c>
      <c r="J1612" s="7" t="str">
        <f>IFERROR(__xludf.DUMMYFUNCTION("""COMPUTED_VALUE"""),"Poster Session 1")</f>
        <v>Poster Session 1</v>
      </c>
      <c r="K1612" s="7"/>
      <c r="L1612" s="8">
        <f>IFERROR(__xludf.DUMMYFUNCTION("""COMPUTED_VALUE"""),45866.0)</f>
        <v>45866</v>
      </c>
      <c r="M1612" s="7" t="str">
        <f>IFERROR(__xludf.DUMMYFUNCTION("""COMPUTED_VALUE"""),"11:00-12:30")</f>
        <v>11:00-12:30</v>
      </c>
      <c r="N1612" s="7"/>
    </row>
    <row r="1613">
      <c r="A1613" s="7" t="str">
        <f>IFERROR(__xludf.DUMMYFUNCTION("""COMPUTED_VALUE"""),"49-MAIN")</f>
        <v>49-MAIN</v>
      </c>
      <c r="B1613" s="7" t="str">
        <f>IFERROR(__xludf.DUMMYFUNCTION("""COMPUTED_VALUE"""),"A Survey on Foundation Language Models for Single-cell Biology")</f>
        <v>A Survey on Foundation Language Models for Single-cell Biology</v>
      </c>
      <c r="C1613" s="7" t="str">
        <f>IFERROR(__xludf.DUMMYFUNCTION("""COMPUTED_VALUE"""),"The recent advancements in language models have significantly catalyzed progress in computational biology. A growing body of research strives to construct unified foundation models for single-cell biology, with language models serving as the cornerstone. "&amp;"In this paper, we systematically review the developments in foundation language models designed specifically for single-cell biology. Our survey offers a thorough analysis of various incarnations of single-cell foundation language models, viewed through t"&amp;"he lens of both pre-trained language models (PLMs) and large language models (LLMs). This includes an exploration of data tokenization strategies, pre-training/tuning paradigms, and downstream single-cell data analysis tasks. Additionally, we discuss the "&amp;"current challenges faced by these pioneering works and speculate on future research directions. Overall, this survey provides a comprehensive overview of the existing single-cell foundation language models, paving the way for future research endeavors.")</f>
        <v>The recent advancements in language models have significantly catalyzed progress in computational biology. A growing body of research strives to construct unified foundation models for single-cell biology, with language models serving as the cornerstone. In this paper, we systematically review the developments in foundation language models designed specifically for single-cell biology. Our survey offers a thorough analysis of various incarnations of single-cell foundation language models, viewed through the lens of both pre-trained language models (PLMs) and large language models (LLMs). This includes an exploration of data tokenization strategies, pre-training/tuning paradigms, and downstream single-cell data analysis tasks. Additionally, we discuss the current challenges faced by these pioneering works and speculate on future research directions. Overall, this survey provides a comprehensive overview of the existing single-cell foundation language models, paving the way for future research endeavors.</v>
      </c>
      <c r="D1613" s="7" t="str">
        <f>IFERROR(__xludf.DUMMYFUNCTION("""COMPUTED_VALUE"""),"Xian Wu")</f>
        <v>Xian Wu</v>
      </c>
      <c r="E1613" s="7" t="str">
        <f>IFERROR(__xludf.DUMMYFUNCTION("""COMPUTED_VALUE"""),"Yes")</f>
        <v>Yes</v>
      </c>
      <c r="F1613" s="7" t="str">
        <f>IFERROR(__xludf.DUMMYFUNCTION("""COMPUTED_VALUE"""),"IP-Poster")</f>
        <v>IP-Poster</v>
      </c>
      <c r="G1613" s="7" t="str">
        <f>IFERROR(__xludf.DUMMYFUNCTION("""COMPUTED_VALUE"""),"In-Person")</f>
        <v>In-Person</v>
      </c>
      <c r="H1613" s="7" t="str">
        <f>IFERROR(__xludf.DUMMYFUNCTION("""COMPUTED_VALUE"""),"Hall 4/5")</f>
        <v>Hall 4/5</v>
      </c>
      <c r="I1613" s="7" t="str">
        <f>IFERROR(__xludf.DUMMYFUNCTION("""COMPUTED_VALUE"""),"Session 2: IP-Posters ")</f>
        <v>Session 2: IP-Posters </v>
      </c>
      <c r="J1613" s="7" t="str">
        <f>IFERROR(__xludf.DUMMYFUNCTION("""COMPUTED_VALUE"""),"Poster Session 1")</f>
        <v>Poster Session 1</v>
      </c>
      <c r="K1613" s="7"/>
      <c r="L1613" s="8">
        <f>IFERROR(__xludf.DUMMYFUNCTION("""COMPUTED_VALUE"""),45866.0)</f>
        <v>45866</v>
      </c>
      <c r="M1613" s="7" t="str">
        <f>IFERROR(__xludf.DUMMYFUNCTION("""COMPUTED_VALUE"""),"11:00-12:30")</f>
        <v>11:00-12:30</v>
      </c>
      <c r="N1613" s="7"/>
    </row>
    <row r="1614">
      <c r="A1614" s="7" t="str">
        <f>IFERROR(__xludf.DUMMYFUNCTION("""COMPUTED_VALUE"""),"50-MAIN")</f>
        <v>50-MAIN</v>
      </c>
      <c r="B1614" s="7" t="str">
        <f>IFERROR(__xludf.DUMMYFUNCTION("""COMPUTED_VALUE"""),"RuleArena: A Benchmark for Rule-Guided Reasoning with LLMs in Real-World Scenarios")</f>
        <v>RuleArena: A Benchmark for Rule-Guided Reasoning with LLMs in Real-World Scenarios</v>
      </c>
      <c r="C1614" s="7" t="str">
        <f>IFERROR(__xludf.DUMMYFUNCTION("""COMPUTED_VALUE"""),"This paper introduces RuleArena, a novel and challenging benchmark designed to evaluate the ability of large language models (LLMs) to follow complex, real-world rules in reasoning. Covering three practical domains -- airline baggage fees, NBA transaction"&amp;"s, and tax regulations -- RuleArena assesses LLMs' proficiency in handling intricate natural language instructions that demand long-context understanding, logical reasoning, and accurate mathematical computation. Two key attributes distinguish RuleArena f"&amp;"rom traditional rule-based reasoning benchmarks: (1) it extends beyond standard first-order logic representations, and (2) it is grounded in authentic, practical scenarios, providing insights into the suitability and reliability of LLMs for real-world app"&amp;"lications. Our findings reveal several notable limitations in LLMs: (1) they struggle to identify and apply the appropriate rules, frequently becoming confused by similar but distinct regulations, (2) they cannot consistently perform accurate mathematical"&amp;" computations, even when they correctly identify the relevant rules, and (3) in general, they perform poorly in the benchmark. We also observe a significant performance boost when LLMs are provided with external tools for oracle math and logic operations."&amp;" These results highlight significant challenges and promising research directions in advancing LLMs' rule-guided reasoning capabilities in real-life applications. Our codes and data are publicly available on https://github.com/skyriver-2000/rulearena.")</f>
        <v>This paper introduces RuleArena, a novel and challenging benchmark designed to evaluate the ability of large language models (LLMs) to follow complex, real-world rules in reasoning. Covering three practical domains -- airline baggage fees, NBA transactions, and tax regulations -- RuleArena assesses LLMs' proficiency in handling intricate natural language instructions that demand long-context understanding, logical reasoning, and accurate mathematical computation. Two key attributes distinguish RuleArena from traditional rule-based reasoning benchmarks: (1) it extends beyond standard first-order logic representations, and (2) it is grounded in authentic, practical scenarios, providing insights into the suitability and reliability of LLMs for real-world applications. Our findings reveal several notable limitations in LLMs: (1) they struggle to identify and apply the appropriate rules, frequently becoming confused by similar but distinct regulations, (2) they cannot consistently perform accurate mathematical computations, even when they correctly identify the relevant rules, and (3) in general, they perform poorly in the benchmark. We also observe a significant performance boost when LLMs are provided with external tools for oracle math and logic operations. These results highlight significant challenges and promising research directions in advancing LLMs' rule-guided reasoning capabilities in real-life applications. Our codes and data are publicly available on https://github.com/skyriver-2000/rulearena.</v>
      </c>
      <c r="D1614" s="7" t="str">
        <f>IFERROR(__xludf.DUMMYFUNCTION("""COMPUTED_VALUE"""),"Ruiwen Zhou")</f>
        <v>Ruiwen Zhou</v>
      </c>
      <c r="E1614" s="7" t="str">
        <f>IFERROR(__xludf.DUMMYFUNCTION("""COMPUTED_VALUE"""),"Yes")</f>
        <v>Yes</v>
      </c>
      <c r="F1614" s="7" t="str">
        <f>IFERROR(__xludf.DUMMYFUNCTION("""COMPUTED_VALUE"""),"IP-Poster")</f>
        <v>IP-Poster</v>
      </c>
      <c r="G1614" s="7" t="str">
        <f>IFERROR(__xludf.DUMMYFUNCTION("""COMPUTED_VALUE"""),"In-Person")</f>
        <v>In-Person</v>
      </c>
      <c r="H1614" s="7" t="str">
        <f>IFERROR(__xludf.DUMMYFUNCTION("""COMPUTED_VALUE"""),"Hall 4/5")</f>
        <v>Hall 4/5</v>
      </c>
      <c r="I1614" s="7" t="str">
        <f>IFERROR(__xludf.DUMMYFUNCTION("""COMPUTED_VALUE"""),"Session 2: IP-Posters ")</f>
        <v>Session 2: IP-Posters </v>
      </c>
      <c r="J1614" s="7" t="str">
        <f>IFERROR(__xludf.DUMMYFUNCTION("""COMPUTED_VALUE"""),"Poster Session 1")</f>
        <v>Poster Session 1</v>
      </c>
      <c r="K1614" s="7"/>
      <c r="L1614" s="8">
        <f>IFERROR(__xludf.DUMMYFUNCTION("""COMPUTED_VALUE"""),45866.0)</f>
        <v>45866</v>
      </c>
      <c r="M1614" s="7" t="str">
        <f>IFERROR(__xludf.DUMMYFUNCTION("""COMPUTED_VALUE"""),"11:00-12:30")</f>
        <v>11:00-12:30</v>
      </c>
      <c r="N1614" s="7"/>
    </row>
    <row r="1615">
      <c r="A1615" s="7" t="str">
        <f>IFERROR(__xludf.DUMMYFUNCTION("""COMPUTED_VALUE"""),"55-MAIN")</f>
        <v>55-MAIN</v>
      </c>
      <c r="B1615" s="7" t="str">
        <f>IFERROR(__xludf.DUMMYFUNCTION("""COMPUTED_VALUE"""),"Extending LLM Context Window with Adaptive Grouped Positional Encoding: A Training-Free Method")</f>
        <v>Extending LLM Context Window with Adaptive Grouped Positional Encoding: A Training-Free Method</v>
      </c>
      <c r="C1615" s="7" t="str">
        <f>IFERROR(__xludf.DUMMYFUNCTION("""COMPUTED_VALUE"""),"Processing long input remains a significant challenge for large language models (LLMs) due to the scarcity of large-scale long-context training data and the high computational cost of training models for extended context windows. In this paper, we propose"&amp;" **Ada**ptive **Gro**uped **P**ositional **E**ncoding (AdaGroPE), a training-free, plug-and-play method to enhance long-context understanding in existing LLMs. AdaGroPE progressively increases the reuse count of relative positions as the distance grows an"&amp;"d dynamically adapts the positional encoding mapping to sequence length, thereby fully exploiting the range of pre-trained position embeddings. Its design is consistent with the principles of rotary position embedding (RoPE) and aligns with human percepti"&amp;"on of relative distance, enabling robust performance in real-world settings with variable-length inputs. Extensive experiments across various benchmarks demonstrate that our AdaGroPE consistently achieves state-of-the-art performance, surpassing baseline "&amp;"methods and even outperforming LLMs inherently designed for long-context processing on certain tasks.")</f>
        <v>Processing long input remains a significant challenge for large language models (LLMs) due to the scarcity of large-scale long-context training data and the high computational cost of training models for extended context windows. In this paper, we propose **Ada**ptive **Gro**uped **P**ositional **E**ncoding (AdaGroPE), a training-free, plug-and-play method to enhance long-context understanding in existing LLMs. AdaGroPE progressively increases the reuse count of relative positions as the distance grows and dynamically adapts the positional encoding mapping to sequence length, thereby fully exploiting the range of pre-trained position embeddings. Its design is consistent with the principles of rotary position embedding (RoPE) and aligns with human perception of relative distance, enabling robust performance in real-world settings with variable-length inputs. Extensive experiments across various benchmarks demonstrate that our AdaGroPE consistently achieves state-of-the-art performance, surpassing baseline methods and even outperforming LLMs inherently designed for long-context processing on certain tasks.</v>
      </c>
      <c r="D1615" s="7" t="str">
        <f>IFERROR(__xludf.DUMMYFUNCTION("""COMPUTED_VALUE"""),"Xinhao Xu")</f>
        <v>Xinhao Xu</v>
      </c>
      <c r="E1615" s="7" t="str">
        <f>IFERROR(__xludf.DUMMYFUNCTION("""COMPUTED_VALUE"""),"Yes")</f>
        <v>Yes</v>
      </c>
      <c r="F1615" s="7" t="str">
        <f>IFERROR(__xludf.DUMMYFUNCTION("""COMPUTED_VALUE"""),"IP-Poster")</f>
        <v>IP-Poster</v>
      </c>
      <c r="G1615" s="7" t="str">
        <f>IFERROR(__xludf.DUMMYFUNCTION("""COMPUTED_VALUE"""),"In-Person")</f>
        <v>In-Person</v>
      </c>
      <c r="H1615" s="7" t="str">
        <f>IFERROR(__xludf.DUMMYFUNCTION("""COMPUTED_VALUE"""),"Hall 4/5")</f>
        <v>Hall 4/5</v>
      </c>
      <c r="I1615" s="7" t="str">
        <f>IFERROR(__xludf.DUMMYFUNCTION("""COMPUTED_VALUE"""),"Session 7: IP-Posters")</f>
        <v>Session 7: IP-Posters</v>
      </c>
      <c r="J1615" s="7" t="str">
        <f>IFERROR(__xludf.DUMMYFUNCTION("""COMPUTED_VALUE"""),"Poster Session 2")</f>
        <v>Poster Session 2</v>
      </c>
      <c r="K1615" s="7"/>
      <c r="L1615" s="8">
        <f>IFERROR(__xludf.DUMMYFUNCTION("""COMPUTED_VALUE"""),45867.0)</f>
        <v>45867</v>
      </c>
      <c r="M1615" s="7" t="str">
        <f>IFERROR(__xludf.DUMMYFUNCTION("""COMPUTED_VALUE"""),"10:30-12:00")</f>
        <v>10:30-12:00</v>
      </c>
      <c r="N1615" s="7"/>
    </row>
    <row r="1616">
      <c r="A1616" s="7" t="str">
        <f>IFERROR(__xludf.DUMMYFUNCTION("""COMPUTED_VALUE"""),"57-MAIN")</f>
        <v>57-MAIN</v>
      </c>
      <c r="B1616" s="7" t="str">
        <f>IFERROR(__xludf.DUMMYFUNCTION("""COMPUTED_VALUE"""),"Semantic Exploration with Adaptive Gating for Efficient Problem Solving with Language Models")</f>
        <v>Semantic Exploration with Adaptive Gating for Efficient Problem Solving with Language Models</v>
      </c>
      <c r="C1616" s="7" t="str">
        <f>IFERROR(__xludf.DUMMYFUNCTION("""COMPUTED_VALUE"""),"Recent advancements in large language models (LLMs) have shown remarkable potential in various complex tasks requiring multi-step reasoning methods like tree search to explore diverse reasoning paths. However, existing methods often suffer from computatio"&amp;"nal inefficiency and redundancy. First, they overlook the diversity of task difficulties, leading to unnecessarily extensive searches even for easy tasks. Second, they neglect the semantics of reasoning paths, resulting in redundant exploration of semanti"&amp;"cally identical paths. To address these limitations, we propose Semantic Exploration with Adaptive Gating (SEAG), a computationally efficient method. SEAG employs an adaptive gating mechanism that dynamically decides whether to conduct a tree search, base"&amp;"d on the confidence level of answers from a preceding simple reasoning method. Furthermore, its tree-based exploration consolidates semantically identical reasoning steps, reducing redundant explorations while maintaining or even improving accuracy. Our e"&amp;"xtensive experiments demonstrate that SEAG significantly improves accuracy by 4.3\% on average while requiring only 31\% of computational costs compared to existing tree search-based methods on complex reasoning benchmarks including GSM8K and ARC with div"&amp;"erse language models such as Llama2, Llama3, and Mistral. Our code is available at https://github.com/ml-postech/SEAG-semantic-exploration-with-adaptive-gating.")</f>
        <v>Recent advancements in large language models (LLMs) have shown remarkable potential in various complex tasks requiring multi-step reasoning methods like tree search to explore diverse reasoning paths. However, existing methods often suffer from computational inefficiency and redundancy. First, they overlook the diversity of task difficulties, leading to unnecessarily extensive searches even for easy tasks. Second, they neglect the semantics of reasoning paths, resulting in redundant exploration of semantically identical paths. To address these limitations, we propose Semantic Exploration with Adaptive Gating (SEAG), a computationally efficient method. SEAG employs an adaptive gating mechanism that dynamically decides whether to conduct a tree search, based on the confidence level of answers from a preceding simple reasoning method. Furthermore, its tree-based exploration consolidates semantically identical reasoning steps, reducing redundant explorations while maintaining or even improving accuracy. Our extensive experiments demonstrate that SEAG significantly improves accuracy by 4.3\% on average while requiring only 31\% of computational costs compared to existing tree search-based methods on complex reasoning benchmarks including GSM8K and ARC with diverse language models such as Llama2, Llama3, and Mistral. Our code is available at https://github.com/ml-postech/SEAG-semantic-exploration-with-adaptive-gating.</v>
      </c>
      <c r="D1616" s="7" t="str">
        <f>IFERROR(__xludf.DUMMYFUNCTION("""COMPUTED_VALUE"""),"Sungjae Lee")</f>
        <v>Sungjae Lee</v>
      </c>
      <c r="E1616" s="7" t="str">
        <f>IFERROR(__xludf.DUMMYFUNCTION("""COMPUTED_VALUE"""),"Yes")</f>
        <v>Yes</v>
      </c>
      <c r="F1616" s="7" t="str">
        <f>IFERROR(__xludf.DUMMYFUNCTION("""COMPUTED_VALUE"""),"IP-Oral")</f>
        <v>IP-Oral</v>
      </c>
      <c r="G1616" s="7" t="str">
        <f>IFERROR(__xludf.DUMMYFUNCTION("""COMPUTED_VALUE"""),"In-Person")</f>
        <v>In-Person</v>
      </c>
      <c r="H1616" s="7" t="str">
        <f>IFERROR(__xludf.DUMMYFUNCTION("""COMPUTED_VALUE"""),"Hall M.1")</f>
        <v>Hall M.1</v>
      </c>
      <c r="I1616" s="7" t="str">
        <f>IFERROR(__xludf.DUMMYFUNCTION("""COMPUTED_VALUE"""),"Session 9: IP-Orals")</f>
        <v>Session 9: IP-Orals</v>
      </c>
      <c r="J1616" s="7" t="str">
        <f>IFERROR(__xludf.DUMMYFUNCTION("""COMPUTED_VALUE"""),"Efficient Methods for NLP 1")</f>
        <v>Efficient Methods for NLP 1</v>
      </c>
      <c r="K1616" s="7"/>
      <c r="L1616" s="8">
        <f>IFERROR(__xludf.DUMMYFUNCTION("""COMPUTED_VALUE"""),45867.0)</f>
        <v>45867</v>
      </c>
      <c r="M1616" s="7" t="str">
        <f>IFERROR(__xludf.DUMMYFUNCTION("""COMPUTED_VALUE"""),"14:00-15:30")</f>
        <v>14:00-15:30</v>
      </c>
      <c r="N1616" s="7">
        <f>IFERROR(__xludf.DUMMYFUNCTION("""COMPUTED_VALUE"""),2.0)</f>
        <v>2</v>
      </c>
    </row>
    <row r="1617">
      <c r="A1617" s="7" t="str">
        <f>IFERROR(__xludf.DUMMYFUNCTION("""COMPUTED_VALUE"""),"58-MAIN")</f>
        <v>58-MAIN</v>
      </c>
      <c r="B1617" s="7" t="str">
        <f>IFERROR(__xludf.DUMMYFUNCTION("""COMPUTED_VALUE"""),"HotelMatch-LLM: Joint Multi-Task Training of Small and Large Language Models for Efficient Multimodal Hotel Retrieval")</f>
        <v>HotelMatch-LLM: Joint Multi-Task Training of Small and Large Language Models for Efficient Multimodal Hotel Retrieval</v>
      </c>
      <c r="C1617" s="7" t="str">
        <f>IFERROR(__xludf.DUMMYFUNCTION("""COMPUTED_VALUE"""),"We present HotelMatch-LLM, a multimodal dense retrieval model for the travel domain that enables natural language property search, addressing the limitations of traditional travel search engines which require users to start with a destination and editing "&amp;"search parameters. HotelMatch-LLM features three key innovations: (1) Domain-specific multi-task optimization with three novel retrieval, visual, and language modeling objectives; (2) Asymmetrical dense retrieval architecture combining a small language mo"&amp;"del (SLM) for efficient online query processing and a large language model (LLM) for embedding hotel data; and (3) Extensive image processing to handle all property image galleries. Experiments on four diverse test sets show HotelMatch-LLM significantly o"&amp;"utperforms state-of-the-art models, including VISTA and MARVEL. Specifically, on the test set—main query type—we achieve 0.681 for HotelMatch-LLM compared to 0.603 for the most effective baseline, MARVEL. Our analysis highlights the impact of our multi-ta"&amp;"sk optimization, the generalizability of HotelMatch-LLM across LLM architectures, and its scalability for processing large image galleries.")</f>
        <v>We present HotelMatch-LLM, a multimodal dense retrieval model for the travel domain that enables natural language property search, addressing the limitations of traditional travel search engines which require users to start with a destination and editing search parameters. HotelMatch-LLM features three key innovations: (1) Domain-specific multi-task optimization with three novel retrieval, visual, and language modeling objectives; (2) Asymmetrical dense retrieval architecture combining a small language model (SLM) for efficient online query processing and a large language model (LLM) for embedding hotel data; and (3) Extensive image processing to handle all property image galleries. Experiments on four diverse test sets show HotelMatch-LLM significantly outperforms state-of-the-art models, including VISTA and MARVEL. Specifically, on the test set—main query type—we achieve 0.681 for HotelMatch-LLM compared to 0.603 for the most effective baseline, MARVEL. Our analysis highlights the impact of our multi-task optimization, the generalizability of HotelMatch-LLM across LLM architectures, and its scalability for processing large image galleries.</v>
      </c>
      <c r="D1617" s="7" t="str">
        <f>IFERROR(__xludf.DUMMYFUNCTION("""COMPUTED_VALUE"""),"Arian Askari")</f>
        <v>Arian Askari</v>
      </c>
      <c r="E1617" s="7" t="str">
        <f>IFERROR(__xludf.DUMMYFUNCTION("""COMPUTED_VALUE"""),"Yes")</f>
        <v>Yes</v>
      </c>
      <c r="F1617" s="7" t="str">
        <f>IFERROR(__xludf.DUMMYFUNCTION("""COMPUTED_VALUE"""),"IP-Poster")</f>
        <v>IP-Poster</v>
      </c>
      <c r="G1617" s="7" t="str">
        <f>IFERROR(__xludf.DUMMYFUNCTION("""COMPUTED_VALUE"""),"In-Person")</f>
        <v>In-Person</v>
      </c>
      <c r="H1617" s="7" t="str">
        <f>IFERROR(__xludf.DUMMYFUNCTION("""COMPUTED_VALUE"""),"Hall 4/5")</f>
        <v>Hall 4/5</v>
      </c>
      <c r="I1617" s="7" t="str">
        <f>IFERROR(__xludf.DUMMYFUNCTION("""COMPUTED_VALUE"""),"Session 2: IP-Posters ")</f>
        <v>Session 2: IP-Posters </v>
      </c>
      <c r="J1617" s="7" t="str">
        <f>IFERROR(__xludf.DUMMYFUNCTION("""COMPUTED_VALUE"""),"Poster Session 1")</f>
        <v>Poster Session 1</v>
      </c>
      <c r="K1617" s="7"/>
      <c r="L1617" s="8">
        <f>IFERROR(__xludf.DUMMYFUNCTION("""COMPUTED_VALUE"""),45866.0)</f>
        <v>45866</v>
      </c>
      <c r="M1617" s="7" t="str">
        <f>IFERROR(__xludf.DUMMYFUNCTION("""COMPUTED_VALUE"""),"11:00-12:30")</f>
        <v>11:00-12:30</v>
      </c>
      <c r="N1617" s="7"/>
    </row>
    <row r="1618">
      <c r="A1618" s="7" t="str">
        <f>IFERROR(__xludf.DUMMYFUNCTION("""COMPUTED_VALUE"""),"59-MAIN")</f>
        <v>59-MAIN</v>
      </c>
      <c r="B1618" s="7" t="str">
        <f>IFERROR(__xludf.DUMMYFUNCTION("""COMPUTED_VALUE"""),"Can Multimodal Large Language Models Understand Spatial Relations?")</f>
        <v>Can Multimodal Large Language Models Understand Spatial Relations?</v>
      </c>
      <c r="C1618" s="7" t="str">
        <f>IFERROR(__xludf.DUMMYFUNCTION("""COMPUTED_VALUE"""),"Spatial relation reasoning is a crucial task for multimodal large language models (MLLMs) to understand the objective world. However, current benchmarks have issues like relying on bounding boxes, ignoring perspective substitutions, or allowing questions "&amp;"to be answered using only the model's prior knowledge without image understanding. To address these issues, we introduce SpatialMQA, a human-annotated spatial relation reasoning benchmark based on COCO2017, which enables MLLMs to focus more on understandi"&amp;"ng images in the objective world. To ensure data quality, we design a well-tailored annotation procedure, resulting in SpatialMQA consisting of 5,392 samples. Based on this benchmark, a series of closed- and open-source MLLMs are implemented and the resul"&amp;"ts indicate that the current state-of-the-art MLLM achieves only 48.14% accuracy, far below the human-level accuracy of 98.40%. Extensive experimental analyses are also conducted, suggesting the future research directions. The benchmark and codes are avai"&amp;"lable at https://huggingface.co/datasets/liuziyan/SpatialMQA.")</f>
        <v>Spatial relation reasoning is a crucial task for multimodal large language models (MLLMs) to understand the objective world. However, current benchmarks have issues like relying on bounding boxes, ignoring perspective substitutions, or allowing questions to be answered using only the model's prior knowledge without image understanding. To address these issues, we introduce SpatialMQA, a human-annotated spatial relation reasoning benchmark based on COCO2017, which enables MLLMs to focus more on understanding images in the objective world. To ensure data quality, we design a well-tailored annotation procedure, resulting in SpatialMQA consisting of 5,392 samples. Based on this benchmark, a series of closed- and open-source MLLMs are implemented and the results indicate that the current state-of-the-art MLLM achieves only 48.14% accuracy, far below the human-level accuracy of 98.40%. Extensive experimental analyses are also conducted, suggesting the future research directions. The benchmark and codes are available at https://huggingface.co/datasets/liuziyan/SpatialMQA.</v>
      </c>
      <c r="D1618" s="7" t="str">
        <f>IFERROR(__xludf.DUMMYFUNCTION("""COMPUTED_VALUE"""),"Ziyan Liu")</f>
        <v>Ziyan Liu</v>
      </c>
      <c r="E1618" s="7" t="str">
        <f>IFERROR(__xludf.DUMMYFUNCTION("""COMPUTED_VALUE"""),"Yes")</f>
        <v>Yes</v>
      </c>
      <c r="F1618" s="7" t="str">
        <f>IFERROR(__xludf.DUMMYFUNCTION("""COMPUTED_VALUE"""),"IP-Oral")</f>
        <v>IP-Oral</v>
      </c>
      <c r="G1618" s="7" t="str">
        <f>IFERROR(__xludf.DUMMYFUNCTION("""COMPUTED_VALUE"""),"In-Person")</f>
        <v>In-Person</v>
      </c>
      <c r="H1618" s="7" t="str">
        <f>IFERROR(__xludf.DUMMYFUNCTION("""COMPUTED_VALUE"""),"Hall C")</f>
        <v>Hall C</v>
      </c>
      <c r="I1618" s="7" t="str">
        <f>IFERROR(__xludf.DUMMYFUNCTION("""COMPUTED_VALUE"""),"Session 3: IP-Orals")</f>
        <v>Session 3: IP-Orals</v>
      </c>
      <c r="J1618" s="7" t="str">
        <f>IFERROR(__xludf.DUMMYFUNCTION("""COMPUTED_VALUE"""),"Multimodality and Language Grounding 1")</f>
        <v>Multimodality and Language Grounding 1</v>
      </c>
      <c r="K1618" s="7"/>
      <c r="L1618" s="8">
        <f>IFERROR(__xludf.DUMMYFUNCTION("""COMPUTED_VALUE"""),45866.0)</f>
        <v>45866</v>
      </c>
      <c r="M1618" s="7" t="str">
        <f>IFERROR(__xludf.DUMMYFUNCTION("""COMPUTED_VALUE"""),"14:00-15:30")</f>
        <v>14:00-15:30</v>
      </c>
      <c r="N1618" s="7">
        <f>IFERROR(__xludf.DUMMYFUNCTION("""COMPUTED_VALUE"""),1.0)</f>
        <v>1</v>
      </c>
    </row>
    <row r="1619">
      <c r="A1619" s="7" t="str">
        <f>IFERROR(__xludf.DUMMYFUNCTION("""COMPUTED_VALUE"""),"61-MAIN")</f>
        <v>61-MAIN</v>
      </c>
      <c r="B1619" s="7" t="str">
        <f>IFERROR(__xludf.DUMMYFUNCTION("""COMPUTED_VALUE"""),"61-MAIN S³ - Semantic Signal Separation")</f>
        <v>61-MAIN S³ - Semantic Signal Separation</v>
      </c>
      <c r="C1619" s="7" t="str">
        <f>IFERROR(__xludf.DUMMYFUNCTION("""COMPUTED_VALUE"""),"Topic models are useful tools for discovering latent semantic structures in large textual corpora. Recent efforts have been oriented at incorporating contextual representations in topic modeling and have been shown to outperform classical topic models. Th"&amp;"ese approaches are typically slow, volatile, and require heavy preprocessing for optimal results. We present Semantic Signal Separation ($S^3$), a theory-driven topic modeling approach in neural embedding spaces. 
$S^3$ conceptualizes topics as independen"&amp;"t axes of semantic space and uncovers these by decomposing contextualized document embeddings using Independent Component Analysis. Our approach provides diverse and highly coherent topics, requires no preprocessing, and is demonstrated to be the fastest "&amp;"contextual topic model, being, on average, 4.5x faster than the runner-up BERTopic. We offer an implementation of $S^3$, and all contextual baselines, in the Turftopic Python package.")</f>
        <v>Topic models are useful tools for discovering latent semantic structures in large textual corpora. Recent efforts have been oriented at incorporating contextual representations in topic modeling and have been shown to outperform classical topic models. These approaches are typically slow, volatile, and require heavy preprocessing for optimal results. We present Semantic Signal Separation ($S^3$), a theory-driven topic modeling approach in neural embedding spaces. 
$S^3$ conceptualizes topics as independent axes of semantic space and uncovers these by decomposing contextualized document embeddings using Independent Component Analysis. Our approach provides diverse and highly coherent topics, requires no preprocessing, and is demonstrated to be the fastest contextual topic model, being, on average, 4.5x faster than the runner-up BERTopic. We offer an implementation of $S^3$, and all contextual baselines, in the Turftopic Python package.</v>
      </c>
      <c r="D1619" s="7" t="str">
        <f>IFERROR(__xludf.DUMMYFUNCTION("""COMPUTED_VALUE"""),"Márton Kardos")</f>
        <v>Márton Kardos</v>
      </c>
      <c r="E1619" s="7" t="str">
        <f>IFERROR(__xludf.DUMMYFUNCTION("""COMPUTED_VALUE"""),"Yes")</f>
        <v>Yes</v>
      </c>
      <c r="F1619" s="7" t="str">
        <f>IFERROR(__xludf.DUMMYFUNCTION("""COMPUTED_VALUE"""),"IP-Poster")</f>
        <v>IP-Poster</v>
      </c>
      <c r="G1619" s="7" t="str">
        <f>IFERROR(__xludf.DUMMYFUNCTION("""COMPUTED_VALUE"""),"In-Person")</f>
        <v>In-Person</v>
      </c>
      <c r="H1619" s="7" t="str">
        <f>IFERROR(__xludf.DUMMYFUNCTION("""COMPUTED_VALUE"""),"Hall 4/5")</f>
        <v>Hall 4/5</v>
      </c>
      <c r="I1619" s="7" t="str">
        <f>IFERROR(__xludf.DUMMYFUNCTION("""COMPUTED_VALUE"""),"Session 7: IP-Posters")</f>
        <v>Session 7: IP-Posters</v>
      </c>
      <c r="J1619" s="7" t="str">
        <f>IFERROR(__xludf.DUMMYFUNCTION("""COMPUTED_VALUE"""),"Poster Session 2")</f>
        <v>Poster Session 2</v>
      </c>
      <c r="K1619" s="7"/>
      <c r="L1619" s="8">
        <f>IFERROR(__xludf.DUMMYFUNCTION("""COMPUTED_VALUE"""),45867.0)</f>
        <v>45867</v>
      </c>
      <c r="M1619" s="7" t="str">
        <f>IFERROR(__xludf.DUMMYFUNCTION("""COMPUTED_VALUE"""),"10:30-12:00")</f>
        <v>10:30-12:00</v>
      </c>
      <c r="N1619" s="7"/>
    </row>
    <row r="1620">
      <c r="A1620" s="7" t="str">
        <f>IFERROR(__xludf.DUMMYFUNCTION("""COMPUTED_VALUE"""),"62-MAIN")</f>
        <v>62-MAIN</v>
      </c>
      <c r="B1620" s="7" t="str">
        <f>IFERROR(__xludf.DUMMYFUNCTION("""COMPUTED_VALUE"""),"TrimLLM: Progressive Layer Dropping for Domain-Specific LLMs")</f>
        <v>TrimLLM: Progressive Layer Dropping for Domain-Specific LLMs</v>
      </c>
      <c r="C1620" s="7" t="str">
        <f>IFERROR(__xludf.DUMMYFUNCTION("""COMPUTED_VALUE"""),"Specializing large language models (LLMs) for local deployment in domain-specific use cases is necessary for strong performance while meeting latency and privacy constraints. However, conventional task-specific adaptation approaches do not show simultaneo"&amp;"us memory saving and inference speedup at deployment time. Practical compression techniques like quantization and pruning require dedicated hardware or kernel support to achieve measured inference speedup. We develop TrimLLM based on the layer-wise specia"&amp;"lization phenomenon we empirically observed and verified on contemporary LLMs. TrimLLM reduces the depth of LLMs via progressive layer dropping. We show it retains LLMs' capacity in specific domains and achieves inference speedup irrespective of hardware "&amp;"and deep learning frameworks. We evaluated TrimLLM on LLMs of various sizes for inference; models adapted on medical, legal, and financial datasets all demonstrate $2.1 - 5.7\times$ inference speedup on consumer GPUs and up to $3.1\times$ speedup on A100 "&amp;"when compared to state-of-the-art model compression algorithms, with no loss in accuracy at $50\sim 60$\% model compression ratio.")</f>
        <v>Specializing large language models (LLMs) for local deployment in domain-specific use cases is necessary for strong performance while meeting latency and privacy constraints. However, conventional task-specific adaptation approaches do not show simultaneous memory saving and inference speedup at deployment time. Practical compression techniques like quantization and pruning require dedicated hardware or kernel support to achieve measured inference speedup. We develop TrimLLM based on the layer-wise specialization phenomenon we empirically observed and verified on contemporary LLMs. TrimLLM reduces the depth of LLMs via progressive layer dropping. We show it retains LLMs' capacity in specific domains and achieves inference speedup irrespective of hardware and deep learning frameworks. We evaluated TrimLLM on LLMs of various sizes for inference; models adapted on medical, legal, and financial datasets all demonstrate $2.1 - 5.7\times$ inference speedup on consumer GPUs and up to $3.1\times$ speedup on A100 when compared to state-of-the-art model compression algorithms, with no loss in accuracy at $50\sim 60$\% model compression ratio.</v>
      </c>
      <c r="D1620" s="7" t="str">
        <f>IFERROR(__xludf.DUMMYFUNCTION("""COMPUTED_VALUE"""),"Lanxiang Hu")</f>
        <v>Lanxiang Hu</v>
      </c>
      <c r="E1620" s="7" t="str">
        <f>IFERROR(__xludf.DUMMYFUNCTION("""COMPUTED_VALUE"""),"Yes")</f>
        <v>Yes</v>
      </c>
      <c r="F1620" s="7" t="str">
        <f>IFERROR(__xludf.DUMMYFUNCTION("""COMPUTED_VALUE"""),"IP-Poster")</f>
        <v>IP-Poster</v>
      </c>
      <c r="G1620" s="7" t="str">
        <f>IFERROR(__xludf.DUMMYFUNCTION("""COMPUTED_VALUE"""),"In-Person")</f>
        <v>In-Person</v>
      </c>
      <c r="H1620" s="7" t="str">
        <f>IFERROR(__xludf.DUMMYFUNCTION("""COMPUTED_VALUE"""),"Hall 4/5")</f>
        <v>Hall 4/5</v>
      </c>
      <c r="I1620" s="7" t="str">
        <f>IFERROR(__xludf.DUMMYFUNCTION("""COMPUTED_VALUE"""),"Session 2: IP-Posters ")</f>
        <v>Session 2: IP-Posters </v>
      </c>
      <c r="J1620" s="7" t="str">
        <f>IFERROR(__xludf.DUMMYFUNCTION("""COMPUTED_VALUE"""),"Poster Session 1")</f>
        <v>Poster Session 1</v>
      </c>
      <c r="K1620" s="7"/>
      <c r="L1620" s="8">
        <f>IFERROR(__xludf.DUMMYFUNCTION("""COMPUTED_VALUE"""),45866.0)</f>
        <v>45866</v>
      </c>
      <c r="M1620" s="7" t="str">
        <f>IFERROR(__xludf.DUMMYFUNCTION("""COMPUTED_VALUE"""),"11:00-12:30")</f>
        <v>11:00-12:30</v>
      </c>
      <c r="N1620" s="7"/>
    </row>
    <row r="1621">
      <c r="A1621" s="7" t="str">
        <f>IFERROR(__xludf.DUMMYFUNCTION("""COMPUTED_VALUE"""),"63-MAIN")</f>
        <v>63-MAIN</v>
      </c>
      <c r="B1621" s="7" t="str">
        <f>IFERROR(__xludf.DUMMYFUNCTION("""COMPUTED_VALUE"""),"JuStRank: Benchmarking LLM Judges for System Ranking")</f>
        <v>JuStRank: Benchmarking LLM Judges for System Ranking</v>
      </c>
      <c r="C1621" s="7" t="str">
        <f>IFERROR(__xludf.DUMMYFUNCTION("""COMPUTED_VALUE"""),"Given the rapid progress of generative AI, there is a pressing need to systematically compare and choose between the numerous models and configurations available. The scale and versatility of such evaluations make the use of LLM-based judges a compelling "&amp;"solution for this challenge. Crucially, this approach requires first to validate the quality of the LLM judge itself. Previous work has focused on instance-based assessment of LLM judges, where a judge is evaluated over a set of responses, or response pai"&amp;"rs, while being agnostic to their source systems. We argue that this setting overlooks critical factors affecting system-level ranking, such as a judge's positive or negative bias towards certain systems. To address this gap, we conduct the first large-sc"&amp;"ale study of LLM judges as system rankers. System scores are generated by aggregating judgment scores over multiple system outputs, and the judge's quality is assessed by comparing the resulting system ranking to a human-based ranking. Beyond overall judg"&amp;"e assessment, our analysis provides a fine-grained characterization of judge behavior, including their decisiveness and bias.")</f>
        <v>Given the rapid progress of generative AI, there is a pressing need to systematically compare and choose between the numerous models and configurations available. The scale and versatility of such evaluations make the use of LLM-based judges a compelling solution for this challenge. Crucially, this approach requires first to validate the quality of the LLM judge itself. Previous work has focused on instance-based assessment of LLM judges, where a judge is evaluated over a set of responses, or response pairs, while being agnostic to their source systems. We argue that this setting overlooks critical factors affecting system-level ranking, such as a judge's positive or negative bias towards certain systems. To address this gap, we conduct the first large-scale study of LLM judges as system rankers. System scores are generated by aggregating judgment scores over multiple system outputs, and the judge's quality is assessed by comparing the resulting system ranking to a human-based ranking. Beyond overall judge assessment, our analysis provides a fine-grained characterization of judge behavior, including their decisiveness and bias.</v>
      </c>
      <c r="D1621" s="7" t="str">
        <f>IFERROR(__xludf.DUMMYFUNCTION("""COMPUTED_VALUE"""),"Ariel Gera")</f>
        <v>Ariel Gera</v>
      </c>
      <c r="E1621" s="7" t="str">
        <f>IFERROR(__xludf.DUMMYFUNCTION("""COMPUTED_VALUE"""),"Yes")</f>
        <v>Yes</v>
      </c>
      <c r="F1621" s="7" t="str">
        <f>IFERROR(__xludf.DUMMYFUNCTION("""COMPUTED_VALUE"""),"IP-Poster")</f>
        <v>IP-Poster</v>
      </c>
      <c r="G1621" s="7" t="str">
        <f>IFERROR(__xludf.DUMMYFUNCTION("""COMPUTED_VALUE"""),"In-Person")</f>
        <v>In-Person</v>
      </c>
      <c r="H1621" s="7" t="str">
        <f>IFERROR(__xludf.DUMMYFUNCTION("""COMPUTED_VALUE"""),"Hall 4/5")</f>
        <v>Hall 4/5</v>
      </c>
      <c r="I1621" s="7" t="str">
        <f>IFERROR(__xludf.DUMMYFUNCTION("""COMPUTED_VALUE"""),"Session 2: IP-Posters ")</f>
        <v>Session 2: IP-Posters </v>
      </c>
      <c r="J1621" s="7" t="str">
        <f>IFERROR(__xludf.DUMMYFUNCTION("""COMPUTED_VALUE"""),"Poster Session 1")</f>
        <v>Poster Session 1</v>
      </c>
      <c r="K1621" s="7"/>
      <c r="L1621" s="8">
        <f>IFERROR(__xludf.DUMMYFUNCTION("""COMPUTED_VALUE"""),45866.0)</f>
        <v>45866</v>
      </c>
      <c r="M1621" s="7" t="str">
        <f>IFERROR(__xludf.DUMMYFUNCTION("""COMPUTED_VALUE"""),"11:00-12:30")</f>
        <v>11:00-12:30</v>
      </c>
      <c r="N1621" s="7"/>
    </row>
    <row r="1622">
      <c r="A1622" s="7" t="str">
        <f>IFERROR(__xludf.DUMMYFUNCTION("""COMPUTED_VALUE"""),"65-MAIN")</f>
        <v>65-MAIN</v>
      </c>
      <c r="B1622" s="7" t="str">
        <f>IFERROR(__xludf.DUMMYFUNCTION("""COMPUTED_VALUE"""),"Generating Diverse Training Samples for Relation Extraction with Large Language Models")</f>
        <v>Generating Diverse Training Samples for Relation Extraction with Large Language Models</v>
      </c>
      <c r="C1622" s="7" t="str">
        <f>IFERROR(__xludf.DUMMYFUNCTION("""COMPUTED_VALUE"""),"Using Large Language Models (LLMs) to generate training data can potentially be a preferable way to improve zero or few-shot NLP tasks. However, many problems remain to be investigated for this direction. For the task of Relation Extraction (RE), we find "&amp;"that samples generated by directly prompting LLMs may easily have high structural similarities with each other. They tend to use a limited variety of phrasing while expressing the relation between a pair of entities. Therefore, in this paper, we study how"&amp;" to effectively improve the diversity of the training samples generated with LLMs for RE, while also maintaining their correctness. We first try to make the LLMs produce dissimilar samples by directly giving instructions in In-Context Learning (ICL) promp"&amp;"ts. Then, we propose an approach to fine-tune LLMs for diversity training sample generation through Direct Preference Optimization (DPO). Our experiments on commonly used RE datasets show that both attempts can improve the quality of the generated trainin"&amp;"g data. We also find that comparing with directly performing RE with an LLM, training a non-LLM RE model with its generated samples may lead to better performance.")</f>
        <v>Using Large Language Models (LLMs) to generate training data can potentially be a preferable way to improve zero or few-shot NLP tasks. However, many problems remain to be investigated for this direction. For the task of Relation Extraction (RE), we find that samples generated by directly prompting LLMs may easily have high structural similarities with each other. They tend to use a limited variety of phrasing while expressing the relation between a pair of entities. Therefore, in this paper, we study how to effectively improve the diversity of the training samples generated with LLMs for RE, while also maintaining their correctness. We first try to make the LLMs produce dissimilar samples by directly giving instructions in In-Context Learning (ICL) prompts. Then, we propose an approach to fine-tune LLMs for diversity training sample generation through Direct Preference Optimization (DPO). Our experiments on commonly used RE datasets show that both attempts can improve the quality of the generated training data. We also find that comparing with directly performing RE with an LLM, training a non-LLM RE model with its generated samples may lead to better performance.</v>
      </c>
      <c r="D1622" s="7" t="str">
        <f>IFERROR(__xludf.DUMMYFUNCTION("""COMPUTED_VALUE"""),"Zexuan Li")</f>
        <v>Zexuan Li</v>
      </c>
      <c r="E1622" s="7" t="str">
        <f>IFERROR(__xludf.DUMMYFUNCTION("""COMPUTED_VALUE"""),"Yes")</f>
        <v>Yes</v>
      </c>
      <c r="F1622" s="7" t="str">
        <f>IFERROR(__xludf.DUMMYFUNCTION("""COMPUTED_VALUE"""),"IP-Poster")</f>
        <v>IP-Poster</v>
      </c>
      <c r="G1622" s="7" t="str">
        <f>IFERROR(__xludf.DUMMYFUNCTION("""COMPUTED_VALUE"""),"In-Person")</f>
        <v>In-Person</v>
      </c>
      <c r="H1622" s="7" t="str">
        <f>IFERROR(__xludf.DUMMYFUNCTION("""COMPUTED_VALUE"""),"Hall 4/5")</f>
        <v>Hall 4/5</v>
      </c>
      <c r="I1622" s="7" t="str">
        <f>IFERROR(__xludf.DUMMYFUNCTION("""COMPUTED_VALUE"""),"Session 7: IP-Posters")</f>
        <v>Session 7: IP-Posters</v>
      </c>
      <c r="J1622" s="7" t="str">
        <f>IFERROR(__xludf.DUMMYFUNCTION("""COMPUTED_VALUE"""),"Poster Session 2")</f>
        <v>Poster Session 2</v>
      </c>
      <c r="K1622" s="7"/>
      <c r="L1622" s="8">
        <f>IFERROR(__xludf.DUMMYFUNCTION("""COMPUTED_VALUE"""),45867.0)</f>
        <v>45867</v>
      </c>
      <c r="M1622" s="7" t="str">
        <f>IFERROR(__xludf.DUMMYFUNCTION("""COMPUTED_VALUE"""),"10:30-12:00")</f>
        <v>10:30-12:00</v>
      </c>
      <c r="N1622" s="7"/>
    </row>
    <row r="1623">
      <c r="A1623" s="7" t="str">
        <f>IFERROR(__xludf.DUMMYFUNCTION("""COMPUTED_VALUE"""),"67-MAIN")</f>
        <v>67-MAIN</v>
      </c>
      <c r="B1623" s="7" t="str">
        <f>IFERROR(__xludf.DUMMYFUNCTION("""COMPUTED_VALUE"""),"MultiSocial: Multilingual Benchmark of Machine-Generated Text Detection of Social-Media Texts")</f>
        <v>MultiSocial: Multilingual Benchmark of Machine-Generated Text Detection of Social-Media Texts</v>
      </c>
      <c r="C1623" s="7" t="str">
        <f>IFERROR(__xludf.DUMMYFUNCTION("""COMPUTED_VALUE"""),"Recent LLMs are able to generate high-quality multilingual texts, indistinguishable for humans from authentic human-written ones. Research in machine-generated text detection is however mostly focused on the English language and longer texts, such as news"&amp;" articles, scientific papers or student essays. Social-media texts are usually much shorter and often feature informal language, grammatical errors, or distinct linguistic items (e.g., emoticons, hashtags). There is a gap in studying the ability of existi"&amp;"ng methods in detection of such texts, reflected also in the lack of existing multilingual benchmark datasets. To fill this gap we propose the first multilingual (22 languages) and multi-platform (5 social media platforms) dataset for benchmarking machine"&amp;"-generated text detection in the social-media domain, called MultiSocial. It contains 472,097 texts, of which about 58k are human-written and approximately the same amount is generated by each of 7 multilingual LLMs. We use this benchmark to compare exist"&amp;"ing detection methods in zero-shot as well as fine-tuned form. Our results indicate that the fine-tuned detectors have no problem to be trained on social-media texts and that the platform selection for training matters.")</f>
        <v>Recent LLMs are able to generate high-quality multilingual texts, indistinguishable for humans from authentic human-written ones. Research in machine-generated text detection is however mostly focused on the English language and longer texts, such as news articles, scientific papers or student essays. Social-media texts are usually much shorter and often feature informal language, grammatical errors, or distinct linguistic items (e.g., emoticons, hashtags). There is a gap in studying the ability of existing methods in detection of such texts, reflected also in the lack of existing multilingual benchmark datasets. To fill this gap we propose the first multilingual (22 languages) and multi-platform (5 social media platforms) dataset for benchmarking machine-generated text detection in the social-media domain, called MultiSocial. It contains 472,097 texts, of which about 58k are human-written and approximately the same amount is generated by each of 7 multilingual LLMs. We use this benchmark to compare existing detection methods in zero-shot as well as fine-tuned form. Our results indicate that the fine-tuned detectors have no problem to be trained on social-media texts and that the platform selection for training matters.</v>
      </c>
      <c r="D1623" s="7" t="str">
        <f>IFERROR(__xludf.DUMMYFUNCTION("""COMPUTED_VALUE"""),"Dominik Macko")</f>
        <v>Dominik Macko</v>
      </c>
      <c r="E1623" s="7" t="str">
        <f>IFERROR(__xludf.DUMMYFUNCTION("""COMPUTED_VALUE"""),"Yes")</f>
        <v>Yes</v>
      </c>
      <c r="F1623" s="7" t="str">
        <f>IFERROR(__xludf.DUMMYFUNCTION("""COMPUTED_VALUE"""),"IP-Poster")</f>
        <v>IP-Poster</v>
      </c>
      <c r="G1623" s="7" t="str">
        <f>IFERROR(__xludf.DUMMYFUNCTION("""COMPUTED_VALUE"""),"In-Person")</f>
        <v>In-Person</v>
      </c>
      <c r="H1623" s="7" t="str">
        <f>IFERROR(__xludf.DUMMYFUNCTION("""COMPUTED_VALUE"""),"Hall 4/5")</f>
        <v>Hall 4/5</v>
      </c>
      <c r="I1623" s="7" t="str">
        <f>IFERROR(__xludf.DUMMYFUNCTION("""COMPUTED_VALUE"""),"Session 7: IP-Posters")</f>
        <v>Session 7: IP-Posters</v>
      </c>
      <c r="J1623" s="7" t="str">
        <f>IFERROR(__xludf.DUMMYFUNCTION("""COMPUTED_VALUE"""),"Poster Session 2")</f>
        <v>Poster Session 2</v>
      </c>
      <c r="K1623" s="7"/>
      <c r="L1623" s="8">
        <f>IFERROR(__xludf.DUMMYFUNCTION("""COMPUTED_VALUE"""),45867.0)</f>
        <v>45867</v>
      </c>
      <c r="M1623" s="7" t="str">
        <f>IFERROR(__xludf.DUMMYFUNCTION("""COMPUTED_VALUE"""),"10:30-12:00")</f>
        <v>10:30-12:00</v>
      </c>
      <c r="N1623" s="7"/>
    </row>
    <row r="1624">
      <c r="A1624" s="7" t="str">
        <f>IFERROR(__xludf.DUMMYFUNCTION("""COMPUTED_VALUE"""),"68-MAIN")</f>
        <v>68-MAIN</v>
      </c>
      <c r="B1624" s="7" t="str">
        <f>IFERROR(__xludf.DUMMYFUNCTION("""COMPUTED_VALUE"""),"Efficient and Accurate Prompt Optimization: the Benefit of Memory in Exemplar-Guided Reflection")</f>
        <v>Efficient and Accurate Prompt Optimization: the Benefit of Memory in Exemplar-Guided Reflection</v>
      </c>
      <c r="C1624" s="7" t="str">
        <f>IFERROR(__xludf.DUMMYFUNCTION("""COMPUTED_VALUE"""),"Automatic prompt engineering aims to enhance the generation quality of large language models (LLMs). Recent works utilize feedbacks generated from erroneous cases to guide the prompt optimization. During inference, they may further retrieve several semant"&amp;"ically-related exemplars and concatenate them to the optimized prompts to improve the performance. However, those works only utilize the feedback at the current step, ignoring historical and unseleccted feedbacks which are potentially beneficial. Moreover"&amp;", the selection of exemplars only considers the general semantic relationship and may not be optimal in terms of task performance and matching with the optimized prompt. In this work, we propose an Exemplar-Guided Reflection with Memory mechanism (ERM) to"&amp;" realize more efficient and accurate prompt optimization. Specifically, we design an exemplar-guided reflection mechanism where the feedback generation is additionally guided by the generated exemplars. We further build two kinds of memory to fully utiliz"&amp;"e the historical feedback information and support more effective exemplar retrieval. Empirical evaluations show our method surpasses previous state-of-the-arts with less optimization steps, i.e., improving F1 score by 10.1 on LIAR dataset, and reducing ha"&amp;"lf of the optimization steps on ProTeGi.")</f>
        <v>Automatic prompt engineering aims to enhance the generation quality of large language models (LLMs). Recent works utilize feedbacks generated from erroneous cases to guide the prompt optimization. During inference, they may further retrieve several semantically-related exemplars and concatenate them to the optimized prompts to improve the performance. However, those works only utilize the feedback at the current step, ignoring historical and unseleccted feedbacks which are potentially beneficial. Moreover, the selection of exemplars only considers the general semantic relationship and may not be optimal in terms of task performance and matching with the optimized prompt. In this work, we propose an Exemplar-Guided Reflection with Memory mechanism (ERM) to realize more efficient and accurate prompt optimization. Specifically, we design an exemplar-guided reflection mechanism where the feedback generation is additionally guided by the generated exemplars. We further build two kinds of memory to fully utilize the historical feedback information and support more effective exemplar retrieval. Empirical evaluations show our method surpasses previous state-of-the-arts with less optimization steps, i.e., improving F1 score by 10.1 on LIAR dataset, and reducing half of the optimization steps on ProTeGi.</v>
      </c>
      <c r="D1624" s="7" t="str">
        <f>IFERROR(__xludf.DUMMYFUNCTION("""COMPUTED_VALUE"""),"Yangyang Kang")</f>
        <v>Yangyang Kang</v>
      </c>
      <c r="E1624" s="7" t="str">
        <f>IFERROR(__xludf.DUMMYFUNCTION("""COMPUTED_VALUE"""),"Yes")</f>
        <v>Yes</v>
      </c>
      <c r="F1624" s="7" t="str">
        <f>IFERROR(__xludf.DUMMYFUNCTION("""COMPUTED_VALUE"""),"IP-Poster")</f>
        <v>IP-Poster</v>
      </c>
      <c r="G1624" s="7" t="str">
        <f>IFERROR(__xludf.DUMMYFUNCTION("""COMPUTED_VALUE"""),"In-Person")</f>
        <v>In-Person</v>
      </c>
      <c r="H1624" s="7" t="str">
        <f>IFERROR(__xludf.DUMMYFUNCTION("""COMPUTED_VALUE"""),"Hall 4/5")</f>
        <v>Hall 4/5</v>
      </c>
      <c r="I1624" s="7" t="str">
        <f>IFERROR(__xludf.DUMMYFUNCTION("""COMPUTED_VALUE"""),"Session 2: IP-Posters ")</f>
        <v>Session 2: IP-Posters </v>
      </c>
      <c r="J1624" s="7" t="str">
        <f>IFERROR(__xludf.DUMMYFUNCTION("""COMPUTED_VALUE"""),"Poster Session 1")</f>
        <v>Poster Session 1</v>
      </c>
      <c r="K1624" s="7"/>
      <c r="L1624" s="8">
        <f>IFERROR(__xludf.DUMMYFUNCTION("""COMPUTED_VALUE"""),45866.0)</f>
        <v>45866</v>
      </c>
      <c r="M1624" s="7" t="str">
        <f>IFERROR(__xludf.DUMMYFUNCTION("""COMPUTED_VALUE"""),"11:00-12:30")</f>
        <v>11:00-12:30</v>
      </c>
      <c r="N1624" s="7"/>
    </row>
    <row r="1625">
      <c r="A1625" s="7" t="str">
        <f>IFERROR(__xludf.DUMMYFUNCTION("""COMPUTED_VALUE"""),"69-MAIN")</f>
        <v>69-MAIN</v>
      </c>
      <c r="B1625" s="7" t="str">
        <f>IFERROR(__xludf.DUMMYFUNCTION("""COMPUTED_VALUE"""),"Evaluation of LLM Vulnerabilities to Being Misused for Personalized Disinformation Generation")</f>
        <v>Evaluation of LLM Vulnerabilities to Being Misused for Personalized Disinformation Generation</v>
      </c>
      <c r="C1625" s="7" t="str">
        <f>IFERROR(__xludf.DUMMYFUNCTION("""COMPUTED_VALUE"""),"The capabilities of recent large language models (LLMs) to generate high-quality content indistinguishable by humans from human-written texts raises many concerns regarding their misuse. Previous research has shown that LLMs can be effectively misused for"&amp;" generating disinformation news articles following predefined narratives. Their capabilities to generate personalized (in various aspects) content have also been evaluated and mostly found usable. However, a combination of personalization and disinformati"&amp;"on abilities of LLMs has not been comprehensively studied yet. Such a dangerous combination should trigger integrated safety filters of the LLMs, if there are some. This study fills this gap by evaluating vulnerabilities of recent open and closed LLMs, an"&amp;"d their willingness to generate personalized disinformation news articles in English. We further explore whether the LLMs can reliably meta-evaluate the personalization quality and whether the personalization affects the generated-texts detectability. Our"&amp;" results demonstrate the need for stronger safety-filters and disclaimers, as those are not properly functioning in most of the evaluated LLMs. Additionally, our study revealed that the personalization actually reduces the safety-filter activations; thus "&amp;"effectively functioning as a jailbreak. Such behavior must be urgently addressed by LLM developers and service providers.")</f>
        <v>The capabilities of recent large language models (LLMs) to generate high-quality content indistinguishable by humans from human-written texts raises many concerns regarding their misuse. Previous research has shown that LLMs can be effectively misused for generating disinformation news articles following predefined narratives. Their capabilities to generate personalized (in various aspects) content have also been evaluated and mostly found usable. However, a combination of personalization and disinformation abilities of LLMs has not been comprehensively studied yet. Such a dangerous combination should trigger integrated safety filters of the LLMs, if there are some. This study fills this gap by evaluating vulnerabilities of recent open and closed LLMs, and their willingness to generate personalized disinformation news articles in English. We further explore whether the LLMs can reliably meta-evaluate the personalization quality and whether the personalization affects the generated-texts detectability. Our results demonstrate the need for stronger safety-filters and disclaimers, as those are not properly functioning in most of the evaluated LLMs. Additionally, our study revealed that the personalization actually reduces the safety-filter activations; thus effectively functioning as a jailbreak. Such behavior must be urgently addressed by LLM developers and service providers.</v>
      </c>
      <c r="D1625" s="7" t="str">
        <f>IFERROR(__xludf.DUMMYFUNCTION("""COMPUTED_VALUE"""),"Dominik Macko")</f>
        <v>Dominik Macko</v>
      </c>
      <c r="E1625" s="7" t="str">
        <f>IFERROR(__xludf.DUMMYFUNCTION("""COMPUTED_VALUE"""),"Yes")</f>
        <v>Yes</v>
      </c>
      <c r="F1625" s="7" t="str">
        <f>IFERROR(__xludf.DUMMYFUNCTION("""COMPUTED_VALUE"""),"IP-Poster")</f>
        <v>IP-Poster</v>
      </c>
      <c r="G1625" s="7" t="str">
        <f>IFERROR(__xludf.DUMMYFUNCTION("""COMPUTED_VALUE"""),"In-Person")</f>
        <v>In-Person</v>
      </c>
      <c r="H1625" s="7" t="str">
        <f>IFERROR(__xludf.DUMMYFUNCTION("""COMPUTED_VALUE"""),"Hall 4/5")</f>
        <v>Hall 4/5</v>
      </c>
      <c r="I1625" s="7" t="str">
        <f>IFERROR(__xludf.DUMMYFUNCTION("""COMPUTED_VALUE"""),"Session 10: IP-Posters")</f>
        <v>Session 10: IP-Posters</v>
      </c>
      <c r="J1625" s="7" t="str">
        <f>IFERROR(__xludf.DUMMYFUNCTION("""COMPUTED_VALUE"""),"Poster Session 3")</f>
        <v>Poster Session 3</v>
      </c>
      <c r="K1625" s="7"/>
      <c r="L1625" s="8">
        <f>IFERROR(__xludf.DUMMYFUNCTION("""COMPUTED_VALUE"""),45867.0)</f>
        <v>45867</v>
      </c>
      <c r="M1625" s="7" t="str">
        <f>IFERROR(__xludf.DUMMYFUNCTION("""COMPUTED_VALUE"""),"16:00-17:30")</f>
        <v>16:00-17:30</v>
      </c>
      <c r="N1625" s="7"/>
    </row>
    <row r="1626">
      <c r="A1626" s="7" t="str">
        <f>IFERROR(__xludf.DUMMYFUNCTION("""COMPUTED_VALUE"""),"71-MAIN")</f>
        <v>71-MAIN</v>
      </c>
      <c r="B1626" s="7" t="str">
        <f>IFERROR(__xludf.DUMMYFUNCTION("""COMPUTED_VALUE"""),"EscapeBench: Towards Advancing Creative Intelligence of Language Model Agents")</f>
        <v>EscapeBench: Towards Advancing Creative Intelligence of Language Model Agents</v>
      </c>
      <c r="C1626" s="7" t="str">
        <f>IFERROR(__xludf.DUMMYFUNCTION("""COMPUTED_VALUE"""),"Language model agents excel in long-session planning and reasoning, but existing benchmarks primarily focus on goal-oriented tasks with explicit objectives, neglecting creative adaptation in unfamiliar environments. To address this, we introduce EscapeBen"&amp;"ch—a benchmark suite of room escape game environments designed to challenge agents with creative reasoning, unconventional tool use, and iterative problem-solving to uncover implicit goals. Our results show that current LM models, despite employing workin"&amp;"g memory and Chain-of-Thought reasoning, achieve only 15% average progress without hints, highlighting their limitations in creativity. To bridge this gap, we propose EscapeAgent, a framework designed to enhance creative reasoning through Foresight (innov"&amp;"ative tool use) and Reflection (identifying unsolved tasks). Experiments show that EscapeAgent can execute action chains over 1,000 steps while maintaining logical coherence. It navigates and completes games with up to 40% fewer steps and hints, performs "&amp;"robustly across difficulty levels, and achieves higher action success rates with more efficient and innovative puzzle-solving strategies.")</f>
        <v>Language model agents excel in long-session planning and reasoning, but existing benchmarks primarily focus on goal-oriented tasks with explicit objectives, neglecting creative adaptation in unfamiliar environments. To address this, we introduce EscapeBench—a benchmark suite of room escape game environments designed to challenge agents with creative reasoning, unconventional tool use, and iterative problem-solving to uncover implicit goals. Our results show that current LM models, despite employing working memory and Chain-of-Thought reasoning, achieve only 15% average progress without hints, highlighting their limitations in creativity. To bridge this gap, we propose EscapeAgent, a framework designed to enhance creative reasoning through Foresight (innovative tool use) and Reflection (identifying unsolved tasks). Experiments show that EscapeAgent can execute action chains over 1,000 steps while maintaining logical coherence. It navigates and completes games with up to 40% fewer steps and hints, performs robustly across difficulty levels, and achieves higher action success rates with more efficient and innovative puzzle-solving strategies.</v>
      </c>
      <c r="D1626" s="7" t="str">
        <f>IFERROR(__xludf.DUMMYFUNCTION("""COMPUTED_VALUE"""),"Cheng Qian")</f>
        <v>Cheng Qian</v>
      </c>
      <c r="E1626" s="7" t="str">
        <f>IFERROR(__xludf.DUMMYFUNCTION("""COMPUTED_VALUE"""),"Yes")</f>
        <v>Yes</v>
      </c>
      <c r="F1626" s="7" t="str">
        <f>IFERROR(__xludf.DUMMYFUNCTION("""COMPUTED_VALUE"""),"IP-Poster")</f>
        <v>IP-Poster</v>
      </c>
      <c r="G1626" s="7" t="str">
        <f>IFERROR(__xludf.DUMMYFUNCTION("""COMPUTED_VALUE"""),"In-Person")</f>
        <v>In-Person</v>
      </c>
      <c r="H1626" s="7" t="str">
        <f>IFERROR(__xludf.DUMMYFUNCTION("""COMPUTED_VALUE"""),"Hall 4/5")</f>
        <v>Hall 4/5</v>
      </c>
      <c r="I1626" s="7" t="str">
        <f>IFERROR(__xludf.DUMMYFUNCTION("""COMPUTED_VALUE"""),"Session 2: IP-Posters ")</f>
        <v>Session 2: IP-Posters </v>
      </c>
      <c r="J1626" s="7" t="str">
        <f>IFERROR(__xludf.DUMMYFUNCTION("""COMPUTED_VALUE"""),"Poster Session 1")</f>
        <v>Poster Session 1</v>
      </c>
      <c r="K1626" s="7"/>
      <c r="L1626" s="8">
        <f>IFERROR(__xludf.DUMMYFUNCTION("""COMPUTED_VALUE"""),45866.0)</f>
        <v>45866</v>
      </c>
      <c r="M1626" s="7" t="str">
        <f>IFERROR(__xludf.DUMMYFUNCTION("""COMPUTED_VALUE"""),"11:00-12:30")</f>
        <v>11:00-12:30</v>
      </c>
      <c r="N1626" s="7"/>
    </row>
    <row r="1627">
      <c r="A1627" s="7" t="str">
        <f>IFERROR(__xludf.DUMMYFUNCTION("""COMPUTED_VALUE"""),"73-MAIN")</f>
        <v>73-MAIN</v>
      </c>
      <c r="B1627" s="7" t="str">
        <f>IFERROR(__xludf.DUMMYFUNCTION("""COMPUTED_VALUE"""),"BPP-Search: Enhancing Tree of Thought Reasoning for Mathematical Modeling Problem Solving")</f>
        <v>BPP-Search: Enhancing Tree of Thought Reasoning for Mathematical Modeling Problem Solving</v>
      </c>
      <c r="C1627" s="7" t="str">
        <f>IFERROR(__xludf.DUMMYFUNCTION("""COMPUTED_VALUE"""),"LLMs exhibit advanced reasoning capabilities, offering the potential to transform natural language questions into mathematical models. However, existing open-source datasets in operations research domain lack detailed annotations of the modeling process, "&amp;"such as variable definitions, focusing solely on objective values, which hinders reinforcement learning applications.  To address this, we release the StructuredOR dataset, annotated with comprehensive labels that capture the complete mathematical modelin"&amp;"g process. We further propose BPP-Search, an algorithm that integrates reinforcement learning into a tree-of-thought structure using Beam search, a Process reward model, and a pairwise Preference algorithm. This approach enables efficient exploration of t"&amp;"ree structures, avoiding exhaustive search while improving accuracy.  Extensive experiments on StructuredOR, NL4OPT, and MAMO-ComplexLP datasets show that BPP-Search significantly outperforms state-of-the-art methods. In tree-based reasoning, BPP-Search e"&amp;"xcels in accuracy and efficiency, enabling faster retrieval of correct solutions. The StructuredOR dataset is available on Huggingface https://huggingface.co/datasets/LLM4OR/StructuredOR and GitHub https://github.com/LLM4OR/StructuredOR.")</f>
        <v>LLMs exhibit advanced reasoning capabilities, offering the potential to transform natural language questions into mathematical models. However, existing open-source datasets in operations research domain lack detailed annotations of the modeling process, such as variable definitions, focusing solely on objective values, which hinders reinforcement learning applications.  To address this, we release the StructuredOR dataset, annotated with comprehensive labels that capture the complete mathematical modeling process. We further propose BPP-Search, an algorithm that integrates reinforcement learning into a tree-of-thought structure using Beam search, a Process reward model, and a pairwise Preference algorithm. This approach enables efficient exploration of tree structures, avoiding exhaustive search while improving accuracy.  Extensive experiments on StructuredOR, NL4OPT, and MAMO-ComplexLP datasets show that BPP-Search significantly outperforms state-of-the-art methods. In tree-based reasoning, BPP-Search excels in accuracy and efficiency, enabling faster retrieval of correct solutions. The StructuredOR dataset is available on Huggingface https://huggingface.co/datasets/LLM4OR/StructuredOR and GitHub https://github.com/LLM4OR/StructuredOR.</v>
      </c>
      <c r="D1627" s="7" t="str">
        <f>IFERROR(__xludf.DUMMYFUNCTION("""COMPUTED_VALUE"""),"Teng Wang")</f>
        <v>Teng Wang</v>
      </c>
      <c r="E1627" s="7" t="str">
        <f>IFERROR(__xludf.DUMMYFUNCTION("""COMPUTED_VALUE"""),"Yes")</f>
        <v>Yes</v>
      </c>
      <c r="F1627" s="7" t="str">
        <f>IFERROR(__xludf.DUMMYFUNCTION("""COMPUTED_VALUE"""),"V-Presentation")</f>
        <v>V-Presentation</v>
      </c>
      <c r="G1627" s="7" t="str">
        <f>IFERROR(__xludf.DUMMYFUNCTION("""COMPUTED_VALUE"""),"Virtual/Gather")</f>
        <v>Virtual/Gather</v>
      </c>
      <c r="H1627" s="7" t="str">
        <f>IFERROR(__xludf.DUMMYFUNCTION("""COMPUTED_VALUE"""),"Zoom")</f>
        <v>Zoom</v>
      </c>
      <c r="I1627" s="7" t="str">
        <f>IFERROR(__xludf.DUMMYFUNCTION("""COMPUTED_VALUE"""),"Session 10: V-Presenations")</f>
        <v>Session 10: V-Presenations</v>
      </c>
      <c r="J1627" s="7" t="str">
        <f>IFERROR(__xludf.DUMMYFUNCTION("""COMPUTED_VALUE"""),"Virtual Presentations 3")</f>
        <v>Virtual Presentations 3</v>
      </c>
      <c r="K1627" s="7"/>
      <c r="L1627" s="8">
        <f>IFERROR(__xludf.DUMMYFUNCTION("""COMPUTED_VALUE"""),45867.0)</f>
        <v>45867</v>
      </c>
      <c r="M1627" s="7" t="str">
        <f>IFERROR(__xludf.DUMMYFUNCTION("""COMPUTED_VALUE"""),"16:00-17:30")</f>
        <v>16:00-17:30</v>
      </c>
      <c r="N1627" s="7"/>
    </row>
    <row r="1628">
      <c r="A1628" s="7" t="str">
        <f>IFERROR(__xludf.DUMMYFUNCTION("""COMPUTED_VALUE"""),"75-MAIN")</f>
        <v>75-MAIN</v>
      </c>
      <c r="B1628" s="7" t="str">
        <f>IFERROR(__xludf.DUMMYFUNCTION("""COMPUTED_VALUE"""),"LACA: Improving Cross-lingual Aspect-Based Sentiment Analysis with LLM Data Augmentation")</f>
        <v>LACA: Improving Cross-lingual Aspect-Based Sentiment Analysis with LLM Data Augmentation</v>
      </c>
      <c r="C1628" s="7" t="str">
        <f>IFERROR(__xludf.DUMMYFUNCTION("""COMPUTED_VALUE"""),"Cross-lingual aspect-based sentiment analysis (ABSA) involves detailed sentiment analysis in a target language by transferring knowledge from a source language with available annotated data. Most existing methods depend heavily on often unreliable transla"&amp;"tion tools to bridge the language gap. In this paper, we propose a new approach that leverages a large language model (LLM) to generate high-quality pseudo-labelled data in the target language without the need for translation tools. First, the framework t"&amp;"rains an ABSA model to obtain predictions for unlabelled target language data. Next, LLM is prompted to generate natural sentences that better represent these noisy predictions than the original text. The ABSA model is then further fine-tuned on the resul"&amp;"ting pseudo-labelled dataset. We demonstrate the effectiveness of this method across six languages and five backbone models, surpassing previous state-of-the-art translation-based approaches. The proposed framework also supports generative models, and we "&amp;"show that fine-tuned LLMs outperform smaller multilingual models.")</f>
        <v>Cross-lingual aspect-based sentiment analysis (ABSA) involves detailed sentiment analysis in a target language by transferring knowledge from a source language with available annotated data. Most existing methods depend heavily on often unreliable translation tools to bridge the language gap. In this paper, we propose a new approach that leverages a large language model (LLM) to generate high-quality pseudo-labelled data in the target language without the need for translation tools. First, the framework trains an ABSA model to obtain predictions for unlabelled target language data. Next, LLM is prompted to generate natural sentences that better represent these noisy predictions than the original text. The ABSA model is then further fine-tuned on the resulting pseudo-labelled dataset. We demonstrate the effectiveness of this method across six languages and five backbone models, surpassing previous state-of-the-art translation-based approaches. The proposed framework also supports generative models, and we show that fine-tuned LLMs outperform smaller multilingual models.</v>
      </c>
      <c r="D1628" s="7" t="str">
        <f>IFERROR(__xludf.DUMMYFUNCTION("""COMPUTED_VALUE"""),"Jakub Šmíd")</f>
        <v>Jakub Šmíd</v>
      </c>
      <c r="E1628" s="7" t="str">
        <f>IFERROR(__xludf.DUMMYFUNCTION("""COMPUTED_VALUE"""),"Yes")</f>
        <v>Yes</v>
      </c>
      <c r="F1628" s="7" t="str">
        <f>IFERROR(__xludf.DUMMYFUNCTION("""COMPUTED_VALUE"""),"IP-Poster")</f>
        <v>IP-Poster</v>
      </c>
      <c r="G1628" s="7" t="str">
        <f>IFERROR(__xludf.DUMMYFUNCTION("""COMPUTED_VALUE"""),"In-Person")</f>
        <v>In-Person</v>
      </c>
      <c r="H1628" s="7" t="str">
        <f>IFERROR(__xludf.DUMMYFUNCTION("""COMPUTED_VALUE"""),"Hall 4/5")</f>
        <v>Hall 4/5</v>
      </c>
      <c r="I1628" s="7" t="str">
        <f>IFERROR(__xludf.DUMMYFUNCTION("""COMPUTED_VALUE"""),"Session 2: IP-Posters ")</f>
        <v>Session 2: IP-Posters </v>
      </c>
      <c r="J1628" s="7" t="str">
        <f>IFERROR(__xludf.DUMMYFUNCTION("""COMPUTED_VALUE"""),"Poster Session 1")</f>
        <v>Poster Session 1</v>
      </c>
      <c r="K1628" s="7"/>
      <c r="L1628" s="8">
        <f>IFERROR(__xludf.DUMMYFUNCTION("""COMPUTED_VALUE"""),45866.0)</f>
        <v>45866</v>
      </c>
      <c r="M1628" s="7" t="str">
        <f>IFERROR(__xludf.DUMMYFUNCTION("""COMPUTED_VALUE"""),"11:00-12:30")</f>
        <v>11:00-12:30</v>
      </c>
      <c r="N1628" s="7"/>
    </row>
    <row r="1629">
      <c r="A1629" s="7" t="str">
        <f>IFERROR(__xludf.DUMMYFUNCTION("""COMPUTED_VALUE"""),"78-MAIN")</f>
        <v>78-MAIN</v>
      </c>
      <c r="B1629" s="7" t="str">
        <f>IFERROR(__xludf.DUMMYFUNCTION("""COMPUTED_VALUE"""),"Fusing Highly Specialized Language Models for Comprehensive Expertise")</f>
        <v>Fusing Highly Specialized Language Models for Comprehensive Expertise</v>
      </c>
      <c r="C1629" s="7" t="str">
        <f>IFERROR(__xludf.DUMMYFUNCTION("""COMPUTED_VALUE"""),"Underlying data distributions of natural language, programming code, and mathematical symbols vary vastly, presenting a complex challenge for large language models (LLMs) that strive to achieve high performance across all three domains simultaneously. Ach"&amp;"ieving a very high level of proficiency for an LLM within a specific domain often requires extensive training with relevant corpora, which is typically accompanied by a sacrifice in performance in other domains. In this paper, we aim to ``play the dealt c"&amp;"ards well'' and propose to fuse models that are already highly-specialized directly. The proposed fusing framework, \modelname, consists of different distinct specialists that are already sufficiently trained on different domains (we mainly focus on langu"&amp;"age, coding, and mathematics in this paper). A token-level gating mechanism is introduced to blend the specialists' outputs. A two-stage training strategy accompanied by balanced sampling is designed to ensure stability. To effectively train the fused mod"&amp;"el, we further construct a high-quality supervised instruction tuning dataset, \dataname, which includes text, code, and mathematical content. This dataset comprises approximately 300,000 instructions and covers a wide range of topics in each domain. Expe"&amp;"riments show that our model could simultaneously achieve mastery of the three crucial domains.")</f>
        <v>Underlying data distributions of natural language, programming code, and mathematical symbols vary vastly, presenting a complex challenge for large language models (LLMs) that strive to achieve high performance across all three domains simultaneously. Achieving a very high level of proficiency for an LLM within a specific domain often requires extensive training with relevant corpora, which is typically accompanied by a sacrifice in performance in other domains. In this paper, we aim to ``play the dealt cards well'' and propose to fuse models that are already highly-specialized directly. The proposed fusing framework, \modelname, consists of different distinct specialists that are already sufficiently trained on different domains (we mainly focus on language, coding, and mathematics in this paper). A token-level gating mechanism is introduced to blend the specialists' outputs. A two-stage training strategy accompanied by balanced sampling is designed to ensure stability. To effectively train the fused model, we further construct a high-quality supervised instruction tuning dataset, \dataname, which includes text, code, and mathematical content. This dataset comprises approximately 300,000 instructions and covers a wide range of topics in each domain. Experiments show that our model could simultaneously achieve mastery of the three crucial domains.</v>
      </c>
      <c r="D1629" s="7" t="str">
        <f>IFERROR(__xludf.DUMMYFUNCTION("""COMPUTED_VALUE"""),"Yulin Chen")</f>
        <v>Yulin Chen</v>
      </c>
      <c r="E1629" s="7" t="str">
        <f>IFERROR(__xludf.DUMMYFUNCTION("""COMPUTED_VALUE"""),"Yes")</f>
        <v>Yes</v>
      </c>
      <c r="F1629" s="7" t="str">
        <f>IFERROR(__xludf.DUMMYFUNCTION("""COMPUTED_VALUE"""),"V-Presentation")</f>
        <v>V-Presentation</v>
      </c>
      <c r="G1629" s="7" t="str">
        <f>IFERROR(__xludf.DUMMYFUNCTION("""COMPUTED_VALUE"""),"Virtual/Gather")</f>
        <v>Virtual/Gather</v>
      </c>
      <c r="H1629" s="7" t="str">
        <f>IFERROR(__xludf.DUMMYFUNCTION("""COMPUTED_VALUE"""),"Zoom")</f>
        <v>Zoom</v>
      </c>
      <c r="I1629" s="7" t="str">
        <f>IFERROR(__xludf.DUMMYFUNCTION("""COMPUTED_VALUE"""),"Session 10: V-Presenations")</f>
        <v>Session 10: V-Presenations</v>
      </c>
      <c r="J1629" s="7" t="str">
        <f>IFERROR(__xludf.DUMMYFUNCTION("""COMPUTED_VALUE"""),"Virtual Presentations 3")</f>
        <v>Virtual Presentations 3</v>
      </c>
      <c r="K1629" s="7"/>
      <c r="L1629" s="8">
        <f>IFERROR(__xludf.DUMMYFUNCTION("""COMPUTED_VALUE"""),45867.0)</f>
        <v>45867</v>
      </c>
      <c r="M1629" s="7" t="str">
        <f>IFERROR(__xludf.DUMMYFUNCTION("""COMPUTED_VALUE"""),"16:00-17:30")</f>
        <v>16:00-17:30</v>
      </c>
      <c r="N1629" s="7"/>
    </row>
    <row r="1630">
      <c r="A1630" s="7" t="str">
        <f>IFERROR(__xludf.DUMMYFUNCTION("""COMPUTED_VALUE"""),"80-MAIN")</f>
        <v>80-MAIN</v>
      </c>
      <c r="B1630" s="7" t="str">
        <f>IFERROR(__xludf.DUMMYFUNCTION("""COMPUTED_VALUE"""),"HybGRAG: Hybrid Retrieval-Augmented Generation on Textual and Relational Knowledge Bases")</f>
        <v>HybGRAG: Hybrid Retrieval-Augmented Generation on Textual and Relational Knowledge Bases</v>
      </c>
      <c r="C1630" s="7" t="str">
        <f>IFERROR(__xludf.DUMMYFUNCTION("""COMPUTED_VALUE"""),"Given a semi-structured knowledge base (SKB), where text documents are interconnected by relations, how can we effectively retrieve relevant information to answer user questions?
Retrieval-Augmented Generation (RAG) retrieves documents to assist large lan"&amp;"guage models (LLMs) in question answering; while Graph RAG (GRAG) uses structured knowledge bases as its knowledge source.
However, many questions require both textual and relational information from SKB — referred to as ""hybrid"" questions — which compl"&amp;"icates the retrieval process and underscores the need for a hybrid retrieval method that leverages both information.
In this paper, through our empirical analysis, we identify key insights that show why existing methods may struggle with hybrid question "&amp;"answering (HQA) over SKB. 
Based on these insights, we propose HybGRAG for HQA, consisting of a retriever bank and a critic module, with the following advantages:
1. Agentic, it automatically refines the output by incorporating feedback from the critic mo"&amp;"dule, 
2. Adaptive, it solves hybrid questions requiring both textual and relational information with the retriever bank,
3. Interpretable, it justifies decision making with intuitive refinement path, and
4. Effective, it surpasses all baselines on HQA be"&amp;"nchmarks.
In experiments on the STaRK benchmark, HybGRAG achieves significant performance gains, with an average relative improvement in Hit@1 of 51%.")</f>
        <v>Given a semi-structured knowledge base (SKB), where text documents are interconnected by relations, how can we effectively retrieve relevant information to answer user questions?
Retrieval-Augmented Generation (RAG) retrieves documents to assist large language models (LLMs) in question answering; while Graph RAG (GRAG) uses structured knowledge bases as its knowledge source.
However, many questions require both textual and relational information from SKB — referred to as "hybrid" questions — which complicates the retrieval process and underscores the need for a hybrid retrieval method that leverages both information.
In this paper, through our empirical analysis, we identify key insights that show why existing methods may struggle with hybrid question answering (HQA) over SKB. 
Based on these insights, we propose HybGRAG for HQA, consisting of a retriever bank and a critic module, with the following advantages:
1. Agentic, it automatically refines the output by incorporating feedback from the critic module, 
2. Adaptive, it solves hybrid questions requiring both textual and relational information with the retriever bank,
3. Interpretable, it justifies decision making with intuitive refinement path, and
4. Effective, it surpasses all baselines on HQA benchmarks.
In experiments on the STaRK benchmark, HybGRAG achieves significant performance gains, with an average relative improvement in Hit@1 of 51%.</v>
      </c>
      <c r="D1630" s="7" t="str">
        <f>IFERROR(__xludf.DUMMYFUNCTION("""COMPUTED_VALUE"""),"Meng-Chieh Lee or Qi Zhu")</f>
        <v>Meng-Chieh Lee or Qi Zhu</v>
      </c>
      <c r="E1630" s="7" t="str">
        <f>IFERROR(__xludf.DUMMYFUNCTION("""COMPUTED_VALUE"""),"Yes")</f>
        <v>Yes</v>
      </c>
      <c r="F1630" s="7" t="str">
        <f>IFERROR(__xludf.DUMMYFUNCTION("""COMPUTED_VALUE"""),"IP-Poster")</f>
        <v>IP-Poster</v>
      </c>
      <c r="G1630" s="7" t="str">
        <f>IFERROR(__xludf.DUMMYFUNCTION("""COMPUTED_VALUE"""),"In-Person")</f>
        <v>In-Person</v>
      </c>
      <c r="H1630" s="7" t="str">
        <f>IFERROR(__xludf.DUMMYFUNCTION("""COMPUTED_VALUE"""),"Hall 4/5")</f>
        <v>Hall 4/5</v>
      </c>
      <c r="I1630" s="7" t="str">
        <f>IFERROR(__xludf.DUMMYFUNCTION("""COMPUTED_VALUE"""),"Session 2: IP-Posters ")</f>
        <v>Session 2: IP-Posters </v>
      </c>
      <c r="J1630" s="7" t="str">
        <f>IFERROR(__xludf.DUMMYFUNCTION("""COMPUTED_VALUE"""),"Poster Session 1")</f>
        <v>Poster Session 1</v>
      </c>
      <c r="K1630" s="7"/>
      <c r="L1630" s="8">
        <f>IFERROR(__xludf.DUMMYFUNCTION("""COMPUTED_VALUE"""),45866.0)</f>
        <v>45866</v>
      </c>
      <c r="M1630" s="7" t="str">
        <f>IFERROR(__xludf.DUMMYFUNCTION("""COMPUTED_VALUE"""),"11:00-12:30")</f>
        <v>11:00-12:30</v>
      </c>
      <c r="N1630" s="7"/>
    </row>
    <row r="1631">
      <c r="A1631" s="7" t="str">
        <f>IFERROR(__xludf.DUMMYFUNCTION("""COMPUTED_VALUE"""),"81-MAIN")</f>
        <v>81-MAIN</v>
      </c>
      <c r="B1631" s="7" t="str">
        <f>IFERROR(__xludf.DUMMYFUNCTION("""COMPUTED_VALUE"""),"Re-ranking Using Large Language Models for Mitigating Exposure to Harmful Content on Social Media Platforms")</f>
        <v>Re-ranking Using Large Language Models for Mitigating Exposure to Harmful Content on Social Media Platforms</v>
      </c>
      <c r="C1631" s="7" t="str">
        <f>IFERROR(__xludf.DUMMYFUNCTION("""COMPUTED_VALUE"""),"Social media platforms utilize Machine Learning (ML) and Artificial Intelligence (AI) powered recommendation algorithms to maximize user engagement, which can result in inadvertent exposure to harmful content. Current moderation efforts, reliant on classi"&amp;"fiers trained with extensive human-annotated data, struggle with scalability and adapting to new forms of harm. To address these challenges, we propose a novel re-ranking approach using Large Language Models (LLMs) in zero-shot and few-shot settings. Our "&amp;"method dynamically assesses and re-ranks content sequences, effectively mitigating harmful content exposure without requiring extensive labeled data. Alongside traditional ranking metrics, we also introduce two new metrics to evaluate the effectiveness of"&amp;" re-ranking in reducing exposure to harmful content. Through experiments on three datasets, three models and across three configurations, we demonstrate that our LLM-based approach significantly outperforms existing proprietary moderation approaches, offe"&amp;"ring a scalable and adaptable solution for harm mitigation.")</f>
        <v>Social media platforms utilize Machine Learning (ML) and Artificial Intelligence (AI) powered recommendation algorithms to maximize user engagement, which can result in inadvertent exposure to harmful content. Current moderation efforts, reliant on classifiers trained with extensive human-annotated data, struggle with scalability and adapting to new forms of harm. To address these challenges, we propose a novel re-ranking approach using Large Language Models (LLMs) in zero-shot and few-shot settings. Our method dynamically assesses and re-ranks content sequences, effectively mitigating harmful content exposure without requiring extensive labeled data. Alongside traditional ranking metrics, we also introduce two new metrics to evaluate the effectiveness of re-ranking in reducing exposure to harmful content. Through experiments on three datasets, three models and across three configurations, we demonstrate that our LLM-based approach significantly outperforms existing proprietary moderation approaches, offering a scalable and adaptable solution for harm mitigation.</v>
      </c>
      <c r="D1631" s="7" t="str">
        <f>IFERROR(__xludf.DUMMYFUNCTION("""COMPUTED_VALUE"""),"Rajvardhan Oak")</f>
        <v>Rajvardhan Oak</v>
      </c>
      <c r="E1631" s="7" t="str">
        <f>IFERROR(__xludf.DUMMYFUNCTION("""COMPUTED_VALUE"""),"Yes")</f>
        <v>Yes</v>
      </c>
      <c r="F1631" s="7" t="str">
        <f>IFERROR(__xludf.DUMMYFUNCTION("""COMPUTED_VALUE"""),"V-Presentation")</f>
        <v>V-Presentation</v>
      </c>
      <c r="G1631" s="7" t="str">
        <f>IFERROR(__xludf.DUMMYFUNCTION("""COMPUTED_VALUE"""),"Virtual/Gather")</f>
        <v>Virtual/Gather</v>
      </c>
      <c r="H1631" s="7" t="str">
        <f>IFERROR(__xludf.DUMMYFUNCTION("""COMPUTED_VALUE"""),"Zoom")</f>
        <v>Zoom</v>
      </c>
      <c r="I1631" s="7" t="str">
        <f>IFERROR(__xludf.DUMMYFUNCTION("""COMPUTED_VALUE"""),"Session 10: V-Presenations")</f>
        <v>Session 10: V-Presenations</v>
      </c>
      <c r="J1631" s="7" t="str">
        <f>IFERROR(__xludf.DUMMYFUNCTION("""COMPUTED_VALUE"""),"Virtual Presentations 3")</f>
        <v>Virtual Presentations 3</v>
      </c>
      <c r="K1631" s="7"/>
      <c r="L1631" s="8">
        <f>IFERROR(__xludf.DUMMYFUNCTION("""COMPUTED_VALUE"""),45867.0)</f>
        <v>45867</v>
      </c>
      <c r="M1631" s="7" t="str">
        <f>IFERROR(__xludf.DUMMYFUNCTION("""COMPUTED_VALUE"""),"16:00-17:30")</f>
        <v>16:00-17:30</v>
      </c>
      <c r="N1631" s="7"/>
    </row>
    <row r="1632">
      <c r="A1632" s="7" t="str">
        <f>IFERROR(__xludf.DUMMYFUNCTION("""COMPUTED_VALUE"""),"86-MAIN")</f>
        <v>86-MAIN</v>
      </c>
      <c r="B1632" s="7" t="str">
        <f>IFERROR(__xludf.DUMMYFUNCTION("""COMPUTED_VALUE"""),"Aligning AI Research with the Needs of Clinical Coding Workflows: Eight Recommendations Based on US Data Analysis and Critical Review")</f>
        <v>Aligning AI Research with the Needs of Clinical Coding Workflows: Eight Recommendations Based on US Data Analysis and Critical Review</v>
      </c>
      <c r="C1632" s="7" t="str">
        <f>IFERROR(__xludf.DUMMYFUNCTION("""COMPUTED_VALUE"""),"Clinical coding is crucial for healthcare billing and data analysis. Manual clinical coding is labour-intensive and error-prone, which has motivated research towards full automation of the process. However, our analysis, based on US English electronic hea"&amp;"lth records and automated coding research using these records, shows that widely used evaluation methods are not aligned with real clinical contexts. For example, evaluations that focus on the top 50 most common codes are an oversimplification, as there a"&amp;"re thousands of codes used in practice. This position paper aims to align AI coding research more closely with practical challenges of clinical coding. Based on our analysis, we offer eight specific recommendations, suggesting ways to improve current eval"&amp;"uation methods. Additionally, we propose new AI-based methods beyond automated coding, suggesting alternative approaches to assist clinical coders in their workflows.")</f>
        <v>Clinical coding is crucial for healthcare billing and data analysis. Manual clinical coding is labour-intensive and error-prone, which has motivated research towards full automation of the process. However, our analysis, based on US English electronic health records and automated coding research using these records, shows that widely used evaluation methods are not aligned with real clinical contexts. For example, evaluations that focus on the top 50 most common codes are an oversimplification, as there are thousands of codes used in practice. This position paper aims to align AI coding research more closely with practical challenges of clinical coding. Based on our analysis, we offer eight specific recommendations, suggesting ways to improve current evaluation methods. Additionally, we propose new AI-based methods beyond automated coding, suggesting alternative approaches to assist clinical coders in their workflows.</v>
      </c>
      <c r="D1632" s="7" t="str">
        <f>IFERROR(__xludf.DUMMYFUNCTION("""COMPUTED_VALUE"""),"Yidong Gan")</f>
        <v>Yidong Gan</v>
      </c>
      <c r="E1632" s="7" t="str">
        <f>IFERROR(__xludf.DUMMYFUNCTION("""COMPUTED_VALUE"""),"Yes")</f>
        <v>Yes</v>
      </c>
      <c r="F1632" s="7" t="str">
        <f>IFERROR(__xludf.DUMMYFUNCTION("""COMPUTED_VALUE"""),"IP-Poster")</f>
        <v>IP-Poster</v>
      </c>
      <c r="G1632" s="7" t="str">
        <f>IFERROR(__xludf.DUMMYFUNCTION("""COMPUTED_VALUE"""),"In-Person")</f>
        <v>In-Person</v>
      </c>
      <c r="H1632" s="7" t="str">
        <f>IFERROR(__xludf.DUMMYFUNCTION("""COMPUTED_VALUE"""),"Hall 4/5")</f>
        <v>Hall 4/5</v>
      </c>
      <c r="I1632" s="7" t="str">
        <f>IFERROR(__xludf.DUMMYFUNCTION("""COMPUTED_VALUE"""),"Session 2: IP-Posters ")</f>
        <v>Session 2: IP-Posters </v>
      </c>
      <c r="J1632" s="7" t="str">
        <f>IFERROR(__xludf.DUMMYFUNCTION("""COMPUTED_VALUE"""),"Poster Session 1")</f>
        <v>Poster Session 1</v>
      </c>
      <c r="K1632" s="7"/>
      <c r="L1632" s="8">
        <f>IFERROR(__xludf.DUMMYFUNCTION("""COMPUTED_VALUE"""),45866.0)</f>
        <v>45866</v>
      </c>
      <c r="M1632" s="7" t="str">
        <f>IFERROR(__xludf.DUMMYFUNCTION("""COMPUTED_VALUE"""),"11:00-12:30")</f>
        <v>11:00-12:30</v>
      </c>
      <c r="N1632" s="7"/>
    </row>
    <row r="1633">
      <c r="A1633" s="7" t="str">
        <f>IFERROR(__xludf.DUMMYFUNCTION("""COMPUTED_VALUE"""),"88-MAIN")</f>
        <v>88-MAIN</v>
      </c>
      <c r="B1633" s="7" t="str">
        <f>IFERROR(__xludf.DUMMYFUNCTION("""COMPUTED_VALUE"""),"MIND: A Multi-agent Framework for Zero-shot Harmful Meme Detection")</f>
        <v>MIND: A Multi-agent Framework for Zero-shot Harmful Meme Detection</v>
      </c>
      <c r="C1633" s="7" t="str">
        <f>IFERROR(__xludf.DUMMYFUNCTION("""COMPUTED_VALUE"""),"The rapid expansion of memes on social media has highlighted the urgent need for effective approaches to detect harmful content. However, traditional data-driven approaches struggle to detect new memes due to their evolving nature and the lack of up-to-da"&amp;"te annotated data. To address this issue, we propose MIND, a multi-agent framework for zero-shot harmful meme detection that does not rely on annotated data. MIND implements three key strategies: 1) We retrieve similar memes from an unannotated reference "&amp;"set to provide contextual information. 2) We propose a bi-directional insight derivation mechanism to extract a comprehensive understanding of similar memes. 3) We then employ a multi-agent debate mechanism to ensure robust decision-making through reasone"&amp;"d arbitration. Extensive experiments on three meme datasets demonstrate that our proposed framework not only outperforms existing zero-shot approaches but also shows strong generalization across different model architectures and parameter scales, providin"&amp;"g a scalable solution for harmful meme detection.")</f>
        <v>The rapid expansion of memes on social media has highlighted the urgent need for effective approaches to detect harmful content. However, traditional data-driven approaches struggle to detect new memes due to their evolving nature and the lack of up-to-date annotated data. To address this issue, we propose MIND, a multi-agent framework for zero-shot harmful meme detection that does not rely on annotated data. MIND implements three key strategies: 1) We retrieve similar memes from an unannotated reference set to provide contextual information. 2) We propose a bi-directional insight derivation mechanism to extract a comprehensive understanding of similar memes. 3) We then employ a multi-agent debate mechanism to ensure robust decision-making through reasoned arbitration. Extensive experiments on three meme datasets demonstrate that our proposed framework not only outperforms existing zero-shot approaches but also shows strong generalization across different model architectures and parameter scales, providing a scalable solution for harmful meme detection.</v>
      </c>
      <c r="D1633" s="7" t="str">
        <f>IFERROR(__xludf.DUMMYFUNCTION("""COMPUTED_VALUE"""),"Ziyan Liu")</f>
        <v>Ziyan Liu</v>
      </c>
      <c r="E1633" s="7" t="str">
        <f>IFERROR(__xludf.DUMMYFUNCTION("""COMPUTED_VALUE"""),"Yes")</f>
        <v>Yes</v>
      </c>
      <c r="F1633" s="7" t="str">
        <f>IFERROR(__xludf.DUMMYFUNCTION("""COMPUTED_VALUE"""),"V-Presentation")</f>
        <v>V-Presentation</v>
      </c>
      <c r="G1633" s="7" t="str">
        <f>IFERROR(__xludf.DUMMYFUNCTION("""COMPUTED_VALUE"""),"Virtual/Gather")</f>
        <v>Virtual/Gather</v>
      </c>
      <c r="H1633" s="7" t="str">
        <f>IFERROR(__xludf.DUMMYFUNCTION("""COMPUTED_VALUE"""),"Zoom")</f>
        <v>Zoom</v>
      </c>
      <c r="I1633" s="7" t="str">
        <f>IFERROR(__xludf.DUMMYFUNCTION("""COMPUTED_VALUE"""),"Session 2: V-Presentations")</f>
        <v>Session 2: V-Presentations</v>
      </c>
      <c r="J1633" s="7" t="str">
        <f>IFERROR(__xludf.DUMMYFUNCTION("""COMPUTED_VALUE"""),"Virtual Presentations 1")</f>
        <v>Virtual Presentations 1</v>
      </c>
      <c r="K1633" s="7"/>
      <c r="L1633" s="8">
        <f>IFERROR(__xludf.DUMMYFUNCTION("""COMPUTED_VALUE"""),45866.0)</f>
        <v>45866</v>
      </c>
      <c r="M1633" s="7" t="str">
        <f>IFERROR(__xludf.DUMMYFUNCTION("""COMPUTED_VALUE"""),"11:00-12:30")</f>
        <v>11:00-12:30</v>
      </c>
      <c r="N1633" s="7"/>
    </row>
    <row r="1634">
      <c r="A1634" s="7" t="str">
        <f>IFERROR(__xludf.DUMMYFUNCTION("""COMPUTED_VALUE"""),"89-MAIN")</f>
        <v>89-MAIN</v>
      </c>
      <c r="B1634" s="7" t="str">
        <f>IFERROR(__xludf.DUMMYFUNCTION("""COMPUTED_VALUE"""),"EvoWiki: Evaluating LLMs on Evolving Knowledge")</f>
        <v>EvoWiki: Evaluating LLMs on Evolving Knowledge</v>
      </c>
      <c r="C1634" s="7" t="str">
        <f>IFERROR(__xludf.DUMMYFUNCTION("""COMPUTED_VALUE"""),"Knowledge utilization is a critical aspect of LLMs, and understanding how they adapt to evolving knowledge is essential for their effective deployment. However, existing benchmarks are predominantly static, failing to capture the evolving nature of LLMs a"&amp;"nd knowledge, leading to inaccuracies and vulnerabilities such as contamination. In this paper, we introduce EvoWiki, an evolving dataset designed to reflect knowledge evolution by categorizing information into stable, evolved, and uncharted states. EvoWi"&amp;"ki is fully auto-updatable, enabling precise evaluation of continuously changing knowledge and newly released LLMs. Through experiments with Retrieval-Augmented Generation (RAG) and Continual Learning (CL), we evaluate how effectively LLMs adapt to evolvi"&amp;"ng knowledge. Our results indicate that current models often struggle with evolved knowledge, frequently providing outdated or incorrect responses. Moreover, the dataset highlights a synergistic effect between RAG and CL, demonstrating their potential to "&amp;"better adapt to evolving knowledge. EvoWiki provides a robust benchmark for advancing future research on the knowledge evolution capabilities of large language models.")</f>
        <v>Knowledge utilization is a critical aspect of LLMs, and understanding how they adapt to evolving knowledge is essential for their effective deployment. However, existing benchmarks are predominantly static, failing to capture the evolving nature of LLMs and knowledge, leading to inaccuracies and vulnerabilities such as contamination. In this paper, we introduce EvoWiki, an evolving dataset designed to reflect knowledge evolution by categorizing information into stable, evolved, and uncharted states. EvoWiki is fully auto-updatable, enabling precise evaluation of continuously changing knowledge and newly released LLMs. Through experiments with Retrieval-Augmented Generation (RAG) and Continual Learning (CL), we evaluate how effectively LLMs adapt to evolving knowledge. Our results indicate that current models often struggle with evolved knowledge, frequently providing outdated or incorrect responses. Moreover, the dataset highlights a synergistic effect between RAG and CL, demonstrating their potential to better adapt to evolving knowledge. EvoWiki provides a robust benchmark for advancing future research on the knowledge evolution capabilities of large language models.</v>
      </c>
      <c r="D1634" s="7" t="str">
        <f>IFERROR(__xludf.DUMMYFUNCTION("""COMPUTED_VALUE"""),"Wei Tang, Yixin Cao")</f>
        <v>Wei Tang, Yixin Cao</v>
      </c>
      <c r="E1634" s="7" t="str">
        <f>IFERROR(__xludf.DUMMYFUNCTION("""COMPUTED_VALUE"""),"Yes")</f>
        <v>Yes</v>
      </c>
      <c r="F1634" s="7" t="str">
        <f>IFERROR(__xludf.DUMMYFUNCTION("""COMPUTED_VALUE"""),"IP-Poster")</f>
        <v>IP-Poster</v>
      </c>
      <c r="G1634" s="7" t="str">
        <f>IFERROR(__xludf.DUMMYFUNCTION("""COMPUTED_VALUE"""),"In-Person")</f>
        <v>In-Person</v>
      </c>
      <c r="H1634" s="7" t="str">
        <f>IFERROR(__xludf.DUMMYFUNCTION("""COMPUTED_VALUE"""),"Hall 4/5")</f>
        <v>Hall 4/5</v>
      </c>
      <c r="I1634" s="7" t="str">
        <f>IFERROR(__xludf.DUMMYFUNCTION("""COMPUTED_VALUE"""),"Session 7: IP-Posters")</f>
        <v>Session 7: IP-Posters</v>
      </c>
      <c r="J1634" s="7" t="str">
        <f>IFERROR(__xludf.DUMMYFUNCTION("""COMPUTED_VALUE"""),"Poster Session 2")</f>
        <v>Poster Session 2</v>
      </c>
      <c r="K1634" s="7"/>
      <c r="L1634" s="8">
        <f>IFERROR(__xludf.DUMMYFUNCTION("""COMPUTED_VALUE"""),45867.0)</f>
        <v>45867</v>
      </c>
      <c r="M1634" s="7" t="str">
        <f>IFERROR(__xludf.DUMMYFUNCTION("""COMPUTED_VALUE"""),"10:30-12:00")</f>
        <v>10:30-12:00</v>
      </c>
      <c r="N1634" s="7"/>
    </row>
    <row r="1635">
      <c r="A1635" s="7" t="str">
        <f>IFERROR(__xludf.DUMMYFUNCTION("""COMPUTED_VALUE"""),"90-MAIN")</f>
        <v>90-MAIN</v>
      </c>
      <c r="B1635" s="7" t="str">
        <f>IFERROR(__xludf.DUMMYFUNCTION("""COMPUTED_VALUE"""),"Rethinking Repetition Problems of LLMs in Code Generation")</f>
        <v>Rethinking Repetition Problems of LLMs in Code Generation</v>
      </c>
      <c r="C1635" s="7" t="str">
        <f>IFERROR(__xludf.DUMMYFUNCTION("""COMPUTED_VALUE"""),"With the advent of neural language models, the performance of code generation has been significantly boosted. However, the problem of repetitions during the generation process continues to linger. Previous work has primarily focused on content repetition,"&amp;" which is merely a fraction of the broader repetition problem in code generation. A more prevalent and challenging problem is structural repetition. In structural repetition, the repeated code appears in various patterns but possesses a fixed structure, w"&amp;"hich can be inherently reflected in grammar. In this paper, we formally define structural repetition and propose an efficient decoding approach called RPG, which stands for Repetition Penalization based on Grammar, to alleviate the repetition problems in "&amp;"code generation for LLMs. Specifically, RPG first leverages grammar rules to identify repetition problems during code generation, and then strategically decays the likelihood of critical tokens that contribute to repetitions, thereby mitigating them in co"&amp;"de generation. To facilitate this study, we construct a new dataset CodeRepetEval to comprehensively evaluate approaches for mitigating the repetition problems in code generation. Extensive experimental results demonstrate that RPG substantially outperfor"&amp;"ms the best-performing baselines on CodeRepetEval dataset as well as HumanEval and MBPP benchmarks, effectively reducing repetitions and enhancing the quality of generated code.")</f>
        <v>With the advent of neural language models, the performance of code generation has been significantly boosted. However, the problem of repetitions during the generation process continues to linger. Previous work has primarily focused on content repetition, which is merely a fraction of the broader repetition problem in code generation. A more prevalent and challenging problem is structural repetition. In structural repetition, the repeated code appears in various patterns but possesses a fixed structure, which can be inherently reflected in grammar. In this paper, we formally define structural repetition and propose an efficient decoding approach called RPG, which stands for Repetition Penalization based on Grammar, to alleviate the repetition problems in code generation for LLMs. Specifically, RPG first leverages grammar rules to identify repetition problems during code generation, and then strategically decays the likelihood of critical tokens that contribute to repetitions, thereby mitigating them in code generation. To facilitate this study, we construct a new dataset CodeRepetEval to comprehensively evaluate approaches for mitigating the repetition problems in code generation. Extensive experimental results demonstrate that RPG substantially outperforms the best-performing baselines on CodeRepetEval dataset as well as HumanEval and MBPP benchmarks, effectively reducing repetitions and enhancing the quality of generated code.</v>
      </c>
      <c r="D1635" s="7" t="str">
        <f>IFERROR(__xludf.DUMMYFUNCTION("""COMPUTED_VALUE"""),"Yihong Dong")</f>
        <v>Yihong Dong</v>
      </c>
      <c r="E1635" s="7" t="str">
        <f>IFERROR(__xludf.DUMMYFUNCTION("""COMPUTED_VALUE"""),"Yes")</f>
        <v>Yes</v>
      </c>
      <c r="F1635" s="7" t="str">
        <f>IFERROR(__xludf.DUMMYFUNCTION("""COMPUTED_VALUE"""),"IP-Oral")</f>
        <v>IP-Oral</v>
      </c>
      <c r="G1635" s="7" t="str">
        <f>IFERROR(__xludf.DUMMYFUNCTION("""COMPUTED_VALUE"""),"In-Person")</f>
        <v>In-Person</v>
      </c>
      <c r="H1635" s="7" t="str">
        <f>IFERROR(__xludf.DUMMYFUNCTION("""COMPUTED_VALUE"""),"Hall M.1")</f>
        <v>Hall M.1</v>
      </c>
      <c r="I1635" s="7" t="str">
        <f>IFERROR(__xludf.DUMMYFUNCTION("""COMPUTED_VALUE"""),"Session 3: IP-Orals")</f>
        <v>Session 3: IP-Orals</v>
      </c>
      <c r="J1635" s="7" t="str">
        <f>IFERROR(__xludf.DUMMYFUNCTION("""COMPUTED_VALUE"""),"Generation")</f>
        <v>Generation</v>
      </c>
      <c r="K1635" s="7"/>
      <c r="L1635" s="8">
        <f>IFERROR(__xludf.DUMMYFUNCTION("""COMPUTED_VALUE"""),45866.0)</f>
        <v>45866</v>
      </c>
      <c r="M1635" s="7" t="str">
        <f>IFERROR(__xludf.DUMMYFUNCTION("""COMPUTED_VALUE"""),"14:00-15:30")</f>
        <v>14:00-15:30</v>
      </c>
      <c r="N1635" s="7">
        <f>IFERROR(__xludf.DUMMYFUNCTION("""COMPUTED_VALUE"""),1.0)</f>
        <v>1</v>
      </c>
    </row>
    <row r="1636">
      <c r="A1636" s="7" t="str">
        <f>IFERROR(__xludf.DUMMYFUNCTION("""COMPUTED_VALUE"""),"91-MAIN")</f>
        <v>91-MAIN</v>
      </c>
      <c r="B1636" s="7" t="str">
        <f>IFERROR(__xludf.DUMMYFUNCTION("""COMPUTED_VALUE"""),"PunchBench: Benchmarking MLLMs in Multimodal Punchline Comprehension")</f>
        <v>PunchBench: Benchmarking MLLMs in Multimodal Punchline Comprehension</v>
      </c>
      <c r="C1636" s="7" t="str">
        <f>IFERROR(__xludf.DUMMYFUNCTION("""COMPUTED_VALUE"""),"Multimodal punchlines, which involve humor or sarcasm conveyed in image-caption pairs, are a popular way of communication on online multimedia platforms. With the rapid development of multimodal large language models (MLLMs), it is essential to assess the"&amp;"ir ability to effectively comprehend these punchlines. However, existing benchmarks on punchline comprehension suffer from three major limitations: 1) language shortcuts that allow models to solely rely on text, 2) lack of question diversity, and 3) narro"&amp;"w focus on a specific domain of multimodal content (e.g., cartoon). To address these limitations, we introduce a multimodal **Punch**line comprehension **Bench**mark, named **PunchBench**, which is tailored for accurate and comprehensive evaluation of pun"&amp;"chline comprehension. To enhance the evaluation accuracy, we generate synonymous and antonymous captions by modifying original captions, which mitigates the impact of shortcuts in the captions. To provide a comprehensive evaluation, PunchBench incorporate"&amp;"s diverse question formats and image-captions from various domains. On this basis, we conduct extensive evaluations and reveal a significant gap between state-of-the-art MLLMs and humans in punchline comprehension. To improve punchline comprehension, we p"&amp;"ropose Simple-to-Complex Chain-of-Question (SC-CoQ) strategy, enabling the models to incrementally address complicated questions by first mastering simple ones. SC-CoQ effectively enhances the performance of various MLLMs on PunchBench, surpassing in-cont"&amp;"ext learning and chain-of-thought.")</f>
        <v>Multimodal punchlines, which involve humor or sarcasm conveyed in image-caption pairs, are a popular way of communication on online multimedia platforms. With the rapid development of multimodal large language models (MLLMs), it is essential to assess their ability to effectively comprehend these punchlines. However, existing benchmarks on punchline comprehension suffer from three major limitations: 1) language shortcuts that allow models to solely rely on text, 2) lack of question diversity, and 3) narrow focus on a specific domain of multimodal content (e.g., cartoon). To address these limitations, we introduce a multimodal **Punch**line comprehension **Bench**mark, named **PunchBench**, which is tailored for accurate and comprehensive evaluation of punchline comprehension. To enhance the evaluation accuracy, we generate synonymous and antonymous captions by modifying original captions, which mitigates the impact of shortcuts in the captions. To provide a comprehensive evaluation, PunchBench incorporates diverse question formats and image-captions from various domains. On this basis, we conduct extensive evaluations and reveal a significant gap between state-of-the-art MLLMs and humans in punchline comprehension. To improve punchline comprehension, we propose Simple-to-Complex Chain-of-Question (SC-CoQ) strategy, enabling the models to incrementally address complicated questions by first mastering simple ones. SC-CoQ effectively enhances the performance of various MLLMs on PunchBench, surpassing in-context learning and chain-of-thought.</v>
      </c>
      <c r="D1636" s="7" t="str">
        <f>IFERROR(__xludf.DUMMYFUNCTION("""COMPUTED_VALUE"""),"Kun Ouyang")</f>
        <v>Kun Ouyang</v>
      </c>
      <c r="E1636" s="7" t="str">
        <f>IFERROR(__xludf.DUMMYFUNCTION("""COMPUTED_VALUE"""),"Yes")</f>
        <v>Yes</v>
      </c>
      <c r="F1636" s="7" t="str">
        <f>IFERROR(__xludf.DUMMYFUNCTION("""COMPUTED_VALUE"""),"IP-Poster")</f>
        <v>IP-Poster</v>
      </c>
      <c r="G1636" s="7" t="str">
        <f>IFERROR(__xludf.DUMMYFUNCTION("""COMPUTED_VALUE"""),"In-Person")</f>
        <v>In-Person</v>
      </c>
      <c r="H1636" s="7" t="str">
        <f>IFERROR(__xludf.DUMMYFUNCTION("""COMPUTED_VALUE"""),"Hall 4/5")</f>
        <v>Hall 4/5</v>
      </c>
      <c r="I1636" s="7" t="str">
        <f>IFERROR(__xludf.DUMMYFUNCTION("""COMPUTED_VALUE"""),"Session 2: IP-Posters ")</f>
        <v>Session 2: IP-Posters </v>
      </c>
      <c r="J1636" s="7" t="str">
        <f>IFERROR(__xludf.DUMMYFUNCTION("""COMPUTED_VALUE"""),"Poster Session 1")</f>
        <v>Poster Session 1</v>
      </c>
      <c r="K1636" s="7"/>
      <c r="L1636" s="8">
        <f>IFERROR(__xludf.DUMMYFUNCTION("""COMPUTED_VALUE"""),45866.0)</f>
        <v>45866</v>
      </c>
      <c r="M1636" s="7" t="str">
        <f>IFERROR(__xludf.DUMMYFUNCTION("""COMPUTED_VALUE"""),"11:00-12:30")</f>
        <v>11:00-12:30</v>
      </c>
      <c r="N1636" s="7"/>
    </row>
    <row r="1637">
      <c r="A1637" s="7" t="str">
        <f>IFERROR(__xludf.DUMMYFUNCTION("""COMPUTED_VALUE"""),"92-MAIN")</f>
        <v>92-MAIN</v>
      </c>
      <c r="B1637" s="7" t="str">
        <f>IFERROR(__xludf.DUMMYFUNCTION("""COMPUTED_VALUE"""),"ProcessBench: Identifying Process Errors in Mathematical Reasoning")</f>
        <v>ProcessBench: Identifying Process Errors in Mathematical Reasoning</v>
      </c>
      <c r="C1637" s="7" t="str">
        <f>IFERROR(__xludf.DUMMYFUNCTION("""COMPUTED_VALUE"""),"As language models regularly make mistakes when solving math problems, automated identification of errors in the reasoning process becomes increasingly significant for their scalable oversight. In this paper, we introduce ProcessBench for measuring the ab"&amp;"ility to identify erroneous steps in mathematical reasoning. It consists of 3,400 test cases, primarily focused on competition- and Olympiad-level math problems. Each test case contains a step-by-step solution with error location annotated by human expert"&amp;"s. Models are required to identify the earliest step that contains an error, or conclude that all steps are correct. We conduct extensive evaluation on ProcessBench, involving two types of models: process reward models (PRMs) and critic models, where for "&amp;"the latter we prompt general language models to critique each solution step by step. We draw two main observations: (1) Existing PRMs typically fail to generalize to more challenging math problems beyond GSM8K and MATH. They underperform both critic model"&amp;"s (i.e., prompted general language models) and our own trained PRM that is straightforwardly fine-tuned on the PRM800K dataset. (2) The best open-source model, QwQ-32B-Preview, has demonstrated the critique capability competitive with the proprietary mode"&amp;"l GPT-4o, despite that it still lags behind the reasoning-specialized o1-mini. We hope ProcessBench can foster future research in reasoning process assessment, paving the way toward scalable oversight of language models.")</f>
        <v>As language models regularly make mistakes when solving math problems, automated identification of errors in the reasoning process becomes increasingly significant for their scalable oversight. In this paper, we introduce ProcessBench for measuring the ability to identify erroneous steps in mathematical reasoning. It consists of 3,400 test cases, primarily focused on competition- and Olympiad-level math problems. Each test case contains a step-by-step solution with error location annotated by human experts. Models are required to identify the earliest step that contains an error, or conclude that all steps are correct. We conduct extensive evaluation on ProcessBench, involving two types of models: process reward models (PRMs) and critic models, where for the latter we prompt general language models to critique each solution step by step. We draw two main observations: (1) Existing PRMs typically fail to generalize to more challenging math problems beyond GSM8K and MATH. They underperform both critic models (i.e., prompted general language models) and our own trained PRM that is straightforwardly fine-tuned on the PRM800K dataset. (2) The best open-source model, QwQ-32B-Preview, has demonstrated the critique capability competitive with the proprietary model GPT-4o, despite that it still lags behind the reasoning-specialized o1-mini. We hope ProcessBench can foster future research in reasoning process assessment, paving the way toward scalable oversight of language models.</v>
      </c>
      <c r="D1637" s="7" t="str">
        <f>IFERROR(__xludf.DUMMYFUNCTION("""COMPUTED_VALUE"""),"Chujie Zheng")</f>
        <v>Chujie Zheng</v>
      </c>
      <c r="E1637" s="7" t="str">
        <f>IFERROR(__xludf.DUMMYFUNCTION("""COMPUTED_VALUE"""),"Yes")</f>
        <v>Yes</v>
      </c>
      <c r="F1637" s="7" t="str">
        <f>IFERROR(__xludf.DUMMYFUNCTION("""COMPUTED_VALUE"""),"V-Presentation")</f>
        <v>V-Presentation</v>
      </c>
      <c r="G1637" s="7" t="str">
        <f>IFERROR(__xludf.DUMMYFUNCTION("""COMPUTED_VALUE"""),"Virtual/Gather")</f>
        <v>Virtual/Gather</v>
      </c>
      <c r="H1637" s="7" t="str">
        <f>IFERROR(__xludf.DUMMYFUNCTION("""COMPUTED_VALUE"""),"Zoom")</f>
        <v>Zoom</v>
      </c>
      <c r="I1637" s="7" t="str">
        <f>IFERROR(__xludf.DUMMYFUNCTION("""COMPUTED_VALUE"""),"Session 2: V-Presentations")</f>
        <v>Session 2: V-Presentations</v>
      </c>
      <c r="J1637" s="7" t="str">
        <f>IFERROR(__xludf.DUMMYFUNCTION("""COMPUTED_VALUE"""),"Virtual Presentations 1")</f>
        <v>Virtual Presentations 1</v>
      </c>
      <c r="K1637" s="7"/>
      <c r="L1637" s="8">
        <f>IFERROR(__xludf.DUMMYFUNCTION("""COMPUTED_VALUE"""),45866.0)</f>
        <v>45866</v>
      </c>
      <c r="M1637" s="7" t="str">
        <f>IFERROR(__xludf.DUMMYFUNCTION("""COMPUTED_VALUE"""),"11:00-12:30")</f>
        <v>11:00-12:30</v>
      </c>
      <c r="N1637" s="7"/>
    </row>
    <row r="1638">
      <c r="A1638" s="7" t="str">
        <f>IFERROR(__xludf.DUMMYFUNCTION("""COMPUTED_VALUE"""),"93-MAIN")</f>
        <v>93-MAIN</v>
      </c>
      <c r="B1638" s="7" t="str">
        <f>IFERROR(__xludf.DUMMYFUNCTION("""COMPUTED_VALUE"""),"Model Extrapolation Expedites Alignment")</f>
        <v>Model Extrapolation Expedites Alignment</v>
      </c>
      <c r="C1638" s="7" t="str">
        <f>IFERROR(__xludf.DUMMYFUNCTION("""COMPUTED_VALUE"""),"Given the high computational cost of preference alignment training of large language models (LLMs), exploring efficient methods to reduce the training overhead remains an important and compelling research problem. Motivated by the observation that alignme"&amp;"nt training typically involves only small parameter changes without injecting new knowledge into models, we propose a straightforward method called ExPO (model extrapolation) to expedite LLMs' alignment with human preferences. Given a partially-trained mo"&amp;"del and its initial SFT checkpoint, ExPO improves the implicit optimization objective of alignment training by simply amplifying the parameter change based on a first-order approximation, without any additional training overhead. Through controlled experi"&amp;"ments, we demonstrate that ExPO boosts a DPO model trained with only 20% steps to outperform the fully-trained one. Moreover, we show that ExPO notably improves existing open-source LLMs (ranging from 1.8B to 70B parameters) on the leading AlpacaEval 2.0 "&amp;"and MT-Bench benchmarks, which highlights ExPO's broader utility in efficiently enhancing LLM alignment.")</f>
        <v>Given the high computational cost of preference alignment training of large language models (LLMs), exploring efficient methods to reduce the training overhead remains an important and compelling research problem. Motivated by the observation that alignment training typically involves only small parameter changes without injecting new knowledge into models, we propose a straightforward method called ExPO (model extrapolation) to expedite LLMs' alignment with human preferences. Given a partially-trained model and its initial SFT checkpoint, ExPO improves the implicit optimization objective of alignment training by simply amplifying the parameter change based on a first-order approximation, without any additional training overhead. Through controlled experiments, we demonstrate that ExPO boosts a DPO model trained with only 20% steps to outperform the fully-trained one. Moreover, we show that ExPO notably improves existing open-source LLMs (ranging from 1.8B to 70B parameters) on the leading AlpacaEval 2.0 and MT-Bench benchmarks, which highlights ExPO's broader utility in efficiently enhancing LLM alignment.</v>
      </c>
      <c r="D1638" s="7" t="str">
        <f>IFERROR(__xludf.DUMMYFUNCTION("""COMPUTED_VALUE"""),"Chujie Zheng")</f>
        <v>Chujie Zheng</v>
      </c>
      <c r="E1638" s="7" t="str">
        <f>IFERROR(__xludf.DUMMYFUNCTION("""COMPUTED_VALUE"""),"Yes")</f>
        <v>Yes</v>
      </c>
      <c r="F1638" s="7" t="str">
        <f>IFERROR(__xludf.DUMMYFUNCTION("""COMPUTED_VALUE"""),"V-Presentation")</f>
        <v>V-Presentation</v>
      </c>
      <c r="G1638" s="7" t="str">
        <f>IFERROR(__xludf.DUMMYFUNCTION("""COMPUTED_VALUE"""),"Virtual/Gather")</f>
        <v>Virtual/Gather</v>
      </c>
      <c r="H1638" s="7" t="str">
        <f>IFERROR(__xludf.DUMMYFUNCTION("""COMPUTED_VALUE"""),"Zoom")</f>
        <v>Zoom</v>
      </c>
      <c r="I1638" s="7" t="str">
        <f>IFERROR(__xludf.DUMMYFUNCTION("""COMPUTED_VALUE"""),"Session 2: V-Presentations")</f>
        <v>Session 2: V-Presentations</v>
      </c>
      <c r="J1638" s="7" t="str">
        <f>IFERROR(__xludf.DUMMYFUNCTION("""COMPUTED_VALUE"""),"Virtual Presentations 1")</f>
        <v>Virtual Presentations 1</v>
      </c>
      <c r="K1638" s="7"/>
      <c r="L1638" s="8">
        <f>IFERROR(__xludf.DUMMYFUNCTION("""COMPUTED_VALUE"""),45866.0)</f>
        <v>45866</v>
      </c>
      <c r="M1638" s="7" t="str">
        <f>IFERROR(__xludf.DUMMYFUNCTION("""COMPUTED_VALUE"""),"11:00-12:30")</f>
        <v>11:00-12:30</v>
      </c>
      <c r="N1638" s="7"/>
    </row>
    <row r="1639">
      <c r="A1639" s="7" t="str">
        <f>IFERROR(__xludf.DUMMYFUNCTION("""COMPUTED_VALUE"""),"95-MAIN")</f>
        <v>95-MAIN</v>
      </c>
      <c r="B1639" s="7" t="str">
        <f>IFERROR(__xludf.DUMMYFUNCTION("""COMPUTED_VALUE"""),"ATLANTIS: Weak-to-Strong Learning via Importance Sampling")</f>
        <v>ATLANTIS: Weak-to-Strong Learning via Importance Sampling</v>
      </c>
      <c r="C1639" s="7" t="str">
        <f>IFERROR(__xludf.DUMMYFUNCTION("""COMPUTED_VALUE"""),"Supervised fine-tuning (SFT) enables large language models to align with training data for better performance in many aspects. Nevertheless, the gap between the distribution of current datasets from human annotations or model generations and the real-worl"&amp;"d data distribution heavily limits the capacities and potentials of models. As a result, we propose a new SFT technique, ATLANTIS, to bridge the gap. We adopt importance sampling to estimate the optimal data distribution in the real world from existing tr"&amp;"aining datasets because the former is hard to sample from. Furthermore, we introduce an extra small model and reference model to estimate the sampling ratio through the probability gap between them. We evaluate our method with benchmarks in knowledge \&amp; u"&amp;"nderstanding and preference aspects. The experiment results prove that ATLANTIS can bring consistent and significant improvements to models' performance. What's more, our method can be flexibly transferred among models with different structures. Our analy"&amp;"ses demonstrate that our method is well-compatible with other SFT techniques to further enhance models' capacities and has great potential to be combined with existing training frameworks.")</f>
        <v>Supervised fine-tuning (SFT) enables large language models to align with training data for better performance in many aspects. Nevertheless, the gap between the distribution of current datasets from human annotations or model generations and the real-world data distribution heavily limits the capacities and potentials of models. As a result, we propose a new SFT technique, ATLANTIS, to bridge the gap. We adopt importance sampling to estimate the optimal data distribution in the real world from existing training datasets because the former is hard to sample from. Furthermore, we introduce an extra small model and reference model to estimate the sampling ratio through the probability gap between them. We evaluate our method with benchmarks in knowledge \&amp; understanding and preference aspects. The experiment results prove that ATLANTIS can bring consistent and significant improvements to models' performance. What's more, our method can be flexibly transferred among models with different structures. Our analyses demonstrate that our method is well-compatible with other SFT techniques to further enhance models' capacities and has great potential to be combined with existing training frameworks.</v>
      </c>
      <c r="D1639" s="7" t="str">
        <f>IFERROR(__xludf.DUMMYFUNCTION("""COMPUTED_VALUE"""),"Yi Liu")</f>
        <v>Yi Liu</v>
      </c>
      <c r="E1639" s="7" t="str">
        <f>IFERROR(__xludf.DUMMYFUNCTION("""COMPUTED_VALUE"""),"Yes")</f>
        <v>Yes</v>
      </c>
      <c r="F1639" s="7" t="str">
        <f>IFERROR(__xludf.DUMMYFUNCTION("""COMPUTED_VALUE"""),"IP-Poster")</f>
        <v>IP-Poster</v>
      </c>
      <c r="G1639" s="7" t="str">
        <f>IFERROR(__xludf.DUMMYFUNCTION("""COMPUTED_VALUE"""),"In-Person")</f>
        <v>In-Person</v>
      </c>
      <c r="H1639" s="7" t="str">
        <f>IFERROR(__xludf.DUMMYFUNCTION("""COMPUTED_VALUE"""),"Hall 4/5")</f>
        <v>Hall 4/5</v>
      </c>
      <c r="I1639" s="7" t="str">
        <f>IFERROR(__xludf.DUMMYFUNCTION("""COMPUTED_VALUE"""),"Session 7: IP-Posters")</f>
        <v>Session 7: IP-Posters</v>
      </c>
      <c r="J1639" s="7" t="str">
        <f>IFERROR(__xludf.DUMMYFUNCTION("""COMPUTED_VALUE"""),"Poster Session 2")</f>
        <v>Poster Session 2</v>
      </c>
      <c r="K1639" s="7"/>
      <c r="L1639" s="8">
        <f>IFERROR(__xludf.DUMMYFUNCTION("""COMPUTED_VALUE"""),45867.0)</f>
        <v>45867</v>
      </c>
      <c r="M1639" s="7" t="str">
        <f>IFERROR(__xludf.DUMMYFUNCTION("""COMPUTED_VALUE"""),"10:30-12:00")</f>
        <v>10:30-12:00</v>
      </c>
      <c r="N1639" s="7"/>
    </row>
    <row r="1640">
      <c r="A1640" s="7" t="str">
        <f>IFERROR(__xludf.DUMMYFUNCTION("""COMPUTED_VALUE"""),"97-MAIN")</f>
        <v>97-MAIN</v>
      </c>
      <c r="B1640" s="7" t="str">
        <f>IFERROR(__xludf.DUMMYFUNCTION("""COMPUTED_VALUE"""),"MPVStance: Mitigating Hallucinations in Stance Detection with Multi-Perspective Verification")</f>
        <v>MPVStance: Mitigating Hallucinations in Stance Detection with Multi-Perspective Verification</v>
      </c>
      <c r="C1640" s="7" t="str">
        <f>IFERROR(__xludf.DUMMYFUNCTION("""COMPUTED_VALUE"""),"Stance detection is a pivotal task in Natural Language Processing (NLP), identifying textual attitudes toward various targets. Despite advances in using Large Language Models (LLMs), challenges persist due to hallucination-models generating plausible yet "&amp;"inaccurate content. Addressing these challenges, we introduce MPVStance, a framework that incorporates Multi-Perspective Verification (MPV) with Retrieval-Augmented Generation (RAG) across a structured five-step verification process. Our method enhances s"&amp;"tance detection by rigorously validating each response from factual accuracy, logical consistency, contextual relevance, and other perspectives. Extensive testing on the SemEval-2016 and VAST datasets, including scenarios that challenge existing methods a"&amp;"nd comprehensive ablation studies, demonstrates that MPVStance significantly outperforms current models. It effectively mitigates hallucination issues and sets new benchmarks for reliability and accuracy in stance detection, particularly in zero-shot, few"&amp;"-shot, and challenging scenarios.")</f>
        <v>Stance detection is a pivotal task in Natural Language Processing (NLP), identifying textual attitudes toward various targets. Despite advances in using Large Language Models (LLMs), challenges persist due to hallucination-models generating plausible yet inaccurate content. Addressing these challenges, we introduce MPVStance, a framework that incorporates Multi-Perspective Verification (MPV) with Retrieval-Augmented Generation (RAG) across a structured five-step verification process. Our method enhances stance detection by rigorously validating each response from factual accuracy, logical consistency, contextual relevance, and other perspectives. Extensive testing on the SemEval-2016 and VAST datasets, including scenarios that challenge existing methods and comprehensive ablation studies, demonstrates that MPVStance significantly outperforms current models. It effectively mitigates hallucination issues and sets new benchmarks for reliability and accuracy in stance detection, particularly in zero-shot, few-shot, and challenging scenarios.</v>
      </c>
      <c r="D1640" s="7" t="str">
        <f>IFERROR(__xludf.DUMMYFUNCTION("""COMPUTED_VALUE"""),"Zhaodan Zhang")</f>
        <v>Zhaodan Zhang</v>
      </c>
      <c r="E1640" s="7" t="str">
        <f>IFERROR(__xludf.DUMMYFUNCTION("""COMPUTED_VALUE"""),"Yes")</f>
        <v>Yes</v>
      </c>
      <c r="F1640" s="7" t="str">
        <f>IFERROR(__xludf.DUMMYFUNCTION("""COMPUTED_VALUE"""),"V-Presentation")</f>
        <v>V-Presentation</v>
      </c>
      <c r="G1640" s="7" t="str">
        <f>IFERROR(__xludf.DUMMYFUNCTION("""COMPUTED_VALUE"""),"Virtual/Gather")</f>
        <v>Virtual/Gather</v>
      </c>
      <c r="H1640" s="7" t="str">
        <f>IFERROR(__xludf.DUMMYFUNCTION("""COMPUTED_VALUE"""),"Zoom")</f>
        <v>Zoom</v>
      </c>
      <c r="I1640" s="7" t="str">
        <f>IFERROR(__xludf.DUMMYFUNCTION("""COMPUTED_VALUE"""),"Session 2: V-Presentations")</f>
        <v>Session 2: V-Presentations</v>
      </c>
      <c r="J1640" s="7" t="str">
        <f>IFERROR(__xludf.DUMMYFUNCTION("""COMPUTED_VALUE"""),"Virtual Presentations 1")</f>
        <v>Virtual Presentations 1</v>
      </c>
      <c r="K1640" s="7"/>
      <c r="L1640" s="8">
        <f>IFERROR(__xludf.DUMMYFUNCTION("""COMPUTED_VALUE"""),45866.0)</f>
        <v>45866</v>
      </c>
      <c r="M1640" s="7" t="str">
        <f>IFERROR(__xludf.DUMMYFUNCTION("""COMPUTED_VALUE"""),"11:00-12:30")</f>
        <v>11:00-12:30</v>
      </c>
      <c r="N1640" s="7"/>
    </row>
    <row r="1641">
      <c r="A1641" s="7" t="str">
        <f>IFERROR(__xludf.DUMMYFUNCTION("""COMPUTED_VALUE"""),"98-MAIN")</f>
        <v>98-MAIN</v>
      </c>
      <c r="B1641" s="7" t="str">
        <f>IFERROR(__xludf.DUMMYFUNCTION("""COMPUTED_VALUE"""),"Personality-Guided Code Generation Using Large Language Models")</f>
        <v>Personality-Guided Code Generation Using Large Language Models</v>
      </c>
      <c r="C1641" s="7" t="str">
        <f>IFERROR(__xludf.DUMMYFUNCTION("""COMPUTED_VALUE"""),"Code generation, the automatic creation of source code from natural language descriptions, has garnered significant attention due to its potential to streamline software development. Inspired by research that links task-personality alignment with improved"&amp;" development outcomes, we conduct an empirical study on personality-guided code generation using large language models (LLMs). Specifically, we investigate how emulating personality traits appropriate to the coding tasks affects LLM performance. We extens"&amp;"ively evaluate this approach using seven widely adopted LLMs across four representative datasets. Our results show that personality guidance significantly enhances code generation accuracy, with improved pass rates in 23 out of 28 LLM-dataset combinations"&amp;". Notably, in 11 cases, the improvement exceeds 5%, and in 5 instances, it surpasses 10%, with the highest gain reaching 12.9%. Additionally, personality guidance can be easily integrated with other prompting strategies to further boost performance.")</f>
        <v>Code generation, the automatic creation of source code from natural language descriptions, has garnered significant attention due to its potential to streamline software development. Inspired by research that links task-personality alignment with improved development outcomes, we conduct an empirical study on personality-guided code generation using large language models (LLMs). Specifically, we investigate how emulating personality traits appropriate to the coding tasks affects LLM performance. We extensively evaluate this approach using seven widely adopted LLMs across four representative datasets. Our results show that personality guidance significantly enhances code generation accuracy, with improved pass rates in 23 out of 28 LLM-dataset combinations. Notably, in 11 cases, the improvement exceeds 5%, and in 5 instances, it surpasses 10%, with the highest gain reaching 12.9%. Additionally, personality guidance can be easily integrated with other prompting strategies to further boost performance.</v>
      </c>
      <c r="D1641" s="7" t="str">
        <f>IFERROR(__xludf.DUMMYFUNCTION("""COMPUTED_VALUE"""),"Yaoqi Guo")</f>
        <v>Yaoqi Guo</v>
      </c>
      <c r="E1641" s="7" t="str">
        <f>IFERROR(__xludf.DUMMYFUNCTION("""COMPUTED_VALUE"""),"Yes")</f>
        <v>Yes</v>
      </c>
      <c r="F1641" s="7" t="str">
        <f>IFERROR(__xludf.DUMMYFUNCTION("""COMPUTED_VALUE"""),"IP-Poster")</f>
        <v>IP-Poster</v>
      </c>
      <c r="G1641" s="7" t="str">
        <f>IFERROR(__xludf.DUMMYFUNCTION("""COMPUTED_VALUE"""),"In-Person")</f>
        <v>In-Person</v>
      </c>
      <c r="H1641" s="7" t="str">
        <f>IFERROR(__xludf.DUMMYFUNCTION("""COMPUTED_VALUE"""),"Hall 4/5")</f>
        <v>Hall 4/5</v>
      </c>
      <c r="I1641" s="7" t="str">
        <f>IFERROR(__xludf.DUMMYFUNCTION("""COMPUTED_VALUE"""),"Session 2: IP-Posters ")</f>
        <v>Session 2: IP-Posters </v>
      </c>
      <c r="J1641" s="7" t="str">
        <f>IFERROR(__xludf.DUMMYFUNCTION("""COMPUTED_VALUE"""),"Poster Session 1")</f>
        <v>Poster Session 1</v>
      </c>
      <c r="K1641" s="7"/>
      <c r="L1641" s="8">
        <f>IFERROR(__xludf.DUMMYFUNCTION("""COMPUTED_VALUE"""),45866.0)</f>
        <v>45866</v>
      </c>
      <c r="M1641" s="7" t="str">
        <f>IFERROR(__xludf.DUMMYFUNCTION("""COMPUTED_VALUE"""),"11:00-12:30")</f>
        <v>11:00-12:30</v>
      </c>
      <c r="N1641" s="7"/>
    </row>
    <row r="1642">
      <c r="A1642" s="7" t="str">
        <f>IFERROR(__xludf.DUMMYFUNCTION("""COMPUTED_VALUE"""),"99-MAIN")</f>
        <v>99-MAIN</v>
      </c>
      <c r="B1642" s="7" t="str">
        <f>IFERROR(__xludf.DUMMYFUNCTION("""COMPUTED_VALUE"""),"PsyDT: Using LLMs to Construct the Digital Twin of Psychological Counselor with Personalized Counseling Style for Psychological Counseling")</f>
        <v>PsyDT: Using LLMs to Construct the Digital Twin of Psychological Counselor with Personalized Counseling Style for Psychological Counseling</v>
      </c>
      <c r="C1642" s="7" t="str">
        <f>IFERROR(__xludf.DUMMYFUNCTION("""COMPUTED_VALUE"""),"Currently, large language models (LLMs) have made significant progress in the field of psychological counseling. However, existing mental health LLMs overlook a critical issue where they do not consider the fact that different psychological counselors exh"&amp;"ibit different personal styles, including linguistic style and therapy techniques, etc. As a result, these LLMs fail to satisfy the individual needs of clients who seek different counseling styles. To help bridge this gap, we propose PsyDT, a novel framew"&amp;"ork using LLMs to construct the Digital Twin of Psychological counselor with personalized counseling style. Compared to the time-consuming and costly approach of collecting a large number of real-world counseling cases to create a specific counselor's dig"&amp;"ital twin, our framework offers a faster and more cost-effective solution. To construct PsyDT, we utilize dynamic one-shot learning by using GPT-4 to capture counselor's unique counseling style, mainly focusing on linguistic style and therapy techniques. "&amp;"Subsequently, using existing single-turn long-text dialogues with client's questions, GPT-4 is guided to synthesize multi-turn dialogues of specific counselor. Finally, we fine-tune the LLMs on the synthetic dataset, PsyDTCorpus, to achieve the digital tw"&amp;"in of psychological counselor with personalized counseling style. Experimental results indicate that our proposed PsyDT framework can synthesize multi-turn dialogues that closely resemble real-world counseling cases and demonstrate better performance comp"&amp;"ared to other baselines, thereby show that our framework can effectively construct the digital twin of psychological counselor with a specific counseling style.")</f>
        <v>Currently, large language models (LLMs) have made significant progress in the field of psychological counseling. However, existing mental health LLMs overlook a critical issue where they do not consider the fact that different psychological counselors exhibit different personal styles, including linguistic style and therapy techniques, etc. As a result, these LLMs fail to satisfy the individual needs of clients who seek different counseling styles. To help bridge this gap, we propose PsyDT, a novel framework using LLMs to construct the Digital Twin of Psychological counselor with personalized counseling style. Compared to the time-consuming and costly approach of collecting a large number of real-world counseling cases to create a specific counselor's digital twin, our framework offers a faster and more cost-effective solution. To construct PsyDT, we utilize dynamic one-shot learning by using GPT-4 to capture counselor's unique counseling style, mainly focusing on linguistic style and therapy techniques. Subsequently, using existing single-turn long-text dialogues with client's questions, GPT-4 is guided to synthesize multi-turn dialogues of specific counselor. Finally, we fine-tune the LLMs on the synthetic dataset, PsyDTCorpus, to achieve the digital twin of psychological counselor with personalized counseling style. Experimental results indicate that our proposed PsyDT framework can synthesize multi-turn dialogues that closely resemble real-world counseling cases and demonstrate better performance compared to other baselines, thereby show that our framework can effectively construct the digital twin of psychological counselor with a specific counseling style.</v>
      </c>
      <c r="D1642" s="7" t="str">
        <f>IFERROR(__xludf.DUMMYFUNCTION("""COMPUTED_VALUE"""),"Haojie Xie")</f>
        <v>Haojie Xie</v>
      </c>
      <c r="E1642" s="7" t="str">
        <f>IFERROR(__xludf.DUMMYFUNCTION("""COMPUTED_VALUE"""),"Yes")</f>
        <v>Yes</v>
      </c>
      <c r="F1642" s="7" t="str">
        <f>IFERROR(__xludf.DUMMYFUNCTION("""COMPUTED_VALUE"""),"IP-Poster")</f>
        <v>IP-Poster</v>
      </c>
      <c r="G1642" s="7" t="str">
        <f>IFERROR(__xludf.DUMMYFUNCTION("""COMPUTED_VALUE"""),"In-Person")</f>
        <v>In-Person</v>
      </c>
      <c r="H1642" s="7" t="str">
        <f>IFERROR(__xludf.DUMMYFUNCTION("""COMPUTED_VALUE"""),"Hall 4/5")</f>
        <v>Hall 4/5</v>
      </c>
      <c r="I1642" s="7" t="str">
        <f>IFERROR(__xludf.DUMMYFUNCTION("""COMPUTED_VALUE"""),"Session 12: IP-Posters")</f>
        <v>Session 12: IP-Posters</v>
      </c>
      <c r="J1642" s="7" t="str">
        <f>IFERROR(__xludf.DUMMYFUNCTION("""COMPUTED_VALUE"""),"Poster Session 4")</f>
        <v>Poster Session 4</v>
      </c>
      <c r="K1642" s="7"/>
      <c r="L1642" s="8">
        <f>IFERROR(__xludf.DUMMYFUNCTION("""COMPUTED_VALUE"""),45868.0)</f>
        <v>45868</v>
      </c>
      <c r="M1642" s="7" t="str">
        <f>IFERROR(__xludf.DUMMYFUNCTION("""COMPUTED_VALUE"""),"11:00-12:30")</f>
        <v>11:00-12:30</v>
      </c>
      <c r="N1642" s="7"/>
    </row>
    <row r="1643">
      <c r="A1643" s="7" t="str">
        <f>IFERROR(__xludf.DUMMYFUNCTION("""COMPUTED_VALUE"""),"100-MAIN")</f>
        <v>100-MAIN</v>
      </c>
      <c r="B1643" s="7" t="str">
        <f>IFERROR(__xludf.DUMMYFUNCTION("""COMPUTED_VALUE"""),"BIPro: Zero-shot Chinese Poem Generation via Block Inverse Prompting Constrained Generation Framework")</f>
        <v>BIPro: Zero-shot Chinese Poem Generation via Block Inverse Prompting Constrained Generation Framework</v>
      </c>
      <c r="C1643" s="7" t="str">
        <f>IFERROR(__xludf.DUMMYFUNCTION("""COMPUTED_VALUE"""),"Recently, generative pre-trained models have made significant strides, particularly highlighted by the release of ChatGPT and GPT-4, which exhibit superior cross-domain capabilities. 
However, these models still face challenges on constrained writing task"&amp;"s like poem generation under open-domain titles via direct generation.
In response to this challenge, we introduce Block Inverse Prompting (BIPro) constrained generation framework. BIPro leverages two block inverse prompting methods, revise and rewrite. "&amp;"This inference scaling approach mimics the process of human text writing using block generative models. It significantly improves the zero-shot generation quality on the constrained generation task of open-domain traditional-form Chinese poem generation. "&amp;"
Based on a less powerful block generative model GLM-10B-Chinese, poems composed via BIPro without priming or additional training outperform both much larger direct generative systems like GPT-4 or GLM-4 and domain-specific systems such as Yusheng, Shisa"&amp;"nbai, or Baidu Poetry Helper in human evaluation by proficient poets.
 BIPro considerably narrows the gap between AI-generated works and short-listed human literary arts in another human evaluation, unveiling the promising potential of inference scaling "&amp;"in improving the quality of constrained generation. It is open-sourced and available as an agent in chatglm app.")</f>
        <v>Recently, generative pre-trained models have made significant strides, particularly highlighted by the release of ChatGPT and GPT-4, which exhibit superior cross-domain capabilities. 
However, these models still face challenges on constrained writing tasks like poem generation under open-domain titles via direct generation.
In response to this challenge, we introduce Block Inverse Prompting (BIPro) constrained generation framework. BIPro leverages two block inverse prompting methods, revise and rewrite. This inference scaling approach mimics the process of human text writing using block generative models. It significantly improves the zero-shot generation quality on the constrained generation task of open-domain traditional-form Chinese poem generation. 
Based on a less powerful block generative model GLM-10B-Chinese, poems composed via BIPro without priming or additional training outperform both much larger direct generative systems like GPT-4 or GLM-4 and domain-specific systems such as Yusheng, Shisanbai, or Baidu Poetry Helper in human evaluation by proficient poets.
 BIPro considerably narrows the gap between AI-generated works and short-listed human literary arts in another human evaluation, unveiling the promising potential of inference scaling in improving the quality of constrained generation. It is open-sourced and available as an agent in chatglm app.</v>
      </c>
      <c r="D1643" s="7" t="str">
        <f>IFERROR(__xludf.DUMMYFUNCTION("""COMPUTED_VALUE"""),"XU ZOU")</f>
        <v>XU ZOU</v>
      </c>
      <c r="E1643" s="7" t="str">
        <f>IFERROR(__xludf.DUMMYFUNCTION("""COMPUTED_VALUE"""),"Yes")</f>
        <v>Yes</v>
      </c>
      <c r="F1643" s="7" t="str">
        <f>IFERROR(__xludf.DUMMYFUNCTION("""COMPUTED_VALUE"""),"IP-Poster")</f>
        <v>IP-Poster</v>
      </c>
      <c r="G1643" s="7" t="str">
        <f>IFERROR(__xludf.DUMMYFUNCTION("""COMPUTED_VALUE"""),"In-Person")</f>
        <v>In-Person</v>
      </c>
      <c r="H1643" s="7" t="str">
        <f>IFERROR(__xludf.DUMMYFUNCTION("""COMPUTED_VALUE"""),"Hall 4/5")</f>
        <v>Hall 4/5</v>
      </c>
      <c r="I1643" s="7" t="str">
        <f>IFERROR(__xludf.DUMMYFUNCTION("""COMPUTED_VALUE"""),"Session 10: IP-Posters")</f>
        <v>Session 10: IP-Posters</v>
      </c>
      <c r="J1643" s="7" t="str">
        <f>IFERROR(__xludf.DUMMYFUNCTION("""COMPUTED_VALUE"""),"Poster Session 3")</f>
        <v>Poster Session 3</v>
      </c>
      <c r="K1643" s="7"/>
      <c r="L1643" s="8">
        <f>IFERROR(__xludf.DUMMYFUNCTION("""COMPUTED_VALUE"""),45867.0)</f>
        <v>45867</v>
      </c>
      <c r="M1643" s="7" t="str">
        <f>IFERROR(__xludf.DUMMYFUNCTION("""COMPUTED_VALUE"""),"16:00-17:30")</f>
        <v>16:00-17:30</v>
      </c>
      <c r="N1643" s="7"/>
    </row>
    <row r="1644">
      <c r="A1644" s="7" t="str">
        <f>IFERROR(__xludf.DUMMYFUNCTION("""COMPUTED_VALUE"""),"101-MAIN")</f>
        <v>101-MAIN</v>
      </c>
      <c r="B1644" s="7" t="str">
        <f>IFERROR(__xludf.DUMMYFUNCTION("""COMPUTED_VALUE"""),"Rethinking KenLM: Good and Bad Model Ensembles for Efficient Text Quality Filtering in Large Web Corpora")</f>
        <v>Rethinking KenLM: Good and Bad Model Ensembles for Efficient Text Quality Filtering in Large Web Corpora</v>
      </c>
      <c r="C1644" s="7" t="str">
        <f>IFERROR(__xludf.DUMMYFUNCTION("""COMPUTED_VALUE"""),"With the increasing demand for substantial amounts of high-quality data to train large language models (LLMs), efficiently filtering large web corpora has become a critical challenge. For this purpose, KenLM, a lightweight n-gram-based language model that"&amp;" operates on CPUs, is widely used. However, the traditional method of training KenLM utilizes only high-quality data and, consequently, does not explicitly learn the linguistic patterns of low-quality data. To address this issue, we propose an ensemble ap"&amp;"proach that leverages two contrasting KenLMs: (i) Good KenLM, trained on high-quality data; and (ii) Bad KenLM, trained on low-quality data. Experimental results demonstrate that our approach significantly reduces noisy content while preserving high-quali"&amp;"ty content compared to the traditional KenLM training method. This indicates that our method can be a practical solution with minimal computational overhead for resource-constrained environments.")</f>
        <v>With the increasing demand for substantial amounts of high-quality data to train large language models (LLMs), efficiently filtering large web corpora has become a critical challenge. For this purpose, KenLM, a lightweight n-gram-based language model that operates on CPUs, is widely used. However, the traditional method of training KenLM utilizes only high-quality data and, consequently, does not explicitly learn the linguistic patterns of low-quality data. To address this issue, we propose an ensemble approach that leverages two contrasting KenLMs: (i) Good KenLM, trained on high-quality data; and (ii) Bad KenLM, trained on low-quality data. Experimental results demonstrate that our approach significantly reduces noisy content while preserving high-quality content compared to the traditional KenLM training method. This indicates that our method can be a practical solution with minimal computational overhead for resource-constrained environments.</v>
      </c>
      <c r="D1644" s="7" t="str">
        <f>IFERROR(__xludf.DUMMYFUNCTION("""COMPUTED_VALUE"""),"Sukyung Lee")</f>
        <v>Sukyung Lee</v>
      </c>
      <c r="E1644" s="7" t="str">
        <f>IFERROR(__xludf.DUMMYFUNCTION("""COMPUTED_VALUE"""),"Yes")</f>
        <v>Yes</v>
      </c>
      <c r="F1644" s="7" t="str">
        <f>IFERROR(__xludf.DUMMYFUNCTION("""COMPUTED_VALUE"""),"IP-Poster")</f>
        <v>IP-Poster</v>
      </c>
      <c r="G1644" s="7" t="str">
        <f>IFERROR(__xludf.DUMMYFUNCTION("""COMPUTED_VALUE"""),"In-Person")</f>
        <v>In-Person</v>
      </c>
      <c r="H1644" s="7" t="str">
        <f>IFERROR(__xludf.DUMMYFUNCTION("""COMPUTED_VALUE"""),"Hall 4/5")</f>
        <v>Hall 4/5</v>
      </c>
      <c r="I1644" s="7" t="str">
        <f>IFERROR(__xludf.DUMMYFUNCTION("""COMPUTED_VALUE"""),"Session 2: IP-Posters ")</f>
        <v>Session 2: IP-Posters </v>
      </c>
      <c r="J1644" s="7" t="str">
        <f>IFERROR(__xludf.DUMMYFUNCTION("""COMPUTED_VALUE"""),"Poster Session 1")</f>
        <v>Poster Session 1</v>
      </c>
      <c r="K1644" s="7"/>
      <c r="L1644" s="8">
        <f>IFERROR(__xludf.DUMMYFUNCTION("""COMPUTED_VALUE"""),45866.0)</f>
        <v>45866</v>
      </c>
      <c r="M1644" s="7" t="str">
        <f>IFERROR(__xludf.DUMMYFUNCTION("""COMPUTED_VALUE"""),"11:00-12:30")</f>
        <v>11:00-12:30</v>
      </c>
      <c r="N1644" s="7"/>
    </row>
    <row r="1645">
      <c r="A1645" s="7" t="str">
        <f>IFERROR(__xludf.DUMMYFUNCTION("""COMPUTED_VALUE"""),"102-MAIN")</f>
        <v>102-MAIN</v>
      </c>
      <c r="B1645" s="7" t="str">
        <f>IFERROR(__xludf.DUMMYFUNCTION("""COMPUTED_VALUE"""),"Automatic detection of dyslexia based on eye movements during reading in Russian")</f>
        <v>Automatic detection of dyslexia based on eye movements during reading in Russian</v>
      </c>
      <c r="C1645" s="7" t="str">
        <f>IFERROR(__xludf.DUMMYFUNCTION("""COMPUTED_VALUE"""),"Dyslexia, a common learning disability, requires an early diagnosis. However, current screening tests are very time- and resource-consuming. We present an LSTM that aims to automatically classify dyslexia based on eye movements recorded during natural rea"&amp;"ding
combined with basic demographic information and linguistic features. The proposed model reaches an AUC of 0.93 and outperforms the
state-of-the-art model by 7 %. We report several ablation studies demonstrating that the fixation features matter the m"&amp;"ost for classification.")</f>
        <v>Dyslexia, a common learning disability, requires an early diagnosis. However, current screening tests are very time- and resource-consuming. We present an LSTM that aims to automatically classify dyslexia based on eye movements recorded during natural reading
combined with basic demographic information and linguistic features. The proposed model reaches an AUC of 0.93 and outperforms the
state-of-the-art model by 7 %. We report several ablation studies demonstrating that the fixation features matter the most for classification.</v>
      </c>
      <c r="D1645" s="7" t="str">
        <f>IFERROR(__xludf.DUMMYFUNCTION("""COMPUTED_VALUE"""),"David R. Reich")</f>
        <v>David R. Reich</v>
      </c>
      <c r="E1645" s="7" t="str">
        <f>IFERROR(__xludf.DUMMYFUNCTION("""COMPUTED_VALUE"""),"Yes")</f>
        <v>Yes</v>
      </c>
      <c r="F1645" s="7" t="str">
        <f>IFERROR(__xludf.DUMMYFUNCTION("""COMPUTED_VALUE"""),"IP-Poster")</f>
        <v>IP-Poster</v>
      </c>
      <c r="G1645" s="7" t="str">
        <f>IFERROR(__xludf.DUMMYFUNCTION("""COMPUTED_VALUE"""),"In-Person")</f>
        <v>In-Person</v>
      </c>
      <c r="H1645" s="7" t="str">
        <f>IFERROR(__xludf.DUMMYFUNCTION("""COMPUTED_VALUE"""),"Hall 4/5")</f>
        <v>Hall 4/5</v>
      </c>
      <c r="I1645" s="7" t="str">
        <f>IFERROR(__xludf.DUMMYFUNCTION("""COMPUTED_VALUE"""),"Session 12: IP-Posters")</f>
        <v>Session 12: IP-Posters</v>
      </c>
      <c r="J1645" s="7" t="str">
        <f>IFERROR(__xludf.DUMMYFUNCTION("""COMPUTED_VALUE"""),"Poster Session 4")</f>
        <v>Poster Session 4</v>
      </c>
      <c r="K1645" s="7"/>
      <c r="L1645" s="8">
        <f>IFERROR(__xludf.DUMMYFUNCTION("""COMPUTED_VALUE"""),45868.0)</f>
        <v>45868</v>
      </c>
      <c r="M1645" s="7" t="str">
        <f>IFERROR(__xludf.DUMMYFUNCTION("""COMPUTED_VALUE"""),"11:00-12:30")</f>
        <v>11:00-12:30</v>
      </c>
      <c r="N1645" s="7"/>
    </row>
    <row r="1646">
      <c r="A1646" s="7" t="str">
        <f>IFERROR(__xludf.DUMMYFUNCTION("""COMPUTED_VALUE"""),"104-MAIN")</f>
        <v>104-MAIN</v>
      </c>
      <c r="B1646" s="7" t="str">
        <f>IFERROR(__xludf.DUMMYFUNCTION("""COMPUTED_VALUE"""),"LongDocURL: a Comprehensive Multimodal Long Document Benchmark Integrating Understanding, Reasoning, and Locating")</f>
        <v>LongDocURL: a Comprehensive Multimodal Long Document Benchmark Integrating Understanding, Reasoning, and Locating</v>
      </c>
      <c r="C1646" s="7" t="str">
        <f>IFERROR(__xludf.DUMMYFUNCTION("""COMPUTED_VALUE"""),"Large vision language models (LVLMs) have improved the document understanding capabilities remarkably, enabling the handling of complex document elements, longer contexts, and a wider range of tasks. However, existing document understanding benchmarks hav"&amp;"e been limited to handling only a small number of pages and fail to provide a comprehensive analysis of layout elements locating. In this paper, we first define three primary task categories: Long Document Understanding, numerical Reasoning, and cross-ele"&amp;"ment Locating, and then propose a comprehensive benchmark---LongDocURL---integrating above three primary tasks and comprising 20 sub-tasks categorized based on different primary tasks and answer evidences. Furthermore, we develop a semi-automated construc"&amp;"tion pipeline and collect 2,325 high-quality question-answering pairs, covering more than 33,000 pages of documents, significantly outperforming existing benchmarks. Subsequently, we conduct comprehensive evaluation experiments on both open-source and clo"&amp;"sed- source models across 26 different configurations, revealing critical performance gaps in this field. The code and data: https://github.com/dengc2023/LongDocURL.")</f>
        <v>Large vision language models (LVLMs) have improved the document understanding capabilities remarkably, enabling the handling of complex document elements, longer contexts, and a wider range of tasks. However, existing document understanding benchmarks have been limited to handling only a small number of pages and fail to provide a comprehensive analysis of layout elements locating. In this paper, we first define three primary task categories: Long Document Understanding, numerical Reasoning, and cross-element Locating, and then propose a comprehensive benchmark---LongDocURL---integrating above three primary tasks and comprising 20 sub-tasks categorized based on different primary tasks and answer evidences. Furthermore, we develop a semi-automated construction pipeline and collect 2,325 high-quality question-answering pairs, covering more than 33,000 pages of documents, significantly outperforming existing benchmarks. Subsequently, we conduct comprehensive evaluation experiments on both open-source and closed- source models across 26 different configurations, revealing critical performance gaps in this field. The code and data: https://github.com/dengc2023/LongDocURL.</v>
      </c>
      <c r="D1646" s="7" t="str">
        <f>IFERROR(__xludf.DUMMYFUNCTION("""COMPUTED_VALUE"""),"Chao Deng")</f>
        <v>Chao Deng</v>
      </c>
      <c r="E1646" s="7" t="str">
        <f>IFERROR(__xludf.DUMMYFUNCTION("""COMPUTED_VALUE"""),"Yes")</f>
        <v>Yes</v>
      </c>
      <c r="F1646" s="7" t="str">
        <f>IFERROR(__xludf.DUMMYFUNCTION("""COMPUTED_VALUE"""),"IP-Poster")</f>
        <v>IP-Poster</v>
      </c>
      <c r="G1646" s="7" t="str">
        <f>IFERROR(__xludf.DUMMYFUNCTION("""COMPUTED_VALUE"""),"In-Person")</f>
        <v>In-Person</v>
      </c>
      <c r="H1646" s="7" t="str">
        <f>IFERROR(__xludf.DUMMYFUNCTION("""COMPUTED_VALUE"""),"Hall 4/5")</f>
        <v>Hall 4/5</v>
      </c>
      <c r="I1646" s="7" t="str">
        <f>IFERROR(__xludf.DUMMYFUNCTION("""COMPUTED_VALUE"""),"Session 7: IP-Posters")</f>
        <v>Session 7: IP-Posters</v>
      </c>
      <c r="J1646" s="7" t="str">
        <f>IFERROR(__xludf.DUMMYFUNCTION("""COMPUTED_VALUE"""),"Poster Session 2")</f>
        <v>Poster Session 2</v>
      </c>
      <c r="K1646" s="7"/>
      <c r="L1646" s="8">
        <f>IFERROR(__xludf.DUMMYFUNCTION("""COMPUTED_VALUE"""),45867.0)</f>
        <v>45867</v>
      </c>
      <c r="M1646" s="7" t="str">
        <f>IFERROR(__xludf.DUMMYFUNCTION("""COMPUTED_VALUE"""),"10:30-12:00")</f>
        <v>10:30-12:00</v>
      </c>
      <c r="N1646" s="7"/>
    </row>
    <row r="1647">
      <c r="A1647" s="7" t="str">
        <f>IFERROR(__xludf.DUMMYFUNCTION("""COMPUTED_VALUE"""),"106-MAIN")</f>
        <v>106-MAIN</v>
      </c>
      <c r="B1647" s="7" t="str">
        <f>IFERROR(__xludf.DUMMYFUNCTION("""COMPUTED_VALUE"""),"ObfusLM: Privacy-preserving Language Model Service against Embedding Inversion Attacks")</f>
        <v>ObfusLM: Privacy-preserving Language Model Service against Embedding Inversion Attacks</v>
      </c>
      <c r="C1647" s="7" t="str">
        <f>IFERROR(__xludf.DUMMYFUNCTION("""COMPUTED_VALUE"""),"As the rapid expansion of Machine Learning as a Service (MLaaS) for language models, concerns over the privacy of client inputs during inference or fine-tuning have correspondingly escalated. Recently, solutions have been proposed to safeguard client priv"&amp;"acy by obfuscation techniques. However, the solutions incur notable decline in model utility and mainly focus on classification tasks, rendering them impractical for real-world applications. Moreover, recent studies reveal that these obfuscation, if not w"&amp;"ell designed, is susceptible to embedding inversion attacks (EIAs). In this paper, we devise ObfusLM, a privacy-preserving MLaaS framework for both classification and generation tasks. ObfusLM leverages a model obfuscation module to achieve privacy protec"&amp;"tion for both classification and generation tasks. Based on $(k, \epsilon)$-anonymity, ObfusLM includes novel obfuscation algorithms to reach provable security against EIAs. Extensive experiments show that ObfusLM outperforms existing works in utility by "&amp;"10\% with a nearly 80\% resistance rate against EIAs.")</f>
        <v>As the rapid expansion of Machine Learning as a Service (MLaaS) for language models, concerns over the privacy of client inputs during inference or fine-tuning have correspondingly escalated. Recently, solutions have been proposed to safeguard client privacy by obfuscation techniques. However, the solutions incur notable decline in model utility and mainly focus on classification tasks, rendering them impractical for real-world applications. Moreover, recent studies reveal that these obfuscation, if not well designed, is susceptible to embedding inversion attacks (EIAs). In this paper, we devise ObfusLM, a privacy-preserving MLaaS framework for both classification and generation tasks. ObfusLM leverages a model obfuscation module to achieve privacy protection for both classification and generation tasks. Based on $(k, \epsilon)$-anonymity, ObfusLM includes novel obfuscation algorithms to reach provable security against EIAs. Extensive experiments show that ObfusLM outperforms existing works in utility by 10\% with a nearly 80\% resistance rate against EIAs.</v>
      </c>
      <c r="D1647" s="7" t="str">
        <f>IFERROR(__xludf.DUMMYFUNCTION("""COMPUTED_VALUE"""),"Yu Lin")</f>
        <v>Yu Lin</v>
      </c>
      <c r="E1647" s="7" t="str">
        <f>IFERROR(__xludf.DUMMYFUNCTION("""COMPUTED_VALUE"""),"Yes")</f>
        <v>Yes</v>
      </c>
      <c r="F1647" s="7" t="str">
        <f>IFERROR(__xludf.DUMMYFUNCTION("""COMPUTED_VALUE"""),"IP-Poster")</f>
        <v>IP-Poster</v>
      </c>
      <c r="G1647" s="7" t="str">
        <f>IFERROR(__xludf.DUMMYFUNCTION("""COMPUTED_VALUE"""),"In-Person")</f>
        <v>In-Person</v>
      </c>
      <c r="H1647" s="7" t="str">
        <f>IFERROR(__xludf.DUMMYFUNCTION("""COMPUTED_VALUE"""),"Hall 4/5")</f>
        <v>Hall 4/5</v>
      </c>
      <c r="I1647" s="7" t="str">
        <f>IFERROR(__xludf.DUMMYFUNCTION("""COMPUTED_VALUE"""),"Session 7: IP-Posters")</f>
        <v>Session 7: IP-Posters</v>
      </c>
      <c r="J1647" s="7" t="str">
        <f>IFERROR(__xludf.DUMMYFUNCTION("""COMPUTED_VALUE"""),"Poster Session 2")</f>
        <v>Poster Session 2</v>
      </c>
      <c r="K1647" s="7"/>
      <c r="L1647" s="8">
        <f>IFERROR(__xludf.DUMMYFUNCTION("""COMPUTED_VALUE"""),45867.0)</f>
        <v>45867</v>
      </c>
      <c r="M1647" s="7" t="str">
        <f>IFERROR(__xludf.DUMMYFUNCTION("""COMPUTED_VALUE"""),"10:30-12:00")</f>
        <v>10:30-12:00</v>
      </c>
      <c r="N1647" s="7"/>
    </row>
    <row r="1648">
      <c r="A1648" s="7" t="str">
        <f>IFERROR(__xludf.DUMMYFUNCTION("""COMPUTED_VALUE"""),"108-MAIN")</f>
        <v>108-MAIN</v>
      </c>
      <c r="B1648" s="7" t="str">
        <f>IFERROR(__xludf.DUMMYFUNCTION("""COMPUTED_VALUE"""),"Interlocking-free Selective Rationalization Through Genetic-based Learning")</f>
        <v>Interlocking-free Selective Rationalization Through Genetic-based Learning</v>
      </c>
      <c r="C1648" s="7" t="str">
        <f>IFERROR(__xludf.DUMMYFUNCTION("""COMPUTED_VALUE"""),"A popular end-to-end architecture for selective rationalization is the select-then-predict pipeline, comprising a generator to extract highlights fed to a predictor. Such a cooperative system suffers from suboptimal equilibrium minima due to the dominance"&amp;" of one of the two modules, a phenomenon known as interlocking. While several contributions aimed at addressing interlocking, they only mitigate its effect, often by introducing feature-based heuristics, sampling, and ad-hoc regularizations. We present Ge"&amp;"nSPP, the first interlocking-free architecture for selective rationalization that does not require any learning overhead, as the above-mentioned. GenSPP avoids interlocking by performing disjoint training of the generator and predictor via genetic global "&amp;"search. Experiments on a synthetic and a real-world benchmark show that our model outperforms several state-of-the-art competitors.")</f>
        <v>A popular end-to-end architecture for selective rationalization is the select-then-predict pipeline, comprising a generator to extract highlights fed to a predictor. Such a cooperative system suffers from suboptimal equilibrium minima due to the dominance of one of the two modules, a phenomenon known as interlocking. While several contributions aimed at addressing interlocking, they only mitigate its effect, often by introducing feature-based heuristics, sampling, and ad-hoc regularizations. We present GenSPP, the first interlocking-free architecture for selective rationalization that does not require any learning overhead, as the above-mentioned. GenSPP avoids interlocking by performing disjoint training of the generator and predictor via genetic global search. Experiments on a synthetic and a real-world benchmark show that our model outperforms several state-of-the-art competitors.</v>
      </c>
      <c r="D1648" s="7" t="str">
        <f>IFERROR(__xludf.DUMMYFUNCTION("""COMPUTED_VALUE"""),"Federico Ruggeri")</f>
        <v>Federico Ruggeri</v>
      </c>
      <c r="E1648" s="7" t="str">
        <f>IFERROR(__xludf.DUMMYFUNCTION("""COMPUTED_VALUE"""),"Yes")</f>
        <v>Yes</v>
      </c>
      <c r="F1648" s="7" t="str">
        <f>IFERROR(__xludf.DUMMYFUNCTION("""COMPUTED_VALUE"""),"IP-Poster")</f>
        <v>IP-Poster</v>
      </c>
      <c r="G1648" s="7" t="str">
        <f>IFERROR(__xludf.DUMMYFUNCTION("""COMPUTED_VALUE"""),"In-Person")</f>
        <v>In-Person</v>
      </c>
      <c r="H1648" s="7" t="str">
        <f>IFERROR(__xludf.DUMMYFUNCTION("""COMPUTED_VALUE"""),"Hall 4/5")</f>
        <v>Hall 4/5</v>
      </c>
      <c r="I1648" s="7" t="str">
        <f>IFERROR(__xludf.DUMMYFUNCTION("""COMPUTED_VALUE"""),"Session 7: IP-Posters")</f>
        <v>Session 7: IP-Posters</v>
      </c>
      <c r="J1648" s="7" t="str">
        <f>IFERROR(__xludf.DUMMYFUNCTION("""COMPUTED_VALUE"""),"Poster Session 2")</f>
        <v>Poster Session 2</v>
      </c>
      <c r="K1648" s="7"/>
      <c r="L1648" s="8">
        <f>IFERROR(__xludf.DUMMYFUNCTION("""COMPUTED_VALUE"""),45867.0)</f>
        <v>45867</v>
      </c>
      <c r="M1648" s="7" t="str">
        <f>IFERROR(__xludf.DUMMYFUNCTION("""COMPUTED_VALUE"""),"10:30-12:00")</f>
        <v>10:30-12:00</v>
      </c>
      <c r="N1648" s="7"/>
    </row>
    <row r="1649">
      <c r="A1649" s="7" t="str">
        <f>IFERROR(__xludf.DUMMYFUNCTION("""COMPUTED_VALUE"""),"110-MAIN")</f>
        <v>110-MAIN</v>
      </c>
      <c r="B1649" s="7" t="str">
        <f>IFERROR(__xludf.DUMMYFUNCTION("""COMPUTED_VALUE"""),"Re-identification of De-identified Documents with Autoregressive Infilling")</f>
        <v>Re-identification of De-identified Documents with Autoregressive Infilling</v>
      </c>
      <c r="C1649" s="7" t="str">
        <f>IFERROR(__xludf.DUMMYFUNCTION("""COMPUTED_VALUE"""),"Documents revealing sensitive information about individuals must typically be de-identified. This de-identification is often done by masking all mentions of personally identifiable information (PII), thereby making it more difficult to uncover the identit"&amp;"y of the person(s) in question. To investigate the robustness of de-identification methods, we present a novel, RAG-inspired approach that attempts the reverse process of re-identification based on a database of documents representing background knowledge"&amp;". Given a text in which personal identifiers have been masked, the re-identification proceeds in two steps. A retriever first selects from the background knowledge passages deemed relevant for the re-identification. Those passages are then provided to an "&amp;"infilling model which seeks to infer the original content of each text span. This process is repeated until all masked spans are replaced. We evaluate the re-identification on three datasets (Wikipedia biographies, court rulings and clinical notes). Resul"&amp;"ts show that (1) as many as 80% of de-identified text spans can be successfully recovered and (2) the re-identification accuracy increases along with the level of background knowledge.")</f>
        <v>Documents revealing sensitive information about individuals must typically be de-identified. This de-identification is often done by masking all mentions of personally identifiable information (PII), thereby making it more difficult to uncover the identity of the person(s) in question. To investigate the robustness of de-identification methods, we present a novel, RAG-inspired approach that attempts the reverse process of re-identification based on a database of documents representing background knowledge. Given a text in which personal identifiers have been masked, the re-identification proceeds in two steps. A retriever first selects from the background knowledge passages deemed relevant for the re-identification. Those passages are then provided to an infilling model which seeks to infer the original content of each text span. This process is repeated until all masked spans are replaced. We evaluate the re-identification on three datasets (Wikipedia biographies, court rulings and clinical notes). Results show that (1) as many as 80% of de-identified text spans can be successfully recovered and (2) the re-identification accuracy increases along with the level of background knowledge.</v>
      </c>
      <c r="D1649" s="7" t="str">
        <f>IFERROR(__xludf.DUMMYFUNCTION("""COMPUTED_VALUE"""),"Lucas Georges Gabriel Charpentier")</f>
        <v>Lucas Georges Gabriel Charpentier</v>
      </c>
      <c r="E1649" s="7" t="str">
        <f>IFERROR(__xludf.DUMMYFUNCTION("""COMPUTED_VALUE"""),"Yes")</f>
        <v>Yes</v>
      </c>
      <c r="F1649" s="7" t="str">
        <f>IFERROR(__xludf.DUMMYFUNCTION("""COMPUTED_VALUE"""),"IP-Poster")</f>
        <v>IP-Poster</v>
      </c>
      <c r="G1649" s="7" t="str">
        <f>IFERROR(__xludf.DUMMYFUNCTION("""COMPUTED_VALUE"""),"In-Person")</f>
        <v>In-Person</v>
      </c>
      <c r="H1649" s="7" t="str">
        <f>IFERROR(__xludf.DUMMYFUNCTION("""COMPUTED_VALUE"""),"Hall 4/5")</f>
        <v>Hall 4/5</v>
      </c>
      <c r="I1649" s="7" t="str">
        <f>IFERROR(__xludf.DUMMYFUNCTION("""COMPUTED_VALUE"""),"Session 2: IP-Posters ")</f>
        <v>Session 2: IP-Posters </v>
      </c>
      <c r="J1649" s="7" t="str">
        <f>IFERROR(__xludf.DUMMYFUNCTION("""COMPUTED_VALUE"""),"Poster Session 1")</f>
        <v>Poster Session 1</v>
      </c>
      <c r="K1649" s="7"/>
      <c r="L1649" s="8">
        <f>IFERROR(__xludf.DUMMYFUNCTION("""COMPUTED_VALUE"""),45866.0)</f>
        <v>45866</v>
      </c>
      <c r="M1649" s="7" t="str">
        <f>IFERROR(__xludf.DUMMYFUNCTION("""COMPUTED_VALUE"""),"11:00-12:30")</f>
        <v>11:00-12:30</v>
      </c>
      <c r="N1649" s="7"/>
    </row>
    <row r="1650">
      <c r="A1650" s="7" t="str">
        <f>IFERROR(__xludf.DUMMYFUNCTION("""COMPUTED_VALUE"""),"114-MAIN")</f>
        <v>114-MAIN</v>
      </c>
      <c r="B1650" s="7" t="str">
        <f>IFERROR(__xludf.DUMMYFUNCTION("""COMPUTED_VALUE"""),"Modeling Uncertainty in Composed Image Retrieval via Probabilistic Embedding")</f>
        <v>Modeling Uncertainty in Composed Image Retrieval via Probabilistic Embedding</v>
      </c>
      <c r="C1650" s="7" t="str">
        <f>IFERROR(__xludf.DUMMYFUNCTION("""COMPUTED_VALUE"""),"Composed Image Retrieval (CIR) enables users to search for images using multimodal queries that combine text and reference images. While metric learning methods have shown promise, they rely on deterministic point embeddings that fail to capture the inher"&amp;"ent uncertainty in the input data, in which user intentions may be imprecisely specified or open to multiple interpretations. We address this challenge by reformulating CIR through our proposed Composed Probabilistic Embedding (CoPE) framework, which repr"&amp;"esents both queries and targets as Gaussian distributions in latent space rather than fixed points. Through careful design of probabilistic distance metrics and hierarchical learning objectives, CoPE explicitly captures uncertainty at both instance and fe"&amp;"ature levels, enabling more flexible, nuanced, and robust matching that can handle polysemy and ambiguity in search intentions. Extensive experiments across multiple benchmarks demonstrate that CoPE effectively quantifies both quality and semantic uncerta"&amp;"inties within Composed Image Retrieval, achieving state-of-the-art performance on recall rate. Code: https://github.com/tanghme0w/ACL25-CoPE.")</f>
        <v>Composed Image Retrieval (CIR) enables users to search for images using multimodal queries that combine text and reference images. While metric learning methods have shown promise, they rely on deterministic point embeddings that fail to capture the inherent uncertainty in the input data, in which user intentions may be imprecisely specified or open to multiple interpretations. We address this challenge by reformulating CIR through our proposed Composed Probabilistic Embedding (CoPE) framework, which represents both queries and targets as Gaussian distributions in latent space rather than fixed points. Through careful design of probabilistic distance metrics and hierarchical learning objectives, CoPE explicitly captures uncertainty at both instance and feature levels, enabling more flexible, nuanced, and robust matching that can handle polysemy and ambiguity in search intentions. Extensive experiments across multiple benchmarks demonstrate that CoPE effectively quantifies both quality and semantic uncertainties within Composed Image Retrieval, achieving state-of-the-art performance on recall rate. Code: https://github.com/tanghme0w/ACL25-CoPE.</v>
      </c>
      <c r="D1650" s="7" t="str">
        <f>IFERROR(__xludf.DUMMYFUNCTION("""COMPUTED_VALUE"""),"Haomiao Tang")</f>
        <v>Haomiao Tang</v>
      </c>
      <c r="E1650" s="7" t="str">
        <f>IFERROR(__xludf.DUMMYFUNCTION("""COMPUTED_VALUE"""),"Yes")</f>
        <v>Yes</v>
      </c>
      <c r="F1650" s="7" t="str">
        <f>IFERROR(__xludf.DUMMYFUNCTION("""COMPUTED_VALUE"""),"IP-Oral")</f>
        <v>IP-Oral</v>
      </c>
      <c r="G1650" s="7" t="str">
        <f>IFERROR(__xludf.DUMMYFUNCTION("""COMPUTED_VALUE"""),"In-Person")</f>
        <v>In-Person</v>
      </c>
      <c r="H1650" s="7" t="str">
        <f>IFERROR(__xludf.DUMMYFUNCTION("""COMPUTED_VALUE"""),"Hall M.2")</f>
        <v>Hall M.2</v>
      </c>
      <c r="I1650" s="7" t="str">
        <f>IFERROR(__xludf.DUMMYFUNCTION("""COMPUTED_VALUE"""),"Session 11: IP-Orals ")</f>
        <v>Session 11: IP-Orals </v>
      </c>
      <c r="J1650" s="7" t="str">
        <f>IFERROR(__xludf.DUMMYFUNCTION("""COMPUTED_VALUE"""),"Multimodality and Language Grounding 2")</f>
        <v>Multimodality and Language Grounding 2</v>
      </c>
      <c r="K1650" s="7"/>
      <c r="L1650" s="8">
        <f>IFERROR(__xludf.DUMMYFUNCTION("""COMPUTED_VALUE"""),45868.0)</f>
        <v>45868</v>
      </c>
      <c r="M1650" s="7" t="str">
        <f>IFERROR(__xludf.DUMMYFUNCTION("""COMPUTED_VALUE"""),"09:00-10:30")</f>
        <v>09:00-10:30</v>
      </c>
      <c r="N1650" s="7">
        <f>IFERROR(__xludf.DUMMYFUNCTION("""COMPUTED_VALUE"""),1.0)</f>
        <v>1</v>
      </c>
    </row>
    <row r="1651">
      <c r="A1651" s="7" t="str">
        <f>IFERROR(__xludf.DUMMYFUNCTION("""COMPUTED_VALUE"""),"115-MAIN")</f>
        <v>115-MAIN</v>
      </c>
      <c r="B1651" s="7" t="str">
        <f>IFERROR(__xludf.DUMMYFUNCTION("""COMPUTED_VALUE"""),"Untie the Knots: An Efficient Data Augmentation Strategy for Long-Context Pre-Training in Language Models")</f>
        <v>Untie the Knots: An Efficient Data Augmentation Strategy for Long-Context Pre-Training in Language Models</v>
      </c>
      <c r="C1651" s="7" t="str">
        <f>IFERROR(__xludf.DUMMYFUNCTION("""COMPUTED_VALUE"""),"Large language models (LLM) have prioritized expanding the context window from which models can incorporate more information. However, training models to handle long contexts presents significant challenges. These include the scarcity of high-quality natu"&amp;"ral long-context data, the potential for performance degradation on short-context tasks, and the reduced training efficiency associated with attention mechanisms. In this paper, we introduce Untie the Knots (UtK), a novel data augmentation strategy employ"&amp;"ed during the continue pre-training phase, designed to efficiently enable LLMs to gain long-context capabilities without the need to modify the existing data mixture. In particular, we chunk the documents, shuffle the chunks, and create a complex and knot"&amp;"ted structure of long texts; LLMs are then trained to untie these knots and identify relevant segments within seemingly chaotic token sequences. This approach greatly improves the model's performance by accurately attending to relevant information in long"&amp;" context and the training efficiency is also largely increased. We conduct extensive experiments on models with 7B and 72B parameters, trained on 20 billion tokens, demonstrating that UtK achieves 75% and 84.5% accurracy on RULER at 128K context length, s"&amp;"ignificantly outperforming other long context strategies. The trained models will open-source for further research.")</f>
        <v>Large language models (LLM) have prioritized expanding the context window from which models can incorporate more information. However, training models to handle long contexts presents significant challenges. These include the scarcity of high-quality natural long-context data, the potential for performance degradation on short-context tasks, and the reduced training efficiency associated with attention mechanisms. In this paper, we introduce Untie the Knots (UtK), a novel data augmentation strategy employed during the continue pre-training phase, designed to efficiently enable LLMs to gain long-context capabilities without the need to modify the existing data mixture. In particular, we chunk the documents, shuffle the chunks, and create a complex and knotted structure of long texts; LLMs are then trained to untie these knots and identify relevant segments within seemingly chaotic token sequences. This approach greatly improves the model's performance by accurately attending to relevant information in long context and the training efficiency is also largely increased. We conduct extensive experiments on models with 7B and 72B parameters, trained on 20 billion tokens, demonstrating that UtK achieves 75% and 84.5% accurracy on RULER at 128K context length, significantly outperforming other long context strategies. The trained models will open-source for further research.</v>
      </c>
      <c r="D1651" s="7" t="str">
        <f>IFERROR(__xludf.DUMMYFUNCTION("""COMPUTED_VALUE"""),"Junfeng Tian")</f>
        <v>Junfeng Tian</v>
      </c>
      <c r="E1651" s="7" t="str">
        <f>IFERROR(__xludf.DUMMYFUNCTION("""COMPUTED_VALUE"""),"Yes")</f>
        <v>Yes</v>
      </c>
      <c r="F1651" s="7" t="str">
        <f>IFERROR(__xludf.DUMMYFUNCTION("""COMPUTED_VALUE"""),"IP-Poster")</f>
        <v>IP-Poster</v>
      </c>
      <c r="G1651" s="7" t="str">
        <f>IFERROR(__xludf.DUMMYFUNCTION("""COMPUTED_VALUE"""),"In-Person")</f>
        <v>In-Person</v>
      </c>
      <c r="H1651" s="7" t="str">
        <f>IFERROR(__xludf.DUMMYFUNCTION("""COMPUTED_VALUE"""),"Hall 4/5")</f>
        <v>Hall 4/5</v>
      </c>
      <c r="I1651" s="7" t="str">
        <f>IFERROR(__xludf.DUMMYFUNCTION("""COMPUTED_VALUE"""),"Session 12: IP-Posters")</f>
        <v>Session 12: IP-Posters</v>
      </c>
      <c r="J1651" s="7" t="str">
        <f>IFERROR(__xludf.DUMMYFUNCTION("""COMPUTED_VALUE"""),"Poster Session 4")</f>
        <v>Poster Session 4</v>
      </c>
      <c r="K1651" s="7"/>
      <c r="L1651" s="8">
        <f>IFERROR(__xludf.DUMMYFUNCTION("""COMPUTED_VALUE"""),45868.0)</f>
        <v>45868</v>
      </c>
      <c r="M1651" s="7" t="str">
        <f>IFERROR(__xludf.DUMMYFUNCTION("""COMPUTED_VALUE"""),"11:00-12:30")</f>
        <v>11:00-12:30</v>
      </c>
      <c r="N1651" s="7"/>
    </row>
    <row r="1652">
      <c r="A1652" s="7" t="str">
        <f>IFERROR(__xludf.DUMMYFUNCTION("""COMPUTED_VALUE"""),"116-MAIN")</f>
        <v>116-MAIN</v>
      </c>
      <c r="B1652" s="7" t="str">
        <f>IFERROR(__xludf.DUMMYFUNCTION("""COMPUTED_VALUE"""),"Doc-React: Multi-page Heterogeneous Document Question-answering")</f>
        <v>Doc-React: Multi-page Heterogeneous Document Question-answering</v>
      </c>
      <c r="C1652" s="7" t="str">
        <f>IFERROR(__xludf.DUMMYFUNCTION("""COMPUTED_VALUE"""),"Answering questions over multi-page, multimodal documents, including text and figures, is a critical challenge for applications that require answers to integrate information across multiple modalities and contextual dependencies. Existing methods, such as"&amp;" single-turn retrieval-augmented generation (RAG), struggle to retrieve fine-grained and contextually relevant information from large, heterogeneous documents, leading to suboptimal performance. Inspired by iterative frameworks like ReAct, which refine re"&amp;"trieval through feedback, we propose Doc-React, an adaptive iterative framework that balances information gain and uncertainty reduction at each step. Doc-React leverages InfoNCE-guided retrieval to approximate mutual information, enabling dynamic sub-que"&amp;"ry generation and refinement. A large language model (LLM) serves as both a judge and generator, providing structured feedback to iteratively improve retrieval. By combining mutual information optimization with entropy-aware selection, Doc-React systemati"&amp;"cally captures relevant multimodal content, achieving strong performance on complex QA tasks")</f>
        <v>Answering questions over multi-page, multimodal documents, including text and figures, is a critical challenge for applications that require answers to integrate information across multiple modalities and contextual dependencies. Existing methods, such as single-turn retrieval-augmented generation (RAG), struggle to retrieve fine-grained and contextually relevant information from large, heterogeneous documents, leading to suboptimal performance. Inspired by iterative frameworks like ReAct, which refine retrieval through feedback, we propose Doc-React, an adaptive iterative framework that balances information gain and uncertainty reduction at each step. Doc-React leverages InfoNCE-guided retrieval to approximate mutual information, enabling dynamic sub-query generation and refinement. A large language model (LLM) serves as both a judge and generator, providing structured feedback to iteratively improve retrieval. By combining mutual information optimization with entropy-aware selection, Doc-React systematically captures relevant multimodal content, achieving strong performance on complex QA tasks</v>
      </c>
      <c r="D1652" s="7" t="str">
        <f>IFERROR(__xludf.DUMMYFUNCTION("""COMPUTED_VALUE"""),"Junda Wu")</f>
        <v>Junda Wu</v>
      </c>
      <c r="E1652" s="7" t="str">
        <f>IFERROR(__xludf.DUMMYFUNCTION("""COMPUTED_VALUE"""),"Yes")</f>
        <v>Yes</v>
      </c>
      <c r="F1652" s="7" t="str">
        <f>IFERROR(__xludf.DUMMYFUNCTION("""COMPUTED_VALUE"""),"IP-Poster")</f>
        <v>IP-Poster</v>
      </c>
      <c r="G1652" s="7" t="str">
        <f>IFERROR(__xludf.DUMMYFUNCTION("""COMPUTED_VALUE"""),"In-Person")</f>
        <v>In-Person</v>
      </c>
      <c r="H1652" s="7" t="str">
        <f>IFERROR(__xludf.DUMMYFUNCTION("""COMPUTED_VALUE"""),"Hall 4/5")</f>
        <v>Hall 4/5</v>
      </c>
      <c r="I1652" s="7" t="str">
        <f>IFERROR(__xludf.DUMMYFUNCTION("""COMPUTED_VALUE"""),"Session 7: IP-Posters")</f>
        <v>Session 7: IP-Posters</v>
      </c>
      <c r="J1652" s="7" t="str">
        <f>IFERROR(__xludf.DUMMYFUNCTION("""COMPUTED_VALUE"""),"Poster Session 2")</f>
        <v>Poster Session 2</v>
      </c>
      <c r="K1652" s="7"/>
      <c r="L1652" s="8">
        <f>IFERROR(__xludf.DUMMYFUNCTION("""COMPUTED_VALUE"""),45867.0)</f>
        <v>45867</v>
      </c>
      <c r="M1652" s="7" t="str">
        <f>IFERROR(__xludf.DUMMYFUNCTION("""COMPUTED_VALUE"""),"10:30-12:00")</f>
        <v>10:30-12:00</v>
      </c>
      <c r="N1652" s="7"/>
    </row>
    <row r="1653">
      <c r="A1653" s="7" t="str">
        <f>IFERROR(__xludf.DUMMYFUNCTION("""COMPUTED_VALUE"""),"118-MAIN")</f>
        <v>118-MAIN</v>
      </c>
      <c r="B1653" s="7" t="str">
        <f>IFERROR(__xludf.DUMMYFUNCTION("""COMPUTED_VALUE"""),"ConECT Dataset: Overcoming Data Scarcity in Context-Aware E-Commerce MT")</f>
        <v>ConECT Dataset: Overcoming Data Scarcity in Context-Aware E-Commerce MT</v>
      </c>
      <c r="C1653" s="7" t="str">
        <f>IFERROR(__xludf.DUMMYFUNCTION("""COMPUTED_VALUE"""),"Neural Machine Translation (NMT) has improved translation by using Transformer-based models, but it still struggles with word ambiguity and context. This problem is especially important in domain-specific applications, which often have problems with uncle"&amp;"ar sentences or poor data quality. Our research explores how adding information to models can improve translations in the context of e-commerce data. To this end we create ConECT-- a new Czech-to-Polish e-commerce product translation dataset coupled with "&amp;"images and product metadata consisting of 11,400 sentence pairs. We then investigate and compare different methods that are applicable to context-aware translation. We test a vision-language model (VLM), finding that visual context aids translation qualit"&amp;"y. Additionally, we explore the incorporation of contextual information into text-to-text models, such as the product's category path or image descriptions. The results of our study demonstrate that the incorporation of contextual information leads to an "&amp;"improvement in the quality of machine translation. We make the new dataset publicly available.")</f>
        <v>Neural Machine Translation (NMT) has improved translation by using Transformer-based models, but it still struggles with word ambiguity and context. This problem is especially important in domain-specific applications, which often have problems with unclear sentences or poor data quality. Our research explores how adding information to models can improve translations in the context of e-commerce data. To this end we create ConECT-- a new Czech-to-Polish e-commerce product translation dataset coupled with images and product metadata consisting of 11,400 sentence pairs. We then investigate and compare different methods that are applicable to context-aware translation. We test a vision-language model (VLM), finding that visual context aids translation quality. Additionally, we explore the incorporation of contextual information into text-to-text models, such as the product's category path or image descriptions. The results of our study demonstrate that the incorporation of contextual information leads to an improvement in the quality of machine translation. We make the new dataset publicly available.</v>
      </c>
      <c r="D1653" s="7" t="str">
        <f>IFERROR(__xludf.DUMMYFUNCTION("""COMPUTED_VALUE"""),"Mikołaj Pokrywka")</f>
        <v>Mikołaj Pokrywka</v>
      </c>
      <c r="E1653" s="7" t="str">
        <f>IFERROR(__xludf.DUMMYFUNCTION("""COMPUTED_VALUE"""),"Yes")</f>
        <v>Yes</v>
      </c>
      <c r="F1653" s="7" t="str">
        <f>IFERROR(__xludf.DUMMYFUNCTION("""COMPUTED_VALUE"""),"IP-Oral")</f>
        <v>IP-Oral</v>
      </c>
      <c r="G1653" s="7" t="str">
        <f>IFERROR(__xludf.DUMMYFUNCTION("""COMPUTED_VALUE"""),"In-Person")</f>
        <v>In-Person</v>
      </c>
      <c r="H1653" s="7" t="str">
        <f>IFERROR(__xludf.DUMMYFUNCTION("""COMPUTED_VALUE"""),"Room 1.85")</f>
        <v>Room 1.85</v>
      </c>
      <c r="I1653" s="7" t="str">
        <f>IFERROR(__xludf.DUMMYFUNCTION("""COMPUTED_VALUE"""),"Session 3: IP-Orals")</f>
        <v>Session 3: IP-Orals</v>
      </c>
      <c r="J1653" s="7" t="str">
        <f>IFERROR(__xludf.DUMMYFUNCTION("""COMPUTED_VALUE"""),"Machine Translation")</f>
        <v>Machine Translation</v>
      </c>
      <c r="K1653" s="7"/>
      <c r="L1653" s="8">
        <f>IFERROR(__xludf.DUMMYFUNCTION("""COMPUTED_VALUE"""),45866.0)</f>
        <v>45866</v>
      </c>
      <c r="M1653" s="7" t="str">
        <f>IFERROR(__xludf.DUMMYFUNCTION("""COMPUTED_VALUE"""),"14:00-15:30")</f>
        <v>14:00-15:30</v>
      </c>
      <c r="N1653" s="7">
        <f>IFERROR(__xludf.DUMMYFUNCTION("""COMPUTED_VALUE"""),1.0)</f>
        <v>1</v>
      </c>
    </row>
    <row r="1654">
      <c r="A1654" s="7" t="str">
        <f>IFERROR(__xludf.DUMMYFUNCTION("""COMPUTED_VALUE"""),"120-MAIN")</f>
        <v>120-MAIN</v>
      </c>
      <c r="B1654" s="7" t="str">
        <f>IFERROR(__xludf.DUMMYFUNCTION("""COMPUTED_VALUE"""),"APPL: A Prompt Programming Language for Harmonious Integration of Programs and Large Language Model Prompts")</f>
        <v>APPL: A Prompt Programming Language for Harmonious Integration of Programs and Large Language Model Prompts</v>
      </c>
      <c r="C1654" s="7" t="str">
        <f>IFERROR(__xludf.DUMMYFUNCTION("""COMPUTED_VALUE"""),"Large Language Models (LLMs) have become increasingly capable of handling diverse tasks with the aid of well-crafted prompts and integration of external tools, but as task complexity rises, the workflow involving LLMs can be complicated and thus challengi"&amp;"ng to implement and maintain. To address this challenge, we propose APPL, A Prompt Programming Language that acts as a bridge between computer programs and LLMs, allowing seamless embedding of prompts into Python functions, and vice versa. 
APPL provides "&amp;"an intuitive and Python-native syntax, an efficient parallelized runtime with asynchronous semantics, and a tracing module supporting effective failure diagnosis and replaying without extra costs. 
We demonstrate that APPL programs are intuitive, concise,"&amp;" and efficient through representative scenarios including Chain-of-Thought with self-consistency (CoT-SC) and ReAct tool-use agent. We further use LLMs to judge the language design between APPL and previous work, where the results indicate that codes writ"&amp;"ten in APPL are more readable and intuitive. Our code, tutorial and documentation are available at 
https://github.com/appl-team/appl.")</f>
        <v>Large Language Models (LLMs) have become increasingly capable of handling diverse tasks with the aid of well-crafted prompts and integration of external tools, but as task complexity rises, the workflow involving LLMs can be complicated and thus challenging to implement and maintain. To address this challenge, we propose APPL, A Prompt Programming Language that acts as a bridge between computer programs and LLMs, allowing seamless embedding of prompts into Python functions, and vice versa. 
APPL provides an intuitive and Python-native syntax, an efficient parallelized runtime with asynchronous semantics, and a tracing module supporting effective failure diagnosis and replaying without extra costs. 
We demonstrate that APPL programs are intuitive, concise, and efficient through representative scenarios including Chain-of-Thought with self-consistency (CoT-SC) and ReAct tool-use agent. We further use LLMs to judge the language design between APPL and previous work, where the results indicate that codes written in APPL are more readable and intuitive. Our code, tutorial and documentation are available at 
https://github.com/appl-team/appl.</v>
      </c>
      <c r="D1654" s="7" t="str">
        <f>IFERROR(__xludf.DUMMYFUNCTION("""COMPUTED_VALUE"""),"Honghua Dong")</f>
        <v>Honghua Dong</v>
      </c>
      <c r="E1654" s="7" t="str">
        <f>IFERROR(__xludf.DUMMYFUNCTION("""COMPUTED_VALUE"""),"Yes")</f>
        <v>Yes</v>
      </c>
      <c r="F1654" s="7" t="str">
        <f>IFERROR(__xludf.DUMMYFUNCTION("""COMPUTED_VALUE"""),"IP-Poster")</f>
        <v>IP-Poster</v>
      </c>
      <c r="G1654" s="7" t="str">
        <f>IFERROR(__xludf.DUMMYFUNCTION("""COMPUTED_VALUE"""),"In-Person")</f>
        <v>In-Person</v>
      </c>
      <c r="H1654" s="7" t="str">
        <f>IFERROR(__xludf.DUMMYFUNCTION("""COMPUTED_VALUE"""),"Hall 4/5")</f>
        <v>Hall 4/5</v>
      </c>
      <c r="I1654" s="7" t="str">
        <f>IFERROR(__xludf.DUMMYFUNCTION("""COMPUTED_VALUE"""),"Session 7: IP-Posters")</f>
        <v>Session 7: IP-Posters</v>
      </c>
      <c r="J1654" s="7" t="str">
        <f>IFERROR(__xludf.DUMMYFUNCTION("""COMPUTED_VALUE"""),"Poster Session 2")</f>
        <v>Poster Session 2</v>
      </c>
      <c r="K1654" s="7"/>
      <c r="L1654" s="8">
        <f>IFERROR(__xludf.DUMMYFUNCTION("""COMPUTED_VALUE"""),45867.0)</f>
        <v>45867</v>
      </c>
      <c r="M1654" s="7" t="str">
        <f>IFERROR(__xludf.DUMMYFUNCTION("""COMPUTED_VALUE"""),"10:30-12:00")</f>
        <v>10:30-12:00</v>
      </c>
      <c r="N1654" s="7"/>
    </row>
    <row r="1655">
      <c r="A1655" s="7" t="str">
        <f>IFERROR(__xludf.DUMMYFUNCTION("""COMPUTED_VALUE"""),"123-MAIN")</f>
        <v>123-MAIN</v>
      </c>
      <c r="B1655" s="7" t="str">
        <f>IFERROR(__xludf.DUMMYFUNCTION("""COMPUTED_VALUE"""),"A Measure of the System Dependence of Automated Metrics")</f>
        <v>A Measure of the System Dependence of Automated Metrics</v>
      </c>
      <c r="C1655" s="7" t="str">
        <f>IFERROR(__xludf.DUMMYFUNCTION("""COMPUTED_VALUE"""),"Automated metrics for Machine Translation have made significant progress, with the goal of replacing expensive and time-consuming human evaluations. These metrics are typically assessed by their correlation with human judgments, which captures the monoton"&amp;"ic relationship between human and metric scores. However, we argue that it is equally important to ensure that metrics treat all systems fairly and consistently. In this paper, we introduce a method to evaluate this aspect.")</f>
        <v>Automated metrics for Machine Translation have made significant progress, with the goal of replacing expensive and time-consuming human evaluations. These metrics are typically assessed by their correlation with human judgments, which captures the monotonic relationship between human and metric scores. However, we argue that it is equally important to ensure that metrics treat all systems fairly and consistently. In this paper, we introduce a method to evaluate this aspect.</v>
      </c>
      <c r="D1655" s="7" t="str">
        <f>IFERROR(__xludf.DUMMYFUNCTION("""COMPUTED_VALUE"""),"Pius von Däniken")</f>
        <v>Pius von Däniken</v>
      </c>
      <c r="E1655" s="7" t="str">
        <f>IFERROR(__xludf.DUMMYFUNCTION("""COMPUTED_VALUE"""),"Yes")</f>
        <v>Yes</v>
      </c>
      <c r="F1655" s="7" t="str">
        <f>IFERROR(__xludf.DUMMYFUNCTION("""COMPUTED_VALUE"""),"IP-Poster")</f>
        <v>IP-Poster</v>
      </c>
      <c r="G1655" s="7" t="str">
        <f>IFERROR(__xludf.DUMMYFUNCTION("""COMPUTED_VALUE"""),"In-Person")</f>
        <v>In-Person</v>
      </c>
      <c r="H1655" s="7" t="str">
        <f>IFERROR(__xludf.DUMMYFUNCTION("""COMPUTED_VALUE"""),"Hall 4/5")</f>
        <v>Hall 4/5</v>
      </c>
      <c r="I1655" s="7" t="str">
        <f>IFERROR(__xludf.DUMMYFUNCTION("""COMPUTED_VALUE"""),"Session 10: IP-Posters")</f>
        <v>Session 10: IP-Posters</v>
      </c>
      <c r="J1655" s="7" t="str">
        <f>IFERROR(__xludf.DUMMYFUNCTION("""COMPUTED_VALUE"""),"Poster Session 3")</f>
        <v>Poster Session 3</v>
      </c>
      <c r="K1655" s="7"/>
      <c r="L1655" s="8">
        <f>IFERROR(__xludf.DUMMYFUNCTION("""COMPUTED_VALUE"""),45867.0)</f>
        <v>45867</v>
      </c>
      <c r="M1655" s="7" t="str">
        <f>IFERROR(__xludf.DUMMYFUNCTION("""COMPUTED_VALUE"""),"16:00-17:30")</f>
        <v>16:00-17:30</v>
      </c>
      <c r="N1655" s="7"/>
    </row>
    <row r="1656">
      <c r="A1656" s="7" t="str">
        <f>IFERROR(__xludf.DUMMYFUNCTION("""COMPUTED_VALUE"""),"124-MAIN")</f>
        <v>124-MAIN</v>
      </c>
      <c r="B1656" s="7" t="str">
        <f>IFERROR(__xludf.DUMMYFUNCTION("""COMPUTED_VALUE"""),"Evaluating Lexical Proficiency in Neural Language Models")</f>
        <v>Evaluating Lexical Proficiency in Neural Language Models</v>
      </c>
      <c r="C1656" s="7" t="str">
        <f>IFERROR(__xludf.DUMMYFUNCTION("""COMPUTED_VALUE"""),"We present a novel evaluation framework designed to assess the lexical proficiency and linguistic creativity of Transformer-based Language Models (LMs). We validate the framework by analyzing the performance of a set of LMs of different sizes, in both mon"&amp;"o- and multilingual configuration, across tasks involving the generation, definition, and contextual usage of lexicalized words, neologisms, and nonce words. To support these evaluations, we developed a novel dataset of lexical entries for the Italian lan"&amp;"guage, including curated definitions and usage examples sourced from various online platforms. The results highlight the robustness and effectiveness of our framework in evaluating multiple dimensions of LMs' linguistic understanding and offer an insight,"&amp;" through the assessment of their linguistic creativity, on the lexical generalization abilities of LMs.")</f>
        <v>We present a novel evaluation framework designed to assess the lexical proficiency and linguistic creativity of Transformer-based Language Models (LMs). We validate the framework by analyzing the performance of a set of LMs of different sizes, in both mono- and multilingual configuration, across tasks involving the generation, definition, and contextual usage of lexicalized words, neologisms, and nonce words. To support these evaluations, we developed a novel dataset of lexical entries for the Italian language, including curated definitions and usage examples sourced from various online platforms. The results highlight the robustness and effectiveness of our framework in evaluating multiple dimensions of LMs' linguistic understanding and offer an insight, through the assessment of their linguistic creativity, on the lexical generalization abilities of LMs.</v>
      </c>
      <c r="D1656" s="7" t="str">
        <f>IFERROR(__xludf.DUMMYFUNCTION("""COMPUTED_VALUE"""),"Cristiano Ciaccio")</f>
        <v>Cristiano Ciaccio</v>
      </c>
      <c r="E1656" s="7" t="str">
        <f>IFERROR(__xludf.DUMMYFUNCTION("""COMPUTED_VALUE"""),"Yes")</f>
        <v>Yes</v>
      </c>
      <c r="F1656" s="7" t="str">
        <f>IFERROR(__xludf.DUMMYFUNCTION("""COMPUTED_VALUE"""),"IP-Poster")</f>
        <v>IP-Poster</v>
      </c>
      <c r="G1656" s="7" t="str">
        <f>IFERROR(__xludf.DUMMYFUNCTION("""COMPUTED_VALUE"""),"In-Person")</f>
        <v>In-Person</v>
      </c>
      <c r="H1656" s="7" t="str">
        <f>IFERROR(__xludf.DUMMYFUNCTION("""COMPUTED_VALUE"""),"Hall 4/5")</f>
        <v>Hall 4/5</v>
      </c>
      <c r="I1656" s="7" t="str">
        <f>IFERROR(__xludf.DUMMYFUNCTION("""COMPUTED_VALUE"""),"Session 12: IP-Posters")</f>
        <v>Session 12: IP-Posters</v>
      </c>
      <c r="J1656" s="7" t="str">
        <f>IFERROR(__xludf.DUMMYFUNCTION("""COMPUTED_VALUE"""),"Poster Session 4")</f>
        <v>Poster Session 4</v>
      </c>
      <c r="K1656" s="7"/>
      <c r="L1656" s="8">
        <f>IFERROR(__xludf.DUMMYFUNCTION("""COMPUTED_VALUE"""),45868.0)</f>
        <v>45868</v>
      </c>
      <c r="M1656" s="7" t="str">
        <f>IFERROR(__xludf.DUMMYFUNCTION("""COMPUTED_VALUE"""),"11:00-12:30")</f>
        <v>11:00-12:30</v>
      </c>
      <c r="N1656" s="7"/>
    </row>
    <row r="1657">
      <c r="A1657" s="7" t="str">
        <f>IFERROR(__xludf.DUMMYFUNCTION("""COMPUTED_VALUE"""),"125-MAIN")</f>
        <v>125-MAIN</v>
      </c>
      <c r="B1657" s="7" t="str">
        <f>IFERROR(__xludf.DUMMYFUNCTION("""COMPUTED_VALUE"""),"Autoregressive Speech Synthesis without Vector Quantization")</f>
        <v>Autoregressive Speech Synthesis without Vector Quantization</v>
      </c>
      <c r="C1657" s="7" t="str">
        <f>IFERROR(__xludf.DUMMYFUNCTION("""COMPUTED_VALUE"""),"We present MELLE, a novel continuous-valued token based language modeling approach for text-to-speech synthesis (TTS). MELLE autoregressively generates continuous mel-spectrogram frames directly from text condition, bypassing the need for vector quantizat"&amp;"ion, which is typically designed for audio compression and sacrifices fidelity compared to continuous representations. Specifically, (i) instead of cross-entropy loss, we apply regression loss with a proposed spectrogram flux loss function to model the pr"&amp;"obability distribution of the continuous-valued tokens; (ii) we have incorporated variational inference into MELLE to facilitate sampling mechanisms, thereby enhancing the output diversity and model robustness. Experiments demonstrate that, compared to th"&amp;"e two-stage codec language model VALL-E and its variants, the single-stage MELLE mitigates robustness issues by avoiding the inherent flaws of sampling vector-quantized codes, achieves superior performance across multiple metrics, and, most importantly, o"&amp;"ffers a more streamlined paradigm. The demos of our work are provided at https://aka.ms/melle.")</f>
        <v>We present MELLE, a novel continuous-valued token based language modeling approach for text-to-speech synthesis (TTS). MELLE autoregressively generates continuous mel-spectrogram frames directly from text condition, bypassing the need for vector quantization, which is typically designed for audio compression and sacrifices fidelity compared to continuous representations. Specifically, (i) instead of cross-entropy loss, we apply regression loss with a proposed spectrogram flux loss function to model the probability distribution of the continuous-valued tokens; (ii) we have incorporated variational inference into MELLE to facilitate sampling mechanisms, thereby enhancing the output diversity and model robustness. Experiments demonstrate that, compared to the two-stage codec language model VALL-E and its variants, the single-stage MELLE mitigates robustness issues by avoiding the inherent flaws of sampling vector-quantized codes, achieves superior performance across multiple metrics, and, most importantly, offers a more streamlined paradigm. The demos of our work are provided at https://aka.ms/melle.</v>
      </c>
      <c r="D1657" s="7" t="str">
        <f>IFERROR(__xludf.DUMMYFUNCTION("""COMPUTED_VALUE"""),"Lingwei Meng")</f>
        <v>Lingwei Meng</v>
      </c>
      <c r="E1657" s="7" t="str">
        <f>IFERROR(__xludf.DUMMYFUNCTION("""COMPUTED_VALUE"""),"Yes")</f>
        <v>Yes</v>
      </c>
      <c r="F1657" s="7" t="str">
        <f>IFERROR(__xludf.DUMMYFUNCTION("""COMPUTED_VALUE"""),"IP-Poster")</f>
        <v>IP-Poster</v>
      </c>
      <c r="G1657" s="7" t="str">
        <f>IFERROR(__xludf.DUMMYFUNCTION("""COMPUTED_VALUE"""),"In-Person")</f>
        <v>In-Person</v>
      </c>
      <c r="H1657" s="7" t="str">
        <f>IFERROR(__xludf.DUMMYFUNCTION("""COMPUTED_VALUE"""),"Hall 4/5")</f>
        <v>Hall 4/5</v>
      </c>
      <c r="I1657" s="7" t="str">
        <f>IFERROR(__xludf.DUMMYFUNCTION("""COMPUTED_VALUE"""),"Session 2: IP-Posters ")</f>
        <v>Session 2: IP-Posters </v>
      </c>
      <c r="J1657" s="7" t="str">
        <f>IFERROR(__xludf.DUMMYFUNCTION("""COMPUTED_VALUE"""),"Poster Session 1")</f>
        <v>Poster Session 1</v>
      </c>
      <c r="K1657" s="7"/>
      <c r="L1657" s="8">
        <f>IFERROR(__xludf.DUMMYFUNCTION("""COMPUTED_VALUE"""),45866.0)</f>
        <v>45866</v>
      </c>
      <c r="M1657" s="7" t="str">
        <f>IFERROR(__xludf.DUMMYFUNCTION("""COMPUTED_VALUE"""),"11:00-12:30")</f>
        <v>11:00-12:30</v>
      </c>
      <c r="N1657" s="7"/>
    </row>
    <row r="1658">
      <c r="A1658" s="7" t="str">
        <f>IFERROR(__xludf.DUMMYFUNCTION("""COMPUTED_VALUE"""),"129-MAIN")</f>
        <v>129-MAIN</v>
      </c>
      <c r="B1658" s="7" t="str">
        <f>IFERROR(__xludf.DUMMYFUNCTION("""COMPUTED_VALUE"""),"Cuckoo: An IE Free Rider Hatched by Massive Nutrition in LLM’s Nest")</f>
        <v>Cuckoo: An IE Free Rider Hatched by Massive Nutrition in LLM’s Nest</v>
      </c>
      <c r="C1658" s="7" t="str">
        <f>IFERROR(__xludf.DUMMYFUNCTION("""COMPUTED_VALUE"""),"Massive high-quality data, both pre-training raw texts and post-training annotations, have been carefully prepared to incubate advanced large language models (LLMs). In contrast, for information extraction (IE), pre-training data, such as BIO-tagged seque"&amp;"nces, are hard to scale up. We show that IE models can act as free riders on LLM resources by reframing next-token \emph{prediction} into \emph{extraction} for tokens already present in the context. Specifically, our proposed next tokens extraction (NTE) "&amp;"paradigm learns a versatile IE model, \emph{Cuckoo}, with 102.6M extractive data converted from LLM's pre-training and post-training data. Under the few-shot setting, Cuckoo adapts effectively to traditional and complex instruction-following IE with bette"&amp;"r performance than existing pre-trained IE models. As a free rider, Cuckoo can naturally evolve with the ongoing advancements in LLM data preparation, benefiting from improvements in LLM training pipelines without additional manual effort.")</f>
        <v>Massive high-quality data, both pre-training raw texts and post-training annotations, have been carefully prepared to incubate advanced large language models (LLMs). In contrast, for information extraction (IE), pre-training data, such as BIO-tagged sequences, are hard to scale up. We show that IE models can act as free riders on LLM resources by reframing next-token \emph{prediction} into \emph{extraction} for tokens already present in the context. Specifically, our proposed next tokens extraction (NTE) paradigm learns a versatile IE model, \emph{Cuckoo}, with 102.6M extractive data converted from LLM's pre-training and post-training data. Under the few-shot setting, Cuckoo adapts effectively to traditional and complex instruction-following IE with better performance than existing pre-trained IE models. As a free rider, Cuckoo can naturally evolve with the ongoing advancements in LLM data preparation, benefiting from improvements in LLM training pipelines without additional manual effort.</v>
      </c>
      <c r="D1658" s="7" t="str">
        <f>IFERROR(__xludf.DUMMYFUNCTION("""COMPUTED_VALUE"""),"Jingbo Shang")</f>
        <v>Jingbo Shang</v>
      </c>
      <c r="E1658" s="7" t="str">
        <f>IFERROR(__xludf.DUMMYFUNCTION("""COMPUTED_VALUE"""),"Yes")</f>
        <v>Yes</v>
      </c>
      <c r="F1658" s="7" t="str">
        <f>IFERROR(__xludf.DUMMYFUNCTION("""COMPUTED_VALUE"""),"IP-Oral")</f>
        <v>IP-Oral</v>
      </c>
      <c r="G1658" s="7" t="str">
        <f>IFERROR(__xludf.DUMMYFUNCTION("""COMPUTED_VALUE"""),"In-Person")</f>
        <v>In-Person</v>
      </c>
      <c r="H1658" s="7" t="str">
        <f>IFERROR(__xludf.DUMMYFUNCTION("""COMPUTED_VALUE"""),"Hall N.2")</f>
        <v>Hall N.2</v>
      </c>
      <c r="I1658" s="7" t="str">
        <f>IFERROR(__xludf.DUMMYFUNCTION("""COMPUTED_VALUE"""),"Session 9: IP-Orals")</f>
        <v>Session 9: IP-Orals</v>
      </c>
      <c r="J1658" s="7" t="str">
        <f>IFERROR(__xludf.DUMMYFUNCTION("""COMPUTED_VALUE"""),"Summarization and Information Extraction ")</f>
        <v>Summarization and Information Extraction </v>
      </c>
      <c r="K1658" s="7"/>
      <c r="L1658" s="8">
        <f>IFERROR(__xludf.DUMMYFUNCTION("""COMPUTED_VALUE"""),45867.0)</f>
        <v>45867</v>
      </c>
      <c r="M1658" s="7" t="str">
        <f>IFERROR(__xludf.DUMMYFUNCTION("""COMPUTED_VALUE"""),"14:00-15:30")</f>
        <v>14:00-15:30</v>
      </c>
      <c r="N1658" s="7">
        <f>IFERROR(__xludf.DUMMYFUNCTION("""COMPUTED_VALUE"""),1.0)</f>
        <v>1</v>
      </c>
    </row>
    <row r="1659">
      <c r="A1659" s="7" t="str">
        <f>IFERROR(__xludf.DUMMYFUNCTION("""COMPUTED_VALUE"""),"131-MAIN")</f>
        <v>131-MAIN</v>
      </c>
      <c r="B1659" s="7" t="str">
        <f>IFERROR(__xludf.DUMMYFUNCTION("""COMPUTED_VALUE"""),"FedEx-LoRA: Exact Aggregation for Federated and Efficient Fine-Tuning of Large Language Models")</f>
        <v>FedEx-LoRA: Exact Aggregation for Federated and Efficient Fine-Tuning of Large Language Models</v>
      </c>
      <c r="C1659" s="7" t="str">
        <f>IFERROR(__xludf.DUMMYFUNCTION("""COMPUTED_VALUE"""),"Low-Rank Adaptation (LoRA) is a popular technique for efficient fine-tuning of foundation models. However, applying LoRA in federated learning environments, where data is distributed across multiple clients, presents unique challenges. Existing methods re"&amp;"ly on traditional federated averaging of LoRA adapters, resulting in inexact updates. To address this, we propose Federated Exact LoRA, or FedEx-LoRA, which adds a residual error term to the pre-trained frozen weight matrix. Our approach achieves exact up"&amp;"dates with minimal computational and communication overhead, preserving LoRA’s efficiency. We evaluate the method on various models across arithmetic reasoning, commonsense reasoning, natural language understanding and natural language generation tasks, s"&amp;"howing consistent performance gains over state-of-the-art methods across multiple settings. Through extensive analysis, we quantify that the deviations in updates from the ideal solution are significant, highlighting the need for exact aggregation. Our me"&amp;"thod's simplicity, efficiency, and broad applicability position it as a promising solution for accurate and effective federated fine-tuning of foundation models.")</f>
        <v>Low-Rank Adaptation (LoRA) is a popular technique for efficient fine-tuning of foundation models. However, applying LoRA in federated learning environments, where data is distributed across multiple clients, presents unique challenges. Existing methods rely on traditional federated averaging of LoRA adapters, resulting in inexact updates. To address this, we propose Federated Exact LoRA, or FedEx-LoRA, which adds a residual error term to the pre-trained frozen weight matrix. Our approach achieves exact updates with minimal computational and communication overhead, preserving LoRA’s efficiency. We evaluate the method on various models across arithmetic reasoning, commonsense reasoning, natural language understanding and natural language generation tasks, showing consistent performance gains over state-of-the-art methods across multiple settings. Through extensive analysis, we quantify that the deviations in updates from the ideal solution are significant, highlighting the need for exact aggregation. Our method's simplicity, efficiency, and broad applicability position it as a promising solution for accurate and effective federated fine-tuning of foundation models.</v>
      </c>
      <c r="D1659" s="7" t="str">
        <f>IFERROR(__xludf.DUMMYFUNCTION("""COMPUTED_VALUE"""),"Raghav Singhal")</f>
        <v>Raghav Singhal</v>
      </c>
      <c r="E1659" s="7" t="str">
        <f>IFERROR(__xludf.DUMMYFUNCTION("""COMPUTED_VALUE"""),"Yes")</f>
        <v>Yes</v>
      </c>
      <c r="F1659" s="7" t="str">
        <f>IFERROR(__xludf.DUMMYFUNCTION("""COMPUTED_VALUE"""),"IP-Oral")</f>
        <v>IP-Oral</v>
      </c>
      <c r="G1659" s="7" t="str">
        <f>IFERROR(__xludf.DUMMYFUNCTION("""COMPUTED_VALUE"""),"In-Person")</f>
        <v>In-Person</v>
      </c>
      <c r="H1659" s="7" t="str">
        <f>IFERROR(__xludf.DUMMYFUNCTION("""COMPUTED_VALUE"""),"Room 1.62")</f>
        <v>Room 1.62</v>
      </c>
      <c r="I1659" s="7" t="str">
        <f>IFERROR(__xludf.DUMMYFUNCTION("""COMPUTED_VALUE"""),"Session 11: IP-Orals ")</f>
        <v>Session 11: IP-Orals </v>
      </c>
      <c r="J1659" s="7" t="str">
        <f>IFERROR(__xludf.DUMMYFUNCTION("""COMPUTED_VALUE"""),"Efficient Methods for NLP 2")</f>
        <v>Efficient Methods for NLP 2</v>
      </c>
      <c r="K1659" s="7"/>
      <c r="L1659" s="8">
        <f>IFERROR(__xludf.DUMMYFUNCTION("""COMPUTED_VALUE"""),45868.0)</f>
        <v>45868</v>
      </c>
      <c r="M1659" s="7" t="str">
        <f>IFERROR(__xludf.DUMMYFUNCTION("""COMPUTED_VALUE"""),"09:00-10:30")</f>
        <v>09:00-10:30</v>
      </c>
      <c r="N1659" s="7">
        <f>IFERROR(__xludf.DUMMYFUNCTION("""COMPUTED_VALUE"""),1.0)</f>
        <v>1</v>
      </c>
    </row>
    <row r="1660">
      <c r="A1660" s="7" t="str">
        <f>IFERROR(__xludf.DUMMYFUNCTION("""COMPUTED_VALUE"""),"133-MAIN")</f>
        <v>133-MAIN</v>
      </c>
      <c r="B1660" s="7" t="str">
        <f>IFERROR(__xludf.DUMMYFUNCTION("""COMPUTED_VALUE"""),"Measuring Social Biases in Masked Language Models by Proxy of Prediction Quality")</f>
        <v>Measuring Social Biases in Masked Language Models by Proxy of Prediction Quality</v>
      </c>
      <c r="C1660" s="7" t="str">
        <f>IFERROR(__xludf.DUMMYFUNCTION("""COMPUTED_VALUE"""),"Innovative transformer-based language models produce contextually-aware token embeddings and have achieved state-of-the-art performance for a variety of natural language tasks, but have been shown to encode unwanted biases for downstream applications. In "&amp;"this paper, we evaluate the social biases encoded by transformers trained with the masked language modeling objective using proposed proxy functions within an iterative masking experiment to measure the quality of transformer models’ predictions and asses"&amp;"s the preference of MLMs towards disadvantaged and advantaged groups. We find that all models encode concerning social biases. We compare bias estimations with those produced by other evaluation methods using benchmark datasets and assess their alignment "&amp;"with human annotated biases. We extend previous work by evaluating social biases introduced after retraining an MLM under the masked language modeling objective and find proposed measures produce more accurate and sensitive estimations of biases based on "&amp;"relative preference for biased sentences between models, while other methods tend to underestimate biases after retraining on sentences biased towards disadvantaged groups.")</f>
        <v>Innovative transformer-based language models produce contextually-aware token embeddings and have achieved state-of-the-art performance for a variety of natural language tasks, but have been shown to encode unwanted biases for downstream applications. In this paper, we evaluate the social biases encoded by transformers trained with the masked language modeling objective using proposed proxy functions within an iterative masking experiment to measure the quality of transformer models’ predictions and assess the preference of MLMs towards disadvantaged and advantaged groups. We find that all models encode concerning social biases. We compare bias estimations with those produced by other evaluation methods using benchmark datasets and assess their alignment with human annotated biases. We extend previous work by evaluating social biases introduced after retraining an MLM under the masked language modeling objective and find proposed measures produce more accurate and sensitive estimations of biases based on relative preference for biased sentences between models, while other methods tend to underestimate biases after retraining on sentences biased towards disadvantaged groups.</v>
      </c>
      <c r="D1660" s="7" t="str">
        <f>IFERROR(__xludf.DUMMYFUNCTION("""COMPUTED_VALUE"""),"Rahul Zalkikar")</f>
        <v>Rahul Zalkikar</v>
      </c>
      <c r="E1660" s="7" t="str">
        <f>IFERROR(__xludf.DUMMYFUNCTION("""COMPUTED_VALUE"""),"Yes")</f>
        <v>Yes</v>
      </c>
      <c r="F1660" s="7" t="str">
        <f>IFERROR(__xludf.DUMMYFUNCTION("""COMPUTED_VALUE"""),"V-Presentation")</f>
        <v>V-Presentation</v>
      </c>
      <c r="G1660" s="7" t="str">
        <f>IFERROR(__xludf.DUMMYFUNCTION("""COMPUTED_VALUE"""),"Virtual/Gather")</f>
        <v>Virtual/Gather</v>
      </c>
      <c r="H1660" s="7" t="str">
        <f>IFERROR(__xludf.DUMMYFUNCTION("""COMPUTED_VALUE"""),"Zoom")</f>
        <v>Zoom</v>
      </c>
      <c r="I1660" s="7" t="str">
        <f>IFERROR(__xludf.DUMMYFUNCTION("""COMPUTED_VALUE"""),"Session 7: V--Presentations ")</f>
        <v>Session 7: V--Presentations </v>
      </c>
      <c r="J1660" s="7" t="str">
        <f>IFERROR(__xludf.DUMMYFUNCTION("""COMPUTED_VALUE"""),"Virtual Presentations 2")</f>
        <v>Virtual Presentations 2</v>
      </c>
      <c r="K1660" s="7"/>
      <c r="L1660" s="8"/>
      <c r="M1660" s="7" t="str">
        <f>IFERROR(__xludf.DUMMYFUNCTION("""COMPUTED_VALUE"""),"10:30-12:00")</f>
        <v>10:30-12:00</v>
      </c>
      <c r="N1660" s="7"/>
    </row>
    <row r="1661">
      <c r="A1661" s="7" t="str">
        <f>IFERROR(__xludf.DUMMYFUNCTION("""COMPUTED_VALUE"""),"135-MAIN")</f>
        <v>135-MAIN</v>
      </c>
      <c r="B1661" s="7" t="str">
        <f>IFERROR(__xludf.DUMMYFUNCTION("""COMPUTED_VALUE"""),"Capturing Author Self Beliefs in Social Media Language")</f>
        <v>Capturing Author Self Beliefs in Social Media Language</v>
      </c>
      <c r="C1661" s="7" t="str">
        <f>IFERROR(__xludf.DUMMYFUNCTION("""COMPUTED_VALUE"""),"Measuring the prevalence and dimensions of self beliefs is essential for understanding human self-perception and various psychological outcomes. In this paper, we develop a novel task for classifying language that contains explicit or implicit mentions of"&amp;" the author's self beliefs. 
We contribute a set of 2,000 human-annotated self beliefs, 100,000 LLM-labeled examples, and 10,000 surveyed self belief paragraphs. We then evaluate several encoder-based classifiers and training routines for this task. Our t"&amp;"rained model, SelfAwareNet, achieved an AUC of 0.944, outperforming 0.839 from OpenAI's state-of-the-art GPT-4o model. Using this model we derive data-driven categories of self beliefs and demonstrate their ability to predict valence, depression, anxiety,"&amp;" and stress. We release the resulting self belief classification model and annotated datasets for use in future research.")</f>
        <v>Measuring the prevalence and dimensions of self beliefs is essential for understanding human self-perception and various psychological outcomes. In this paper, we develop a novel task for classifying language that contains explicit or implicit mentions of the author's self beliefs. 
We contribute a set of 2,000 human-annotated self beliefs, 100,000 LLM-labeled examples, and 10,000 surveyed self belief paragraphs. We then evaluate several encoder-based classifiers and training routines for this task. Our trained model, SelfAwareNet, achieved an AUC of 0.944, outperforming 0.839 from OpenAI's state-of-the-art GPT-4o model. Using this model we derive data-driven categories of self beliefs and demonstrate their ability to predict valence, depression, anxiety, and stress. We release the resulting self belief classification model and annotated datasets for use in future research.</v>
      </c>
      <c r="D1661" s="7" t="str">
        <f>IFERROR(__xludf.DUMMYFUNCTION("""COMPUTED_VALUE"""),"Siddharth Mangalik")</f>
        <v>Siddharth Mangalik</v>
      </c>
      <c r="E1661" s="7" t="str">
        <f>IFERROR(__xludf.DUMMYFUNCTION("""COMPUTED_VALUE"""),"Yes")</f>
        <v>Yes</v>
      </c>
      <c r="F1661" s="7" t="str">
        <f>IFERROR(__xludf.DUMMYFUNCTION("""COMPUTED_VALUE"""),"IP-Poster")</f>
        <v>IP-Poster</v>
      </c>
      <c r="G1661" s="7" t="str">
        <f>IFERROR(__xludf.DUMMYFUNCTION("""COMPUTED_VALUE"""),"In-Person")</f>
        <v>In-Person</v>
      </c>
      <c r="H1661" s="7" t="str">
        <f>IFERROR(__xludf.DUMMYFUNCTION("""COMPUTED_VALUE"""),"Hall 4/5")</f>
        <v>Hall 4/5</v>
      </c>
      <c r="I1661" s="7" t="str">
        <f>IFERROR(__xludf.DUMMYFUNCTION("""COMPUTED_VALUE"""),"Session 12: IP-Posters")</f>
        <v>Session 12: IP-Posters</v>
      </c>
      <c r="J1661" s="7" t="str">
        <f>IFERROR(__xludf.DUMMYFUNCTION("""COMPUTED_VALUE"""),"Poster Session 4")</f>
        <v>Poster Session 4</v>
      </c>
      <c r="K1661" s="7"/>
      <c r="L1661" s="8">
        <f>IFERROR(__xludf.DUMMYFUNCTION("""COMPUTED_VALUE"""),45868.0)</f>
        <v>45868</v>
      </c>
      <c r="M1661" s="7" t="str">
        <f>IFERROR(__xludf.DUMMYFUNCTION("""COMPUTED_VALUE"""),"11:00-12:30")</f>
        <v>11:00-12:30</v>
      </c>
      <c r="N1661" s="7"/>
    </row>
    <row r="1662">
      <c r="A1662" s="7" t="str">
        <f>IFERROR(__xludf.DUMMYFUNCTION("""COMPUTED_VALUE"""),"136-MAIN")</f>
        <v>136-MAIN</v>
      </c>
      <c r="B1662" s="7" t="str">
        <f>IFERROR(__xludf.DUMMYFUNCTION("""COMPUTED_VALUE"""),"Neural Topic Modeling with Large Language Models in the Loop")</f>
        <v>Neural Topic Modeling with Large Language Models in the Loop</v>
      </c>
      <c r="C1662" s="7" t="str">
        <f>IFERROR(__xludf.DUMMYFUNCTION("""COMPUTED_VALUE"""),"Topic modeling is a fundamental task in natural language processing, allowing the discovery of latent thematic structures in text corpora. While Large Language Models (LLMs) have demonstrated promising capabilities in topic discovery, their direct applica"&amp;"tion to topic modeling suffers from issues such as incomplete topic coverage, misalignment of topics, and inefficiency. To address these limitations, we propose LLM-ITL, a novel LLM-in-the-loop framework that integrates LLMs with Neural Topic Models (NTMs"&amp;"). In LLM-ITL, global topics and document representations are learned through the NTM. Meanwhile, an LLM refines these topics using an Optimal Transport (OT)-based alignment objective, where the refinement is dynamically adjusted based on the LLM's confid"&amp;"ence in suggesting topical words for each set of input words. With the flexibility of being integrated into many existing NTMs, the proposed approach enhances the interpretability of topics while preserving the efficiency of NTMs in learning topics and do"&amp;"cument representations. Extensive experiments demonstrate that LLM-ITL helps NTMs significantly improve their topic interpretability while maintaining the quality of document representation. Our code and datasets are available at
https://github.com/Xiaoha"&amp;"o-Yang/LLM-ITL")</f>
        <v>Topic modeling is a fundamental task in natural language processing, allowing the discovery of latent thematic structures in text corpora. While Large Language Models (LLMs) have demonstrated promising capabilities in topic discovery, their direct application to topic modeling suffers from issues such as incomplete topic coverage, misalignment of topics, and inefficiency. To address these limitations, we propose LLM-ITL, a novel LLM-in-the-loop framework that integrates LLMs with Neural Topic Models (NTMs). In LLM-ITL, global topics and document representations are learned through the NTM. Meanwhile, an LLM refines these topics using an Optimal Transport (OT)-based alignment objective, where the refinement is dynamically adjusted based on the LLM's confidence in suggesting topical words for each set of input words. With the flexibility of being integrated into many existing NTMs, the proposed approach enhances the interpretability of topics while preserving the efficiency of NTMs in learning topics and document representations. Extensive experiments demonstrate that LLM-ITL helps NTMs significantly improve their topic interpretability while maintaining the quality of document representation. Our code and datasets are available at
https://github.com/Xiaohao-Yang/LLM-ITL</v>
      </c>
      <c r="D1662" s="7" t="str">
        <f>IFERROR(__xludf.DUMMYFUNCTION("""COMPUTED_VALUE"""),"Xiaohao Yang")</f>
        <v>Xiaohao Yang</v>
      </c>
      <c r="E1662" s="7" t="str">
        <f>IFERROR(__xludf.DUMMYFUNCTION("""COMPUTED_VALUE"""),"Yes")</f>
        <v>Yes</v>
      </c>
      <c r="F1662" s="7" t="str">
        <f>IFERROR(__xludf.DUMMYFUNCTION("""COMPUTED_VALUE"""),"IP-Poster")</f>
        <v>IP-Poster</v>
      </c>
      <c r="G1662" s="7" t="str">
        <f>IFERROR(__xludf.DUMMYFUNCTION("""COMPUTED_VALUE"""),"In-Person")</f>
        <v>In-Person</v>
      </c>
      <c r="H1662" s="7" t="str">
        <f>IFERROR(__xludf.DUMMYFUNCTION("""COMPUTED_VALUE"""),"Hall 4/5")</f>
        <v>Hall 4/5</v>
      </c>
      <c r="I1662" s="7" t="str">
        <f>IFERROR(__xludf.DUMMYFUNCTION("""COMPUTED_VALUE"""),"Session 7: IP-Posters")</f>
        <v>Session 7: IP-Posters</v>
      </c>
      <c r="J1662" s="7" t="str">
        <f>IFERROR(__xludf.DUMMYFUNCTION("""COMPUTED_VALUE"""),"Poster Session 2")</f>
        <v>Poster Session 2</v>
      </c>
      <c r="K1662" s="7"/>
      <c r="L1662" s="8">
        <f>IFERROR(__xludf.DUMMYFUNCTION("""COMPUTED_VALUE"""),45867.0)</f>
        <v>45867</v>
      </c>
      <c r="M1662" s="7" t="str">
        <f>IFERROR(__xludf.DUMMYFUNCTION("""COMPUTED_VALUE"""),"10:30-12:00")</f>
        <v>10:30-12:00</v>
      </c>
      <c r="N1662" s="7"/>
    </row>
    <row r="1663">
      <c r="A1663" s="7" t="str">
        <f>IFERROR(__xludf.DUMMYFUNCTION("""COMPUTED_VALUE"""),"139-MAIN")</f>
        <v>139-MAIN</v>
      </c>
      <c r="B1663" s="7" t="str">
        <f>IFERROR(__xludf.DUMMYFUNCTION("""COMPUTED_VALUE"""),"HALoGEN: Fantastic LLM Hallucinations and Where to Find Them")</f>
        <v>HALoGEN: Fantastic LLM Hallucinations and Where to Find Them</v>
      </c>
      <c r="C1663" s="7" t="str">
        <f>IFERROR(__xludf.DUMMYFUNCTION("""COMPUTED_VALUE"""),"Despite their impressive ability to generate high-quality and fluent text, generative large language models (LLMs) also produce hallucinations: statements that are misaligned with established world knowledge or provided input context. However, measuring h"&amp;"allucination can be challenging, as having humans verify model generations on-the-fly is both expensive and time-consuming. In this work, we release HALoGEN, a comprehensive hallucination benchmark consisting of: (1) 10,923 prompts for generative models s"&amp;"panning nine domains including programming, scientific attribution, and summarization, and (2) automatic high-precision verifiers for each use case that decompose LLM generations into atomic units, and verify each unit against a high-quality knowledge sou"&amp;"rce. We use this framework to evaluate ~150,000 generations from 14 language models, finding that even the best-performing models are riddled with hallucinations (sometimes up to 86% of generated atomic facts depending on the domain). We further define a "&amp;"novel error classification for LLM hallucinations based on whether they likely stem from incorrect recollection of training data (Type A errors), or incorrect knowledge in training data (Type B errors), or are fabrication (Type C errors). We hope our fram"&amp;"ework provides a foundation to enable the principled study of why generative models hallucinate, and advances the development of trustworthy large language models.")</f>
        <v>Despite their impressive ability to generate high-quality and fluent text, generative large language models (LLMs) also produce hallucinations: statements that are misaligned with established world knowledge or provided input context. However, measuring hallucination can be challenging, as having humans verify model generations on-the-fly is both expensive and time-consuming. In this work, we release HALoGEN, a comprehensive hallucination benchmark consisting of: (1) 10,923 prompts for generative models spanning nine domains including programming, scientific attribution, and summarization, and (2) automatic high-precision verifiers for each use case that decompose LLM generations into atomic units, and verify each unit against a high-quality knowledge source. We use this framework to evaluate ~150,000 generations from 14 language models, finding that even the best-performing models are riddled with hallucinations (sometimes up to 86% of generated atomic facts depending on the domain). We further define a novel error classification for LLM hallucinations based on whether they likely stem from incorrect recollection of training data (Type A errors), or incorrect knowledge in training data (Type B errors), or are fabrication (Type C errors). We hope our framework provides a foundation to enable the principled study of why generative models hallucinate, and advances the development of trustworthy large language models.</v>
      </c>
      <c r="D1663" s="7" t="str">
        <f>IFERROR(__xludf.DUMMYFUNCTION("""COMPUTED_VALUE"""),"Abhilasha Ravichander")</f>
        <v>Abhilasha Ravichander</v>
      </c>
      <c r="E1663" s="7" t="str">
        <f>IFERROR(__xludf.DUMMYFUNCTION("""COMPUTED_VALUE"""),"Yes")</f>
        <v>Yes</v>
      </c>
      <c r="F1663" s="7" t="str">
        <f>IFERROR(__xludf.DUMMYFUNCTION("""COMPUTED_VALUE"""),"IP-Poster")</f>
        <v>IP-Poster</v>
      </c>
      <c r="G1663" s="7" t="str">
        <f>IFERROR(__xludf.DUMMYFUNCTION("""COMPUTED_VALUE"""),"In-Person")</f>
        <v>In-Person</v>
      </c>
      <c r="H1663" s="7" t="str">
        <f>IFERROR(__xludf.DUMMYFUNCTION("""COMPUTED_VALUE"""),"Hall 4/5")</f>
        <v>Hall 4/5</v>
      </c>
      <c r="I1663" s="7" t="str">
        <f>IFERROR(__xludf.DUMMYFUNCTION("""COMPUTED_VALUE"""),"Session 7: IP-Posters")</f>
        <v>Session 7: IP-Posters</v>
      </c>
      <c r="J1663" s="7" t="str">
        <f>IFERROR(__xludf.DUMMYFUNCTION("""COMPUTED_VALUE"""),"Poster Session 2")</f>
        <v>Poster Session 2</v>
      </c>
      <c r="K1663" s="7"/>
      <c r="L1663" s="8">
        <f>IFERROR(__xludf.DUMMYFUNCTION("""COMPUTED_VALUE"""),45867.0)</f>
        <v>45867</v>
      </c>
      <c r="M1663" s="7" t="str">
        <f>IFERROR(__xludf.DUMMYFUNCTION("""COMPUTED_VALUE"""),"10:30-12:00")</f>
        <v>10:30-12:00</v>
      </c>
      <c r="N1663" s="7"/>
    </row>
    <row r="1664">
      <c r="A1664" s="7" t="str">
        <f>IFERROR(__xludf.DUMMYFUNCTION("""COMPUTED_VALUE"""),"140-MAIN")</f>
        <v>140-MAIN</v>
      </c>
      <c r="B1664" s="7" t="str">
        <f>IFERROR(__xludf.DUMMYFUNCTION("""COMPUTED_VALUE"""),"Synergizing LLMs with Global Label Propagation for Multimodal Fake News Detection")</f>
        <v>Synergizing LLMs with Global Label Propagation for Multimodal Fake News Detection</v>
      </c>
      <c r="C1664" s="7" t="str">
        <f>IFERROR(__xludf.DUMMYFUNCTION("""COMPUTED_VALUE"""),"Large Language Models (LLMs) can assist multimodal fake news detection by predicting pseudo labels. However, LLM-generated pseudo labels alone demonstrate poor performance compared to traditional detection methods, making their effective integration non-t"&amp;"rivial. In this paper, we propose Global Label Propagation Network with LLM-based Pseudo Labeling (GLPN-LLM) for multimodal fake news detection, which integrates LLM capabilities via label propagation techniques. The global label propagation can utilize L"&amp;"LM-generated pseudo labels, enhancing prediction accuracy by propagating label information among all samples. For label propagation, a mask-based mechanism is designed to prevent label leakage during training by ensuring that training nodes do not propaga"&amp;"te their own labels back to themselves. Experimental results on benchmark datasets show that by synergizing LLMs with label propagation, our model achieves superior performance over state-of-the-art baselines.")</f>
        <v>Large Language Models (LLMs) can assist multimodal fake news detection by predicting pseudo labels. However, LLM-generated pseudo labels alone demonstrate poor performance compared to traditional detection methods, making their effective integration non-trivial. In this paper, we propose Global Label Propagation Network with LLM-based Pseudo Labeling (GLPN-LLM) for multimodal fake news detection, which integrates LLM capabilities via label propagation techniques. The global label propagation can utilize LLM-generated pseudo labels, enhancing prediction accuracy by propagating label information among all samples. For label propagation, a mask-based mechanism is designed to prevent label leakage during training by ensuring that training nodes do not propagate their own labels back to themselves. Experimental results on benchmark datasets show that by synergizing LLMs with label propagation, our model achieves superior performance over state-of-the-art baselines.</v>
      </c>
      <c r="D1664" s="7" t="str">
        <f>IFERROR(__xludf.DUMMYFUNCTION("""COMPUTED_VALUE"""),"Shuguo Hu")</f>
        <v>Shuguo Hu</v>
      </c>
      <c r="E1664" s="7" t="str">
        <f>IFERROR(__xludf.DUMMYFUNCTION("""COMPUTED_VALUE"""),"Yes")</f>
        <v>Yes</v>
      </c>
      <c r="F1664" s="7" t="str">
        <f>IFERROR(__xludf.DUMMYFUNCTION("""COMPUTED_VALUE"""),"IP-Poster")</f>
        <v>IP-Poster</v>
      </c>
      <c r="G1664" s="7" t="str">
        <f>IFERROR(__xludf.DUMMYFUNCTION("""COMPUTED_VALUE"""),"In-Person")</f>
        <v>In-Person</v>
      </c>
      <c r="H1664" s="7" t="str">
        <f>IFERROR(__xludf.DUMMYFUNCTION("""COMPUTED_VALUE"""),"Hall 4/5")</f>
        <v>Hall 4/5</v>
      </c>
      <c r="I1664" s="7" t="str">
        <f>IFERROR(__xludf.DUMMYFUNCTION("""COMPUTED_VALUE"""),"Session 10: IP-Posters")</f>
        <v>Session 10: IP-Posters</v>
      </c>
      <c r="J1664" s="7" t="str">
        <f>IFERROR(__xludf.DUMMYFUNCTION("""COMPUTED_VALUE"""),"Poster Session 3")</f>
        <v>Poster Session 3</v>
      </c>
      <c r="K1664" s="7"/>
      <c r="L1664" s="8">
        <f>IFERROR(__xludf.DUMMYFUNCTION("""COMPUTED_VALUE"""),45867.0)</f>
        <v>45867</v>
      </c>
      <c r="M1664" s="7" t="str">
        <f>IFERROR(__xludf.DUMMYFUNCTION("""COMPUTED_VALUE"""),"16:00-17:30")</f>
        <v>16:00-17:30</v>
      </c>
      <c r="N1664" s="7"/>
    </row>
    <row r="1665">
      <c r="A1665" s="7" t="str">
        <f>IFERROR(__xludf.DUMMYFUNCTION("""COMPUTED_VALUE"""),"141-MAIN")</f>
        <v>141-MAIN</v>
      </c>
      <c r="B1665" s="7" t="str">
        <f>IFERROR(__xludf.DUMMYFUNCTION("""COMPUTED_VALUE"""),"""Yes, My LoRD."" Guiding Language Model Extraction with Locality Reinforced Distillation")</f>
        <v>"Yes, My LoRD." Guiding Language Model Extraction with Locality Reinforced Distillation</v>
      </c>
      <c r="C1665" s="7" t="str">
        <f>IFERROR(__xludf.DUMMYFUNCTION("""COMPUTED_VALUE"""),"Model extraction attacks (MEAs) on large language models (LLMs) have received increasing attention in recent research. However, existing attack methods typically adapt the extraction strategies originally developed for deep neural networks (DNNs). They ne"&amp;"glect the underlying inconsistency between the training tasks of MEA and LLM alignment, leading to suboptimal attack performance. To tackle this issue, we propose Locality Reinforced Distillation (LoRD), a novel model extraction algorithm specifically des"&amp;"igned for LLMs. In particular, LoRD employs a newly defined policy-gradient-style training task that utilizes the responses of victim model as the signal to guide the crafting of preference for the local model. Theoretical analyses demonstrate that I) The"&amp;" convergence procedure of LoRD in model extraction is consistent with the alignment procedure of LLMs, and II) LoRD can reduce query complexity while mitigating watermark protection through our exploration-based stealing. Extensive experiments validate th"&amp;"e superiority of our method in extracting various state-of-the-art commercial LLMs. Our code is available at: https://github.com/liangzid/LoRD-MEA.")</f>
        <v>Model extraction attacks (MEAs) on large language models (LLMs) have received increasing attention in recent research. However, existing attack methods typically adapt the extraction strategies originally developed for deep neural networks (DNNs). They neglect the underlying inconsistency between the training tasks of MEA and LLM alignment, leading to suboptimal attack performance. To tackle this issue, we propose Locality Reinforced Distillation (LoRD), a novel model extraction algorithm specifically designed for LLMs. In particular, LoRD employs a newly defined policy-gradient-style training task that utilizes the responses of victim model as the signal to guide the crafting of preference for the local model. Theoretical analyses demonstrate that I) The convergence procedure of LoRD in model extraction is consistent with the alignment procedure of LLMs, and II) LoRD can reduce query complexity while mitigating watermark protection through our exploration-based stealing. Extensive experiments validate the superiority of our method in extracting various state-of-the-art commercial LLMs. Our code is available at: https://github.com/liangzid/LoRD-MEA.</v>
      </c>
      <c r="D1665" s="7" t="str">
        <f>IFERROR(__xludf.DUMMYFUNCTION("""COMPUTED_VALUE"""),"Zi Liang")</f>
        <v>Zi Liang</v>
      </c>
      <c r="E1665" s="7" t="str">
        <f>IFERROR(__xludf.DUMMYFUNCTION("""COMPUTED_VALUE"""),"Yes")</f>
        <v>Yes</v>
      </c>
      <c r="F1665" s="7" t="str">
        <f>IFERROR(__xludf.DUMMYFUNCTION("""COMPUTED_VALUE"""),"IP-Poster")</f>
        <v>IP-Poster</v>
      </c>
      <c r="G1665" s="7" t="str">
        <f>IFERROR(__xludf.DUMMYFUNCTION("""COMPUTED_VALUE"""),"In-Person")</f>
        <v>In-Person</v>
      </c>
      <c r="H1665" s="7" t="str">
        <f>IFERROR(__xludf.DUMMYFUNCTION("""COMPUTED_VALUE"""),"Hall 4/5")</f>
        <v>Hall 4/5</v>
      </c>
      <c r="I1665" s="7" t="str">
        <f>IFERROR(__xludf.DUMMYFUNCTION("""COMPUTED_VALUE"""),"Session 2: IP-Posters ")</f>
        <v>Session 2: IP-Posters </v>
      </c>
      <c r="J1665" s="7" t="str">
        <f>IFERROR(__xludf.DUMMYFUNCTION("""COMPUTED_VALUE"""),"Poster Session 1")</f>
        <v>Poster Session 1</v>
      </c>
      <c r="K1665" s="7"/>
      <c r="L1665" s="8">
        <f>IFERROR(__xludf.DUMMYFUNCTION("""COMPUTED_VALUE"""),45866.0)</f>
        <v>45866</v>
      </c>
      <c r="M1665" s="7" t="str">
        <f>IFERROR(__xludf.DUMMYFUNCTION("""COMPUTED_VALUE"""),"11:00-12:30")</f>
        <v>11:00-12:30</v>
      </c>
      <c r="N1665" s="7"/>
    </row>
    <row r="1666">
      <c r="A1666" s="7" t="str">
        <f>IFERROR(__xludf.DUMMYFUNCTION("""COMPUTED_VALUE"""),"144-MAIN")</f>
        <v>144-MAIN</v>
      </c>
      <c r="B1666" s="7" t="str">
        <f>IFERROR(__xludf.DUMMYFUNCTION("""COMPUTED_VALUE"""),"Jailbreak Large Vision-Language Models Through Multi-Modal Linkage")</f>
        <v>Jailbreak Large Vision-Language Models Through Multi-Modal Linkage</v>
      </c>
      <c r="C1666" s="7" t="str">
        <f>IFERROR(__xludf.DUMMYFUNCTION("""COMPUTED_VALUE"""),"With the rapid advancement of Large Vision-Language Models (VLMs), concerns about their ‌potential misuse and abuse have grown rapidly. Prior research has exposed VLMs' vulnerability to jailbreak attacks, where carefully crafted inputs can lead the model "&amp;"to produce content that violates ethical and legal standards. However, current jailbreak methods often fail against cutting-edge models such as GPT-4o. We attribute this to the over-exposure of harmful content and the absence of stealthy malicious guidanc"&amp;"e. 
In this work, we introduce a novel jailbreak framework: Multi-Modal Linkage (MML) Attack. Drawing inspiration from cryptography, MML employs an encryption-decryption process across text and image modalities to mitigate the over-exposure of malicious i"&amp;"nformation. To covertly align the model’s output with harmful objectives, MML leverages a technique we term evil alignment, framing the attack within the narrative context of a video game development scenario. 
Extensive experiments validate the effective"&amp;"ness of MML. Specifically, MML jailbreaks GPT-4o with attack success rates of 99.40\% on SafeBench, 98.81\% on MM-SafeBench, and 99.07\% on HADES-Dataset. Our code is available at https://github.com/wangyu-ovo/MML.")</f>
        <v>With the rapid advancement of Large Vision-Language Models (VLMs), concerns about their ‌potential misuse and abuse have grown rapidly. Prior research has exposed VLMs' vulnerability to jailbreak attacks, where carefully crafted inputs can lead the model to produce content that violates ethical and legal standards. However, current jailbreak methods often fail against cutting-edge models such as GPT-4o. We attribute this to the over-exposure of harmful content and the absence of stealthy malicious guidance. 
In this work, we introduce a novel jailbreak framework: Multi-Modal Linkage (MML) Attack. Drawing inspiration from cryptography, MML employs an encryption-decryption process across text and image modalities to mitigate the over-exposure of malicious information. To covertly align the model’s output with harmful objectives, MML leverages a technique we term evil alignment, framing the attack within the narrative context of a video game development scenario. 
Extensive experiments validate the effectiveness of MML. Specifically, MML jailbreaks GPT-4o with attack success rates of 99.40\% on SafeBench, 98.81\% on MM-SafeBench, and 99.07\% on HADES-Dataset. Our code is available at https://github.com/wangyu-ovo/MML.</v>
      </c>
      <c r="D1666" s="7" t="str">
        <f>IFERROR(__xludf.DUMMYFUNCTION("""COMPUTED_VALUE"""),"Yu Wang")</f>
        <v>Yu Wang</v>
      </c>
      <c r="E1666" s="7" t="str">
        <f>IFERROR(__xludf.DUMMYFUNCTION("""COMPUTED_VALUE"""),"Yes")</f>
        <v>Yes</v>
      </c>
      <c r="F1666" s="7" t="str">
        <f>IFERROR(__xludf.DUMMYFUNCTION("""COMPUTED_VALUE"""),"IP-Oral")</f>
        <v>IP-Oral</v>
      </c>
      <c r="G1666" s="7" t="str">
        <f>IFERROR(__xludf.DUMMYFUNCTION("""COMPUTED_VALUE"""),"In-Person")</f>
        <v>In-Person</v>
      </c>
      <c r="H1666" s="7" t="str">
        <f>IFERROR(__xludf.DUMMYFUNCTION("""COMPUTED_VALUE"""),"Hall C")</f>
        <v>Hall C</v>
      </c>
      <c r="I1666" s="7" t="str">
        <f>IFERROR(__xludf.DUMMYFUNCTION("""COMPUTED_VALUE"""),"Session 9: IP-Orals")</f>
        <v>Session 9: IP-Orals</v>
      </c>
      <c r="J1666" s="7" t="str">
        <f>IFERROR(__xludf.DUMMYFUNCTION("""COMPUTED_VALUE"""),"Language Modeling 1")</f>
        <v>Language Modeling 1</v>
      </c>
      <c r="K1666" s="7"/>
      <c r="L1666" s="8">
        <f>IFERROR(__xludf.DUMMYFUNCTION("""COMPUTED_VALUE"""),45867.0)</f>
        <v>45867</v>
      </c>
      <c r="M1666" s="7" t="str">
        <f>IFERROR(__xludf.DUMMYFUNCTION("""COMPUTED_VALUE"""),"14:00-15:30")</f>
        <v>14:00-15:30</v>
      </c>
      <c r="N1666" s="7">
        <f>IFERROR(__xludf.DUMMYFUNCTION("""COMPUTED_VALUE"""),1.0)</f>
        <v>1</v>
      </c>
    </row>
    <row r="1667">
      <c r="A1667" s="7" t="str">
        <f>IFERROR(__xludf.DUMMYFUNCTION("""COMPUTED_VALUE"""),"145-MAIN")</f>
        <v>145-MAIN</v>
      </c>
      <c r="B1667" s="7" t="str">
        <f>IFERROR(__xludf.DUMMYFUNCTION("""COMPUTED_VALUE"""),"Wait, that's not an option: LLMs Robustness with Incorrect Multiple-Choice Options")</f>
        <v>Wait, that's not an option: LLMs Robustness with Incorrect Multiple-Choice Options</v>
      </c>
      <c r="C1667" s="7" t="str">
        <f>IFERROR(__xludf.DUMMYFUNCTION("""COMPUTED_VALUE"""),"This work introduces a novel framework for evaluating LLMs' capacity to balance instruction-following with critical reasoning when presented with multiple-choice questions containing no valid answers. Through systematic evaluation across arithmetic, domai"&amp;"n-specific knowledge, and high-stakes medical decision tasks, we demonstrate that post-training aligned models often default to selecting invalid options, while base models exhibit improved refusal capabilities that scale with model size. Our analysis rev"&amp;"eals that alignment techniques, though intended to enhance helpfulness, can inadvertently impair models' reflective judgment--the ability to override default behaviors when faced with invalid options. We additionally conduct a parallel human study showing"&amp;" similar instruction-following biases, with implications for how these biases may propagate through human feedback datasets used in alignment. We provide extensive ablation studies examining the impact of model size, training techniques, and prompt engine"&amp;"ering. Our findings highlight fundamental tensions between alignment optimization and preservation of critical reasoning capabilities, with important implications for developing more robust AI systems for real-world deployment.")</f>
        <v>This work introduces a novel framework for evaluating LLMs' capacity to balance instruction-following with critical reasoning when presented with multiple-choice questions containing no valid answers. Through systematic evaluation across arithmetic, domain-specific knowledge, and high-stakes medical decision tasks, we demonstrate that post-training aligned models often default to selecting invalid options, while base models exhibit improved refusal capabilities that scale with model size. Our analysis reveals that alignment techniques, though intended to enhance helpfulness, can inadvertently impair models' reflective judgment--the ability to override default behaviors when faced with invalid options. We additionally conduct a parallel human study showing similar instruction-following biases, with implications for how these biases may propagate through human feedback datasets used in alignment. We provide extensive ablation studies examining the impact of model size, training techniques, and prompt engineering. Our findings highlight fundamental tensions between alignment optimization and preservation of critical reasoning capabilities, with important implications for developing more robust AI systems for real-world deployment.</v>
      </c>
      <c r="D1667" s="7" t="str">
        <f>IFERROR(__xludf.DUMMYFUNCTION("""COMPUTED_VALUE"""),"Gracjan Góral")</f>
        <v>Gracjan Góral</v>
      </c>
      <c r="E1667" s="7" t="str">
        <f>IFERROR(__xludf.DUMMYFUNCTION("""COMPUTED_VALUE"""),"Yes")</f>
        <v>Yes</v>
      </c>
      <c r="F1667" s="7" t="str">
        <f>IFERROR(__xludf.DUMMYFUNCTION("""COMPUTED_VALUE"""),"IP-Poster")</f>
        <v>IP-Poster</v>
      </c>
      <c r="G1667" s="7" t="str">
        <f>IFERROR(__xludf.DUMMYFUNCTION("""COMPUTED_VALUE"""),"In-Person")</f>
        <v>In-Person</v>
      </c>
      <c r="H1667" s="7" t="str">
        <f>IFERROR(__xludf.DUMMYFUNCTION("""COMPUTED_VALUE"""),"Hall 4/5")</f>
        <v>Hall 4/5</v>
      </c>
      <c r="I1667" s="7" t="str">
        <f>IFERROR(__xludf.DUMMYFUNCTION("""COMPUTED_VALUE"""),"Session 2: IP-Posters ")</f>
        <v>Session 2: IP-Posters </v>
      </c>
      <c r="J1667" s="7" t="str">
        <f>IFERROR(__xludf.DUMMYFUNCTION("""COMPUTED_VALUE"""),"Poster Session 1")</f>
        <v>Poster Session 1</v>
      </c>
      <c r="K1667" s="7"/>
      <c r="L1667" s="8">
        <f>IFERROR(__xludf.DUMMYFUNCTION("""COMPUTED_VALUE"""),45866.0)</f>
        <v>45866</v>
      </c>
      <c r="M1667" s="7" t="str">
        <f>IFERROR(__xludf.DUMMYFUNCTION("""COMPUTED_VALUE"""),"11:00-12:30")</f>
        <v>11:00-12:30</v>
      </c>
      <c r="N1667" s="7"/>
    </row>
    <row r="1668">
      <c r="A1668" s="7" t="str">
        <f>IFERROR(__xludf.DUMMYFUNCTION("""COMPUTED_VALUE"""),"146-MAIN")</f>
        <v>146-MAIN</v>
      </c>
      <c r="B1668" s="7" t="str">
        <f>IFERROR(__xludf.DUMMYFUNCTION("""COMPUTED_VALUE"""),"The Hidden Attention of Mamba Models")</f>
        <v>The Hidden Attention of Mamba Models</v>
      </c>
      <c r="C1668" s="7" t="str">
        <f>IFERROR(__xludf.DUMMYFUNCTION("""COMPUTED_VALUE"""),"The Mamba layer offers an efficient selective state-space model (SSM) that is highly effective in modeling multiple domains, including
NLP, long-range sequence processing, and computer vision. Selective SSMs are viewed as dual models, in which one trains "&amp;"in parallel on the entire sequence via an IO-aware parallel scan, and deploys in an autoregressive manner. We add a third view and show that such models can be viewed as attention-driven models. This new perspective enables us to empirically and theoretic"&amp;"ally compare the underlying mechanisms to that of the attention in transformers and allows us to peer inside the inner workings of the Mamba model with explainability methods. Our code is publicly available.")</f>
        <v>The Mamba layer offers an efficient selective state-space model (SSM) that is highly effective in modeling multiple domains, including
NLP, long-range sequence processing, and computer vision. Selective SSMs are viewed as dual models, in which one trains in parallel on the entire sequence via an IO-aware parallel scan, and deploys in an autoregressive manner. We add a third view and show that such models can be viewed as attention-driven models. This new perspective enables us to empirically and theoretically compare the underlying mechanisms to that of the attention in transformers and allows us to peer inside the inner workings of the Mamba model with explainability methods. Our code is publicly available.</v>
      </c>
      <c r="D1668" s="7" t="str">
        <f>IFERROR(__xludf.DUMMYFUNCTION("""COMPUTED_VALUE"""),"Ameen Ali")</f>
        <v>Ameen Ali</v>
      </c>
      <c r="E1668" s="7" t="str">
        <f>IFERROR(__xludf.DUMMYFUNCTION("""COMPUTED_VALUE"""),"Yes")</f>
        <v>Yes</v>
      </c>
      <c r="F1668" s="7" t="str">
        <f>IFERROR(__xludf.DUMMYFUNCTION("""COMPUTED_VALUE"""),"IP-Poster")</f>
        <v>IP-Poster</v>
      </c>
      <c r="G1668" s="7" t="str">
        <f>IFERROR(__xludf.DUMMYFUNCTION("""COMPUTED_VALUE"""),"In-Person")</f>
        <v>In-Person</v>
      </c>
      <c r="H1668" s="7" t="str">
        <f>IFERROR(__xludf.DUMMYFUNCTION("""COMPUTED_VALUE"""),"Hall 4/5")</f>
        <v>Hall 4/5</v>
      </c>
      <c r="I1668" s="7" t="str">
        <f>IFERROR(__xludf.DUMMYFUNCTION("""COMPUTED_VALUE"""),"Session 7: IP-Posters")</f>
        <v>Session 7: IP-Posters</v>
      </c>
      <c r="J1668" s="7" t="str">
        <f>IFERROR(__xludf.DUMMYFUNCTION("""COMPUTED_VALUE"""),"Poster Session 2")</f>
        <v>Poster Session 2</v>
      </c>
      <c r="K1668" s="7"/>
      <c r="L1668" s="8">
        <f>IFERROR(__xludf.DUMMYFUNCTION("""COMPUTED_VALUE"""),45867.0)</f>
        <v>45867</v>
      </c>
      <c r="M1668" s="7" t="str">
        <f>IFERROR(__xludf.DUMMYFUNCTION("""COMPUTED_VALUE"""),"10:30-12:00")</f>
        <v>10:30-12:00</v>
      </c>
      <c r="N1668" s="7"/>
    </row>
    <row r="1669">
      <c r="A1669" s="7" t="str">
        <f>IFERROR(__xludf.DUMMYFUNCTION("""COMPUTED_VALUE"""),"147-MAIN")</f>
        <v>147-MAIN</v>
      </c>
      <c r="B1669" s="7" t="str">
        <f>IFERROR(__xludf.DUMMYFUNCTION("""COMPUTED_VALUE"""),"KV-Latent: Dimensional-level KV Cache Reduction with Frequency-aware Rotary Positional Embedding")</f>
        <v>KV-Latent: Dimensional-level KV Cache Reduction with Frequency-aware Rotary Positional Embedding</v>
      </c>
      <c r="C1669" s="7" t="str">
        <f>IFERROR(__xludf.DUMMYFUNCTION("""COMPUTED_VALUE"""),"Large language models (LLMs) based on Transformer Decoders have become the preferred choice for conversational generative AI. Despite the overall superiority of the Decoder architecture, the gradually increasing Key-Value (KV) cache during inference has e"&amp;"merged as a primary efficiency bottleneck, both in aspects of memory consumption and data transfer bandwidth limitations. To address these challenges, we propose a paradigm called KV-Latent. By down-sampling the Key-Value vector dimensions into a latent s"&amp;"pace, we can significantly reduce the KV Cache footprint and improve inference speed, only with a small amount of extra training, less than 1% of pre-training takes. Besides, we enhanced the stability of Rotary Positional Embedding applied on lower-dimens"&amp;"ional vectors by modifying its frequency sampling mechanism, avoiding noise introduced by higher frequencies while retaining position attenuation. Our experiments, including both models with Grouped Query Attention and those without, have yielded satisfac"&amp;"tory results. Finally, we conducted comparative experiments to study the impact of separately reducing Key and Value components on model's performance. Our approach allows for the construction of more efficient language model systems, and opens the new po"&amp;"ssibility on KV Cache saving and efficient LLMs.")</f>
        <v>Large language models (LLMs) based on Transformer Decoders have become the preferred choice for conversational generative AI. Despite the overall superiority of the Decoder architecture, the gradually increasing Key-Value (KV) cache during inference has emerged as a primary efficiency bottleneck, both in aspects of memory consumption and data transfer bandwidth limitations. To address these challenges, we propose a paradigm called KV-Latent. By down-sampling the Key-Value vector dimensions into a latent space, we can significantly reduce the KV Cache footprint and improve inference speed, only with a small amount of extra training, less than 1% of pre-training takes. Besides, we enhanced the stability of Rotary Positional Embedding applied on lower-dimensional vectors by modifying its frequency sampling mechanism, avoiding noise introduced by higher frequencies while retaining position attenuation. Our experiments, including both models with Grouped Query Attention and those without, have yielded satisfactory results. Finally, we conducted comparative experiments to study the impact of separately reducing Key and Value components on model's performance. Our approach allows for the construction of more efficient language model systems, and opens the new possibility on KV Cache saving and efficient LLMs.</v>
      </c>
      <c r="D1669" s="7" t="str">
        <f>IFERROR(__xludf.DUMMYFUNCTION("""COMPUTED_VALUE"""),"Luohe Shi")</f>
        <v>Luohe Shi</v>
      </c>
      <c r="E1669" s="7" t="str">
        <f>IFERROR(__xludf.DUMMYFUNCTION("""COMPUTED_VALUE"""),"Yes")</f>
        <v>Yes</v>
      </c>
      <c r="F1669" s="7" t="str">
        <f>IFERROR(__xludf.DUMMYFUNCTION("""COMPUTED_VALUE"""),"IP-Poster")</f>
        <v>IP-Poster</v>
      </c>
      <c r="G1669" s="7" t="str">
        <f>IFERROR(__xludf.DUMMYFUNCTION("""COMPUTED_VALUE"""),"In-Person")</f>
        <v>In-Person</v>
      </c>
      <c r="H1669" s="7" t="str">
        <f>IFERROR(__xludf.DUMMYFUNCTION("""COMPUTED_VALUE"""),"Hall 4/5")</f>
        <v>Hall 4/5</v>
      </c>
      <c r="I1669" s="7" t="str">
        <f>IFERROR(__xludf.DUMMYFUNCTION("""COMPUTED_VALUE"""),"Session 2: IP-Posters ")</f>
        <v>Session 2: IP-Posters </v>
      </c>
      <c r="J1669" s="7" t="str">
        <f>IFERROR(__xludf.DUMMYFUNCTION("""COMPUTED_VALUE"""),"Poster Session 1")</f>
        <v>Poster Session 1</v>
      </c>
      <c r="K1669" s="7"/>
      <c r="L1669" s="8">
        <f>IFERROR(__xludf.DUMMYFUNCTION("""COMPUTED_VALUE"""),45866.0)</f>
        <v>45866</v>
      </c>
      <c r="M1669" s="7" t="str">
        <f>IFERROR(__xludf.DUMMYFUNCTION("""COMPUTED_VALUE"""),"11:00-12:30")</f>
        <v>11:00-12:30</v>
      </c>
      <c r="N1669" s="7"/>
    </row>
    <row r="1670">
      <c r="A1670" s="7" t="str">
        <f>IFERROR(__xludf.DUMMYFUNCTION("""COMPUTED_VALUE"""),"151-MAIN")</f>
        <v>151-MAIN</v>
      </c>
      <c r="B1670" s="7" t="str">
        <f>IFERROR(__xludf.DUMMYFUNCTION("""COMPUTED_VALUE"""),"LEANCODE: Understanding Models Better for Code Simplification of Pre-trained Large Language Models")</f>
        <v>LEANCODE: Understanding Models Better for Code Simplification of Pre-trained Large Language Models</v>
      </c>
      <c r="C1670" s="7" t="str">
        <f>IFERROR(__xludf.DUMMYFUNCTION("""COMPUTED_VALUE"""),"Large Language Models for code often entail significant computational complexity, which grows significantly with the length of the input code sequence. We propose $LeanCode$ for code simplification to reduce training and prediction time, leveraging code c"&amp;"ontexts in utilizing attention scores to represent the tokens' importance. We advocate for the selective removal of tokens based on the average  context-aware attention scores rather than average scores across all inputs. $LeanCode$ uses the attention sco"&amp;"res of `CLS' tokens within the encoder for classification tasks, such as code search. It also employs the encoder-decoder attention scores to determine token significance for sequence-to-sequence tasks like code summarization. Our evaluation shows $LeanCo"&amp;"de$'s superiority over the SOTAs $DietCode$ and $SlimCode$, with improvements of 60\% and 16\% for code search, and 29\% and 27\% for code summarization, respectively.")</f>
        <v>Large Language Models for code often entail significant computational complexity, which grows significantly with the length of the input code sequence. We propose $LeanCode$ for code simplification to reduce training and prediction time, leveraging code contexts in utilizing attention scores to represent the tokens' importance. We advocate for the selective removal of tokens based on the average  context-aware attention scores rather than average scores across all inputs. $LeanCode$ uses the attention scores of `CLS' tokens within the encoder for classification tasks, such as code search. It also employs the encoder-decoder attention scores to determine token significance for sequence-to-sequence tasks like code summarization. Our evaluation shows $LeanCode$'s superiority over the SOTAs $DietCode$ and $SlimCode$, with improvements of 60\% and 16\% for code search, and 29\% and 27\% for code summarization, respectively.</v>
      </c>
      <c r="D1670" s="7" t="str">
        <f>IFERROR(__xludf.DUMMYFUNCTION("""COMPUTED_VALUE"""),"Shaohua Wang, the fourth author.")</f>
        <v>Shaohua Wang, the fourth author.</v>
      </c>
      <c r="E1670" s="7" t="str">
        <f>IFERROR(__xludf.DUMMYFUNCTION("""COMPUTED_VALUE"""),"Yes")</f>
        <v>Yes</v>
      </c>
      <c r="F1670" s="7" t="str">
        <f>IFERROR(__xludf.DUMMYFUNCTION("""COMPUTED_VALUE"""),"IP-Poster")</f>
        <v>IP-Poster</v>
      </c>
      <c r="G1670" s="7" t="str">
        <f>IFERROR(__xludf.DUMMYFUNCTION("""COMPUTED_VALUE"""),"In-Person")</f>
        <v>In-Person</v>
      </c>
      <c r="H1670" s="7" t="str">
        <f>IFERROR(__xludf.DUMMYFUNCTION("""COMPUTED_VALUE"""),"Hall 4/5")</f>
        <v>Hall 4/5</v>
      </c>
      <c r="I1670" s="7" t="str">
        <f>IFERROR(__xludf.DUMMYFUNCTION("""COMPUTED_VALUE"""),"Session 2: IP-Posters ")</f>
        <v>Session 2: IP-Posters </v>
      </c>
      <c r="J1670" s="7" t="str">
        <f>IFERROR(__xludf.DUMMYFUNCTION("""COMPUTED_VALUE"""),"Poster Session 1")</f>
        <v>Poster Session 1</v>
      </c>
      <c r="K1670" s="7"/>
      <c r="L1670" s="8">
        <f>IFERROR(__xludf.DUMMYFUNCTION("""COMPUTED_VALUE"""),45866.0)</f>
        <v>45866</v>
      </c>
      <c r="M1670" s="7" t="str">
        <f>IFERROR(__xludf.DUMMYFUNCTION("""COMPUTED_VALUE"""),"11:00-12:30")</f>
        <v>11:00-12:30</v>
      </c>
      <c r="N1670" s="7"/>
    </row>
    <row r="1671">
      <c r="A1671" s="7" t="str">
        <f>IFERROR(__xludf.DUMMYFUNCTION("""COMPUTED_VALUE"""),"152-MAIN")</f>
        <v>152-MAIN</v>
      </c>
      <c r="B1671" s="7" t="str">
        <f>IFERROR(__xludf.DUMMYFUNCTION("""COMPUTED_VALUE"""),"MARS: Benchmarking the Metaphysical Reasoning Abilities of Language Models with a Multi-task Evaluation Dataset")</f>
        <v>MARS: Benchmarking the Metaphysical Reasoning Abilities of Language Models with a Multi-task Evaluation Dataset</v>
      </c>
      <c r="C1671" s="7" t="str">
        <f>IFERROR(__xludf.DUMMYFUNCTION("""COMPUTED_VALUE"""),"To enable Large Language Models (LLMs) to function as conscious agents with generalizable reasoning capabilities, it is crucial that they possess the ability to ***comprehend situational changes (transitions) in distribution*** triggered by environmental "&amp;"factors or actions from other agents. Despite its fundamental significance, this ability remains underexplored due to the complexity of modeling infinite possible changes in an event and their associated distributions, coupled with the lack of benchmark d"&amp;"ata with situational transitions. Addressing these gaps, we propose a novel formulation of ***reasoning with distributional changes as a three-step discriminative process***, termed as ***MetAphysical ReaSoning***. We then introduce the first-ever benchma"&amp;"rk, **MARS**, comprising three tasks corresponding to each step. These tasks systematically assess LLMs’ capabilities in reasoning the plausibility of (i) changes in actions, (ii) states caused by changed actions, and (iii) situational transitions driven "&amp;"by changes in action. Extensive evaluations with 20 (L)LMs of varying sizes and methods indicate that all three tasks in this process pose significant challenges, even after fine-tuning. Further analyses reveal potential causes for the underperformance of"&amp;" LLMs and demonstrate that pre-training on large-scale conceptualization taxonomies can potentially enhance LMs’ metaphysical reasoning capabilities. Our data and models are publicly accessible at https://github.com/HKUST-KnowComp/MARS.")</f>
        <v>To enable Large Language Models (LLMs) to function as conscious agents with generalizable reasoning capabilities, it is crucial that they possess the ability to ***comprehend situational changes (transitions) in distribution*** triggered by environmental factors or actions from other agents. Despite its fundamental significance, this ability remains underexplored due to the complexity of modeling infinite possible changes in an event and their associated distributions, coupled with the lack of benchmark data with situational transitions. Addressing these gaps, we propose a novel formulation of ***reasoning with distributional changes as a three-step discriminative process***, termed as ***MetAphysical ReaSoning***. We then introduce the first-ever benchmark, **MARS**, comprising three tasks corresponding to each step. These tasks systematically assess LLMs’ capabilities in reasoning the plausibility of (i) changes in actions, (ii) states caused by changed actions, and (iii) situational transitions driven by changes in action. Extensive evaluations with 20 (L)LMs of varying sizes and methods indicate that all three tasks in this process pose significant challenges, even after fine-tuning. Further analyses reveal potential causes for the underperformance of LLMs and demonstrate that pre-training on large-scale conceptualization taxonomies can potentially enhance LMs’ metaphysical reasoning capabilities. Our data and models are publicly accessible at https://github.com/HKUST-KnowComp/MARS.</v>
      </c>
      <c r="D1671" s="7" t="str">
        <f>IFERROR(__xludf.DUMMYFUNCTION("""COMPUTED_VALUE"""),"Weiqi Wang")</f>
        <v>Weiqi Wang</v>
      </c>
      <c r="E1671" s="7" t="str">
        <f>IFERROR(__xludf.DUMMYFUNCTION("""COMPUTED_VALUE"""),"Yes")</f>
        <v>Yes</v>
      </c>
      <c r="F1671" s="7" t="str">
        <f>IFERROR(__xludf.DUMMYFUNCTION("""COMPUTED_VALUE"""),"IP-Poster")</f>
        <v>IP-Poster</v>
      </c>
      <c r="G1671" s="7" t="str">
        <f>IFERROR(__xludf.DUMMYFUNCTION("""COMPUTED_VALUE"""),"In-Person")</f>
        <v>In-Person</v>
      </c>
      <c r="H1671" s="7" t="str">
        <f>IFERROR(__xludf.DUMMYFUNCTION("""COMPUTED_VALUE"""),"Hall 4/5")</f>
        <v>Hall 4/5</v>
      </c>
      <c r="I1671" s="7" t="str">
        <f>IFERROR(__xludf.DUMMYFUNCTION("""COMPUTED_VALUE"""),"Session 2: IP-Posters ")</f>
        <v>Session 2: IP-Posters </v>
      </c>
      <c r="J1671" s="7" t="str">
        <f>IFERROR(__xludf.DUMMYFUNCTION("""COMPUTED_VALUE"""),"Poster Session 1")</f>
        <v>Poster Session 1</v>
      </c>
      <c r="K1671" s="7"/>
      <c r="L1671" s="8">
        <f>IFERROR(__xludf.DUMMYFUNCTION("""COMPUTED_VALUE"""),45866.0)</f>
        <v>45866</v>
      </c>
      <c r="M1671" s="7" t="str">
        <f>IFERROR(__xludf.DUMMYFUNCTION("""COMPUTED_VALUE"""),"11:00-12:30")</f>
        <v>11:00-12:30</v>
      </c>
      <c r="N1671" s="7"/>
    </row>
    <row r="1672">
      <c r="A1672" s="7" t="str">
        <f>IFERROR(__xludf.DUMMYFUNCTION("""COMPUTED_VALUE"""),"153-MAIN")</f>
        <v>153-MAIN</v>
      </c>
      <c r="B1672" s="7" t="str">
        <f>IFERROR(__xludf.DUMMYFUNCTION("""COMPUTED_VALUE"""),"Ask-Before-Detection: Identifying and Mitigating Conformity Bias in LLM-Powered Error Detector for Math Word Problem Solutions")</f>
        <v>Ask-Before-Detection: Identifying and Mitigating Conformity Bias in LLM-Powered Error Detector for Math Word Problem Solutions</v>
      </c>
      <c r="C1672" s="7" t="str">
        <f>IFERROR(__xludf.DUMMYFUNCTION("""COMPUTED_VALUE"""),"The rise of large language models (LLMs) offers new opportunities for automatic error detection in education, particularly for math word problems (MWPs). While prior studies demonstrate the promise of LLMs as error detectors, they overlook the presence of"&amp;" multiple valid solutions for a single MWP. Our preliminary analysis reveals a significant performance gap between conventional and alternative solutions in MWPs, a phenomenon we term conformity bias in this work. To mitigate this bias, we introduce the A"&amp;"sk-Before-Detect (AskBD) framework, which generates adaptive reference solutions using LLMs to enhance error detection. Experiments on 200 examples of GSM8K show that AskBD effectively mitigates bias and improves performance, especially when combined with"&amp;" reasoning-enhancing techniques like chain-of-thought prompting.")</f>
        <v>The rise of large language models (LLMs) offers new opportunities for automatic error detection in education, particularly for math word problems (MWPs). While prior studies demonstrate the promise of LLMs as error detectors, they overlook the presence of multiple valid solutions for a single MWP. Our preliminary analysis reveals a significant performance gap between conventional and alternative solutions in MWPs, a phenomenon we term conformity bias in this work. To mitigate this bias, we introduce the Ask-Before-Detect (AskBD) framework, which generates adaptive reference solutions using LLMs to enhance error detection. Experiments on 200 examples of GSM8K show that AskBD effectively mitigates bias and improves performance, especially when combined with reasoning-enhancing techniques like chain-of-thought prompting.</v>
      </c>
      <c r="D1672" s="7" t="str">
        <f>IFERROR(__xludf.DUMMYFUNCTION("""COMPUTED_VALUE"""),"Hang Li")</f>
        <v>Hang Li</v>
      </c>
      <c r="E1672" s="7" t="str">
        <f>IFERROR(__xludf.DUMMYFUNCTION("""COMPUTED_VALUE"""),"Yes")</f>
        <v>Yes</v>
      </c>
      <c r="F1672" s="7" t="str">
        <f>IFERROR(__xludf.DUMMYFUNCTION("""COMPUTED_VALUE"""),"IP-Poster")</f>
        <v>IP-Poster</v>
      </c>
      <c r="G1672" s="7" t="str">
        <f>IFERROR(__xludf.DUMMYFUNCTION("""COMPUTED_VALUE"""),"In-Person")</f>
        <v>In-Person</v>
      </c>
      <c r="H1672" s="7" t="str">
        <f>IFERROR(__xludf.DUMMYFUNCTION("""COMPUTED_VALUE"""),"Hall 4/5")</f>
        <v>Hall 4/5</v>
      </c>
      <c r="I1672" s="7" t="str">
        <f>IFERROR(__xludf.DUMMYFUNCTION("""COMPUTED_VALUE"""),"Session 2: IP-Posters ")</f>
        <v>Session 2: IP-Posters </v>
      </c>
      <c r="J1672" s="7" t="str">
        <f>IFERROR(__xludf.DUMMYFUNCTION("""COMPUTED_VALUE"""),"Poster Session 1")</f>
        <v>Poster Session 1</v>
      </c>
      <c r="K1672" s="7"/>
      <c r="L1672" s="8">
        <f>IFERROR(__xludf.DUMMYFUNCTION("""COMPUTED_VALUE"""),45866.0)</f>
        <v>45866</v>
      </c>
      <c r="M1672" s="7" t="str">
        <f>IFERROR(__xludf.DUMMYFUNCTION("""COMPUTED_VALUE"""),"11:00-12:30")</f>
        <v>11:00-12:30</v>
      </c>
      <c r="N1672" s="7"/>
    </row>
    <row r="1673">
      <c r="A1673" s="7" t="str">
        <f>IFERROR(__xludf.DUMMYFUNCTION("""COMPUTED_VALUE"""),"154-MAIN")</f>
        <v>154-MAIN</v>
      </c>
      <c r="B1673" s="7" t="str">
        <f>IFERROR(__xludf.DUMMYFUNCTION("""COMPUTED_VALUE"""),"Real-time Fake News from Adversarial Feedback")</f>
        <v>Real-time Fake News from Adversarial Feedback</v>
      </c>
      <c r="C1673" s="7" t="str">
        <f>IFERROR(__xludf.DUMMYFUNCTION("""COMPUTED_VALUE"""),"We show that existing evaluations for assessing the factuality of news from conventional sources, such as claims on fact-checking websites, result in high accuracies over time for LLM-based detectors—even after their knowledge cutoffs. This suggests that "&amp;"recent popular false information from such sources can be easily identified due to its likely presence in pre-training/retrieval corpora or the emergence of salient, yet shallow, patterns in these datasets. Instead, we argue that a proper factuality evalu"&amp;"ation dataset should test a model's ability to reason about current events by retrieving and reading related evidence. To this end, we develop a novel pipeline that leverages natural language feedback from a RAG-based detector to iteratively modify real-t"&amp;"ime news into deceptive variants that challenge LLMs. Our iterative rewrite decreases the binary classification ROC-AUC by an absolute 17.5 percent for a strong RAG-based GPT-4o detector. Our experiments reveal the important role of RAG in both evaluating"&amp;" and generating challenging news examples, as retrieval-free LLM detectors are vulnerable to unseen events and adversarial attacks, while feedback from RAG-based evaluation helps discover more deceitful patterns.")</f>
        <v>We show that existing evaluations for assessing the factuality of news from conventional sources, such as claims on fact-checking websites, result in high accuracies over time for LLM-based detectors—even after their knowledge cutoffs. This suggests that recent popular false information from such sources can be easily identified due to its likely presence in pre-training/retrieval corpora or the emergence of salient, yet shallow, patterns in these datasets. Instead, we argue that a proper factuality evaluation dataset should test a model's ability to reason about current events by retrieving and reading related evidence. To this end, we develop a novel pipeline that leverages natural language feedback from a RAG-based detector to iteratively modify real-time news into deceptive variants that challenge LLMs. Our iterative rewrite decreases the binary classification ROC-AUC by an absolute 17.5 percent for a strong RAG-based GPT-4o detector. Our experiments reveal the important role of RAG in both evaluating and generating challenging news examples, as retrieval-free LLM detectors are vulnerable to unseen events and adversarial attacks, while feedback from RAG-based evaluation helps discover more deceitful patterns.</v>
      </c>
      <c r="D1673" s="7" t="str">
        <f>IFERROR(__xludf.DUMMYFUNCTION("""COMPUTED_VALUE"""),"Sanxing Chen")</f>
        <v>Sanxing Chen</v>
      </c>
      <c r="E1673" s="7" t="str">
        <f>IFERROR(__xludf.DUMMYFUNCTION("""COMPUTED_VALUE"""),"Yes")</f>
        <v>Yes</v>
      </c>
      <c r="F1673" s="7" t="str">
        <f>IFERROR(__xludf.DUMMYFUNCTION("""COMPUTED_VALUE"""),"IP-Poster")</f>
        <v>IP-Poster</v>
      </c>
      <c r="G1673" s="7" t="str">
        <f>IFERROR(__xludf.DUMMYFUNCTION("""COMPUTED_VALUE"""),"In-Person")</f>
        <v>In-Person</v>
      </c>
      <c r="H1673" s="7" t="str">
        <f>IFERROR(__xludf.DUMMYFUNCTION("""COMPUTED_VALUE"""),"Hall 4/5")</f>
        <v>Hall 4/5</v>
      </c>
      <c r="I1673" s="7" t="str">
        <f>IFERROR(__xludf.DUMMYFUNCTION("""COMPUTED_VALUE"""),"Session 12: IP-Posters")</f>
        <v>Session 12: IP-Posters</v>
      </c>
      <c r="J1673" s="7" t="str">
        <f>IFERROR(__xludf.DUMMYFUNCTION("""COMPUTED_VALUE"""),"Poster Session 4")</f>
        <v>Poster Session 4</v>
      </c>
      <c r="K1673" s="7"/>
      <c r="L1673" s="8">
        <f>IFERROR(__xludf.DUMMYFUNCTION("""COMPUTED_VALUE"""),45868.0)</f>
        <v>45868</v>
      </c>
      <c r="M1673" s="7" t="str">
        <f>IFERROR(__xludf.DUMMYFUNCTION("""COMPUTED_VALUE"""),"11:00-12:30")</f>
        <v>11:00-12:30</v>
      </c>
      <c r="N1673" s="7"/>
    </row>
    <row r="1674">
      <c r="A1674" s="7" t="str">
        <f>IFERROR(__xludf.DUMMYFUNCTION("""COMPUTED_VALUE"""),"158-MAIN")</f>
        <v>158-MAIN</v>
      </c>
      <c r="B1674" s="7" t="str">
        <f>IFERROR(__xludf.DUMMYFUNCTION("""COMPUTED_VALUE"""),"Improve Vision Language Model Chain-of-thought Reasoning")</f>
        <v>Improve Vision Language Model Chain-of-thought Reasoning</v>
      </c>
      <c r="C1674" s="7" t="str">
        <f>IFERROR(__xludf.DUMMYFUNCTION("""COMPUTED_VALUE"""),"Chain-of-thought (CoT) reasoning in vision language models (VLMs) is crucial for improving interpretability and trustworthiness. However, current training recipes often relying on datasets dominated by short annotations with minimal rationales. In this wo"&amp;"rk, we show that training VLM on short answers leads to poor generalization on reasoning tasks that require more detailed explanations. To address this limitation, we propose a two-stage post-training strategy that extends the usage of short answer data f"&amp;"or enhanced CoT reasoning. First, we augment short answers with CoT reasoning generated by GPT-4o, enhancing the VLM’s CoT capabilities through fine-tuning. Second, we leverage short answers as outcome rewards for reinforcement learning. Specifically, sho"&amp;"rt answers are used as correctness indicators to construct positive (correct) and negative (incorrect) pairs from model-generated reasoning chains. These pairs are then used to calibrate the model’s reasoning via Direct Preference Optimization. Our experi"&amp;"ments show significant improvements in CoT reasoning on benchmark datasets, along with enhanced generalization to direct answer prediction. This work provides a critical data resource for VLM CoT training and demonstrates the effectiveness of outcome rewa"&amp;"rds for multimodal models post-training.")</f>
        <v>Chain-of-thought (CoT) reasoning in vision language models (VLMs) is crucial for improving interpretability and trustworthiness. However, current training recipes often relying on datasets dominated by short annotations with minimal rationales. In this work, we show that training VLM on short answers leads to poor generalization on reasoning tasks that require more detailed explanations. To address this limitation, we propose a two-stage post-training strategy that extends the usage of short answer data for enhanced CoT reasoning. First, we augment short answers with CoT reasoning generated by GPT-4o, enhancing the VLM’s CoT capabilities through fine-tuning. Second, we leverage short answers as outcome rewards for reinforcement learning. Specifically, short answers are used as correctness indicators to construct positive (correct) and negative (incorrect) pairs from model-generated reasoning chains. These pairs are then used to calibrate the model’s reasoning via Direct Preference Optimization. Our experiments show significant improvements in CoT reasoning on benchmark datasets, along with enhanced generalization to direct answer prediction. This work provides a critical data resource for VLM CoT training and demonstrates the effectiveness of outcome rewards for multimodal models post-training.</v>
      </c>
      <c r="D1674" s="7" t="str">
        <f>IFERROR(__xludf.DUMMYFUNCTION("""COMPUTED_VALUE"""),"Ruohong Zhang")</f>
        <v>Ruohong Zhang</v>
      </c>
      <c r="E1674" s="7" t="str">
        <f>IFERROR(__xludf.DUMMYFUNCTION("""COMPUTED_VALUE"""),"Yes")</f>
        <v>Yes</v>
      </c>
      <c r="F1674" s="7" t="str">
        <f>IFERROR(__xludf.DUMMYFUNCTION("""COMPUTED_VALUE"""),"V-Presentation")</f>
        <v>V-Presentation</v>
      </c>
      <c r="G1674" s="7" t="str">
        <f>IFERROR(__xludf.DUMMYFUNCTION("""COMPUTED_VALUE"""),"Virtual/Gather")</f>
        <v>Virtual/Gather</v>
      </c>
      <c r="H1674" s="7" t="str">
        <f>IFERROR(__xludf.DUMMYFUNCTION("""COMPUTED_VALUE"""),"Zoom")</f>
        <v>Zoom</v>
      </c>
      <c r="I1674" s="7" t="str">
        <f>IFERROR(__xludf.DUMMYFUNCTION("""COMPUTED_VALUE"""),"Session 12: V-Presentations")</f>
        <v>Session 12: V-Presentations</v>
      </c>
      <c r="J1674" s="7" t="str">
        <f>IFERROR(__xludf.DUMMYFUNCTION("""COMPUTED_VALUE"""),"Virtual Presentations 4")</f>
        <v>Virtual Presentations 4</v>
      </c>
      <c r="K1674" s="7"/>
      <c r="L1674" s="8">
        <f>IFERROR(__xludf.DUMMYFUNCTION("""COMPUTED_VALUE"""),45868.0)</f>
        <v>45868</v>
      </c>
      <c r="M1674" s="7" t="str">
        <f>IFERROR(__xludf.DUMMYFUNCTION("""COMPUTED_VALUE"""),"11:00-12:30")</f>
        <v>11:00-12:30</v>
      </c>
      <c r="N1674" s="7"/>
    </row>
    <row r="1675">
      <c r="A1675" s="7" t="str">
        <f>IFERROR(__xludf.DUMMYFUNCTION("""COMPUTED_VALUE"""),"159-MAIN")</f>
        <v>159-MAIN</v>
      </c>
      <c r="B1675" s="7" t="str">
        <f>IFERROR(__xludf.DUMMYFUNCTION("""COMPUTED_VALUE"""),"On the Mutual Influence of Gender and Occupation in LLM Representations")</f>
        <v>On the Mutual Influence of Gender and Occupation in LLM Representations</v>
      </c>
      <c r="C1675" s="7" t="str">
        <f>IFERROR(__xludf.DUMMYFUNCTION("""COMPUTED_VALUE"""),"We examine LLM representations of gender for first names in various occupational contexts to study how occupations and the gender perception of first names in LLMs influence each other mutually. We find that LLMs' first-name gender representations correla"&amp;"te with real-world gender statistics associated with the name, and are influenced by the co-occurrence of stereotypically feminine or masculine occupations. Additionally, we study the influence of first-name gender representations on LLMs in a downstream "&amp;"occupation prediction task and their potential as an internal metric to identify extrinsic model biases. While feminine first-name embeddings often raise the probabilities for female-dominated jobs (and vice versa for male-dominated jobs), reliably using "&amp;"these internal gender representations for bias detection remains challenging.")</f>
        <v>We examine LLM representations of gender for first names in various occupational contexts to study how occupations and the gender perception of first names in LLMs influence each other mutually. We find that LLMs' first-name gender representations correlate with real-world gender statistics associated with the name, and are influenced by the co-occurrence of stereotypically feminine or masculine occupations. Additionally, we study the influence of first-name gender representations on LLMs in a downstream occupation prediction task and their potential as an internal metric to identify extrinsic model biases. While feminine first-name embeddings often raise the probabilities for female-dominated jobs (and vice versa for male-dominated jobs), reliably using these internal gender representations for bias detection remains challenging.</v>
      </c>
      <c r="D1675" s="7" t="str">
        <f>IFERROR(__xludf.DUMMYFUNCTION("""COMPUTED_VALUE"""),"Rachel Rudinger")</f>
        <v>Rachel Rudinger</v>
      </c>
      <c r="E1675" s="7" t="str">
        <f>IFERROR(__xludf.DUMMYFUNCTION("""COMPUTED_VALUE"""),"Yes")</f>
        <v>Yes</v>
      </c>
      <c r="F1675" s="7" t="str">
        <f>IFERROR(__xludf.DUMMYFUNCTION("""COMPUTED_VALUE"""),"IP-Poster")</f>
        <v>IP-Poster</v>
      </c>
      <c r="G1675" s="7" t="str">
        <f>IFERROR(__xludf.DUMMYFUNCTION("""COMPUTED_VALUE"""),"In-Person")</f>
        <v>In-Person</v>
      </c>
      <c r="H1675" s="7" t="str">
        <f>IFERROR(__xludf.DUMMYFUNCTION("""COMPUTED_VALUE"""),"Hall 4/5")</f>
        <v>Hall 4/5</v>
      </c>
      <c r="I1675" s="7" t="str">
        <f>IFERROR(__xludf.DUMMYFUNCTION("""COMPUTED_VALUE"""),"Session 10: IP-Posters")</f>
        <v>Session 10: IP-Posters</v>
      </c>
      <c r="J1675" s="7" t="str">
        <f>IFERROR(__xludf.DUMMYFUNCTION("""COMPUTED_VALUE"""),"Poster Session 3")</f>
        <v>Poster Session 3</v>
      </c>
      <c r="K1675" s="7"/>
      <c r="L1675" s="8">
        <f>IFERROR(__xludf.DUMMYFUNCTION("""COMPUTED_VALUE"""),45867.0)</f>
        <v>45867</v>
      </c>
      <c r="M1675" s="7" t="str">
        <f>IFERROR(__xludf.DUMMYFUNCTION("""COMPUTED_VALUE"""),"16:00-17:30")</f>
        <v>16:00-17:30</v>
      </c>
      <c r="N1675" s="7"/>
    </row>
    <row r="1676">
      <c r="A1676" s="7" t="str">
        <f>IFERROR(__xludf.DUMMYFUNCTION("""COMPUTED_VALUE"""),"160-MAIN")</f>
        <v>160-MAIN</v>
      </c>
      <c r="B1676" s="7" t="str">
        <f>IFERROR(__xludf.DUMMYFUNCTION("""COMPUTED_VALUE"""),"Disentangling Memory and Reasoning Ability in Large Language Models")</f>
        <v>Disentangling Memory and Reasoning Ability in Large Language Models</v>
      </c>
      <c r="C1676" s="7" t="str">
        <f>IFERROR(__xludf.DUMMYFUNCTION("""COMPUTED_VALUE"""),"Large Language Models (LLMs) have demonstrated strong performance in handling complex tasks that require both extensive knowledge and reasoning abilities. However, the existing LLM inference pipeline operates as an opaque process without explicit separati"&amp;"on between knowledge retrieval and reasoning steps, making the model’s decision-making process unclear and disorganized. Recent research has shown that this ambiguity will lead to issues such as knowledge forgetting, which significantly impact the reliabi"&amp;"lity of LLMs. In this paper, we propose a novel language model inference paradigm that decomposes the complex inference process into two distinct and clear actions: \textbf{(1) memory recall}: which retrieves relevant knowledge in LLM, and \textbf{(2) rea"&amp;"soning}: which performs reasoning steps based on the recalled knowledge. To facilitate this decomposition, we introduce two special tokens \textbf{$\langle \text{memory} \rangle$} and \textbf{$\langle \text{reason} \rangle$}, guiding the model to distingu"&amp;"ish between steps that require knowledge retrieval and those that involve reasoning.  Our experiment results show that this decomposition not only improves LLMs' performance among utility benchmarks but also enhances interpretability during the inference "&amp;"process, enabling users to identify sources of error and refine model responses effectively. The code is available at: https://github.com/MingyuJ666/Disentangling-Memory-and-Reasoning.")</f>
        <v>Large Language Models (LLMs) have demonstrated strong performance in handling complex tasks that require both extensive knowledge and reasoning abilities. However, the existing LLM inference pipeline operates as an opaque process without explicit separation between knowledge retrieval and reasoning steps, making the model’s decision-making process unclear and disorganized. Recent research has shown that this ambiguity will lead to issues such as knowledge forgetting, which significantly impact the reliability of LLMs. In this paper, we propose a novel language model inference paradigm that decomposes the complex inference process into two distinct and clear actions: \textbf{(1) memory recall}: which retrieves relevant knowledge in LLM, and \textbf{(2) reasoning}: which performs reasoning steps based on the recalled knowledge. To facilitate this decomposition, we introduce two special tokens \textbf{$\langle \text{memory} \rangle$} and \textbf{$\langle \text{reason} \rangle$}, guiding the model to distinguish between steps that require knowledge retrieval and those that involve reasoning.  Our experiment results show that this decomposition not only improves LLMs' performance among utility benchmarks but also enhances interpretability during the inference process, enabling users to identify sources of error and refine model responses effectively. The code is available at: https://github.com/MingyuJ666/Disentangling-Memory-and-Reasoning.</v>
      </c>
      <c r="D1676" s="7" t="str">
        <f>IFERROR(__xludf.DUMMYFUNCTION("""COMPUTED_VALUE"""),"Mingyu Jin")</f>
        <v>Mingyu Jin</v>
      </c>
      <c r="E1676" s="7" t="str">
        <f>IFERROR(__xludf.DUMMYFUNCTION("""COMPUTED_VALUE"""),"Yes")</f>
        <v>Yes</v>
      </c>
      <c r="F1676" s="7" t="str">
        <f>IFERROR(__xludf.DUMMYFUNCTION("""COMPUTED_VALUE"""),"V-Presentation")</f>
        <v>V-Presentation</v>
      </c>
      <c r="G1676" s="7" t="str">
        <f>IFERROR(__xludf.DUMMYFUNCTION("""COMPUTED_VALUE"""),"Virtual/Gather")</f>
        <v>Virtual/Gather</v>
      </c>
      <c r="H1676" s="7" t="str">
        <f>IFERROR(__xludf.DUMMYFUNCTION("""COMPUTED_VALUE"""),"Zoom")</f>
        <v>Zoom</v>
      </c>
      <c r="I1676" s="7" t="str">
        <f>IFERROR(__xludf.DUMMYFUNCTION("""COMPUTED_VALUE"""),"Session 7: V--Presentations ")</f>
        <v>Session 7: V--Presentations </v>
      </c>
      <c r="J1676" s="7" t="str">
        <f>IFERROR(__xludf.DUMMYFUNCTION("""COMPUTED_VALUE"""),"Virtual Presentations 2")</f>
        <v>Virtual Presentations 2</v>
      </c>
      <c r="K1676" s="7"/>
      <c r="L1676" s="8"/>
      <c r="M1676" s="7" t="str">
        <f>IFERROR(__xludf.DUMMYFUNCTION("""COMPUTED_VALUE"""),"10:30-12:00")</f>
        <v>10:30-12:00</v>
      </c>
      <c r="N1676" s="7"/>
    </row>
    <row r="1677">
      <c r="A1677" s="7" t="str">
        <f>IFERROR(__xludf.DUMMYFUNCTION("""COMPUTED_VALUE"""),"164-MAIN")</f>
        <v>164-MAIN</v>
      </c>
      <c r="B1677" s="7" t="str">
        <f>IFERROR(__xludf.DUMMYFUNCTION("""COMPUTED_VALUE"""),"Open-World Attribute Mining for E-Commerce Products with Multimodal Self-Correction Instruction Tuning")</f>
        <v>Open-World Attribute Mining for E-Commerce Products with Multimodal Self-Correction Instruction Tuning</v>
      </c>
      <c r="C1677" s="7" t="str">
        <f>IFERROR(__xludf.DUMMYFUNCTION("""COMPUTED_VALUE"""),"In e-commerce, effective product Attribute Mining (AM) is essential for improving product features and aiding consumer decisions. However, current AM methods often focus on extracting attributes from unimodal text, underutilizing multimodal data. In this "&amp;"paper, we propose a novel framework called Multimodal Self-Correction Instruction Tuning (MSIT) to mine new potential attributes from both images and text with Multimodal Large Language Models. The tuning process involves two datasets: Attribute Generatio"&amp;"n Tuning Data (AGTD) and Chain-of-Thought Tuning Data (CTTD). AGTD is constructed utilizing in-context learning with a small set of seed attributes, aiding the MLLM in accurately extracting attribute-value pairs from multimodal information. To introduce e"&amp;"xplicit reasoning and improve the extraction in accuracy, we construct CTTD, which incorporates a structured 5-step reasoning process for self-correction. Finally, we employ a 3-stage inference process to filter out redundant attributes and sequentially v"&amp;"alidate each generated attribute. Comprehensive experimental results on two datasets show that MSIT outperforms state-of-the-art methods. We will release our code and data in the near future.")</f>
        <v>In e-commerce, effective product Attribute Mining (AM) is essential for improving product features and aiding consumer decisions. However, current AM methods often focus on extracting attributes from unimodal text, underutilizing multimodal data. In this paper, we propose a novel framework called Multimodal Self-Correction Instruction Tuning (MSIT) to mine new potential attributes from both images and text with Multimodal Large Language Models. The tuning process involves two datasets: Attribute Generation Tuning Data (AGTD) and Chain-of-Thought Tuning Data (CTTD). AGTD is constructed utilizing in-context learning with a small set of seed attributes, aiding the MLLM in accurately extracting attribute-value pairs from multimodal information. To introduce explicit reasoning and improve the extraction in accuracy, we construct CTTD, which incorporates a structured 5-step reasoning process for self-correction. Finally, we employ a 3-stage inference process to filter out redundant attributes and sequentially validate each generated attribute. Comprehensive experimental results on two datasets show that MSIT outperforms state-of-the-art methods. We will release our code and data in the near future.</v>
      </c>
      <c r="D1677" s="7" t="str">
        <f>IFERROR(__xludf.DUMMYFUNCTION("""COMPUTED_VALUE"""),"Jiaqi Li, Yanming Li")</f>
        <v>Jiaqi Li, Yanming Li</v>
      </c>
      <c r="E1677" s="7" t="str">
        <f>IFERROR(__xludf.DUMMYFUNCTION("""COMPUTED_VALUE"""),"Yes")</f>
        <v>Yes</v>
      </c>
      <c r="F1677" s="7" t="str">
        <f>IFERROR(__xludf.DUMMYFUNCTION("""COMPUTED_VALUE"""),"IP-Poster")</f>
        <v>IP-Poster</v>
      </c>
      <c r="G1677" s="7" t="str">
        <f>IFERROR(__xludf.DUMMYFUNCTION("""COMPUTED_VALUE"""),"In-Person")</f>
        <v>In-Person</v>
      </c>
      <c r="H1677" s="7" t="str">
        <f>IFERROR(__xludf.DUMMYFUNCTION("""COMPUTED_VALUE"""),"Hall 4/5")</f>
        <v>Hall 4/5</v>
      </c>
      <c r="I1677" s="7" t="str">
        <f>IFERROR(__xludf.DUMMYFUNCTION("""COMPUTED_VALUE"""),"Session 7: IP-Posters")</f>
        <v>Session 7: IP-Posters</v>
      </c>
      <c r="J1677" s="7" t="str">
        <f>IFERROR(__xludf.DUMMYFUNCTION("""COMPUTED_VALUE"""),"Poster Session 2")</f>
        <v>Poster Session 2</v>
      </c>
      <c r="K1677" s="7"/>
      <c r="L1677" s="8">
        <f>IFERROR(__xludf.DUMMYFUNCTION("""COMPUTED_VALUE"""),45867.0)</f>
        <v>45867</v>
      </c>
      <c r="M1677" s="7" t="str">
        <f>IFERROR(__xludf.DUMMYFUNCTION("""COMPUTED_VALUE"""),"10:30-12:00")</f>
        <v>10:30-12:00</v>
      </c>
      <c r="N1677" s="7"/>
    </row>
    <row r="1678">
      <c r="A1678" s="7" t="str">
        <f>IFERROR(__xludf.DUMMYFUNCTION("""COMPUTED_VALUE"""),"166-MAIN")</f>
        <v>166-MAIN</v>
      </c>
      <c r="B1678" s="7" t="str">
        <f>IFERROR(__xludf.DUMMYFUNCTION("""COMPUTED_VALUE"""),"Normalized AOPC: Fixing Misleading Faithfulness Metrics for Feature Attributions Explainability")</f>
        <v>Normalized AOPC: Fixing Misleading Faithfulness Metrics for Feature Attributions Explainability</v>
      </c>
      <c r="C1678" s="7" t="str">
        <f>IFERROR(__xludf.DUMMYFUNCTION("""COMPUTED_VALUE"""),"Deep neural network predictions are notoriously difficult to interpret. Feature attribution methods aim to explain these predictions by identifying the contribution of each input feature. Faithfulness, often evaluated using the area over the perturbation "&amp;"curve (AOPC), reflects feature attributions' accuracy in describing the internal mechanisms of deep neural networks. However, many studies rely on AOPC to compare faithfulness across different models, which we show can lead to false conclusions about mode"&amp;"ls' faithfulness. Specifically, we find that AOPC is sensitive to variations in the model, resulting in unreliable cross-model comparisons. Moreover, AOPC scores are difficult to interpret in isolation without knowing the model-specific lower and upper li"&amp;"mits. To address these issues, we propose a normalization approach, Normalized AOPC (NAOPC), enabling consistent cross-model evaluations and more meaningful interpretation of individual scores. Our experiments demonstrate that this normalization can radic"&amp;"ally change AOPC results, questioning the conclusions of earlier studies and offering a more robust framework for assessing feature attribution faithfulness. Our code is available at https://github.com/JoakimEdin/naopc.")</f>
        <v>Deep neural network predictions are notoriously difficult to interpret. Feature attribution methods aim to explain these predictions by identifying the contribution of each input feature. Faithfulness, often evaluated using the area over the perturbation curve (AOPC), reflects feature attributions' accuracy in describing the internal mechanisms of deep neural networks. However, many studies rely on AOPC to compare faithfulness across different models, which we show can lead to false conclusions about models' faithfulness. Specifically, we find that AOPC is sensitive to variations in the model, resulting in unreliable cross-model comparisons. Moreover, AOPC scores are difficult to interpret in isolation without knowing the model-specific lower and upper limits. To address these issues, we propose a normalization approach, Normalized AOPC (NAOPC), enabling consistent cross-model evaluations and more meaningful interpretation of individual scores. Our experiments demonstrate that this normalization can radically change AOPC results, questioning the conclusions of earlier studies and offering a more robust framework for assessing feature attribution faithfulness. Our code is available at https://github.com/JoakimEdin/naopc.</v>
      </c>
      <c r="D1678" s="7" t="str">
        <f>IFERROR(__xludf.DUMMYFUNCTION("""COMPUTED_VALUE"""),"Joakim Edin")</f>
        <v>Joakim Edin</v>
      </c>
      <c r="E1678" s="7" t="str">
        <f>IFERROR(__xludf.DUMMYFUNCTION("""COMPUTED_VALUE"""),"Yes")</f>
        <v>Yes</v>
      </c>
      <c r="F1678" s="7" t="str">
        <f>IFERROR(__xludf.DUMMYFUNCTION("""COMPUTED_VALUE"""),"IP-Poster")</f>
        <v>IP-Poster</v>
      </c>
      <c r="G1678" s="7" t="str">
        <f>IFERROR(__xludf.DUMMYFUNCTION("""COMPUTED_VALUE"""),"In-Person")</f>
        <v>In-Person</v>
      </c>
      <c r="H1678" s="7" t="str">
        <f>IFERROR(__xludf.DUMMYFUNCTION("""COMPUTED_VALUE"""),"Hall 4/5")</f>
        <v>Hall 4/5</v>
      </c>
      <c r="I1678" s="7" t="str">
        <f>IFERROR(__xludf.DUMMYFUNCTION("""COMPUTED_VALUE"""),"Session 7: IP-Posters")</f>
        <v>Session 7: IP-Posters</v>
      </c>
      <c r="J1678" s="7" t="str">
        <f>IFERROR(__xludf.DUMMYFUNCTION("""COMPUTED_VALUE"""),"Poster Session 2")</f>
        <v>Poster Session 2</v>
      </c>
      <c r="K1678" s="7"/>
      <c r="L1678" s="8">
        <f>IFERROR(__xludf.DUMMYFUNCTION("""COMPUTED_VALUE"""),45867.0)</f>
        <v>45867</v>
      </c>
      <c r="M1678" s="7" t="str">
        <f>IFERROR(__xludf.DUMMYFUNCTION("""COMPUTED_VALUE"""),"10:30-12:00")</f>
        <v>10:30-12:00</v>
      </c>
      <c r="N1678" s="7"/>
    </row>
    <row r="1679">
      <c r="A1679" s="7" t="str">
        <f>IFERROR(__xludf.DUMMYFUNCTION("""COMPUTED_VALUE"""),"167-MAIN")</f>
        <v>167-MAIN</v>
      </c>
      <c r="B1679" s="7" t="str">
        <f>IFERROR(__xludf.DUMMYFUNCTION("""COMPUTED_VALUE"""),"Takin-VC: Expressive Zero-Shot Voice Conversion via Adaptive Hybrid Content Encoding and Enhanced Timbre Modeling")</f>
        <v>Takin-VC: Expressive Zero-Shot Voice Conversion via Adaptive Hybrid Content Encoding and Enhanced Timbre Modeling</v>
      </c>
      <c r="C1679" s="7" t="str">
        <f>IFERROR(__xludf.DUMMYFUNCTION("""COMPUTED_VALUE"""),"Expressive zero-shot voice conversion (VC) is a critical and challenging task that aims to transform the source timbre into an arbitrary unseen speaker while preserving the original content and expressive qualities. Despite recent progress in zero-shot VC"&amp;", there remains considerable potential for improvements in speaker similarity and speech naturalness. Moreover, existing zero-shot VC systems struggle to fully reproduce paralinguistic information in highly expressive speech, such as breathing, crying, an"&amp;"d emotional nuances, limiting their practical applicability. To address these issues, we propose Takin-VC, a novel expressive zero-shot VC framework via adaptive hybrid content encoding and memory-augmented context-aware timbre modeling. Specifically, we "&amp;"introduce an innovative hybrid content encoder that incorporates an adaptive fusion module, capable of effectively integrating quantized features of the pre-trained WavLM and HybridFormer in an implicit manner, so as to extract precise linguistic features"&amp;" while enriching paralinguistic elements. For timbre modeling, we propose advanced memory-augmented and context-aware modules to generate high-quality target timbre features and fused representations that seamlessly align source content with target timbre"&amp;". To enhance real-time performance, we advocate a conditional flow matching model to reconstruct the Mel-spectrogram of the source speech. Experimental results show that our Takin-VC consistently surpasses state-of-the-art VC systems, achieving notable im"&amp;"provements in terms of speech naturalness, speech expressiveness, and speaker similarity, while offering enhanced inference speed.")</f>
        <v>Expressive zero-shot voice conversion (VC) is a critical and challenging task that aims to transform the source timbre into an arbitrary unseen speaker while preserving the original content and expressive qualities. Despite recent progress in zero-shot VC, there remains considerable potential for improvements in speaker similarity and speech naturalness. Moreover, existing zero-shot VC systems struggle to fully reproduce paralinguistic information in highly expressive speech, such as breathing, crying, and emotional nuances, limiting their practical applicability. To address these issues, we propose Takin-VC, a novel expressive zero-shot VC framework via adaptive hybrid content encoding and memory-augmented context-aware timbre modeling. Specifically, we introduce an innovative hybrid content encoder that incorporates an adaptive fusion module, capable of effectively integrating quantized features of the pre-trained WavLM and HybridFormer in an implicit manner, so as to extract precise linguistic features while enriching paralinguistic elements. For timbre modeling, we propose advanced memory-augmented and context-aware modules to generate high-quality target timbre features and fused representations that seamlessly align source content with target timbre. To enhance real-time performance, we advocate a conditional flow matching model to reconstruct the Mel-spectrogram of the source speech. Experimental results show that our Takin-VC consistently surpasses state-of-the-art VC systems, achieving notable improvements in terms of speech naturalness, speech expressiveness, and speaker similarity, while offering enhanced inference speed.</v>
      </c>
      <c r="D1679" s="7" t="str">
        <f>IFERROR(__xludf.DUMMYFUNCTION("""COMPUTED_VALUE"""),"Yu Pan")</f>
        <v>Yu Pan</v>
      </c>
      <c r="E1679" s="7" t="str">
        <f>IFERROR(__xludf.DUMMYFUNCTION("""COMPUTED_VALUE"""),"Yes")</f>
        <v>Yes</v>
      </c>
      <c r="F1679" s="7" t="str">
        <f>IFERROR(__xludf.DUMMYFUNCTION("""COMPUTED_VALUE"""),"IP-Oral")</f>
        <v>IP-Oral</v>
      </c>
      <c r="G1679" s="7" t="str">
        <f>IFERROR(__xludf.DUMMYFUNCTION("""COMPUTED_VALUE"""),"In-Person")</f>
        <v>In-Person</v>
      </c>
      <c r="H1679" s="7" t="str">
        <f>IFERROR(__xludf.DUMMYFUNCTION("""COMPUTED_VALUE"""),"Room 1.61")</f>
        <v>Room 1.61</v>
      </c>
      <c r="I1679" s="7" t="str">
        <f>IFERROR(__xludf.DUMMYFUNCTION("""COMPUTED_VALUE"""),"Session 9: IP-Orals")</f>
        <v>Session 9: IP-Orals</v>
      </c>
      <c r="J1679" s="7" t="str">
        <f>IFERROR(__xludf.DUMMYFUNCTION("""COMPUTED_VALUE"""),"Speech Processing ")</f>
        <v>Speech Processing </v>
      </c>
      <c r="K1679" s="7"/>
      <c r="L1679" s="8">
        <f>IFERROR(__xludf.DUMMYFUNCTION("""COMPUTED_VALUE"""),45867.0)</f>
        <v>45867</v>
      </c>
      <c r="M1679" s="7" t="str">
        <f>IFERROR(__xludf.DUMMYFUNCTION("""COMPUTED_VALUE"""),"14:00-15:30")</f>
        <v>14:00-15:30</v>
      </c>
      <c r="N1679" s="7">
        <f>IFERROR(__xludf.DUMMYFUNCTION("""COMPUTED_VALUE"""),1.0)</f>
        <v>1</v>
      </c>
    </row>
    <row r="1680">
      <c r="A1680" s="7" t="str">
        <f>IFERROR(__xludf.DUMMYFUNCTION("""COMPUTED_VALUE"""),"169-MAIN")</f>
        <v>169-MAIN</v>
      </c>
      <c r="B1680" s="7" t="str">
        <f>IFERROR(__xludf.DUMMYFUNCTION("""COMPUTED_VALUE"""),"LangSAMP: Language-Script Aware Multilingual Pretraining")</f>
        <v>LangSAMP: Language-Script Aware Multilingual Pretraining</v>
      </c>
      <c r="C1680" s="7" t="str">
        <f>IFERROR(__xludf.DUMMYFUNCTION("""COMPUTED_VALUE"""),"Recent multilingual pretrained language models (mPLMs) often avoid using language embeddings -- learnable vectors assigned to individual languages. However, this places a significant burden on token representations to encode all language-specific informat"&amp;"ion, which may hinder language neutrality. To address this limitation, we propose Language-Script Aware Multilingual Pretraining (LangSAMP), a method that incorporates both language and script embeddings to enhance representation learning. Specifically, w"&amp;"e integrate these embeddings into the output of the Transformer blocks before passing the final representations to the language modeling head for prediction. We apply LangSAMP to the continual pretraining of XLM-R on a highly multilingual corpus covering "&amp;"more than 500 languages. The resulting model consistently outperforms the baseline in zero-shot crosslingual transfer across diverse downstream tasks. Extensive analysis reveals that language and script embeddings capture language- and script-specific nua"&amp;"nces, which benefits more language-neutral representations, proven by improved pairwise cosine similarity. In our case study, we also show that language and script embeddings can be used to select better source languages for crosslingual transfer. We make"&amp;" our code and models publicly available at \url{https://github.com/cisnlp/LangSAMP}.")</f>
        <v>Recent multilingual pretrained language models (mPLMs) often avoid using language embeddings -- learnable vectors assigned to individual languages. However, this places a significant burden on token representations to encode all language-specific information, which may hinder language neutrality. To address this limitation, we propose Language-Script Aware Multilingual Pretraining (LangSAMP), a method that incorporates both language and script embeddings to enhance representation learning. Specifically, we integrate these embeddings into the output of the Transformer blocks before passing the final representations to the language modeling head for prediction. We apply LangSAMP to the continual pretraining of XLM-R on a highly multilingual corpus covering more than 500 languages. The resulting model consistently outperforms the baseline in zero-shot crosslingual transfer across diverse downstream tasks. Extensive analysis reveals that language and script embeddings capture language- and script-specific nuances, which benefits more language-neutral representations, proven by improved pairwise cosine similarity. In our case study, we also show that language and script embeddings can be used to select better source languages for crosslingual transfer. We make our code and models publicly available at \url{https://github.com/cisnlp/LangSAMP}.</v>
      </c>
      <c r="D1680" s="7" t="str">
        <f>IFERROR(__xludf.DUMMYFUNCTION("""COMPUTED_VALUE"""),"Yihong Liu")</f>
        <v>Yihong Liu</v>
      </c>
      <c r="E1680" s="7" t="str">
        <f>IFERROR(__xludf.DUMMYFUNCTION("""COMPUTED_VALUE"""),"Yes")</f>
        <v>Yes</v>
      </c>
      <c r="F1680" s="7" t="str">
        <f>IFERROR(__xludf.DUMMYFUNCTION("""COMPUTED_VALUE"""),"IP-Oral")</f>
        <v>IP-Oral</v>
      </c>
      <c r="G1680" s="7" t="str">
        <f>IFERROR(__xludf.DUMMYFUNCTION("""COMPUTED_VALUE"""),"In-Person")</f>
        <v>In-Person</v>
      </c>
      <c r="H1680" s="7" t="str">
        <f>IFERROR(__xludf.DUMMYFUNCTION("""COMPUTED_VALUE"""),"Hall N.2")</f>
        <v>Hall N.2</v>
      </c>
      <c r="I1680" s="7" t="str">
        <f>IFERROR(__xludf.DUMMYFUNCTION("""COMPUTED_VALUE"""),"Session 11: IP-Orals ")</f>
        <v>Session 11: IP-Orals </v>
      </c>
      <c r="J1680" s="7" t="str">
        <f>IFERROR(__xludf.DUMMYFUNCTION("""COMPUTED_VALUE"""),"Panel 5: Multilinguality and language diversity")</f>
        <v>Panel 5: Multilinguality and language diversity</v>
      </c>
      <c r="K1680" s="7"/>
      <c r="L1680" s="8">
        <f>IFERROR(__xludf.DUMMYFUNCTION("""COMPUTED_VALUE"""),45868.0)</f>
        <v>45868</v>
      </c>
      <c r="M1680" s="7" t="str">
        <f>IFERROR(__xludf.DUMMYFUNCTION("""COMPUTED_VALUE"""),"09:00-10:30")</f>
        <v>09:00-10:30</v>
      </c>
      <c r="N1680" s="7">
        <f>IFERROR(__xludf.DUMMYFUNCTION("""COMPUTED_VALUE"""),1.0)</f>
        <v>1</v>
      </c>
    </row>
    <row r="1681">
      <c r="A1681" s="7" t="str">
        <f>IFERROR(__xludf.DUMMYFUNCTION("""COMPUTED_VALUE"""),"171-MAIN")</f>
        <v>171-MAIN</v>
      </c>
      <c r="B1681" s="7" t="str">
        <f>IFERROR(__xludf.DUMMYFUNCTION("""COMPUTED_VALUE"""),"RelationalCoder: Relational Representation of Complex Tables for Program-Based Processing and Reasoning")</f>
        <v>RelationalCoder: Relational Representation of Complex Tables for Program-Based Processing and Reasoning</v>
      </c>
      <c r="C1681" s="7" t="str">
        <f>IFERROR(__xludf.DUMMYFUNCTION("""COMPUTED_VALUE"""),"Semi-structured tables, with their varied layouts and formatting artifacts, remain a major obstacle for automated data processing and analytics. To address these challenges, we propose RelationalCoder, which uniformly converts semi-structured tables into "&amp;"relational data, enabling smooth integration with the rich ecosystem of data processing and analytics tools. By leveraging SQL code, RelationalCoder prevents schema errors and markedly improves normalization quality across multiple relational tables.
To "&amp;"address the challenge of large tables, we propose a new technique called Loop Reference Decoding (LRD): it identifies \emph{expandable groups}—repeating regions of similar structure and semantics—and replicates each group using a concise loop over its rep"&amp;"etitive region by referencing cell addresses, rather than regenerating each individual cell. This design substantially reduces output length from $\mathcal{O}(N \times M)$—proportional to the table’s height ($N$) and width ($M$)—to approximately $\mathcal"&amp;"{O}(K)$, where $K$ is the total number of unique cell types within detected expandable groups. As a result, LRD is highly scalable: the larger the input table, the greater the compression ratio. It scales seamlessly to extremely large tables, achieving ou"&amp;"tput reductions of up to $100{,}000\times$.
We further create the first human-labeled corpus for table transformation, created with a cost-efficient, actively supervised pipeline. Extensive experiments on HiTab and MultiHiertt show that RelationalCoder n"&amp;"ot only enables programmatic symbolic reasoning but also boosts QA accuracy—raising Llama-2 and Mistral models by more than 20\%, and GPT-4o by over 4\%.  
Project page: https://github.com/haoyudong/RelationalCoder.")</f>
        <v>Semi-structured tables, with their varied layouts and formatting artifacts, remain a major obstacle for automated data processing and analytics. To address these challenges, we propose RelationalCoder, which uniformly converts semi-structured tables into relational data, enabling smooth integration with the rich ecosystem of data processing and analytics tools. By leveraging SQL code, RelationalCoder prevents schema errors and markedly improves normalization quality across multiple relational tables.
To address the challenge of large tables, we propose a new technique called Loop Reference Decoding (LRD): it identifies \emph{expandable groups}—repeating regions of similar structure and semantics—and replicates each group using a concise loop over its repetitive region by referencing cell addresses, rather than regenerating each individual cell. This design substantially reduces output length from $\mathcal{O}(N \times M)$—proportional to the table’s height ($N$) and width ($M$)—to approximately $\mathcal{O}(K)$, where $K$ is the total number of unique cell types within detected expandable groups. As a result, LRD is highly scalable: the larger the input table, the greater the compression ratio. It scales seamlessly to extremely large tables, achieving output reductions of up to $100{,}000\times$.
We further create the first human-labeled corpus for table transformation, created with a cost-efficient, actively supervised pipeline. Extensive experiments on HiTab and MultiHiertt show that RelationalCoder not only enables programmatic symbolic reasoning but also boosts QA accuracy—raising Llama-2 and Mistral models by more than 20\%, and GPT-4o by over 4\%.  
Project page: https://github.com/haoyudong/RelationalCoder.</v>
      </c>
      <c r="D1681" s="7" t="str">
        <f>IFERROR(__xludf.DUMMYFUNCTION("""COMPUTED_VALUE"""),"Haoyu Dong")</f>
        <v>Haoyu Dong</v>
      </c>
      <c r="E1681" s="7" t="str">
        <f>IFERROR(__xludf.DUMMYFUNCTION("""COMPUTED_VALUE"""),"Yes")</f>
        <v>Yes</v>
      </c>
      <c r="F1681" s="7" t="str">
        <f>IFERROR(__xludf.DUMMYFUNCTION("""COMPUTED_VALUE"""),"IP-Poster")</f>
        <v>IP-Poster</v>
      </c>
      <c r="G1681" s="7" t="str">
        <f>IFERROR(__xludf.DUMMYFUNCTION("""COMPUTED_VALUE"""),"In-Person")</f>
        <v>In-Person</v>
      </c>
      <c r="H1681" s="7" t="str">
        <f>IFERROR(__xludf.DUMMYFUNCTION("""COMPUTED_VALUE"""),"Hall 4/5")</f>
        <v>Hall 4/5</v>
      </c>
      <c r="I1681" s="7" t="str">
        <f>IFERROR(__xludf.DUMMYFUNCTION("""COMPUTED_VALUE"""),"Session 2: IP-Posters ")</f>
        <v>Session 2: IP-Posters </v>
      </c>
      <c r="J1681" s="7" t="str">
        <f>IFERROR(__xludf.DUMMYFUNCTION("""COMPUTED_VALUE"""),"Poster Session 1")</f>
        <v>Poster Session 1</v>
      </c>
      <c r="K1681" s="7"/>
      <c r="L1681" s="8">
        <f>IFERROR(__xludf.DUMMYFUNCTION("""COMPUTED_VALUE"""),45866.0)</f>
        <v>45866</v>
      </c>
      <c r="M1681" s="7" t="str">
        <f>IFERROR(__xludf.DUMMYFUNCTION("""COMPUTED_VALUE"""),"11:00-12:30")</f>
        <v>11:00-12:30</v>
      </c>
      <c r="N1681" s="7"/>
    </row>
    <row r="1682">
      <c r="A1682" s="7" t="str">
        <f>IFERROR(__xludf.DUMMYFUNCTION("""COMPUTED_VALUE"""),"174-MAIN")</f>
        <v>174-MAIN</v>
      </c>
      <c r="B1682" s="7" t="str">
        <f>IFERROR(__xludf.DUMMYFUNCTION("""COMPUTED_VALUE"""),"Algorithmic Fidelity of Large Language Models in Generating Synthetic German Public Opinions: A Case Study")</f>
        <v>Algorithmic Fidelity of Large Language Models in Generating Synthetic German Public Opinions: A Case Study</v>
      </c>
      <c r="C1682" s="7" t="str">
        <f>IFERROR(__xludf.DUMMYFUNCTION("""COMPUTED_VALUE"""),"In recent research, large language models (LLMs) have been increasingly used to investigate public opinions. This study investigates the algorithmic fidelity of LLMs, i.e., the ability to replicate the socio-cultural context and nuanced opinions of human "&amp;"participants. Using open-ended survey data from the German Longitudinal Election Studies (GLES), we prompt different LLMs to generate synthetic public opinions reflective of German subpopulations by incorporating demographic features into the persona prom"&amp;"pts. Our results show that Llama performs better than other LLMs at representing subpopulations, particularly when there is lower opinion diversity within those groups. Our findings further reveal that the LLM performs better for supporters of left-leanin"&amp;"g parties like The Greens and The Left compared to other parties, and matches the least with the right-party AfD. Additionally, the inclusion or exclusion of specific variables in the prompts can significantly impact the models' predictions. These finding"&amp;"s underscore the importance of aligning LLMs to more effectively model diverse public opinions while minimizing political biases and enhancing robustness in representativeness.")</f>
        <v>In recent research, large language models (LLMs) have been increasingly used to investigate public opinions. This study investigates the algorithmic fidelity of LLMs, i.e., the ability to replicate the socio-cultural context and nuanced opinions of human participants. Using open-ended survey data from the German Longitudinal Election Studies (GLES), we prompt different LLMs to generate synthetic public opinions reflective of German subpopulations by incorporating demographic features into the persona prompts. Our results show that Llama performs better than other LLMs at representing subpopulations, particularly when there is lower opinion diversity within those groups. Our findings further reveal that the LLM performs better for supporters of left-leaning parties like The Greens and The Left compared to other parties, and matches the least with the right-party AfD. Additionally, the inclusion or exclusion of specific variables in the prompts can significantly impact the models' predictions. These findings underscore the importance of aligning LLMs to more effectively model diverse public opinions while minimizing political biases and enhancing robustness in representativeness.</v>
      </c>
      <c r="D1682" s="7" t="str">
        <f>IFERROR(__xludf.DUMMYFUNCTION("""COMPUTED_VALUE"""),"Bolei Ma")</f>
        <v>Bolei Ma</v>
      </c>
      <c r="E1682" s="7" t="str">
        <f>IFERROR(__xludf.DUMMYFUNCTION("""COMPUTED_VALUE"""),"Yes")</f>
        <v>Yes</v>
      </c>
      <c r="F1682" s="7" t="str">
        <f>IFERROR(__xludf.DUMMYFUNCTION("""COMPUTED_VALUE"""),"IP-Oral")</f>
        <v>IP-Oral</v>
      </c>
      <c r="G1682" s="7" t="str">
        <f>IFERROR(__xludf.DUMMYFUNCTION("""COMPUTED_VALUE"""),"In-Person")</f>
        <v>In-Person</v>
      </c>
      <c r="H1682" s="7" t="str">
        <f>IFERROR(__xludf.DUMMYFUNCTION("""COMPUTED_VALUE"""),"Room 1.62")</f>
        <v>Room 1.62</v>
      </c>
      <c r="I1682" s="7" t="str">
        <f>IFERROR(__xludf.DUMMYFUNCTION("""COMPUTED_VALUE"""),"Session 3: IP-Orals")</f>
        <v>Session 3: IP-Orals</v>
      </c>
      <c r="J1682" s="7" t="str">
        <f>IFERROR(__xludf.DUMMYFUNCTION("""COMPUTED_VALUE"""),"Human-centered NLP")</f>
        <v>Human-centered NLP</v>
      </c>
      <c r="K1682" s="7"/>
      <c r="L1682" s="8">
        <f>IFERROR(__xludf.DUMMYFUNCTION("""COMPUTED_VALUE"""),45866.0)</f>
        <v>45866</v>
      </c>
      <c r="M1682" s="7" t="str">
        <f>IFERROR(__xludf.DUMMYFUNCTION("""COMPUTED_VALUE"""),"14:00-15:30")</f>
        <v>14:00-15:30</v>
      </c>
      <c r="N1682" s="7">
        <f>IFERROR(__xludf.DUMMYFUNCTION("""COMPUTED_VALUE"""),1.0)</f>
        <v>1</v>
      </c>
    </row>
    <row r="1683">
      <c r="A1683" s="7" t="str">
        <f>IFERROR(__xludf.DUMMYFUNCTION("""COMPUTED_VALUE"""),"175-MAIN")</f>
        <v>175-MAIN</v>
      </c>
      <c r="B1683" s="7" t="str">
        <f>IFERROR(__xludf.DUMMYFUNCTION("""COMPUTED_VALUE"""),"TUNA: Comprehensive Fine-grained Temporal Understanding Evaluation on Dense Dynamic Videos")</f>
        <v>TUNA: Comprehensive Fine-grained Temporal Understanding Evaluation on Dense Dynamic Videos</v>
      </c>
      <c r="C1683" s="7" t="str">
        <f>IFERROR(__xludf.DUMMYFUNCTION("""COMPUTED_VALUE"""),"Videos are unique in their integration of temporal elements, including camera, scene, action, and attribute, along with their dynamic relationships over time. However, existing benchmarks for video understanding often treat these properties separately or "&amp;"narrowly focus on specific aspects, overlooking the holistic nature of video content. To address this, we introduce TUNA, a temporal-oriented benchmark for fine-grained understanding on dense dynamic videos, with two complementary tasks: captioning and QA"&amp;". Our TUNA features diverse video scenarios and dynamics, assisted by interpretable and robust evaluation criteria. We evaluate several leading models on our benchmark, providing fine-grained performance assessments across various dimensions. This evaluat"&amp;"ion reveals key challenges in video temporal understanding, such as limited action description, inadequate multi-subject understanding, and insensitivity to camera motion, offering valuable insights for improving video understanding models.")</f>
        <v>Videos are unique in their integration of temporal elements, including camera, scene, action, and attribute, along with their dynamic relationships over time. However, existing benchmarks for video understanding often treat these properties separately or narrowly focus on specific aspects, overlooking the holistic nature of video content. To address this, we introduce TUNA, a temporal-oriented benchmark for fine-grained understanding on dense dynamic videos, with two complementary tasks: captioning and QA. Our TUNA features diverse video scenarios and dynamics, assisted by interpretable and robust evaluation criteria. We evaluate several leading models on our benchmark, providing fine-grained performance assessments across various dimensions. This evaluation reveals key challenges in video temporal understanding, such as limited action description, inadequate multi-subject understanding, and insensitivity to camera motion, offering valuable insights for improving video understanding models.</v>
      </c>
      <c r="D1683" s="7" t="str">
        <f>IFERROR(__xludf.DUMMYFUNCTION("""COMPUTED_VALUE"""),"Fanheng Kong")</f>
        <v>Fanheng Kong</v>
      </c>
      <c r="E1683" s="7" t="str">
        <f>IFERROR(__xludf.DUMMYFUNCTION("""COMPUTED_VALUE"""),"Yes")</f>
        <v>Yes</v>
      </c>
      <c r="F1683" s="7" t="str">
        <f>IFERROR(__xludf.DUMMYFUNCTION("""COMPUTED_VALUE"""),"IP-Poster")</f>
        <v>IP-Poster</v>
      </c>
      <c r="G1683" s="7" t="str">
        <f>IFERROR(__xludf.DUMMYFUNCTION("""COMPUTED_VALUE"""),"In-Person")</f>
        <v>In-Person</v>
      </c>
      <c r="H1683" s="7" t="str">
        <f>IFERROR(__xludf.DUMMYFUNCTION("""COMPUTED_VALUE"""),"Hall 4/5")</f>
        <v>Hall 4/5</v>
      </c>
      <c r="I1683" s="7" t="str">
        <f>IFERROR(__xludf.DUMMYFUNCTION("""COMPUTED_VALUE"""),"Session 2: IP-Posters ")</f>
        <v>Session 2: IP-Posters </v>
      </c>
      <c r="J1683" s="7" t="str">
        <f>IFERROR(__xludf.DUMMYFUNCTION("""COMPUTED_VALUE"""),"Poster Session 1")</f>
        <v>Poster Session 1</v>
      </c>
      <c r="K1683" s="7"/>
      <c r="L1683" s="8">
        <f>IFERROR(__xludf.DUMMYFUNCTION("""COMPUTED_VALUE"""),45866.0)</f>
        <v>45866</v>
      </c>
      <c r="M1683" s="7" t="str">
        <f>IFERROR(__xludf.DUMMYFUNCTION("""COMPUTED_VALUE"""),"11:00-12:30")</f>
        <v>11:00-12:30</v>
      </c>
      <c r="N1683" s="7"/>
    </row>
    <row r="1684">
      <c r="A1684" s="7" t="str">
        <f>IFERROR(__xludf.DUMMYFUNCTION("""COMPUTED_VALUE"""),"177-MAIN")</f>
        <v>177-MAIN</v>
      </c>
      <c r="B1684" s="7" t="str">
        <f>IFERROR(__xludf.DUMMYFUNCTION("""COMPUTED_VALUE"""),"Self-Instructed Derived Prompt Generation Meets In-Context Learning: Unlocking New Potential of Black-Box LLMs")</f>
        <v>Self-Instructed Derived Prompt Generation Meets In-Context Learning: Unlocking New Potential of Black-Box LLMs</v>
      </c>
      <c r="C1684" s="7" t="str">
        <f>IFERROR(__xludf.DUMMYFUNCTION("""COMPUTED_VALUE"""),"Improving prompt quality is crucial for enhancing the performance of large language models (LLMs), particularly for Black-Box models like GPT4. Existing prompt refinement methods, while effective, often suffer from semantic inconsistencies between refined"&amp;" and original prompts, and fail to maintain users' real intent. To address these challenges, we propose a self-instructed in-context learning framework that generates reliable derived prompts, keeping semantic consistency with the original prompts. Specif"&amp;"ically, our framework incorporates a reinforcement learning mechanism, enabling direct interaction with the response model during prompt generation to better align with human preferences. We then formulate the querying as an in-context learning task, comb"&amp;"ining responses from LLMs with derived prompts to create a contextual demonstration for the original prompt. This approach effectively enhances alignment, reduces semantic discrepancies, and activates the LLM's in-context learning ability for generating m"&amp;"ore beneficial response. Extensive experiments demonstrate that the proposed method not only generates better derived prompts but also significantly enhances LLMs' ability to deliver more effective responses, particularly for Black-Box models like GPT4.")</f>
        <v>Improving prompt quality is crucial for enhancing the performance of large language models (LLMs), particularly for Black-Box models like GPT4. Existing prompt refinement methods, while effective, often suffer from semantic inconsistencies between refined and original prompts, and fail to maintain users' real intent. To address these challenges, we propose a self-instructed in-context learning framework that generates reliable derived prompts, keeping semantic consistency with the original prompts. Specifically, our framework incorporates a reinforcement learning mechanism, enabling direct interaction with the response model during prompt generation to better align with human preferences. We then formulate the querying as an in-context learning task, combining responses from LLMs with derived prompts to create a contextual demonstration for the original prompt. This approach effectively enhances alignment, reduces semantic discrepancies, and activates the LLM's in-context learning ability for generating more beneficial response. Extensive experiments demonstrate that the proposed method not only generates better derived prompts but also significantly enhances LLMs' ability to deliver more effective responses, particularly for Black-Box models like GPT4.</v>
      </c>
      <c r="D1684" s="7" t="str">
        <f>IFERROR(__xludf.DUMMYFUNCTION("""COMPUTED_VALUE"""),"Zhuo Li")</f>
        <v>Zhuo Li</v>
      </c>
      <c r="E1684" s="7" t="str">
        <f>IFERROR(__xludf.DUMMYFUNCTION("""COMPUTED_VALUE"""),"Yes")</f>
        <v>Yes</v>
      </c>
      <c r="F1684" s="7" t="str">
        <f>IFERROR(__xludf.DUMMYFUNCTION("""COMPUTED_VALUE"""),"IP-Oral")</f>
        <v>IP-Oral</v>
      </c>
      <c r="G1684" s="7" t="str">
        <f>IFERROR(__xludf.DUMMYFUNCTION("""COMPUTED_VALUE"""),"In-Person")</f>
        <v>In-Person</v>
      </c>
      <c r="H1684" s="7" t="str">
        <f>IFERROR(__xludf.DUMMYFUNCTION("""COMPUTED_VALUE"""),"Hall M.1")</f>
        <v>Hall M.1</v>
      </c>
      <c r="I1684" s="7" t="str">
        <f>IFERROR(__xludf.DUMMYFUNCTION("""COMPUTED_VALUE"""),"Session 3: IP-Orals")</f>
        <v>Session 3: IP-Orals</v>
      </c>
      <c r="J1684" s="7" t="str">
        <f>IFERROR(__xludf.DUMMYFUNCTION("""COMPUTED_VALUE"""),"Generation")</f>
        <v>Generation</v>
      </c>
      <c r="K1684" s="7"/>
      <c r="L1684" s="8">
        <f>IFERROR(__xludf.DUMMYFUNCTION("""COMPUTED_VALUE"""),45866.0)</f>
        <v>45866</v>
      </c>
      <c r="M1684" s="7" t="str">
        <f>IFERROR(__xludf.DUMMYFUNCTION("""COMPUTED_VALUE"""),"14:00-15:30")</f>
        <v>14:00-15:30</v>
      </c>
      <c r="N1684" s="7">
        <f>IFERROR(__xludf.DUMMYFUNCTION("""COMPUTED_VALUE"""),7.0)</f>
        <v>7</v>
      </c>
    </row>
    <row r="1685">
      <c r="A1685" s="7" t="str">
        <f>IFERROR(__xludf.DUMMYFUNCTION("""COMPUTED_VALUE"""),"178-MAIN")</f>
        <v>178-MAIN</v>
      </c>
      <c r="B1685" s="7" t="str">
        <f>IFERROR(__xludf.DUMMYFUNCTION("""COMPUTED_VALUE"""),"Binary Classifier Optimization for Large Language Model Alignment")</f>
        <v>Binary Classifier Optimization for Large Language Model Alignment</v>
      </c>
      <c r="C1685" s="7" t="str">
        <f>IFERROR(__xludf.DUMMYFUNCTION("""COMPUTED_VALUE"""),"In real-world services such as ChatGPT, aligning models based on user feedback is crucial for improving model performance. However, due to the simplicity and convenience of providing feedback, users typically offer only basic binary signals, such as 'thum"&amp;"bs-up' or 'thumbs-down'. Most existing alignment research, on the other hand, relies on preference-based approaches that require both positive and negative responses as a pair. We propose Binary Classifier Optimization (BCO), a technique that effectively "&amp;"aligns LLMs using only binary feedback. BCO trains a binary classifier, where the logit serves as an implicit reward, effectively minimizing the Direct Preference Optimization (DPO) loss. We demonstrate that the binary cross-entropy loss employed in class"&amp;"ifier training acts as an upper bound for the DPO loss. Additionally, a novel reward shift technique further minimizes the gap between the losses. We validate our methodology in two settings: first, on a paired preference dataset, where our method perform"&amp;"s on par with DPO; and second, on a Likert-5 scale annotation dataset which stems from real users' queries. Our model consistently demonstrates effective and robust alignment across four base LLMs and three different datasets, showcasing the strength of o"&amp;"ur approach to learning from binary signals.")</f>
        <v>In real-world services such as ChatGPT, aligning models based on user feedback is crucial for improving model performance. However, due to the simplicity and convenience of providing feedback, users typically offer only basic binary signals, such as 'thumbs-up' or 'thumbs-down'. Most existing alignment research, on the other hand, relies on preference-based approaches that require both positive and negative responses as a pair. We propose Binary Classifier Optimization (BCO), a technique that effectively aligns LLMs using only binary feedback. BCO trains a binary classifier, where the logit serves as an implicit reward, effectively minimizing the Direct Preference Optimization (DPO) loss. We demonstrate that the binary cross-entropy loss employed in classifier training acts as an upper bound for the DPO loss. Additionally, a novel reward shift technique further minimizes the gap between the losses. We validate our methodology in two settings: first, on a paired preference dataset, where our method performs on par with DPO; and second, on a Likert-5 scale annotation dataset which stems from real users' queries. Our model consistently demonstrates effective and robust alignment across four base LLMs and three different datasets, showcasing the strength of our approach to learning from binary signals.</v>
      </c>
      <c r="D1685" s="7" t="str">
        <f>IFERROR(__xludf.DUMMYFUNCTION("""COMPUTED_VALUE"""),"Seungjae Jung")</f>
        <v>Seungjae Jung</v>
      </c>
      <c r="E1685" s="7" t="str">
        <f>IFERROR(__xludf.DUMMYFUNCTION("""COMPUTED_VALUE"""),"Yes")</f>
        <v>Yes</v>
      </c>
      <c r="F1685" s="7" t="str">
        <f>IFERROR(__xludf.DUMMYFUNCTION("""COMPUTED_VALUE"""),"IP-Poster")</f>
        <v>IP-Poster</v>
      </c>
      <c r="G1685" s="7" t="str">
        <f>IFERROR(__xludf.DUMMYFUNCTION("""COMPUTED_VALUE"""),"In-Person")</f>
        <v>In-Person</v>
      </c>
      <c r="H1685" s="7" t="str">
        <f>IFERROR(__xludf.DUMMYFUNCTION("""COMPUTED_VALUE"""),"Hall 4/5")</f>
        <v>Hall 4/5</v>
      </c>
      <c r="I1685" s="7" t="str">
        <f>IFERROR(__xludf.DUMMYFUNCTION("""COMPUTED_VALUE"""),"Session 10: IP-Posters")</f>
        <v>Session 10: IP-Posters</v>
      </c>
      <c r="J1685" s="7" t="str">
        <f>IFERROR(__xludf.DUMMYFUNCTION("""COMPUTED_VALUE"""),"Poster Session 3")</f>
        <v>Poster Session 3</v>
      </c>
      <c r="K1685" s="7"/>
      <c r="L1685" s="8">
        <f>IFERROR(__xludf.DUMMYFUNCTION("""COMPUTED_VALUE"""),45867.0)</f>
        <v>45867</v>
      </c>
      <c r="M1685" s="7" t="str">
        <f>IFERROR(__xludf.DUMMYFUNCTION("""COMPUTED_VALUE"""),"16:00-17:30")</f>
        <v>16:00-17:30</v>
      </c>
      <c r="N1685" s="7"/>
    </row>
    <row r="1686">
      <c r="A1686" s="7" t="str">
        <f>IFERROR(__xludf.DUMMYFUNCTION("""COMPUTED_VALUE"""),"183-MAIN")</f>
        <v>183-MAIN</v>
      </c>
      <c r="B1686" s="7" t="str">
        <f>IFERROR(__xludf.DUMMYFUNCTION("""COMPUTED_VALUE"""),"UnSeenTimeQA: Time-Sensitive Question-Answering Beyond LLMs' Memorization")</f>
        <v>UnSeenTimeQA: Time-Sensitive Question-Answering Beyond LLMs' Memorization</v>
      </c>
      <c r="C1686" s="7" t="str">
        <f>IFERROR(__xludf.DUMMYFUNCTION("""COMPUTED_VALUE"""),"This paper introduces UnSeenTimeQA, a novel data contamination-free time-sensitive question-answering (TSQA) benchmark. It differs from existing TSQA benchmarks by avoiding web-searchable queries grounded in the real world. We present a series of time-sen"&amp;"sitive event scenarios based on synthetically generated facts. It requires large language models (LLMs) to engage in genuine temporal reasoning without depending on the factual knowledge acquired during the pre-training phase. Our data generation framewor"&amp;"k enables on‐demand generation of new samples, mitigating the risk of data leakage. We designed three types of time-sensitive questions to test LLMs' temporal reasoning abilities over sequential and parallel event occurrences. Our evaluation of five LLMs "&amp;"on synthetic fact-based TSQA reveals mixed results: while they perform well on simpler subsets, their overall performance remains inferior as compared to real world fact-based TSQA. Error analysis indicates that LLMs face difficulties in reasoning over lo"&amp;"ng-range event dependencies and parallel events.")</f>
        <v>This paper introduces UnSeenTimeQA, a novel data contamination-free time-sensitive question-answering (TSQA) benchmark. It differs from existing TSQA benchmarks by avoiding web-searchable queries grounded in the real world. We present a series of time-sensitive event scenarios based on synthetically generated facts. It requires large language models (LLMs) to engage in genuine temporal reasoning without depending on the factual knowledge acquired during the pre-training phase. Our data generation framework enables on‐demand generation of new samples, mitigating the risk of data leakage. We designed three types of time-sensitive questions to test LLMs' temporal reasoning abilities over sequential and parallel event occurrences. Our evaluation of five LLMs on synthetic fact-based TSQA reveals mixed results: while they perform well on simpler subsets, their overall performance remains inferior as compared to real world fact-based TSQA. Error analysis indicates that LLMs face difficulties in reasoning over long-range event dependencies and parallel events.</v>
      </c>
      <c r="D1686" s="7" t="str">
        <f>IFERROR(__xludf.DUMMYFUNCTION("""COMPUTED_VALUE"""),"Md Nayem Uddin")</f>
        <v>Md Nayem Uddin</v>
      </c>
      <c r="E1686" s="7" t="str">
        <f>IFERROR(__xludf.DUMMYFUNCTION("""COMPUTED_VALUE"""),"Yes")</f>
        <v>Yes</v>
      </c>
      <c r="F1686" s="7" t="str">
        <f>IFERROR(__xludf.DUMMYFUNCTION("""COMPUTED_VALUE"""),"IP-Poster")</f>
        <v>IP-Poster</v>
      </c>
      <c r="G1686" s="7" t="str">
        <f>IFERROR(__xludf.DUMMYFUNCTION("""COMPUTED_VALUE"""),"In-Person")</f>
        <v>In-Person</v>
      </c>
      <c r="H1686" s="7" t="str">
        <f>IFERROR(__xludf.DUMMYFUNCTION("""COMPUTED_VALUE"""),"Hall 4/5")</f>
        <v>Hall 4/5</v>
      </c>
      <c r="I1686" s="7" t="str">
        <f>IFERROR(__xludf.DUMMYFUNCTION("""COMPUTED_VALUE"""),"Session 2: IP-Posters ")</f>
        <v>Session 2: IP-Posters </v>
      </c>
      <c r="J1686" s="7" t="str">
        <f>IFERROR(__xludf.DUMMYFUNCTION("""COMPUTED_VALUE"""),"Poster Session 1")</f>
        <v>Poster Session 1</v>
      </c>
      <c r="K1686" s="7"/>
      <c r="L1686" s="8">
        <f>IFERROR(__xludf.DUMMYFUNCTION("""COMPUTED_VALUE"""),45866.0)</f>
        <v>45866</v>
      </c>
      <c r="M1686" s="7" t="str">
        <f>IFERROR(__xludf.DUMMYFUNCTION("""COMPUTED_VALUE"""),"11:00-12:30")</f>
        <v>11:00-12:30</v>
      </c>
      <c r="N1686" s="7"/>
    </row>
    <row r="1687">
      <c r="A1687" s="7" t="str">
        <f>IFERROR(__xludf.DUMMYFUNCTION("""COMPUTED_VALUE"""),"184-MAIN")</f>
        <v>184-MAIN</v>
      </c>
      <c r="B1687" s="7" t="str">
        <f>IFERROR(__xludf.DUMMYFUNCTION("""COMPUTED_VALUE"""),"From Information to Insight: Leveraging LLMs for Open Aspect-Based Educational Summarization")</f>
        <v>From Information to Insight: Leveraging LLMs for Open Aspect-Based Educational Summarization</v>
      </c>
      <c r="C1687" s="7" t="str">
        <f>IFERROR(__xludf.DUMMYFUNCTION("""COMPUTED_VALUE"""),"This paper addresses the challenge of aspect-based summarization in education by introducing Reflective ASPect-based summarization (ReflectASP), a novel dataset that summarizes student reflections on STEM lectures. Despite the promising performance of lar"&amp;"ge language models in general summarization, their application to nuanced aspect-based summaries remains under-explored. 
ReflectASP eases the exploration of open-aspect-based summarization (OABS), overcoming the limitations of current datasets and comes "&amp;"with ample human annotations. We benchmarked different types of zero-shot summarization methods and proposed two refinement methods to improve summaries, supported by both automatic and human manual evaluations. Additionally, we analyzed suggestions and r"&amp;"evisions made during the refinement process, offering a fine-grained study of the editing strategies employed by these methods. We make our models, dataset, and all human evaluation results available at https://github.com/cs329yangzhong/ReflectASP.")</f>
        <v>This paper addresses the challenge of aspect-based summarization in education by introducing Reflective ASPect-based summarization (ReflectASP), a novel dataset that summarizes student reflections on STEM lectures. Despite the promising performance of large language models in general summarization, their application to nuanced aspect-based summaries remains under-explored. 
ReflectASP eases the exploration of open-aspect-based summarization (OABS), overcoming the limitations of current datasets and comes with ample human annotations. We benchmarked different types of zero-shot summarization methods and proposed two refinement methods to improve summaries, supported by both automatic and human manual evaluations. Additionally, we analyzed suggestions and revisions made during the refinement process, offering a fine-grained study of the editing strategies employed by these methods. We make our models, dataset, and all human evaluation results available at https://github.com/cs329yangzhong/ReflectASP.</v>
      </c>
      <c r="D1687" s="7" t="str">
        <f>IFERROR(__xludf.DUMMYFUNCTION("""COMPUTED_VALUE"""),"Yang Zhong")</f>
        <v>Yang Zhong</v>
      </c>
      <c r="E1687" s="7" t="str">
        <f>IFERROR(__xludf.DUMMYFUNCTION("""COMPUTED_VALUE"""),"Yes")</f>
        <v>Yes</v>
      </c>
      <c r="F1687" s="7" t="str">
        <f>IFERROR(__xludf.DUMMYFUNCTION("""COMPUTED_VALUE"""),"IP-Poster")</f>
        <v>IP-Poster</v>
      </c>
      <c r="G1687" s="7" t="str">
        <f>IFERROR(__xludf.DUMMYFUNCTION("""COMPUTED_VALUE"""),"In-Person")</f>
        <v>In-Person</v>
      </c>
      <c r="H1687" s="7" t="str">
        <f>IFERROR(__xludf.DUMMYFUNCTION("""COMPUTED_VALUE"""),"Hall 4/5")</f>
        <v>Hall 4/5</v>
      </c>
      <c r="I1687" s="7" t="str">
        <f>IFERROR(__xludf.DUMMYFUNCTION("""COMPUTED_VALUE"""),"Session 2: IP-Posters ")</f>
        <v>Session 2: IP-Posters </v>
      </c>
      <c r="J1687" s="7" t="str">
        <f>IFERROR(__xludf.DUMMYFUNCTION("""COMPUTED_VALUE"""),"Poster Session 1")</f>
        <v>Poster Session 1</v>
      </c>
      <c r="K1687" s="7"/>
      <c r="L1687" s="8">
        <f>IFERROR(__xludf.DUMMYFUNCTION("""COMPUTED_VALUE"""),45866.0)</f>
        <v>45866</v>
      </c>
      <c r="M1687" s="7" t="str">
        <f>IFERROR(__xludf.DUMMYFUNCTION("""COMPUTED_VALUE"""),"11:00-12:30")</f>
        <v>11:00-12:30</v>
      </c>
      <c r="N1687" s="7"/>
    </row>
    <row r="1688">
      <c r="A1688" s="7" t="str">
        <f>IFERROR(__xludf.DUMMYFUNCTION("""COMPUTED_VALUE"""),"185-MAIN")</f>
        <v>185-MAIN</v>
      </c>
      <c r="B1688" s="7" t="str">
        <f>IFERROR(__xludf.DUMMYFUNCTION("""COMPUTED_VALUE"""),"AfriMed-QA: A Pan-African, Multi-Specialty, Medical Question-Answering Benchmark Dataset")</f>
        <v>AfriMed-QA: A Pan-African, Multi-Specialty, Medical Question-Answering Benchmark Dataset</v>
      </c>
      <c r="C1688" s="7" t="str">
        <f>IFERROR(__xludf.DUMMYFUNCTION("""COMPUTED_VALUE"""),"Recent advancements in large language model (LLM) performance on medical multiplechoice question (MCQ) benchmarks have stimulated interest from healthcare providers and patients globally. Particularly in low-andmiddle-income countries (LMICs) facing acute"&amp;" physician shortages and lack of specialists, LLMs offer a potentially scalable pathway to enhance healthcare access and reduce costs. However, their effectiveness in the Global South, especially across the African continent, remains to be established. In"&amp;" this work, we introduce AfriMed-QA , the first largescale Pan-African English multi-specialty medical Question-Answering (QA) dataset, 15,000 questions (open and closed-ended) sourced from over 60 medical schools across 16 countries, covering 32 medical "&amp;"specialties. We further evaluate 30 LLMs across multiple axes including correctness and demographic bias. Our findings show significant performance variation across specialties and geographies, MCQ performance clearly lags USMLE (MedQA). We find that biom"&amp;"edical LLMs underperform general models and smaller edge-friendly LLMs struggle to achieve a passing score. Interestingly, human evaluations show a consistent consumer preference for LLM answers and explanations when compared with clinician answers.")</f>
        <v>Recent advancements in large language model (LLM) performance on medical multiplechoice question (MCQ) benchmarks have stimulated interest from healthcare providers and patients globally. Particularly in low-andmiddle-income countries (LMICs) facing acute physician shortages and lack of specialists, LLMs offer a potentially scalable pathway to enhance healthcare access and reduce costs. However, their effectiveness in the Global South, especially across the African continent, remains to be established. In this work, we introduce AfriMed-QA , the first largescale Pan-African English multi-specialty medical Question-Answering (QA) dataset, 15,000 questions (open and closed-ended) sourced from over 60 medical schools across 16 countries, covering 32 medical specialties. We further evaluate 30 LLMs across multiple axes including correctness and demographic bias. Our findings show significant performance variation across specialties and geographies, MCQ performance clearly lags USMLE (MedQA). We find that biomedical LLMs underperform general models and smaller edge-friendly LLMs struggle to achieve a passing score. Interestingly, human evaluations show a consistent consumer preference for LLM answers and explanations when compared with clinician answers.</v>
      </c>
      <c r="D1688" s="7" t="str">
        <f>IFERROR(__xludf.DUMMYFUNCTION("""COMPUTED_VALUE"""),"Charles Nimo")</f>
        <v>Charles Nimo</v>
      </c>
      <c r="E1688" s="7" t="str">
        <f>IFERROR(__xludf.DUMMYFUNCTION("""COMPUTED_VALUE"""),"Yes")</f>
        <v>Yes</v>
      </c>
      <c r="F1688" s="7" t="str">
        <f>IFERROR(__xludf.DUMMYFUNCTION("""COMPUTED_VALUE"""),"IP-Oral")</f>
        <v>IP-Oral</v>
      </c>
      <c r="G1688" s="7" t="str">
        <f>IFERROR(__xludf.DUMMYFUNCTION("""COMPUTED_VALUE"""),"In-Person")</f>
        <v>In-Person</v>
      </c>
      <c r="H1688" s="7" t="str">
        <f>IFERROR(__xludf.DUMMYFUNCTION("""COMPUTED_VALUE"""),"Hall A ")</f>
        <v>Hall A </v>
      </c>
      <c r="I1688" s="7" t="str">
        <f>IFERROR(__xludf.DUMMYFUNCTION("""COMPUTED_VALUE"""),"Session 3: IP-Orals")</f>
        <v>Session 3: IP-Orals</v>
      </c>
      <c r="J1688" s="7" t="str">
        <f>IFERROR(__xludf.DUMMYFUNCTION("""COMPUTED_VALUE"""),"Resources and Evaluation 1")</f>
        <v>Resources and Evaluation 1</v>
      </c>
      <c r="K1688" s="7"/>
      <c r="L1688" s="8">
        <f>IFERROR(__xludf.DUMMYFUNCTION("""COMPUTED_VALUE"""),45866.0)</f>
        <v>45866</v>
      </c>
      <c r="M1688" s="7" t="str">
        <f>IFERROR(__xludf.DUMMYFUNCTION("""COMPUTED_VALUE"""),"14:00-15:30")</f>
        <v>14:00-15:30</v>
      </c>
      <c r="N1688" s="7">
        <f>IFERROR(__xludf.DUMMYFUNCTION("""COMPUTED_VALUE"""),1.0)</f>
        <v>1</v>
      </c>
    </row>
    <row r="1689">
      <c r="A1689" s="7" t="str">
        <f>IFERROR(__xludf.DUMMYFUNCTION("""COMPUTED_VALUE"""),"187-MAIN")</f>
        <v>187-MAIN</v>
      </c>
      <c r="B1689" s="7" t="str">
        <f>IFERROR(__xludf.DUMMYFUNCTION("""COMPUTED_VALUE"""),"Root Defense Strategies: Ensuring Safety of LLM at the Decoding Level")</f>
        <v>Root Defense Strategies: Ensuring Safety of LLM at the Decoding Level</v>
      </c>
      <c r="C1689" s="7" t="str">
        <f>IFERROR(__xludf.DUMMYFUNCTION("""COMPUTED_VALUE"""),"Large language models (LLMs) have demonstrated immense utility across various industries. However, as LLMs advance, the risk of harmful outputs increases due to incorrect or malicious prompts. While current methods effectively address jailbreak risks, the"&amp;"y share common limitations: 1) Judging harmful outputs from the prefill-level lacks utilization of the model's decoding outputs, leading to relatively lower effectiveness and robustness. 2) Rejecting potentially harmful outputs based on a single evaluatio"&amp;"n can significantly impair the model's helpfulness. To address the above issues, we examine LLMs' capability to recognize harmful outputs, revealing and quantifying their proficiency in assessing the danger of previous tokens. Motivated by pilot experimen"&amp;"t results, we design a robust defense mechanism at the decoding level. Our novel decoder-oriented, step-by-step defense architecture corrects the outputs of harmful queries directly rather than rejecting them outright. We introduce speculative decoding to"&amp;" enhance usability and facilitate deployment to boost safe decoding speed. Extensive experiments demonstrate that our approach improves model security without compromising reasoning speed. Notably, our method leverages the model's ability to discern hazar"&amp;"dous information, maintaining its helpfulness compared to existing methods.")</f>
        <v>Large language models (LLMs) have demonstrated immense utility across various industries. However, as LLMs advance, the risk of harmful outputs increases due to incorrect or malicious prompts. While current methods effectively address jailbreak risks, they share common limitations: 1) Judging harmful outputs from the prefill-level lacks utilization of the model's decoding outputs, leading to relatively lower effectiveness and robustness. 2) Rejecting potentially harmful outputs based on a single evaluation can significantly impair the model's helpfulness. To address the above issues, we examine LLMs' capability to recognize harmful outputs, revealing and quantifying their proficiency in assessing the danger of previous tokens. Motivated by pilot experiment results, we design a robust defense mechanism at the decoding level. Our novel decoder-oriented, step-by-step defense architecture corrects the outputs of harmful queries directly rather than rejecting them outright. We introduce speculative decoding to enhance usability and facilitate deployment to boost safe decoding speed. Extensive experiments demonstrate that our approach improves model security without compromising reasoning speed. Notably, our method leverages the model's ability to discern hazardous information, maintaining its helpfulness compared to existing methods.</v>
      </c>
      <c r="D1689" s="7" t="str">
        <f>IFERROR(__xludf.DUMMYFUNCTION("""COMPUTED_VALUE"""),"XInyi Zeng")</f>
        <v>XInyi Zeng</v>
      </c>
      <c r="E1689" s="7" t="str">
        <f>IFERROR(__xludf.DUMMYFUNCTION("""COMPUTED_VALUE"""),"Yes")</f>
        <v>Yes</v>
      </c>
      <c r="F1689" s="7" t="str">
        <f>IFERROR(__xludf.DUMMYFUNCTION("""COMPUTED_VALUE"""),"V-Presentation")</f>
        <v>V-Presentation</v>
      </c>
      <c r="G1689" s="7" t="str">
        <f>IFERROR(__xludf.DUMMYFUNCTION("""COMPUTED_VALUE"""),"Virtual/Gather")</f>
        <v>Virtual/Gather</v>
      </c>
      <c r="H1689" s="7" t="str">
        <f>IFERROR(__xludf.DUMMYFUNCTION("""COMPUTED_VALUE"""),"Zoom")</f>
        <v>Zoom</v>
      </c>
      <c r="I1689" s="7" t="str">
        <f>IFERROR(__xludf.DUMMYFUNCTION("""COMPUTED_VALUE"""),"Session 7: V--Presentations ")</f>
        <v>Session 7: V--Presentations </v>
      </c>
      <c r="J1689" s="7" t="str">
        <f>IFERROR(__xludf.DUMMYFUNCTION("""COMPUTED_VALUE"""),"Virtual Presentations 2")</f>
        <v>Virtual Presentations 2</v>
      </c>
      <c r="K1689" s="7"/>
      <c r="L1689" s="8"/>
      <c r="M1689" s="7" t="str">
        <f>IFERROR(__xludf.DUMMYFUNCTION("""COMPUTED_VALUE"""),"10:30-12:00")</f>
        <v>10:30-12:00</v>
      </c>
      <c r="N1689" s="7"/>
    </row>
    <row r="1690">
      <c r="A1690" s="7" t="str">
        <f>IFERROR(__xludf.DUMMYFUNCTION("""COMPUTED_VALUE"""),"188-MAIN")</f>
        <v>188-MAIN</v>
      </c>
      <c r="B1690" s="7" t="str">
        <f>IFERROR(__xludf.DUMMYFUNCTION("""COMPUTED_VALUE"""),"In-the-wild Audio Spatialization with Flexible Text-guided Localization")</f>
        <v>In-the-wild Audio Spatialization with Flexible Text-guided Localization</v>
      </c>
      <c r="C1690" s="7" t="str">
        <f>IFERROR(__xludf.DUMMYFUNCTION("""COMPUTED_VALUE"""),"Binaural audio enriches immersive experiences by enabling the perception of the spatial locations of sounding objects in AR, VR, and embodied AI applications. While existing audio spatialization methods can generally map any available monaural audio to bi"&amp;"naural audio signals, they often lack the flexible and interactive control needed in complex multi-object user-interactive environments. To address this, we propose a Text-guided Audio Spatialization (TAS) framework that utilizes diverse text prompts and "&amp;"evaluates our model from unified generation and comprehension perspectives. Due to the limited availability of high-quality, large-scale stereo data, we construct the SpatialTAS dataset, which encompasses 376,000 simulated binaural audio samples to facili"&amp;"tate the training of our model. Our model learns binaural differences guided by 3D spatial location and relative position prompts, enhanced with flipped-channel audio. Experimental results show that our model can generate high quality binaural audios for "&amp;"various audio types on both simulated and real-recorded datasets. Besides, we establish an assessment model based on Llama-3.1-8B, which evaluates the semantic accuracy of spatial locations through a spatial reasoning task. Results demonstrate that by uti"&amp;"lizing text prompts for flexible and interactive control, we can generate binaural audio with both high quality and semantic consistency in spatial locations.")</f>
        <v>Binaural audio enriches immersive experiences by enabling the perception of the spatial locations of sounding objects in AR, VR, and embodied AI applications. While existing audio spatialization methods can generally map any available monaural audio to binaural audio signals, they often lack the flexible and interactive control needed in complex multi-object user-interactive environments. To address this, we propose a Text-guided Audio Spatialization (TAS) framework that utilizes diverse text prompts and evaluates our model from unified generation and comprehension perspectives. Due to the limited availability of high-quality, large-scale stereo data, we construct the SpatialTAS dataset, which encompasses 376,000 simulated binaural audio samples to facilitate the training of our model. Our model learns binaural differences guided by 3D spatial location and relative position prompts, enhanced with flipped-channel audio. Experimental results show that our model can generate high quality binaural audios for various audio types on both simulated and real-recorded datasets. Besides, we establish an assessment model based on Llama-3.1-8B, which evaluates the semantic accuracy of spatial locations through a spatial reasoning task. Results demonstrate that by utilizing text prompts for flexible and interactive control, we can generate binaural audio with both high quality and semantic consistency in spatial locations.</v>
      </c>
      <c r="D1690" s="7" t="str">
        <f>IFERROR(__xludf.DUMMYFUNCTION("""COMPUTED_VALUE"""),"Tianrui Pan")</f>
        <v>Tianrui Pan</v>
      </c>
      <c r="E1690" s="7" t="str">
        <f>IFERROR(__xludf.DUMMYFUNCTION("""COMPUTED_VALUE"""),"Yes")</f>
        <v>Yes</v>
      </c>
      <c r="F1690" s="7" t="str">
        <f>IFERROR(__xludf.DUMMYFUNCTION("""COMPUTED_VALUE"""),"IP-Oral")</f>
        <v>IP-Oral</v>
      </c>
      <c r="G1690" s="7" t="str">
        <f>IFERROR(__xludf.DUMMYFUNCTION("""COMPUTED_VALUE"""),"In-Person")</f>
        <v>In-Person</v>
      </c>
      <c r="H1690" s="7" t="str">
        <f>IFERROR(__xludf.DUMMYFUNCTION("""COMPUTED_VALUE"""),"Hall C")</f>
        <v>Hall C</v>
      </c>
      <c r="I1690" s="7" t="str">
        <f>IFERROR(__xludf.DUMMYFUNCTION("""COMPUTED_VALUE"""),"Session 3: IP-Orals")</f>
        <v>Session 3: IP-Orals</v>
      </c>
      <c r="J1690" s="7" t="str">
        <f>IFERROR(__xludf.DUMMYFUNCTION("""COMPUTED_VALUE"""),"Multimodality and Language Grounding 1")</f>
        <v>Multimodality and Language Grounding 1</v>
      </c>
      <c r="K1690" s="7"/>
      <c r="L1690" s="8">
        <f>IFERROR(__xludf.DUMMYFUNCTION("""COMPUTED_VALUE"""),45866.0)</f>
        <v>45866</v>
      </c>
      <c r="M1690" s="7" t="str">
        <f>IFERROR(__xludf.DUMMYFUNCTION("""COMPUTED_VALUE"""),"14:00-15:30")</f>
        <v>14:00-15:30</v>
      </c>
      <c r="N1690" s="7">
        <f>IFERROR(__xludf.DUMMYFUNCTION("""COMPUTED_VALUE"""),2.0)</f>
        <v>2</v>
      </c>
    </row>
    <row r="1691">
      <c r="A1691" s="7" t="str">
        <f>IFERROR(__xludf.DUMMYFUNCTION("""COMPUTED_VALUE"""),"189-MAIN")</f>
        <v>189-MAIN</v>
      </c>
      <c r="B1691" s="7" t="str">
        <f>IFERROR(__xludf.DUMMYFUNCTION("""COMPUTED_VALUE"""),"L4Q: Parameter Efficient Quantization-Aware Fine-Tuning on Large Language Models")</f>
        <v>L4Q: Parameter Efficient Quantization-Aware Fine-Tuning on Large Language Models</v>
      </c>
      <c r="C1691" s="7" t="str">
        <f>IFERROR(__xludf.DUMMYFUNCTION("""COMPUTED_VALUE"""),"Due to the high memory and computational costs associated with large language models (LLMs), model compression techniques such as quantization, which reduces inference costs, and parameter-efficient fine-tuning (PEFT) methods like Low-Rank Adaptation (LoR"&amp;"A), which reduce training costs, have gained significant popularity. This trend has spurred active research into quantization-aware PEFT techniques, aimed at maintaining model accuracy while minimizing memory overhead during both inference and training. P"&amp;"revious quantization-aware PEFT methods typically apply post-training quantiation (PTQ) to pre-trained LLMs, followed by PEFT to recover accuracy loss. Meanwhile, this approach has limitations in recovering the accuracy loss. In this paper, we propose L4Q"&amp;", a method that integrates Quantization-Aware Training (QAT) with LoRA. By employing a memory-optimized layer design, L4Q significantly reduces QAT’s memory overhead, making its training cost comparable to LoRA, while preserving the advantage of QAT in pr"&amp;"oducing fully quantized LLMs with high accuracy. Our experiments demonstrate that this combined approach to quantization and fine-tuning achieves superior accuracy compared to decoupled fine-tuning schemes, particularly in 4-bit and 3-bit quantization, po"&amp;"sitioning L4Q as an efficient QAT solution. Using the LLaMA and Mistral models with instructional datasets, we showcase L4Q’s capabilities in language tasks and few-shot learning.")</f>
        <v>Due to the high memory and computational costs associated with large language models (LLMs), model compression techniques such as quantization, which reduces inference costs, and parameter-efficient fine-tuning (PEFT) methods like Low-Rank Adaptation (LoRA), which reduce training costs, have gained significant popularity. This trend has spurred active research into quantization-aware PEFT techniques, aimed at maintaining model accuracy while minimizing memory overhead during both inference and training. Previous quantization-aware PEFT methods typically apply post-training quantiation (PTQ) to pre-trained LLMs, followed by PEFT to recover accuracy loss. Meanwhile, this approach has limitations in recovering the accuracy loss. In this paper, we propose L4Q, a method that integrates Quantization-Aware Training (QAT) with LoRA. By employing a memory-optimized layer design, L4Q significantly reduces QAT’s memory overhead, making its training cost comparable to LoRA, while preserving the advantage of QAT in producing fully quantized LLMs with high accuracy. Our experiments demonstrate that this combined approach to quantization and fine-tuning achieves superior accuracy compared to decoupled fine-tuning schemes, particularly in 4-bit and 3-bit quantization, positioning L4Q as an efficient QAT solution. Using the LLaMA and Mistral models with instructional datasets, we showcase L4Q’s capabilities in language tasks and few-shot learning.</v>
      </c>
      <c r="D1691" s="7" t="str">
        <f>IFERROR(__xludf.DUMMYFUNCTION("""COMPUTED_VALUE"""),"Hyesung Jeon")</f>
        <v>Hyesung Jeon</v>
      </c>
      <c r="E1691" s="7" t="str">
        <f>IFERROR(__xludf.DUMMYFUNCTION("""COMPUTED_VALUE"""),"Yes")</f>
        <v>Yes</v>
      </c>
      <c r="F1691" s="7" t="str">
        <f>IFERROR(__xludf.DUMMYFUNCTION("""COMPUTED_VALUE"""),"IP-Poster")</f>
        <v>IP-Poster</v>
      </c>
      <c r="G1691" s="7" t="str">
        <f>IFERROR(__xludf.DUMMYFUNCTION("""COMPUTED_VALUE"""),"In-Person")</f>
        <v>In-Person</v>
      </c>
      <c r="H1691" s="7" t="str">
        <f>IFERROR(__xludf.DUMMYFUNCTION("""COMPUTED_VALUE"""),"Hall 4/5")</f>
        <v>Hall 4/5</v>
      </c>
      <c r="I1691" s="7" t="str">
        <f>IFERROR(__xludf.DUMMYFUNCTION("""COMPUTED_VALUE"""),"Session 10: IP-Posters")</f>
        <v>Session 10: IP-Posters</v>
      </c>
      <c r="J1691" s="7" t="str">
        <f>IFERROR(__xludf.DUMMYFUNCTION("""COMPUTED_VALUE"""),"Poster Session 3")</f>
        <v>Poster Session 3</v>
      </c>
      <c r="K1691" s="7"/>
      <c r="L1691" s="8">
        <f>IFERROR(__xludf.DUMMYFUNCTION("""COMPUTED_VALUE"""),45867.0)</f>
        <v>45867</v>
      </c>
      <c r="M1691" s="7" t="str">
        <f>IFERROR(__xludf.DUMMYFUNCTION("""COMPUTED_VALUE"""),"16:00-17:30")</f>
        <v>16:00-17:30</v>
      </c>
      <c r="N1691" s="7"/>
    </row>
    <row r="1692">
      <c r="A1692" s="7" t="str">
        <f>IFERROR(__xludf.DUMMYFUNCTION("""COMPUTED_VALUE"""),"190-MAIN")</f>
        <v>190-MAIN</v>
      </c>
      <c r="B1692" s="7" t="str">
        <f>IFERROR(__xludf.DUMMYFUNCTION("""COMPUTED_VALUE"""),"Second Language (Arabic) Acquisition of LLMs via Progressive Vocabulary Expansion")</f>
        <v>Second Language (Arabic) Acquisition of LLMs via Progressive Vocabulary Expansion</v>
      </c>
      <c r="C1692" s="7" t="str">
        <f>IFERROR(__xludf.DUMMYFUNCTION("""COMPUTED_VALUE"""),"This paper addresses the critical need for democratizing large language models (LLM) in the Arab world, a region that has seen slower progress in developing models comparable to state-of-the-art offerings like GPT-4 or GPT-3.5, due to a predominant focus "&amp;"on mainstream languages (e.g., English and Chinese). One practical objective for Arabic LLMs is to utilize Arabic-specific vocabulary in the tokenizer to accelerate decoding. However, using a different vocabulary often leads to degradation of the model's "&amp;"learned knowledge, since many words become out-of-vocabulary (OOV) at the beginning of training. Inspired by the vocabulary learning during Second Language (Arabic) Acquisition for humans,  the released AraLLaMA employs progressive vocabulary expansion, w"&amp;"hich is implemented by a modified BPE algorithm that progressively extends the Arabic subwords in its dynamic vocabulary during training, thereby balancing the OOV ratio at every stage. The ablation study demonstrated the effectiveness of Progressive Voca"&amp;"bulary Expansion.Moreover, AraLLaMA achieves decent performance comparable to the best Arabic LLMs across a variety of Arabic benchmarks. Our model weights are available at: {\url{https://github.com/FreedomIntelligence/AraLLaMa}}.")</f>
        <v>This paper addresses the critical need for democratizing large language models (LLM) in the Arab world, a region that has seen slower progress in developing models comparable to state-of-the-art offerings like GPT-4 or GPT-3.5, due to a predominant focus on mainstream languages (e.g., English and Chinese). One practical objective for Arabic LLMs is to utilize Arabic-specific vocabulary in the tokenizer to accelerate decoding. However, using a different vocabulary often leads to degradation of the model's learned knowledge, since many words become out-of-vocabulary (OOV) at the beginning of training. Inspired by the vocabulary learning during Second Language (Arabic) Acquisition for humans,  the released AraLLaMA employs progressive vocabulary expansion, which is implemented by a modified BPE algorithm that progressively extends the Arabic subwords in its dynamic vocabulary during training, thereby balancing the OOV ratio at every stage. The ablation study demonstrated the effectiveness of Progressive Vocabulary Expansion.Moreover, AraLLaMA achieves decent performance comparable to the best Arabic LLMs across a variety of Arabic benchmarks. Our model weights are available at: {\url{https://github.com/FreedomIntelligence/AraLLaMa}}.</v>
      </c>
      <c r="D1692" s="7" t="str">
        <f>IFERROR(__xludf.DUMMYFUNCTION("""COMPUTED_VALUE"""),"Jianqing Zhu")</f>
        <v>Jianqing Zhu</v>
      </c>
      <c r="E1692" s="7" t="str">
        <f>IFERROR(__xludf.DUMMYFUNCTION("""COMPUTED_VALUE"""),"Yes")</f>
        <v>Yes</v>
      </c>
      <c r="F1692" s="7" t="str">
        <f>IFERROR(__xludf.DUMMYFUNCTION("""COMPUTED_VALUE"""),"IP-Oral")</f>
        <v>IP-Oral</v>
      </c>
      <c r="G1692" s="7" t="str">
        <f>IFERROR(__xludf.DUMMYFUNCTION("""COMPUTED_VALUE"""),"In-Person")</f>
        <v>In-Person</v>
      </c>
      <c r="H1692" s="7" t="str">
        <f>IFERROR(__xludf.DUMMYFUNCTION("""COMPUTED_VALUE"""),"Hall N.2")</f>
        <v>Hall N.2</v>
      </c>
      <c r="I1692" s="7" t="str">
        <f>IFERROR(__xludf.DUMMYFUNCTION("""COMPUTED_VALUE"""),"Session 11: IP-Orals ")</f>
        <v>Session 11: IP-Orals </v>
      </c>
      <c r="J1692" s="7" t="str">
        <f>IFERROR(__xludf.DUMMYFUNCTION("""COMPUTED_VALUE"""),"Panel 5: Multilinguality and language diversity")</f>
        <v>Panel 5: Multilinguality and language diversity</v>
      </c>
      <c r="K1692" s="7"/>
      <c r="L1692" s="8">
        <f>IFERROR(__xludf.DUMMYFUNCTION("""COMPUTED_VALUE"""),45868.0)</f>
        <v>45868</v>
      </c>
      <c r="M1692" s="7" t="str">
        <f>IFERROR(__xludf.DUMMYFUNCTION("""COMPUTED_VALUE"""),"09:00-10:30")</f>
        <v>09:00-10:30</v>
      </c>
      <c r="N1692" s="7">
        <f>IFERROR(__xludf.DUMMYFUNCTION("""COMPUTED_VALUE"""),2.0)</f>
        <v>2</v>
      </c>
    </row>
    <row r="1693">
      <c r="A1693" s="7" t="str">
        <f>IFERROR(__xludf.DUMMYFUNCTION("""COMPUTED_VALUE"""),"191-MAIN")</f>
        <v>191-MAIN</v>
      </c>
      <c r="B1693" s="7" t="str">
        <f>IFERROR(__xludf.DUMMYFUNCTION("""COMPUTED_VALUE"""),"What Really Matters in Many-Shot Attacks? An Empirical Study of Long-Context Vulnerabilities in LLMs")</f>
        <v>What Really Matters in Many-Shot Attacks? An Empirical Study of Long-Context Vulnerabilities in LLMs</v>
      </c>
      <c r="C1693" s="7" t="str">
        <f>IFERROR(__xludf.DUMMYFUNCTION("""COMPUTED_VALUE"""),"We investigate long-context vulnerabilities in Large Language Models (LLMs) through Many-Shot Jailbreaking (MSJ). Our experiments utilize context length of up to 128K tokens. Through comprehensive analysis with various many-shot attack settings with diffe"&amp;"rent instruction styles, shot density, topic, and format, we reveal that context length is the primary factor determining attack effectiveness. Critically, we find that successful attacks do not require carefully crafted harmful content. Even repetitive s"&amp;"hots or random dummy text can circumvent model safety measures, suggesting fundamental limitations in long-context processing capabilities of LLMs. The safety behavior of well-aligned models becomes increasingly inconsistent with longer contexts. These fi"&amp;"ndings highlight significant safety gaps in context expansion capabilities of LLMs, emphasizing the need for new safety mechanisms.")</f>
        <v>We investigate long-context vulnerabilities in Large Language Models (LLMs) through Many-Shot Jailbreaking (MSJ). Our experiments utilize context length of up to 128K tokens. Through comprehensive analysis with various many-shot attack settings with different instruction styles, shot density, topic, and format, we reveal that context length is the primary factor determining attack effectiveness. Critically, we find that successful attacks do not require carefully crafted harmful content. Even repetitive shots or random dummy text can circumvent model safety measures, suggesting fundamental limitations in long-context processing capabilities of LLMs. The safety behavior of well-aligned models becomes increasingly inconsistent with longer contexts. These findings highlight significant safety gaps in context expansion capabilities of LLMs, emphasizing the need for new safety mechanisms.</v>
      </c>
      <c r="D1693" s="7" t="str">
        <f>IFERROR(__xludf.DUMMYFUNCTION("""COMPUTED_VALUE"""),"Yongwoo Song")</f>
        <v>Yongwoo Song</v>
      </c>
      <c r="E1693" s="7" t="str">
        <f>IFERROR(__xludf.DUMMYFUNCTION("""COMPUTED_VALUE"""),"Yes")</f>
        <v>Yes</v>
      </c>
      <c r="F1693" s="7" t="str">
        <f>IFERROR(__xludf.DUMMYFUNCTION("""COMPUTED_VALUE"""),"IP-Poster")</f>
        <v>IP-Poster</v>
      </c>
      <c r="G1693" s="7" t="str">
        <f>IFERROR(__xludf.DUMMYFUNCTION("""COMPUTED_VALUE"""),"In-Person")</f>
        <v>In-Person</v>
      </c>
      <c r="H1693" s="7" t="str">
        <f>IFERROR(__xludf.DUMMYFUNCTION("""COMPUTED_VALUE"""),"Hall 4/5")</f>
        <v>Hall 4/5</v>
      </c>
      <c r="I1693" s="7" t="str">
        <f>IFERROR(__xludf.DUMMYFUNCTION("""COMPUTED_VALUE"""),"Session 10: IP-Posters")</f>
        <v>Session 10: IP-Posters</v>
      </c>
      <c r="J1693" s="7" t="str">
        <f>IFERROR(__xludf.DUMMYFUNCTION("""COMPUTED_VALUE"""),"Poster Session 3")</f>
        <v>Poster Session 3</v>
      </c>
      <c r="K1693" s="7"/>
      <c r="L1693" s="8">
        <f>IFERROR(__xludf.DUMMYFUNCTION("""COMPUTED_VALUE"""),45867.0)</f>
        <v>45867</v>
      </c>
      <c r="M1693" s="7" t="str">
        <f>IFERROR(__xludf.DUMMYFUNCTION("""COMPUTED_VALUE"""),"16:00-17:30")</f>
        <v>16:00-17:30</v>
      </c>
      <c r="N1693" s="7"/>
    </row>
    <row r="1694">
      <c r="A1694" s="7" t="str">
        <f>IFERROR(__xludf.DUMMYFUNCTION("""COMPUTED_VALUE"""),"192-MAIN")</f>
        <v>192-MAIN</v>
      </c>
      <c r="B1694" s="7" t="str">
        <f>IFERROR(__xludf.DUMMYFUNCTION("""COMPUTED_VALUE"""),"ECERC: Evidence-Cause Attention Network for Multi-Modal Emotion Recognition in Conversation")</f>
        <v>ECERC: Evidence-Cause Attention Network for Multi-Modal Emotion Recognition in Conversation</v>
      </c>
      <c r="C1694" s="7" t="str">
        <f>IFERROR(__xludf.DUMMYFUNCTION("""COMPUTED_VALUE"""),"Multi-modal Emotion Recognition in Conversation (MMERC) aims to identify speakers' emotional states using multi-modal conversational data, significant for various domains. MMERC requires addressing emotional causes: contextual factors that influence emoti"&amp;"ons, alongside emotional evidence directly expressed in the target utterance. Existing methods primarily model general conversational dependencies, such as sequential utterance relationships or inter-speaker dynamics, but fall short in capturing diverse a"&amp;"nd detailed emotional causes, including emotional contagion, influences from others, and self-referenced or externally introduced events. To address these limitations, we propose the Evidence-Cause Attention Network for Multi-Modal Emotion Recognition in "&amp;"Conversation (ECERC). ECERC integrates emotional evidence with contextual causes through five stages: Evidence Gating extracts and refines emotional evidence across modalities; Cause Encoding captures causes from conversational context; Evidence-Cause Int"&amp;"eraction uses attention to integrate evidence with diverse causes, generating rich candidate features for emotion inference; Feature Gating adaptively weights contributions of candidate features; and Emotion Classification classifies emotions. We evaluate"&amp;" ECERC on two widely used benchmark datasets, IEMOCAP and MELD. Experimental results show that ECERC achieves competitive performance in weighted F1-score and accuracy, demonstrating its effectiveness in MMERC")</f>
        <v>Multi-modal Emotion Recognition in Conversation (MMERC) aims to identify speakers' emotional states using multi-modal conversational data, significant for various domains. MMERC requires addressing emotional causes: contextual factors that influence emotions, alongside emotional evidence directly expressed in the target utterance. Existing methods primarily model general conversational dependencies, such as sequential utterance relationships or inter-speaker dynamics, but fall short in capturing diverse and detailed emotional causes, including emotional contagion, influences from others, and self-referenced or externally introduced events. To address these limitations, we propose the Evidence-Cause Attention Network for Multi-Modal Emotion Recognition in Conversation (ECERC). ECERC integrates emotional evidence with contextual causes through five stages: Evidence Gating extracts and refines emotional evidence across modalities; Cause Encoding captures causes from conversational context; Evidence-Cause Interaction uses attention to integrate evidence with diverse causes, generating rich candidate features for emotion inference; Feature Gating adaptively weights contributions of candidate features; and Emotion Classification classifies emotions. We evaluate ECERC on two widely used benchmark datasets, IEMOCAP and MELD. Experimental results show that ECERC achieves competitive performance in weighted F1-score and accuracy, demonstrating its effectiveness in MMERC</v>
      </c>
      <c r="D1694" s="7" t="str">
        <f>IFERROR(__xludf.DUMMYFUNCTION("""COMPUTED_VALUE"""),"Tao Zhang")</f>
        <v>Tao Zhang</v>
      </c>
      <c r="E1694" s="7" t="str">
        <f>IFERROR(__xludf.DUMMYFUNCTION("""COMPUTED_VALUE"""),"Yes")</f>
        <v>Yes</v>
      </c>
      <c r="F1694" s="7" t="str">
        <f>IFERROR(__xludf.DUMMYFUNCTION("""COMPUTED_VALUE"""),"IP-Poster")</f>
        <v>IP-Poster</v>
      </c>
      <c r="G1694" s="7" t="str">
        <f>IFERROR(__xludf.DUMMYFUNCTION("""COMPUTED_VALUE"""),"In-Person")</f>
        <v>In-Person</v>
      </c>
      <c r="H1694" s="7" t="str">
        <f>IFERROR(__xludf.DUMMYFUNCTION("""COMPUTED_VALUE"""),"Hall 4/5")</f>
        <v>Hall 4/5</v>
      </c>
      <c r="I1694" s="7" t="str">
        <f>IFERROR(__xludf.DUMMYFUNCTION("""COMPUTED_VALUE"""),"Session 12: IP-Posters")</f>
        <v>Session 12: IP-Posters</v>
      </c>
      <c r="J1694" s="7" t="str">
        <f>IFERROR(__xludf.DUMMYFUNCTION("""COMPUTED_VALUE"""),"Poster Session 4")</f>
        <v>Poster Session 4</v>
      </c>
      <c r="K1694" s="7"/>
      <c r="L1694" s="8">
        <f>IFERROR(__xludf.DUMMYFUNCTION("""COMPUTED_VALUE"""),45868.0)</f>
        <v>45868</v>
      </c>
      <c r="M1694" s="7" t="str">
        <f>IFERROR(__xludf.DUMMYFUNCTION("""COMPUTED_VALUE"""),"11:00-12:30")</f>
        <v>11:00-12:30</v>
      </c>
      <c r="N1694" s="7"/>
    </row>
    <row r="1695">
      <c r="A1695" s="7" t="str">
        <f>IFERROR(__xludf.DUMMYFUNCTION("""COMPUTED_VALUE"""),"195-MAIN")</f>
        <v>195-MAIN</v>
      </c>
      <c r="B1695" s="7" t="str">
        <f>IFERROR(__xludf.DUMMYFUNCTION("""COMPUTED_VALUE"""),"CompileAgent: Automated Real-World Repo-Level Compilation with Tool-Integrated LLM-based Agent System")</f>
        <v>CompileAgent: Automated Real-World Repo-Level Compilation with Tool-Integrated LLM-based Agent System</v>
      </c>
      <c r="C1695" s="7" t="str">
        <f>IFERROR(__xludf.DUMMYFUNCTION("""COMPUTED_VALUE"""),"With open-source projects growing in size and complexity, manual compilation becomes tedious and error-prone, highlighting the need for automation to improve efficiency and accuracy. However, the complexity of compilation instruction search and error reso"&amp;"lution makes automatic compilation challenging. Inspired by the success of LLM-based agents in various fields, we propose CompileAgent, the first LLM-based agent framework dedicated to repo-level compilation. CompileAgent integrates five tools and a flow-"&amp;"based agent strategy, enabling interaction with software artifacts for compilation instruction search and error resolution. To measure the effectiveness of our method, we design a public repo-level benchmark CompileAgentBench, and we also design two basel"&amp;"ines for comparison by combining two compilation-friendly schemes. The performance on this benchmark shows that our method significantly improves the compilation success rate, ranging from 10% to 71%. Meanwhile, we evaluate the performance of CompileAgent"&amp;" under different agent strategies and verify the effectiveness of the flow-based strategy. Additionally, we emphasize the scalability of CompileAgent, further expanding its application prospects. The complete code and data are available at https://github."&amp;"com/Ch3nYe/AutoCompiler.")</f>
        <v>With open-source projects growing in size and complexity, manual compilation becomes tedious and error-prone, highlighting the need for automation to improve efficiency and accuracy. However, the complexity of compilation instruction search and error resolution makes automatic compilation challenging. Inspired by the success of LLM-based agents in various fields, we propose CompileAgent, the first LLM-based agent framework dedicated to repo-level compilation. CompileAgent integrates five tools and a flow-based agent strategy, enabling interaction with software artifacts for compilation instruction search and error resolution. To measure the effectiveness of our method, we design a public repo-level benchmark CompileAgentBench, and we also design two baselines for comparison by combining two compilation-friendly schemes. The performance on this benchmark shows that our method significantly improves the compilation success rate, ranging from 10% to 71%. Meanwhile, we evaluate the performance of CompileAgent under different agent strategies and verify the effectiveness of the flow-based strategy. Additionally, we emphasize the scalability of CompileAgent, further expanding its application prospects. The complete code and data are available at https://github.com/Ch3nYe/AutoCompiler.</v>
      </c>
      <c r="D1695" s="7" t="str">
        <f>IFERROR(__xludf.DUMMYFUNCTION("""COMPUTED_VALUE"""),"Li Hu")</f>
        <v>Li Hu</v>
      </c>
      <c r="E1695" s="7" t="str">
        <f>IFERROR(__xludf.DUMMYFUNCTION("""COMPUTED_VALUE"""),"Yes")</f>
        <v>Yes</v>
      </c>
      <c r="F1695" s="7" t="str">
        <f>IFERROR(__xludf.DUMMYFUNCTION("""COMPUTED_VALUE"""),"V-Presentation")</f>
        <v>V-Presentation</v>
      </c>
      <c r="G1695" s="7" t="str">
        <f>IFERROR(__xludf.DUMMYFUNCTION("""COMPUTED_VALUE"""),"Virtual/Gather")</f>
        <v>Virtual/Gather</v>
      </c>
      <c r="H1695" s="7" t="str">
        <f>IFERROR(__xludf.DUMMYFUNCTION("""COMPUTED_VALUE"""),"Zoom")</f>
        <v>Zoom</v>
      </c>
      <c r="I1695" s="7" t="str">
        <f>IFERROR(__xludf.DUMMYFUNCTION("""COMPUTED_VALUE"""),"Session 7: V--Presentations ")</f>
        <v>Session 7: V--Presentations </v>
      </c>
      <c r="J1695" s="7" t="str">
        <f>IFERROR(__xludf.DUMMYFUNCTION("""COMPUTED_VALUE"""),"Virtual Presentations 2")</f>
        <v>Virtual Presentations 2</v>
      </c>
      <c r="K1695" s="7"/>
      <c r="L1695" s="8"/>
      <c r="M1695" s="7" t="str">
        <f>IFERROR(__xludf.DUMMYFUNCTION("""COMPUTED_VALUE"""),"10:30-12:00")</f>
        <v>10:30-12:00</v>
      </c>
      <c r="N1695" s="7"/>
    </row>
    <row r="1696">
      <c r="A1696" s="7" t="str">
        <f>IFERROR(__xludf.DUMMYFUNCTION("""COMPUTED_VALUE"""),"196-MAIN")</f>
        <v>196-MAIN</v>
      </c>
      <c r="B1696" s="7" t="str">
        <f>IFERROR(__xludf.DUMMYFUNCTION("""COMPUTED_VALUE"""),"Beyond Demographics: Fine-tuning Large Language Models to Predict Individuals' Subjective Text Perceptions")</f>
        <v>Beyond Demographics: Fine-tuning Large Language Models to Predict Individuals' Subjective Text Perceptions</v>
      </c>
      <c r="C1696" s="7" t="str">
        <f>IFERROR(__xludf.DUMMYFUNCTION("""COMPUTED_VALUE"""),"People naturally vary in their annotations for subjective questions and some of this variation is thought to be due to the person's sociodemographic characteristics. LLMs have also been used to label data, but recent work has shown that models perform poo"&amp;"rly when prompted with sociodemographic attributes, suggesting limited inherent sociodemographic knowledge. Here, we ask whether LLMs can be trained to be accurate sociodemographic models of annotator variation. Using a curated dataset of five tasks with "&amp;"standardized sociodemographics, we show that models do improve in sociodemographic prompting when trained but that this performance gain is largely due to models learning annotator-specific behaviour rather than sociodemographic behaviours. Across all tas"&amp;"ks, our results suggest that models learn little meaningful connection between sociodemographics and annotation, raising doubts about the current use of LLMs for simulating sociodemographic variation and behaviour.")</f>
        <v>People naturally vary in their annotations for subjective questions and some of this variation is thought to be due to the person's sociodemographic characteristics. LLMs have also been used to label data, but recent work has shown that models perform poorly when prompted with sociodemographic attributes, suggesting limited inherent sociodemographic knowledge. Here, we ask whether LLMs can be trained to be accurate sociodemographic models of annotator variation. Using a curated dataset of five tasks with standardized sociodemographics, we show that models do improve in sociodemographic prompting when trained but that this performance gain is largely due to models learning annotator-specific behaviour rather than sociodemographic behaviours. Across all tasks, our results suggest that models learn little meaningful connection between sociodemographics and annotation, raising doubts about the current use of LLMs for simulating sociodemographic variation and behaviour.</v>
      </c>
      <c r="D1696" s="7" t="str">
        <f>IFERROR(__xludf.DUMMYFUNCTION("""COMPUTED_VALUE"""),"Matthias Orlikowski")</f>
        <v>Matthias Orlikowski</v>
      </c>
      <c r="E1696" s="7" t="str">
        <f>IFERROR(__xludf.DUMMYFUNCTION("""COMPUTED_VALUE"""),"Yes")</f>
        <v>Yes</v>
      </c>
      <c r="F1696" s="7" t="str">
        <f>IFERROR(__xludf.DUMMYFUNCTION("""COMPUTED_VALUE"""),"IP-Poster")</f>
        <v>IP-Poster</v>
      </c>
      <c r="G1696" s="7" t="str">
        <f>IFERROR(__xludf.DUMMYFUNCTION("""COMPUTED_VALUE"""),"In-Person")</f>
        <v>In-Person</v>
      </c>
      <c r="H1696" s="7" t="str">
        <f>IFERROR(__xludf.DUMMYFUNCTION("""COMPUTED_VALUE"""),"Hall 4/5")</f>
        <v>Hall 4/5</v>
      </c>
      <c r="I1696" s="7" t="str">
        <f>IFERROR(__xludf.DUMMYFUNCTION("""COMPUTED_VALUE"""),"Session 2: IP-Posters ")</f>
        <v>Session 2: IP-Posters </v>
      </c>
      <c r="J1696" s="7" t="str">
        <f>IFERROR(__xludf.DUMMYFUNCTION("""COMPUTED_VALUE"""),"Poster Session 1")</f>
        <v>Poster Session 1</v>
      </c>
      <c r="K1696" s="7"/>
      <c r="L1696" s="8">
        <f>IFERROR(__xludf.DUMMYFUNCTION("""COMPUTED_VALUE"""),45866.0)</f>
        <v>45866</v>
      </c>
      <c r="M1696" s="7" t="str">
        <f>IFERROR(__xludf.DUMMYFUNCTION("""COMPUTED_VALUE"""),"11:00-12:30")</f>
        <v>11:00-12:30</v>
      </c>
      <c r="N1696" s="7"/>
    </row>
    <row r="1697">
      <c r="A1697" s="7" t="str">
        <f>IFERROR(__xludf.DUMMYFUNCTION("""COMPUTED_VALUE"""),"197-MAIN")</f>
        <v>197-MAIN</v>
      </c>
      <c r="B1697" s="7" t="str">
        <f>IFERROR(__xludf.DUMMYFUNCTION("""COMPUTED_VALUE"""),"Exploring Forgetting in Large Language Model Pre-Training")</f>
        <v>Exploring Forgetting in Large Language Model Pre-Training</v>
      </c>
      <c r="C1697" s="7" t="str">
        <f>IFERROR(__xludf.DUMMYFUNCTION("""COMPUTED_VALUE"""),"Catastrophic forgetting remains a formidable obstacle to building an omniscient model in large language models (LLMs). Despite the pioneering research on task-level forgetting in LLM fine-tuning, there is scant focus on forgetting during pre-training. We "&amp;"systematically explored the existence and measurement of forgetting in pre-training, questioning traditional metrics such as perplexity (PPL) and introducing new metrics to better detect entity memory retention. Based on our revised assessment of forgetti"&amp;"ng metrics, we explored low-cost, straightforward methods to mitigate forgetting during the pre-training phase. In addition, we carefully analyzed the learning curves, offering insights into the dynamics of forgetting. Extensive evaluations and analyses o"&amp;"n forgetting of pre-training could facilitate future research on LLMs.")</f>
        <v>Catastrophic forgetting remains a formidable obstacle to building an omniscient model in large language models (LLMs). Despite the pioneering research on task-level forgetting in LLM fine-tuning, there is scant focus on forgetting during pre-training. We systematically explored the existence and measurement of forgetting in pre-training, questioning traditional metrics such as perplexity (PPL) and introducing new metrics to better detect entity memory retention. Based on our revised assessment of forgetting metrics, we explored low-cost, straightforward methods to mitigate forgetting during the pre-training phase. In addition, we carefully analyzed the learning curves, offering insights into the dynamics of forgetting. Extensive evaluations and analyses on forgetting of pre-training could facilitate future research on LLMs.</v>
      </c>
      <c r="D1697" s="7" t="str">
        <f>IFERROR(__xludf.DUMMYFUNCTION("""COMPUTED_VALUE"""),"Chonghua Liao")</f>
        <v>Chonghua Liao</v>
      </c>
      <c r="E1697" s="7" t="str">
        <f>IFERROR(__xludf.DUMMYFUNCTION("""COMPUTED_VALUE"""),"Yes")</f>
        <v>Yes</v>
      </c>
      <c r="F1697" s="7" t="str">
        <f>IFERROR(__xludf.DUMMYFUNCTION("""COMPUTED_VALUE"""),"V-Presentation")</f>
        <v>V-Presentation</v>
      </c>
      <c r="G1697" s="7" t="str">
        <f>IFERROR(__xludf.DUMMYFUNCTION("""COMPUTED_VALUE"""),"Virtual/Gather")</f>
        <v>Virtual/Gather</v>
      </c>
      <c r="H1697" s="7" t="str">
        <f>IFERROR(__xludf.DUMMYFUNCTION("""COMPUTED_VALUE"""),"Zoom")</f>
        <v>Zoom</v>
      </c>
      <c r="I1697" s="7" t="str">
        <f>IFERROR(__xludf.DUMMYFUNCTION("""COMPUTED_VALUE"""),"Session 2: V-Presentations")</f>
        <v>Session 2: V-Presentations</v>
      </c>
      <c r="J1697" s="7" t="str">
        <f>IFERROR(__xludf.DUMMYFUNCTION("""COMPUTED_VALUE"""),"Virtual Presentations 1")</f>
        <v>Virtual Presentations 1</v>
      </c>
      <c r="K1697" s="7"/>
      <c r="L1697" s="8">
        <f>IFERROR(__xludf.DUMMYFUNCTION("""COMPUTED_VALUE"""),45866.0)</f>
        <v>45866</v>
      </c>
      <c r="M1697" s="7" t="str">
        <f>IFERROR(__xludf.DUMMYFUNCTION("""COMPUTED_VALUE"""),"11:00-12:30")</f>
        <v>11:00-12:30</v>
      </c>
      <c r="N1697" s="7"/>
    </row>
    <row r="1698">
      <c r="A1698" s="7" t="str">
        <f>IFERROR(__xludf.DUMMYFUNCTION("""COMPUTED_VALUE"""),"198-MAIN")</f>
        <v>198-MAIN</v>
      </c>
      <c r="B1698" s="7" t="str">
        <f>IFERROR(__xludf.DUMMYFUNCTION("""COMPUTED_VALUE"""),"Call for Rigor in Reporting Quality of Instruction Tuning Data")</f>
        <v>Call for Rigor in Reporting Quality of Instruction Tuning Data</v>
      </c>
      <c r="C1698" s="7" t="str">
        <f>IFERROR(__xludf.DUMMYFUNCTION("""COMPUTED_VALUE"""),"Instruction tuning is crucial for adapting large language models (LLMs) to align with user intentions. Numerous studies emphasize the significance of the quality of instruction tuning (IT) data, revealing a strong correlation between IT data quality and t"&amp;"he alignment performance of LLMs. In these studies, the quality of IT data is typically assessed by evaluating the performance of LLMs trained with that data. However, we identified a prevalent issue in such practice: hyperparameters for training models a"&amp;"re often selected arbitrarily without adequate justification. We observed significant variations in hyperparameters applied across different studies, even when training the same model with the same data. In this study, we demonstrate the potential problem"&amp;"s arising from this practice and emphasize the need for careful consideration in verifying data quality. Through our experiments on the quality of LIMA data and a selected set of 1,000 Alpaca data points, we demonstrate that arbitrary hyperparameter decis"&amp;"ions can make any arbitrary conclusion.")</f>
        <v>Instruction tuning is crucial for adapting large language models (LLMs) to align with user intentions. Numerous studies emphasize the significance of the quality of instruction tuning (IT) data, revealing a strong correlation between IT data quality and the alignment performance of LLMs. In these studies, the quality of IT data is typically assessed by evaluating the performance of LLMs trained with that data. However, we identified a prevalent issue in such practice: hyperparameters for training models are often selected arbitrarily without adequate justification. We observed significant variations in hyperparameters applied across different studies, even when training the same model with the same data. In this study, we demonstrate the potential problems arising from this practice and emphasize the need for careful consideration in verifying data quality. Through our experiments on the quality of LIMA data and a selected set of 1,000 Alpaca data points, we demonstrate that arbitrary hyperparameter decisions can make any arbitrary conclusion.</v>
      </c>
      <c r="D1698" s="7" t="str">
        <f>IFERROR(__xludf.DUMMYFUNCTION("""COMPUTED_VALUE"""),"Jaehyung Seo")</f>
        <v>Jaehyung Seo</v>
      </c>
      <c r="E1698" s="7" t="str">
        <f>IFERROR(__xludf.DUMMYFUNCTION("""COMPUTED_VALUE"""),"Yes")</f>
        <v>Yes</v>
      </c>
      <c r="F1698" s="7" t="str">
        <f>IFERROR(__xludf.DUMMYFUNCTION("""COMPUTED_VALUE"""),"IP-Poster")</f>
        <v>IP-Poster</v>
      </c>
      <c r="G1698" s="7" t="str">
        <f>IFERROR(__xludf.DUMMYFUNCTION("""COMPUTED_VALUE"""),"In-Person")</f>
        <v>In-Person</v>
      </c>
      <c r="H1698" s="7" t="str">
        <f>IFERROR(__xludf.DUMMYFUNCTION("""COMPUTED_VALUE"""),"Hall 4/5")</f>
        <v>Hall 4/5</v>
      </c>
      <c r="I1698" s="7" t="str">
        <f>IFERROR(__xludf.DUMMYFUNCTION("""COMPUTED_VALUE"""),"Session 7: IP-Posters")</f>
        <v>Session 7: IP-Posters</v>
      </c>
      <c r="J1698" s="7" t="str">
        <f>IFERROR(__xludf.DUMMYFUNCTION("""COMPUTED_VALUE"""),"Poster Session 2")</f>
        <v>Poster Session 2</v>
      </c>
      <c r="K1698" s="7"/>
      <c r="L1698" s="8">
        <f>IFERROR(__xludf.DUMMYFUNCTION("""COMPUTED_VALUE"""),45867.0)</f>
        <v>45867</v>
      </c>
      <c r="M1698" s="7" t="str">
        <f>IFERROR(__xludf.DUMMYFUNCTION("""COMPUTED_VALUE"""),"10:30-12:00")</f>
        <v>10:30-12:00</v>
      </c>
      <c r="N1698" s="7"/>
    </row>
    <row r="1699">
      <c r="A1699" s="7" t="str">
        <f>IFERROR(__xludf.DUMMYFUNCTION("""COMPUTED_VALUE"""),"199-MAIN")</f>
        <v>199-MAIN</v>
      </c>
      <c r="B1699" s="7" t="str">
        <f>IFERROR(__xludf.DUMMYFUNCTION("""COMPUTED_VALUE"""),"Bias in the Mirror : Are LLMs opinions robust to their own adversarial attacks")</f>
        <v>Bias in the Mirror : Are LLMs opinions robust to their own adversarial attacks</v>
      </c>
      <c r="C1699" s="7" t="str">
        <f>IFERROR(__xludf.DUMMYFUNCTION("""COMPUTED_VALUE"""),"Large language models (LLMs) inherit biases from their training data and alignment processes, influencing their responses in subtle ways. While many studies have examined these biases, little work has explored their robustness during interactions. In this"&amp;" paper, we introduce a novel approach where two instances of an LLM engage in self-debate, arguing opposing viewpoints to persuade a neutral version of the model. Through this, we evaluate how firmly biases hold and whether models are susceptible to reinf"&amp;"orcing misinformation or shifting to harmful viewpoints. Our experiments span multiple LLMs of varying sizes, origins, and languages, providing deeper insights into bias persistence and flexibility across linguistic and cultural contexts.")</f>
        <v>Large language models (LLMs) inherit biases from their training data and alignment processes, influencing their responses in subtle ways. While many studies have examined these biases, little work has explored their robustness during interactions. In this paper, we introduce a novel approach where two instances of an LLM engage in self-debate, arguing opposing viewpoints to persuade a neutral version of the model. Through this, we evaluate how firmly biases hold and whether models are susceptible to reinforcing misinformation or shifting to harmful viewpoints. Our experiments span multiple LLMs of varying sizes, origins, and languages, providing deeper insights into bias persistence and flexibility across linguistic and cultural contexts.</v>
      </c>
      <c r="D1699" s="7" t="str">
        <f>IFERROR(__xludf.DUMMYFUNCTION("""COMPUTED_VALUE"""),"Christos Xypolopoulos")</f>
        <v>Christos Xypolopoulos</v>
      </c>
      <c r="E1699" s="7" t="str">
        <f>IFERROR(__xludf.DUMMYFUNCTION("""COMPUTED_VALUE"""),"Yes")</f>
        <v>Yes</v>
      </c>
      <c r="F1699" s="7" t="str">
        <f>IFERROR(__xludf.DUMMYFUNCTION("""COMPUTED_VALUE"""),"IP-Poster")</f>
        <v>IP-Poster</v>
      </c>
      <c r="G1699" s="7" t="str">
        <f>IFERROR(__xludf.DUMMYFUNCTION("""COMPUTED_VALUE"""),"In-Person")</f>
        <v>In-Person</v>
      </c>
      <c r="H1699" s="7" t="str">
        <f>IFERROR(__xludf.DUMMYFUNCTION("""COMPUTED_VALUE"""),"Hall 4/5")</f>
        <v>Hall 4/5</v>
      </c>
      <c r="I1699" s="7" t="str">
        <f>IFERROR(__xludf.DUMMYFUNCTION("""COMPUTED_VALUE"""),"Session 2: IP-Posters ")</f>
        <v>Session 2: IP-Posters </v>
      </c>
      <c r="J1699" s="7" t="str">
        <f>IFERROR(__xludf.DUMMYFUNCTION("""COMPUTED_VALUE"""),"Poster Session 1")</f>
        <v>Poster Session 1</v>
      </c>
      <c r="K1699" s="7"/>
      <c r="L1699" s="8">
        <f>IFERROR(__xludf.DUMMYFUNCTION("""COMPUTED_VALUE"""),45866.0)</f>
        <v>45866</v>
      </c>
      <c r="M1699" s="7" t="str">
        <f>IFERROR(__xludf.DUMMYFUNCTION("""COMPUTED_VALUE"""),"11:00-12:30")</f>
        <v>11:00-12:30</v>
      </c>
      <c r="N1699" s="7"/>
    </row>
    <row r="1700">
      <c r="A1700" s="7" t="str">
        <f>IFERROR(__xludf.DUMMYFUNCTION("""COMPUTED_VALUE"""),"200-MAIN")</f>
        <v>200-MAIN</v>
      </c>
      <c r="B1700" s="7" t="str">
        <f>IFERROR(__xludf.DUMMYFUNCTION("""COMPUTED_VALUE"""),"AndroidLab: Developing and Evaluating Android Agents in A Reproducible Environment")</f>
        <v>AndroidLab: Developing and Evaluating Android Agents in A Reproducible Environment</v>
      </c>
      <c r="C1700" s="7" t="str">
        <f>IFERROR(__xludf.DUMMYFUNCTION("""COMPUTED_VALUE"""),"Autonomous agents have become increasingly important for interacting with the real world. Android agents, in particular, have been a frequently-mentioned interaction method. However, existing studies for training and evaluating Android agents lack systema"&amp;"tic research on both open-source and closed-source models. In this work, we propose AndroidLab as a systematic Android agent framework. It includes an operation environment with different modalities, action space, and a reproducible benchmark. It supports"&amp;" both large language models (LLMs) and multimodal models (LMMs) in the same action space. AndroidLab benchmark includes predefined Android virtual devices and 138 tasks across nine apps built on these devices. By using the AndroidLab environment, we devel"&amp;"op an Android Instruction dataset and train six open-source LLMs and LMMs, lifting the average success rates from 4.59\% to 21.50\% for LLMs and from 1.93\% to 13.28\% for LMMs. AndroidLab is open-sourced and publicly available at https://github.com/THUDM"&amp;"/Android-Lab.")</f>
        <v>Autonomous agents have become increasingly important for interacting with the real world. Android agents, in particular, have been a frequently-mentioned interaction method. However, existing studies for training and evaluating Android agents lack systematic research on both open-source and closed-source models. In this work, we propose AndroidLab as a systematic Android agent framework. It includes an operation environment with different modalities, action space, and a reproducible benchmark. It supports both large language models (LLMs) and multimodal models (LMMs) in the same action space. AndroidLab benchmark includes predefined Android virtual devices and 138 tasks across nine apps built on these devices. By using the AndroidLab environment, we develop an Android Instruction dataset and train six open-source LLMs and LMMs, lifting the average success rates from 4.59\% to 21.50\% for LLMs and from 1.93\% to 13.28\% for LMMs. AndroidLab is open-sourced and publicly available at https://github.com/THUDM/Android-Lab.</v>
      </c>
      <c r="D1700" s="7" t="str">
        <f>IFERROR(__xludf.DUMMYFUNCTION("""COMPUTED_VALUE"""),"Yifan Xu")</f>
        <v>Yifan Xu</v>
      </c>
      <c r="E1700" s="7" t="str">
        <f>IFERROR(__xludf.DUMMYFUNCTION("""COMPUTED_VALUE"""),"Yes")</f>
        <v>Yes</v>
      </c>
      <c r="F1700" s="7" t="str">
        <f>IFERROR(__xludf.DUMMYFUNCTION("""COMPUTED_VALUE"""),"IP-Poster")</f>
        <v>IP-Poster</v>
      </c>
      <c r="G1700" s="7" t="str">
        <f>IFERROR(__xludf.DUMMYFUNCTION("""COMPUTED_VALUE"""),"In-Person")</f>
        <v>In-Person</v>
      </c>
      <c r="H1700" s="7" t="str">
        <f>IFERROR(__xludf.DUMMYFUNCTION("""COMPUTED_VALUE"""),"Hall 4/5")</f>
        <v>Hall 4/5</v>
      </c>
      <c r="I1700" s="7" t="str">
        <f>IFERROR(__xludf.DUMMYFUNCTION("""COMPUTED_VALUE"""),"Session 2: IP-Posters ")</f>
        <v>Session 2: IP-Posters </v>
      </c>
      <c r="J1700" s="7" t="str">
        <f>IFERROR(__xludf.DUMMYFUNCTION("""COMPUTED_VALUE"""),"Poster Session 1")</f>
        <v>Poster Session 1</v>
      </c>
      <c r="K1700" s="7"/>
      <c r="L1700" s="8">
        <f>IFERROR(__xludf.DUMMYFUNCTION("""COMPUTED_VALUE"""),45866.0)</f>
        <v>45866</v>
      </c>
      <c r="M1700" s="7" t="str">
        <f>IFERROR(__xludf.DUMMYFUNCTION("""COMPUTED_VALUE"""),"11:00-12:30")</f>
        <v>11:00-12:30</v>
      </c>
      <c r="N1700" s="7"/>
    </row>
    <row r="1701">
      <c r="A1701" s="7" t="str">
        <f>IFERROR(__xludf.DUMMYFUNCTION("""COMPUTED_VALUE"""),"202-MAIN")</f>
        <v>202-MAIN</v>
      </c>
      <c r="B1701" s="7" t="str">
        <f>IFERROR(__xludf.DUMMYFUNCTION("""COMPUTED_VALUE"""),"Modular Sentence Encoders: Separating Language Specialization from Cross-Lingual Alignment")</f>
        <v>Modular Sentence Encoders: Separating Language Specialization from Cross-Lingual Alignment</v>
      </c>
      <c r="C1701" s="7" t="str">
        <f>IFERROR(__xludf.DUMMYFUNCTION("""COMPUTED_VALUE"""),"Multilingual sentence encoders (MSEs) are commonly obtained by training multilingual language models to map sentences from different languages into a shared semantic space. As such, they are subject to curse of multilinguality, a loss of monolingual repre"&amp;"sentational accuracy due to parameter sharing. Another limitation of MSEs is the trade-off between different task performance: cross-lingual alignment training distorts the optimal monolingual structure of semantic spaces of individual languages, harming "&amp;"the utility of sentence embeddings in monolingual tasks; cross-lingual tasks, such as cross-lingual semantic similarity and zero-shot transfer for sentence classification, may also require conflicting cross-lingual alignment strategies. In this work, we a"&amp;"ddress both issues by means of modular training of sentence encoders. We first train language-specific monolingual modules to mitigate negative interference between languages (i.e., the curse). We then align all non-English sentence embeddings to the Engl"&amp;"ish by training cross-lingual alignment adapters, preventing interference with monolingual specialization from the first step. We train the cross-lingual adapters with two different types of data to resolve the conflicting requirements of different cross-"&amp;"lingual tasks. Monolingual and cross-lingual results on semantic text similarity and relatedness, bitext mining and sentence classification show that our modular solution achieves better and more balanced performance across all the tasks compared to full-"&amp;"parameter training of monolithic multilingual sentence encoders, especially benefiting low-resource languages.")</f>
        <v>Multilingual sentence encoders (MSEs) are commonly obtained by training multilingual language models to map sentences from different languages into a shared semantic space. As such, they are subject to curse of multilinguality, a loss of monolingual representational accuracy due to parameter sharing. Another limitation of MSEs is the trade-off between different task performance: cross-lingual alignment training distorts the optimal monolingual structure of semantic spaces of individual languages, harming the utility of sentence embeddings in monolingual tasks; cross-lingual tasks, such as cross-lingual semantic similarity and zero-shot transfer for sentence classification, may also require conflicting cross-lingual alignment strategies. In this work, we address both issues by means of modular training of sentence encoders. We first train language-specific monolingual modules to mitigate negative interference between languages (i.e., the curse). We then align all non-English sentence embeddings to the English by training cross-lingual alignment adapters, preventing interference with monolingual specialization from the first step. We train the cross-lingual adapters with two different types of data to resolve the conflicting requirements of different cross-lingual tasks. Monolingual and cross-lingual results on semantic text similarity and relatedness, bitext mining and sentence classification show that our modular solution achieves better and more balanced performance across all the tasks compared to full-parameter training of monolithic multilingual sentence encoders, especially benefiting low-resource languages.</v>
      </c>
      <c r="D1701" s="7" t="str">
        <f>IFERROR(__xludf.DUMMYFUNCTION("""COMPUTED_VALUE"""),"Yongxin Huang")</f>
        <v>Yongxin Huang</v>
      </c>
      <c r="E1701" s="7" t="str">
        <f>IFERROR(__xludf.DUMMYFUNCTION("""COMPUTED_VALUE"""),"Yes")</f>
        <v>Yes</v>
      </c>
      <c r="F1701" s="7" t="str">
        <f>IFERROR(__xludf.DUMMYFUNCTION("""COMPUTED_VALUE"""),"IP-Poster")</f>
        <v>IP-Poster</v>
      </c>
      <c r="G1701" s="7" t="str">
        <f>IFERROR(__xludf.DUMMYFUNCTION("""COMPUTED_VALUE"""),"In-Person")</f>
        <v>In-Person</v>
      </c>
      <c r="H1701" s="7" t="str">
        <f>IFERROR(__xludf.DUMMYFUNCTION("""COMPUTED_VALUE"""),"Hall 4/5")</f>
        <v>Hall 4/5</v>
      </c>
      <c r="I1701" s="7" t="str">
        <f>IFERROR(__xludf.DUMMYFUNCTION("""COMPUTED_VALUE"""),"Session 7: IP-Posters")</f>
        <v>Session 7: IP-Posters</v>
      </c>
      <c r="J1701" s="7" t="str">
        <f>IFERROR(__xludf.DUMMYFUNCTION("""COMPUTED_VALUE"""),"Poster Session 2")</f>
        <v>Poster Session 2</v>
      </c>
      <c r="K1701" s="7"/>
      <c r="L1701" s="8">
        <f>IFERROR(__xludf.DUMMYFUNCTION("""COMPUTED_VALUE"""),45867.0)</f>
        <v>45867</v>
      </c>
      <c r="M1701" s="7" t="str">
        <f>IFERROR(__xludf.DUMMYFUNCTION("""COMPUTED_VALUE"""),"10:30-12:00")</f>
        <v>10:30-12:00</v>
      </c>
      <c r="N1701" s="7"/>
    </row>
    <row r="1702">
      <c r="A1702" s="7" t="str">
        <f>IFERROR(__xludf.DUMMYFUNCTION("""COMPUTED_VALUE"""),"203-MAIN")</f>
        <v>203-MAIN</v>
      </c>
      <c r="B1702" s="7" t="str">
        <f>IFERROR(__xludf.DUMMYFUNCTION("""COMPUTED_VALUE"""),"Multimodal Transformers are Hierarchical Modal-wise Heterogeneous Graphs")</f>
        <v>Multimodal Transformers are Hierarchical Modal-wise Heterogeneous Graphs</v>
      </c>
      <c r="C1702" s="7" t="str">
        <f>IFERROR(__xludf.DUMMYFUNCTION("""COMPUTED_VALUE"""),"Multimodal Sentiment Analysis (MSA) is a rapidly developing field that integrates multimodal information to recognize sentiments, and existing models have made significant progress in this area. The central challenge in MSA is multimodal fusion, which is "&amp;"predominantly addressed by Multimodal Transformers (MulTs). Although act as the paradigm, MulTs suffer from efficiency concerns. In this work, from the perspective of efficiency optimization, we propose and prove that MulTs are hierarchical modal-wise het"&amp;"erogeneous graphs (HMHGs), and we introduce the graph-structured representation pattern of MulTs. Based on this pattern, we propose an Interlaced Mask (IM) mechanism to design the Graph-Structured and Interlaced-Masked Multimodal Transformer (GsiT). It is"&amp;" formally equivalent to MulTs which achieves an efficient weight-sharing mechanism without information disorder through IM, enabling All-Modal-In-One fusion with only 1/3 of the parameters of pure MulTs. A kernel called Decomposition is implemented to ens"&amp;"ure avoiding additional computational overhead. Moreover, it achieves significantly higher performance than traditional MulTs. To further validate the effectiveness of GsiT itself and the HMHG concept, we integrate them into multiple state-of-the-art mode"&amp;"ls and demonstrate notable performance improvements and parameter reduction on widely used MSA datasets. Experimental results also demonstrate its effectiveness on other multimodal tasks. The code is available in https://github.com/drewjin/GsiT.git.")</f>
        <v>Multimodal Sentiment Analysis (MSA) is a rapidly developing field that integrates multimodal information to recognize sentiments, and existing models have made significant progress in this area. The central challenge in MSA is multimodal fusion, which is predominantly addressed by Multimodal Transformers (MulTs). Although act as the paradigm, MulTs suffer from efficiency concerns. In this work, from the perspective of efficiency optimization, we propose and prove that MulTs are hierarchical modal-wise heterogeneous graphs (HMHGs), and we introduce the graph-structured representation pattern of MulTs. Based on this pattern, we propose an Interlaced Mask (IM) mechanism to design the Graph-Structured and Interlaced-Masked Multimodal Transformer (GsiT). It is formally equivalent to MulTs which achieves an efficient weight-sharing mechanism without information disorder through IM, enabling All-Modal-In-One fusion with only 1/3 of the parameters of pure MulTs. A kernel called Decomposition is implemented to ensure avoiding additional computational overhead. Moreover, it achieves significantly higher performance than traditional MulTs. To further validate the effectiveness of GsiT itself and the HMHG concept, we integrate them into multiple state-of-the-art models and demonstrate notable performance improvements and parameter reduction on widely used MSA datasets. Experimental results also demonstrate its effectiveness on other multimodal tasks. The code is available in https://github.com/drewjin/GsiT.git.</v>
      </c>
      <c r="D1702" s="7" t="str">
        <f>IFERROR(__xludf.DUMMYFUNCTION("""COMPUTED_VALUE"""),"Yijie Jin")</f>
        <v>Yijie Jin</v>
      </c>
      <c r="E1702" s="7" t="str">
        <f>IFERROR(__xludf.DUMMYFUNCTION("""COMPUTED_VALUE"""),"Yes")</f>
        <v>Yes</v>
      </c>
      <c r="F1702" s="7" t="str">
        <f>IFERROR(__xludf.DUMMYFUNCTION("""COMPUTED_VALUE"""),"IP-Poster")</f>
        <v>IP-Poster</v>
      </c>
      <c r="G1702" s="7" t="str">
        <f>IFERROR(__xludf.DUMMYFUNCTION("""COMPUTED_VALUE"""),"In-Person")</f>
        <v>In-Person</v>
      </c>
      <c r="H1702" s="7" t="str">
        <f>IFERROR(__xludf.DUMMYFUNCTION("""COMPUTED_VALUE"""),"Hall 4/5")</f>
        <v>Hall 4/5</v>
      </c>
      <c r="I1702" s="7" t="str">
        <f>IFERROR(__xludf.DUMMYFUNCTION("""COMPUTED_VALUE"""),"Session 2: IP-Posters ")</f>
        <v>Session 2: IP-Posters </v>
      </c>
      <c r="J1702" s="7" t="str">
        <f>IFERROR(__xludf.DUMMYFUNCTION("""COMPUTED_VALUE"""),"Poster Session 1")</f>
        <v>Poster Session 1</v>
      </c>
      <c r="K1702" s="7"/>
      <c r="L1702" s="8">
        <f>IFERROR(__xludf.DUMMYFUNCTION("""COMPUTED_VALUE"""),45866.0)</f>
        <v>45866</v>
      </c>
      <c r="M1702" s="7" t="str">
        <f>IFERROR(__xludf.DUMMYFUNCTION("""COMPUTED_VALUE"""),"11:00-12:30")</f>
        <v>11:00-12:30</v>
      </c>
      <c r="N1702" s="7"/>
    </row>
    <row r="1703">
      <c r="A1703" s="7" t="str">
        <f>IFERROR(__xludf.DUMMYFUNCTION("""COMPUTED_VALUE"""),"205-MAIN")</f>
        <v>205-MAIN</v>
      </c>
      <c r="B1703" s="7" t="str">
        <f>IFERROR(__xludf.DUMMYFUNCTION("""COMPUTED_VALUE"""),"Have We Designed Generalizable Structural Knowledge Promptings? Systematic Evaluation and Rethinking")</f>
        <v>Have We Designed Generalizable Structural Knowledge Promptings? Systematic Evaluation and Rethinking</v>
      </c>
      <c r="C1703" s="7" t="str">
        <f>IFERROR(__xludf.DUMMYFUNCTION("""COMPUTED_VALUE"""),"Large language models (LLMs) have demonstrated exceptional performance in text generation within current NLP research. However, the lack of factual accuracy is still a dark cloud hanging over the LLM skyscraper. Structural knowledge prompting (SKP) is a p"&amp;"rominent paradigm to integrate external knowledge into LLMs by incorporating structural representations, achieving state-of-the-art results in many knowledge-intensive tasks. However, existing methods often focus on specific problems, lacking a comprehens"&amp;"ive exploration of the generalization and capability boundaries of SKP. This paper aims to evaluate and rethink the generalization capability of the SKP paradigm from four perspectives including Granularity, Transferability, Scalability, and Universality."&amp;" To provide a thorough evaluation, we introduce a novel multi-granular, multi-level benchmark called SUBARU, consisting of 9 different tasks with varying levels of granularity and difficulty. Through extensive experiments, we draw key conclusions regardin"&amp;"g the generalization of SKP, offering insights to guide the future development and extension of the SKP paradigm.")</f>
        <v>Large language models (LLMs) have demonstrated exceptional performance in text generation within current NLP research. However, the lack of factual accuracy is still a dark cloud hanging over the LLM skyscraper. Structural knowledge prompting (SKP) is a prominent paradigm to integrate external knowledge into LLMs by incorporating structural representations, achieving state-of-the-art results in many knowledge-intensive tasks. However, existing methods often focus on specific problems, lacking a comprehensive exploration of the generalization and capability boundaries of SKP. This paper aims to evaluate and rethink the generalization capability of the SKP paradigm from four perspectives including Granularity, Transferability, Scalability, and Universality. To provide a thorough evaluation, we introduce a novel multi-granular, multi-level benchmark called SUBARU, consisting of 9 different tasks with varying levels of granularity and difficulty. Through extensive experiments, we draw key conclusions regarding the generalization of SKP, offering insights to guide the future development and extension of the SKP paradigm.</v>
      </c>
      <c r="D1703" s="7" t="str">
        <f>IFERROR(__xludf.DUMMYFUNCTION("""COMPUTED_VALUE"""),"Yichi Zhang")</f>
        <v>Yichi Zhang</v>
      </c>
      <c r="E1703" s="7" t="str">
        <f>IFERROR(__xludf.DUMMYFUNCTION("""COMPUTED_VALUE"""),"Yes")</f>
        <v>Yes</v>
      </c>
      <c r="F1703" s="7" t="str">
        <f>IFERROR(__xludf.DUMMYFUNCTION("""COMPUTED_VALUE"""),"V-Presentation")</f>
        <v>V-Presentation</v>
      </c>
      <c r="G1703" s="7" t="str">
        <f>IFERROR(__xludf.DUMMYFUNCTION("""COMPUTED_VALUE"""),"Virtual/Gather")</f>
        <v>Virtual/Gather</v>
      </c>
      <c r="H1703" s="7" t="str">
        <f>IFERROR(__xludf.DUMMYFUNCTION("""COMPUTED_VALUE"""),"Zoom")</f>
        <v>Zoom</v>
      </c>
      <c r="I1703" s="7" t="str">
        <f>IFERROR(__xludf.DUMMYFUNCTION("""COMPUTED_VALUE"""),"Session 10: V-Presenations")</f>
        <v>Session 10: V-Presenations</v>
      </c>
      <c r="J1703" s="7" t="str">
        <f>IFERROR(__xludf.DUMMYFUNCTION("""COMPUTED_VALUE"""),"Virtual Presentations 3")</f>
        <v>Virtual Presentations 3</v>
      </c>
      <c r="K1703" s="7"/>
      <c r="L1703" s="8">
        <f>IFERROR(__xludf.DUMMYFUNCTION("""COMPUTED_VALUE"""),45867.0)</f>
        <v>45867</v>
      </c>
      <c r="M1703" s="7" t="str">
        <f>IFERROR(__xludf.DUMMYFUNCTION("""COMPUTED_VALUE"""),"16:00-17:30")</f>
        <v>16:00-17:30</v>
      </c>
      <c r="N1703" s="7"/>
    </row>
    <row r="1704">
      <c r="A1704" s="7" t="str">
        <f>IFERROR(__xludf.DUMMYFUNCTION("""COMPUTED_VALUE"""),"206-MAIN")</f>
        <v>206-MAIN</v>
      </c>
      <c r="B1704" s="7" t="str">
        <f>IFERROR(__xludf.DUMMYFUNCTION("""COMPUTED_VALUE"""),"LLäMmlein 🐑: Transparent, Compact and Competitive German-Only Language Models from Scratch")</f>
        <v>LLäMmlein 🐑: Transparent, Compact and Competitive German-Only Language Models from Scratch</v>
      </c>
      <c r="C1704" s="7" t="str">
        <f>IFERROR(__xludf.DUMMYFUNCTION("""COMPUTED_VALUE"""),"We transparently create two German-only decoder models, LLäMmlein 120M and 1B, from scratch and publish them, along with the training data, for the (German) NLP research community to use. The model training involved several key steps, including data prepr"&amp;"ocessing/filtering, the creation of a German tokenizer, the training itself, as well as the evaluation of the final models on various benchmarks, also against existing models. Throughout the training process, multiple checkpoints were saved in equal inter"&amp;"vals and analyzed using the German SuperGLEBer benchmark to gain insights into the models' learning process.
Compared to state-of-the-art models on the SuperGLEBer benchmark, both LLäMmlein models performed competitively, consistently matching or surpass"&amp;"ing models with similar parameter sizes. The results show that the models' quality scales with size as expected, but performance improvements on some tasks plateaued early during training, offering valuable insights into resource allocation for future mod"&amp;"els.")</f>
        <v>We transparently create two German-only decoder models, LLäMmlein 120M and 1B, from scratch and publish them, along with the training data, for the (German) NLP research community to use. The model training involved several key steps, including data preprocessing/filtering, the creation of a German tokenizer, the training itself, as well as the evaluation of the final models on various benchmarks, also against existing models. Throughout the training process, multiple checkpoints were saved in equal intervals and analyzed using the German SuperGLEBer benchmark to gain insights into the models' learning process.
Compared to state-of-the-art models on the SuperGLEBer benchmark, both LLäMmlein models performed competitively, consistently matching or surpassing models with similar parameter sizes. The results show that the models' quality scales with size as expected, but performance improvements on some tasks plateaued early during training, offering valuable insights into resource allocation for future models.</v>
      </c>
      <c r="D1704" s="7" t="str">
        <f>IFERROR(__xludf.DUMMYFUNCTION("""COMPUTED_VALUE"""),"Jan Pfister or Julia Wunderle")</f>
        <v>Jan Pfister or Julia Wunderle</v>
      </c>
      <c r="E1704" s="7" t="str">
        <f>IFERROR(__xludf.DUMMYFUNCTION("""COMPUTED_VALUE"""),"Yes")</f>
        <v>Yes</v>
      </c>
      <c r="F1704" s="7" t="str">
        <f>IFERROR(__xludf.DUMMYFUNCTION("""COMPUTED_VALUE"""),"IP-Poster")</f>
        <v>IP-Poster</v>
      </c>
      <c r="G1704" s="7" t="str">
        <f>IFERROR(__xludf.DUMMYFUNCTION("""COMPUTED_VALUE"""),"In-Person")</f>
        <v>In-Person</v>
      </c>
      <c r="H1704" s="7" t="str">
        <f>IFERROR(__xludf.DUMMYFUNCTION("""COMPUTED_VALUE"""),"Hall 4/5")</f>
        <v>Hall 4/5</v>
      </c>
      <c r="I1704" s="7" t="str">
        <f>IFERROR(__xludf.DUMMYFUNCTION("""COMPUTED_VALUE"""),"Session 2: IP-Posters ")</f>
        <v>Session 2: IP-Posters </v>
      </c>
      <c r="J1704" s="7" t="str">
        <f>IFERROR(__xludf.DUMMYFUNCTION("""COMPUTED_VALUE"""),"Poster Session 1")</f>
        <v>Poster Session 1</v>
      </c>
      <c r="K1704" s="7"/>
      <c r="L1704" s="8">
        <f>IFERROR(__xludf.DUMMYFUNCTION("""COMPUTED_VALUE"""),45866.0)</f>
        <v>45866</v>
      </c>
      <c r="M1704" s="7" t="str">
        <f>IFERROR(__xludf.DUMMYFUNCTION("""COMPUTED_VALUE"""),"11:00-12:30")</f>
        <v>11:00-12:30</v>
      </c>
      <c r="N1704" s="7"/>
    </row>
    <row r="1705">
      <c r="A1705" s="7" t="str">
        <f>IFERROR(__xludf.DUMMYFUNCTION("""COMPUTED_VALUE"""),"207-MAIN")</f>
        <v>207-MAIN</v>
      </c>
      <c r="B1705" s="7" t="str">
        <f>IFERROR(__xludf.DUMMYFUNCTION("""COMPUTED_VALUE"""),"Speaking Beyond Language: A Large-Scale Multimodal Dataset for Learning Nonverbal Cues from Video-Grounded Dialogues")</f>
        <v>Speaking Beyond Language: A Large-Scale Multimodal Dataset for Learning Nonverbal Cues from Video-Grounded Dialogues</v>
      </c>
      <c r="C1705" s="7" t="str">
        <f>IFERROR(__xludf.DUMMYFUNCTION("""COMPUTED_VALUE"""),"Nonverbal communication is integral to human interaction, with gestures, facial expressions, and body language conveying critical aspects of intent and emotion. However, existing large language models (LLMs) fail to effectively incorporate these nonverbal"&amp;" elements, limiting their capacity to create fully immersive conversational experiences. We introduce MARS, a multimodal language model designed to understand and generate nonverbal cues alongside text, bridging this gap in conversational AI.
Our key inno"&amp;"vation is VENUS, a large-scale dataset comprising annotated videos with time-aligned text, facial expressions, and body language.
Leveraging VENUS, we train MARS with a next-token prediction objective, combining text with vector-quantized nonverbal repres"&amp;"entations to achieve multimodal understanding and generation within a unified framework.
Based on various analyses of the VENUS datasets, we validate its substantial scale and high effectiveness. Our quantitative and qualitative results demonstrate that M"&amp;"ARS successfully generates text and nonverbal languages, corresponding to conversational input.
Our dataset and code are available at https://github.com/winston1214/nonverbal-conversation.")</f>
        <v>Nonverbal communication is integral to human interaction, with gestures, facial expressions, and body language conveying critical aspects of intent and emotion. However, existing large language models (LLMs) fail to effectively incorporate these nonverbal elements, limiting their capacity to create fully immersive conversational experiences. We introduce MARS, a multimodal language model designed to understand and generate nonverbal cues alongside text, bridging this gap in conversational AI.
Our key innovation is VENUS, a large-scale dataset comprising annotated videos with time-aligned text, facial expressions, and body language.
Leveraging VENUS, we train MARS with a next-token prediction objective, combining text with vector-quantized nonverbal representations to achieve multimodal understanding and generation within a unified framework.
Based on various analyses of the VENUS datasets, we validate its substantial scale and high effectiveness. Our quantitative and qualitative results demonstrate that MARS successfully generates text and nonverbal languages, corresponding to conversational input.
Our dataset and code are available at https://github.com/winston1214/nonverbal-conversation.</v>
      </c>
      <c r="D1705" s="7" t="str">
        <f>IFERROR(__xludf.DUMMYFUNCTION("""COMPUTED_VALUE"""),"Youngmin Kim")</f>
        <v>Youngmin Kim</v>
      </c>
      <c r="E1705" s="7" t="str">
        <f>IFERROR(__xludf.DUMMYFUNCTION("""COMPUTED_VALUE"""),"Yes")</f>
        <v>Yes</v>
      </c>
      <c r="F1705" s="7" t="str">
        <f>IFERROR(__xludf.DUMMYFUNCTION("""COMPUTED_VALUE"""),"IP-Poster")</f>
        <v>IP-Poster</v>
      </c>
      <c r="G1705" s="7" t="str">
        <f>IFERROR(__xludf.DUMMYFUNCTION("""COMPUTED_VALUE"""),"In-Person")</f>
        <v>In-Person</v>
      </c>
      <c r="H1705" s="7" t="str">
        <f>IFERROR(__xludf.DUMMYFUNCTION("""COMPUTED_VALUE"""),"Hall 4/5")</f>
        <v>Hall 4/5</v>
      </c>
      <c r="I1705" s="7" t="str">
        <f>IFERROR(__xludf.DUMMYFUNCTION("""COMPUTED_VALUE"""),"Session 2: IP-Posters ")</f>
        <v>Session 2: IP-Posters </v>
      </c>
      <c r="J1705" s="7" t="str">
        <f>IFERROR(__xludf.DUMMYFUNCTION("""COMPUTED_VALUE"""),"Poster Session 1")</f>
        <v>Poster Session 1</v>
      </c>
      <c r="K1705" s="7"/>
      <c r="L1705" s="8">
        <f>IFERROR(__xludf.DUMMYFUNCTION("""COMPUTED_VALUE"""),45866.0)</f>
        <v>45866</v>
      </c>
      <c r="M1705" s="7" t="str">
        <f>IFERROR(__xludf.DUMMYFUNCTION("""COMPUTED_VALUE"""),"11:00-12:30")</f>
        <v>11:00-12:30</v>
      </c>
      <c r="N1705" s="7"/>
    </row>
    <row r="1706">
      <c r="A1706" s="7" t="str">
        <f>IFERROR(__xludf.DUMMYFUNCTION("""COMPUTED_VALUE"""),"208-MAIN")</f>
        <v>208-MAIN</v>
      </c>
      <c r="B1706" s="7" t="str">
        <f>IFERROR(__xludf.DUMMYFUNCTION("""COMPUTED_VALUE"""),"How Much Do Pretrained Language Models Know About Word Senses?")</f>
        <v>How Much Do Pretrained Language Models Know About Word Senses?</v>
      </c>
      <c r="C1706" s="7" t="str">
        <f>IFERROR(__xludf.DUMMYFUNCTION("""COMPUTED_VALUE"""),"Word Sense Disambiguation (WSD) is a key task in Natural Language Processing (NLP), involving selecting the correct meaning of a word based on its context. With Pretrained Language Models (PLMs) like BERT and DeBERTa now well established, significant prog"&amp;"ress has been made in understanding contextual semantics. Nevertheless, how well these models inherently disambiguate word senses remains uncertain. In this work, we evaluate several encoder-only PLMs across two popular inventories (i.e. WordNet and the O"&amp;"xford Dictionary of English) by analyzing their ability to separate word senses without any task-specific fine-tuning. We compute centroids of word senses and measure similarity to assess performance across different layers. Our results show that DeBERTa-"&amp;"v3 delivers the best performance on the task, with the middle layers (specifically the 7th and 8th layers) achieving the highest accuracy, outperforming the output layer by approximately 15 percentage points.  Our experiments also explore the inherent str"&amp;"ucture of WordNet and ODE sense inventories, highlighting their influence on the overall model behavior and performance. Finally, based on our findings, we develop a small, efficient model for the WSD task that attains robust performance while significant"&amp;"ly reducing the carbon footprint.")</f>
        <v>Word Sense Disambiguation (WSD) is a key task in Natural Language Processing (NLP), involving selecting the correct meaning of a word based on its context. With Pretrained Language Models (PLMs) like BERT and DeBERTa now well established, significant progress has been made in understanding contextual semantics. Nevertheless, how well these models inherently disambiguate word senses remains uncertain. In this work, we evaluate several encoder-only PLMs across two popular inventories (i.e. WordNet and the Oxford Dictionary of English) by analyzing their ability to separate word senses without any task-specific fine-tuning. We compute centroids of word senses and measure similarity to assess performance across different layers. Our results show that DeBERTa-v3 delivers the best performance on the task, with the middle layers (specifically the 7th and 8th layers) achieving the highest accuracy, outperforming the output layer by approximately 15 percentage points.  Our experiments also explore the inherent structure of WordNet and ODE sense inventories, highlighting their influence on the overall model behavior and performance. Finally, based on our findings, we develop a small, efficient model for the WSD task that attains robust performance while significantly reducing the carbon footprint.</v>
      </c>
      <c r="D1706" s="7" t="str">
        <f>IFERROR(__xludf.DUMMYFUNCTION("""COMPUTED_VALUE"""),"Simone Teglia")</f>
        <v>Simone Teglia</v>
      </c>
      <c r="E1706" s="7" t="str">
        <f>IFERROR(__xludf.DUMMYFUNCTION("""COMPUTED_VALUE"""),"Yes")</f>
        <v>Yes</v>
      </c>
      <c r="F1706" s="7" t="str">
        <f>IFERROR(__xludf.DUMMYFUNCTION("""COMPUTED_VALUE"""),"IP-Poster")</f>
        <v>IP-Poster</v>
      </c>
      <c r="G1706" s="7" t="str">
        <f>IFERROR(__xludf.DUMMYFUNCTION("""COMPUTED_VALUE"""),"In-Person")</f>
        <v>In-Person</v>
      </c>
      <c r="H1706" s="7" t="str">
        <f>IFERROR(__xludf.DUMMYFUNCTION("""COMPUTED_VALUE"""),"Hall 4/5")</f>
        <v>Hall 4/5</v>
      </c>
      <c r="I1706" s="7" t="str">
        <f>IFERROR(__xludf.DUMMYFUNCTION("""COMPUTED_VALUE"""),"Session 2: IP-Posters ")</f>
        <v>Session 2: IP-Posters </v>
      </c>
      <c r="J1706" s="7" t="str">
        <f>IFERROR(__xludf.DUMMYFUNCTION("""COMPUTED_VALUE"""),"Poster Session 1")</f>
        <v>Poster Session 1</v>
      </c>
      <c r="K1706" s="7"/>
      <c r="L1706" s="8">
        <f>IFERROR(__xludf.DUMMYFUNCTION("""COMPUTED_VALUE"""),45866.0)</f>
        <v>45866</v>
      </c>
      <c r="M1706" s="7" t="str">
        <f>IFERROR(__xludf.DUMMYFUNCTION("""COMPUTED_VALUE"""),"11:00-12:30")</f>
        <v>11:00-12:30</v>
      </c>
      <c r="N1706" s="7"/>
    </row>
    <row r="1707">
      <c r="A1707" s="7" t="str">
        <f>IFERROR(__xludf.DUMMYFUNCTION("""COMPUTED_VALUE"""),"209-MAIN")</f>
        <v>209-MAIN</v>
      </c>
      <c r="B1707" s="7" t="str">
        <f>IFERROR(__xludf.DUMMYFUNCTION("""COMPUTED_VALUE"""),"When Backdoors Speak: Understanding LLM Backdoor Attacks Through Model-Generated Explanations")</f>
        <v>When Backdoors Speak: Understanding LLM Backdoor Attacks Through Model-Generated Explanations</v>
      </c>
      <c r="C1707" s="7" t="str">
        <f>IFERROR(__xludf.DUMMYFUNCTION("""COMPUTED_VALUE"""),"Large Language Models (LLMs) are known to be vulnerable to backdoor attacks, where triggers embedded in poisoned samples can maliciously alter LLMs' behaviors. In this paper, we move beyond attacking LLMs and instead examine backdoor attacks through the n"&amp;"ovel lens of natural language explanations. Specifically, we leverage LLMs’ generative capabilities to produce human-readable explanations for their decisions, enabling direct comparisons between explanations for clean and poisoned samples. Our results sh"&amp;"ow that backdoored models produce coherent explanations for clean inputs but diverse and logically flawed explanations for poisoned data, a pattern consistent across classification and generation tasks for different backdoor attacks. Further analysis reve"&amp;"als key insights into the explanation generation process. At the token level, explanation tokens associated with poisoned samples only appear in the final few transformer layers. At the sentence level, attention dynamics indicate that poisoned inputs shif"&amp;"t attention away from the original input context during explanation generation. These findings enhance our understanding of backdoor mechanisms in LLMs and present a promising framework for detecting vulnerabilities through explainability.")</f>
        <v>Large Language Models (LLMs) are known to be vulnerable to backdoor attacks, where triggers embedded in poisoned samples can maliciously alter LLMs' behaviors. In this paper, we move beyond attacking LLMs and instead examine backdoor attacks through the novel lens of natural language explanations. Specifically, we leverage LLMs’ generative capabilities to produce human-readable explanations for their decisions, enabling direct comparisons between explanations for clean and poisoned samples. Our results show that backdoored models produce coherent explanations for clean inputs but diverse and logically flawed explanations for poisoned data, a pattern consistent across classification and generation tasks for different backdoor attacks. Further analysis reveals key insights into the explanation generation process. At the token level, explanation tokens associated with poisoned samples only appear in the final few transformer layers. At the sentence level, attention dynamics indicate that poisoned inputs shift attention away from the original input context during explanation generation. These findings enhance our understanding of backdoor mechanisms in LLMs and present a promising framework for detecting vulnerabilities through explainability.</v>
      </c>
      <c r="D1707" s="7" t="str">
        <f>IFERROR(__xludf.DUMMYFUNCTION("""COMPUTED_VALUE"""),"Huaizhi Ge")</f>
        <v>Huaizhi Ge</v>
      </c>
      <c r="E1707" s="7" t="str">
        <f>IFERROR(__xludf.DUMMYFUNCTION("""COMPUTED_VALUE"""),"Yes")</f>
        <v>Yes</v>
      </c>
      <c r="F1707" s="7" t="str">
        <f>IFERROR(__xludf.DUMMYFUNCTION("""COMPUTED_VALUE"""),"IP-Poster")</f>
        <v>IP-Poster</v>
      </c>
      <c r="G1707" s="7" t="str">
        <f>IFERROR(__xludf.DUMMYFUNCTION("""COMPUTED_VALUE"""),"In-Person")</f>
        <v>In-Person</v>
      </c>
      <c r="H1707" s="7" t="str">
        <f>IFERROR(__xludf.DUMMYFUNCTION("""COMPUTED_VALUE"""),"Hall 4/5")</f>
        <v>Hall 4/5</v>
      </c>
      <c r="I1707" s="7" t="str">
        <f>IFERROR(__xludf.DUMMYFUNCTION("""COMPUTED_VALUE"""),"Session 7: IP-Posters")</f>
        <v>Session 7: IP-Posters</v>
      </c>
      <c r="J1707" s="7" t="str">
        <f>IFERROR(__xludf.DUMMYFUNCTION("""COMPUTED_VALUE"""),"Poster Session 2")</f>
        <v>Poster Session 2</v>
      </c>
      <c r="K1707" s="7"/>
      <c r="L1707" s="8">
        <f>IFERROR(__xludf.DUMMYFUNCTION("""COMPUTED_VALUE"""),45867.0)</f>
        <v>45867</v>
      </c>
      <c r="M1707" s="7" t="str">
        <f>IFERROR(__xludf.DUMMYFUNCTION("""COMPUTED_VALUE"""),"10:30-12:00")</f>
        <v>10:30-12:00</v>
      </c>
      <c r="N1707" s="7"/>
    </row>
    <row r="1708">
      <c r="A1708" s="7" t="str">
        <f>IFERROR(__xludf.DUMMYFUNCTION("""COMPUTED_VALUE"""),"212-MAIN")</f>
        <v>212-MAIN</v>
      </c>
      <c r="B1708" s="7" t="str">
        <f>IFERROR(__xludf.DUMMYFUNCTION("""COMPUTED_VALUE"""),"HateDay: Insights from a Global Hate Speech Dataset Representative of a Day on Twitter")</f>
        <v>HateDay: Insights from a Global Hate Speech Dataset Representative of a Day on Twitter</v>
      </c>
      <c r="C1708" s="7" t="str">
        <f>IFERROR(__xludf.DUMMYFUNCTION("""COMPUTED_VALUE"""),"To address the global challenge of online hate speech, prior research has developed detection models to flag such content on social media. However, due to systematic biases in evaluation datasets, the real-world effectiveness of these models remains uncle"&amp;"ar, particularly across geographies. We introduce HateDay, the first global hate speech dataset representative of social media settings, constructed from a random sample of all tweets posted on September 21, 2022 and covering eight languages and four Engl"&amp;"ish-speaking countries. Using HateDay, we uncover substantial variation in the prevalence and composition of hate speech across languages and regions. We show that evaluations on academic datasets greatly overestimate real-world detection performance, whi"&amp;"ch we find is very low, especially for non-European languages. Our analysis identifies key drivers of this gap, including models’ difficulty to distinguish hate from offensive speech and a mismatch between the target groups emphasized in academic datasets"&amp;" and those most frequently targeted in real-world settings. We argue that poor model performance makes public models ill-suited for automatic hate speech moderation and find that high moderation rates are only achievable with substantial human oversight. "&amp;"Our results underscore the need to evaluate detection systems on data that reflects the complexity and diversity of real-world social media.")</f>
        <v>To address the global challenge of online hate speech, prior research has developed detection models to flag such content on social media. However, due to systematic biases in evaluation datasets, the real-world effectiveness of these models remains unclear, particularly across geographies. We introduce HateDay, the first global hate speech dataset representative of social media settings, constructed from a random sample of all tweets posted on September 21, 2022 and covering eight languages and four English-speaking countries. Using HateDay, we uncover substantial variation in the prevalence and composition of hate speech across languages and regions. We show that evaluations on academic datasets greatly overestimate real-world detection performance, which we find is very low, especially for non-European languages. Our analysis identifies key drivers of this gap, including models’ difficulty to distinguish hate from offensive speech and a mismatch between the target groups emphasized in academic datasets and those most frequently targeted in real-world settings. We argue that poor model performance makes public models ill-suited for automatic hate speech moderation and find that high moderation rates are only achievable with substantial human oversight. Our results underscore the need to evaluate detection systems on data that reflects the complexity and diversity of real-world social media.</v>
      </c>
      <c r="D1708" s="7" t="str">
        <f>IFERROR(__xludf.DUMMYFUNCTION("""COMPUTED_VALUE"""),"Manuel Tonneau")</f>
        <v>Manuel Tonneau</v>
      </c>
      <c r="E1708" s="7" t="str">
        <f>IFERROR(__xludf.DUMMYFUNCTION("""COMPUTED_VALUE"""),"Yes")</f>
        <v>Yes</v>
      </c>
      <c r="F1708" s="7" t="str">
        <f>IFERROR(__xludf.DUMMYFUNCTION("""COMPUTED_VALUE"""),"IP-Oral")</f>
        <v>IP-Oral</v>
      </c>
      <c r="G1708" s="7" t="str">
        <f>IFERROR(__xludf.DUMMYFUNCTION("""COMPUTED_VALUE"""),"In-Person")</f>
        <v>In-Person</v>
      </c>
      <c r="H1708" s="7" t="str">
        <f>IFERROR(__xludf.DUMMYFUNCTION("""COMPUTED_VALUE"""),"Hall A ")</f>
        <v>Hall A </v>
      </c>
      <c r="I1708" s="7" t="str">
        <f>IFERROR(__xludf.DUMMYFUNCTION("""COMPUTED_VALUE"""),"Session 3: IP-Orals")</f>
        <v>Session 3: IP-Orals</v>
      </c>
      <c r="J1708" s="7" t="str">
        <f>IFERROR(__xludf.DUMMYFUNCTION("""COMPUTED_VALUE"""),"Resources and Evaluation 1")</f>
        <v>Resources and Evaluation 1</v>
      </c>
      <c r="K1708" s="7"/>
      <c r="L1708" s="8">
        <f>IFERROR(__xludf.DUMMYFUNCTION("""COMPUTED_VALUE"""),45866.0)</f>
        <v>45866</v>
      </c>
      <c r="M1708" s="7" t="str">
        <f>IFERROR(__xludf.DUMMYFUNCTION("""COMPUTED_VALUE"""),"14:00-15:30")</f>
        <v>14:00-15:30</v>
      </c>
      <c r="N1708" s="7">
        <f>IFERROR(__xludf.DUMMYFUNCTION("""COMPUTED_VALUE"""),2.0)</f>
        <v>2</v>
      </c>
    </row>
    <row r="1709">
      <c r="A1709" s="7" t="str">
        <f>IFERROR(__xludf.DUMMYFUNCTION("""COMPUTED_VALUE"""),"213-MAIN")</f>
        <v>213-MAIN</v>
      </c>
      <c r="B1709" s="7" t="str">
        <f>IFERROR(__xludf.DUMMYFUNCTION("""COMPUTED_VALUE"""),"LegalAgentBench: Evaluating LLM Agents in Legal Domain")</f>
        <v>LegalAgentBench: Evaluating LLM Agents in Legal Domain</v>
      </c>
      <c r="C1709" s="7" t="str">
        <f>IFERROR(__xludf.DUMMYFUNCTION("""COMPUTED_VALUE"""),"With the increasing intelligence and autonomy of LLM Agents, their potential applications in the legal domain are becoming increasingly apparent. However, existing general-domain benchmarks are unable to fully capture the complexity and subtle nuances inh"&amp;"erent in real-world judicial cognition and decision-making. Therefore, we propose LegalAgentBench, a comprehensive benchmark specifically designed to evaluate LLM Agents in the Chinese legal domain. LegalAgentBench includes 17 corpora from real-world lega"&amp;"l scenarios and provides 37 tools for interacting with external knowledge. To cover tasks of varying difficulty and types, we designed a scalable task construction process that enables a more precise evaluation of performance in both tool utilization and "&amp;"reasoning. Moreover, Beyond assessing performance through the success rate of final outcomes, LegalAgentBench incorporates keyword analysis during intermediate processes to calculate progress rates, facilitating a more fine-grained evaluation. We evaluate"&amp;"d eight popular LLMs, highlighting the strengths, limitations, and potential areas for improvement of existing models and methods. LegalAgentBench sets a new benchmark for the practical application of LLMs in the legal domain, with its code and data avail"&amp;"able at  https://github.com/CSHaitao/LegalAgentBench.")</f>
        <v>With the increasing intelligence and autonomy of LLM Agents, their potential applications in the legal domain are becoming increasingly apparent. However, existing general-domain benchmarks are unable to fully capture the complexity and subtle nuances inherent in real-world judicial cognition and decision-making. Therefore, we propose LegalAgentBench, a comprehensive benchmark specifically designed to evaluate LLM Agents in the Chinese legal domain. LegalAgentBench includes 17 corpora from real-world legal scenarios and provides 37 tools for interacting with external knowledge. To cover tasks of varying difficulty and types, we designed a scalable task construction process that enables a more precise evaluation of performance in both tool utilization and reasoning. Moreover, Beyond assessing performance through the success rate of final outcomes, LegalAgentBench incorporates keyword analysis during intermediate processes to calculate progress rates, facilitating a more fine-grained evaluation. We evaluated eight popular LLMs, highlighting the strengths, limitations, and potential areas for improvement of existing models and methods. LegalAgentBench sets a new benchmark for the practical application of LLMs in the legal domain, with its code and data available at  https://github.com/CSHaitao/LegalAgentBench.</v>
      </c>
      <c r="D1709" s="7" t="str">
        <f>IFERROR(__xludf.DUMMYFUNCTION("""COMPUTED_VALUE"""),"Haitao Li")</f>
        <v>Haitao Li</v>
      </c>
      <c r="E1709" s="7" t="str">
        <f>IFERROR(__xludf.DUMMYFUNCTION("""COMPUTED_VALUE"""),"Yes")</f>
        <v>Yes</v>
      </c>
      <c r="F1709" s="7" t="str">
        <f>IFERROR(__xludf.DUMMYFUNCTION("""COMPUTED_VALUE"""),"IP-Poster")</f>
        <v>IP-Poster</v>
      </c>
      <c r="G1709" s="7" t="str">
        <f>IFERROR(__xludf.DUMMYFUNCTION("""COMPUTED_VALUE"""),"In-Person")</f>
        <v>In-Person</v>
      </c>
      <c r="H1709" s="7" t="str">
        <f>IFERROR(__xludf.DUMMYFUNCTION("""COMPUTED_VALUE"""),"Hall 4/5")</f>
        <v>Hall 4/5</v>
      </c>
      <c r="I1709" s="7" t="str">
        <f>IFERROR(__xludf.DUMMYFUNCTION("""COMPUTED_VALUE"""),"Session 2: IP-Posters ")</f>
        <v>Session 2: IP-Posters </v>
      </c>
      <c r="J1709" s="7" t="str">
        <f>IFERROR(__xludf.DUMMYFUNCTION("""COMPUTED_VALUE"""),"Poster Session 1")</f>
        <v>Poster Session 1</v>
      </c>
      <c r="K1709" s="7"/>
      <c r="L1709" s="8">
        <f>IFERROR(__xludf.DUMMYFUNCTION("""COMPUTED_VALUE"""),45866.0)</f>
        <v>45866</v>
      </c>
      <c r="M1709" s="7" t="str">
        <f>IFERROR(__xludf.DUMMYFUNCTION("""COMPUTED_VALUE"""),"11:00-12:30")</f>
        <v>11:00-12:30</v>
      </c>
      <c r="N1709" s="7"/>
    </row>
    <row r="1710">
      <c r="A1710" s="7" t="str">
        <f>IFERROR(__xludf.DUMMYFUNCTION("""COMPUTED_VALUE"""),"217-MAIN")</f>
        <v>217-MAIN</v>
      </c>
      <c r="B1710" s="7" t="str">
        <f>IFERROR(__xludf.DUMMYFUNCTION("""COMPUTED_VALUE"""),"Inference Compute-Optimal Video Vision Language Models")</f>
        <v>Inference Compute-Optimal Video Vision Language Models</v>
      </c>
      <c r="C1710" s="7" t="str">
        <f>IFERROR(__xludf.DUMMYFUNCTION("""COMPUTED_VALUE"""),"This work investigates the optimal allocation of inference compute across three key scaling factors in video vision language models: language model size, frame count, and the number of visual tokens per frame. While prior works typically focuses on optimi"&amp;"zing model efficiency or improving performance without considering resource constraints, we instead identify optimal model configuration under fixed inference compute budgets. We conduct large-scale training sweeps and careful parametric modeling of task "&amp;"performance to identify the inference compute-optimal frontier. Our experiments reveal how task performance depends on scaling factors and finetuning data size, as well as how changes in data size shift the compute-optimal frontier. These findings transla"&amp;"te to practical tips for selecting these scaling factors.")</f>
        <v>This work investigates the optimal allocation of inference compute across three key scaling factors in video vision language models: language model size, frame count, and the number of visual tokens per frame. While prior works typically focuses on optimizing model efficiency or improving performance without considering resource constraints, we instead identify optimal model configuration under fixed inference compute budgets. We conduct large-scale training sweeps and careful parametric modeling of task performance to identify the inference compute-optimal frontier. Our experiments reveal how task performance depends on scaling factors and finetuning data size, as well as how changes in data size shift the compute-optimal frontier. These findings translate to practical tips for selecting these scaling factors.</v>
      </c>
      <c r="D1710" s="7" t="str">
        <f>IFERROR(__xludf.DUMMYFUNCTION("""COMPUTED_VALUE"""),"Peiqi Wang")</f>
        <v>Peiqi Wang</v>
      </c>
      <c r="E1710" s="7" t="str">
        <f>IFERROR(__xludf.DUMMYFUNCTION("""COMPUTED_VALUE"""),"Yes")</f>
        <v>Yes</v>
      </c>
      <c r="F1710" s="7" t="str">
        <f>IFERROR(__xludf.DUMMYFUNCTION("""COMPUTED_VALUE"""),"V-Presentation")</f>
        <v>V-Presentation</v>
      </c>
      <c r="G1710" s="7" t="str">
        <f>IFERROR(__xludf.DUMMYFUNCTION("""COMPUTED_VALUE"""),"Virtual/Gather")</f>
        <v>Virtual/Gather</v>
      </c>
      <c r="H1710" s="7" t="str">
        <f>IFERROR(__xludf.DUMMYFUNCTION("""COMPUTED_VALUE"""),"Zoom")</f>
        <v>Zoom</v>
      </c>
      <c r="I1710" s="7" t="str">
        <f>IFERROR(__xludf.DUMMYFUNCTION("""COMPUTED_VALUE"""),"Session 10: V-Presenations")</f>
        <v>Session 10: V-Presenations</v>
      </c>
      <c r="J1710" s="7" t="str">
        <f>IFERROR(__xludf.DUMMYFUNCTION("""COMPUTED_VALUE"""),"Virtual Presentations 3")</f>
        <v>Virtual Presentations 3</v>
      </c>
      <c r="K1710" s="7"/>
      <c r="L1710" s="8">
        <f>IFERROR(__xludf.DUMMYFUNCTION("""COMPUTED_VALUE"""),45867.0)</f>
        <v>45867</v>
      </c>
      <c r="M1710" s="7" t="str">
        <f>IFERROR(__xludf.DUMMYFUNCTION("""COMPUTED_VALUE"""),"16:00-17:30")</f>
        <v>16:00-17:30</v>
      </c>
      <c r="N1710" s="7"/>
    </row>
    <row r="1711">
      <c r="A1711" s="7" t="str">
        <f>IFERROR(__xludf.DUMMYFUNCTION("""COMPUTED_VALUE"""),"218-MAIN")</f>
        <v>218-MAIN</v>
      </c>
      <c r="B1711" s="7" t="str">
        <f>IFERROR(__xludf.DUMMYFUNCTION("""COMPUTED_VALUE"""),"Steering into New Embedding Spaces: Analyzing Cross-Lingual Alignment Induced by Model Interventions in Multilingual Language Models")</f>
        <v>Steering into New Embedding Spaces: Analyzing Cross-Lingual Alignment Induced by Model Interventions in Multilingual Language Models</v>
      </c>
      <c r="C1711" s="7" t="str">
        <f>IFERROR(__xludf.DUMMYFUNCTION("""COMPUTED_VALUE"""),"Aligned representations across languages is a desired property in multilingual large language models (mLLMs), as alignment can improve performance in cross-lingual tasks. Typically alignment requires fine-tuning a model, which is computationally expensive"&amp;", and sizable language data, which often may not be available. A data-efficient alternative to fine-tuning is model interventions --- a method for manipulating model activations to steer generation into the desired direction. We analyze the effect of a po"&amp;"pular intervention (finding experts) on the alignment of cross-lingual representations in mLLMs. We identify the neurons to manipulate for a given language and introspect the embedding space of mLLMs pre- and post-manipulation. We show that modifying the "&amp;"mLLM's activations changes its embedding space such that cross-lingual alignment is enhanced. Further, we show that the changes to the embedding space translate into improved downstream performance on retrieval tasks, with up to 2x improvements in top-1 a"&amp;"ccuracy on cross-lingual retrieval.")</f>
        <v>Aligned representations across languages is a desired property in multilingual large language models (mLLMs), as alignment can improve performance in cross-lingual tasks. Typically alignment requires fine-tuning a model, which is computationally expensive, and sizable language data, which often may not be available. A data-efficient alternative to fine-tuning is model interventions --- a method for manipulating model activations to steer generation into the desired direction. We analyze the effect of a popular intervention (finding experts) on the alignment of cross-lingual representations in mLLMs. We identify the neurons to manipulate for a given language and introspect the embedding space of mLLMs pre- and post-manipulation. We show that modifying the mLLM's activations changes its embedding space such that cross-lingual alignment is enhanced. Further, we show that the changes to the embedding space translate into improved downstream performance on retrieval tasks, with up to 2x improvements in top-1 accuracy on cross-lingual retrieval.</v>
      </c>
      <c r="D1711" s="7" t="str">
        <f>IFERROR(__xludf.DUMMYFUNCTION("""COMPUTED_VALUE"""),"Masha Fedzechkina")</f>
        <v>Masha Fedzechkina</v>
      </c>
      <c r="E1711" s="7" t="str">
        <f>IFERROR(__xludf.DUMMYFUNCTION("""COMPUTED_VALUE"""),"Yes")</f>
        <v>Yes</v>
      </c>
      <c r="F1711" s="7" t="str">
        <f>IFERROR(__xludf.DUMMYFUNCTION("""COMPUTED_VALUE"""),"IP-Poster")</f>
        <v>IP-Poster</v>
      </c>
      <c r="G1711" s="7" t="str">
        <f>IFERROR(__xludf.DUMMYFUNCTION("""COMPUTED_VALUE"""),"In-Person")</f>
        <v>In-Person</v>
      </c>
      <c r="H1711" s="7" t="str">
        <f>IFERROR(__xludf.DUMMYFUNCTION("""COMPUTED_VALUE"""),"Hall 4/5")</f>
        <v>Hall 4/5</v>
      </c>
      <c r="I1711" s="7" t="str">
        <f>IFERROR(__xludf.DUMMYFUNCTION("""COMPUTED_VALUE"""),"Session 12: IP-Posters")</f>
        <v>Session 12: IP-Posters</v>
      </c>
      <c r="J1711" s="7" t="str">
        <f>IFERROR(__xludf.DUMMYFUNCTION("""COMPUTED_VALUE"""),"Poster Session 4")</f>
        <v>Poster Session 4</v>
      </c>
      <c r="K1711" s="7"/>
      <c r="L1711" s="8">
        <f>IFERROR(__xludf.DUMMYFUNCTION("""COMPUTED_VALUE"""),45868.0)</f>
        <v>45868</v>
      </c>
      <c r="M1711" s="7" t="str">
        <f>IFERROR(__xludf.DUMMYFUNCTION("""COMPUTED_VALUE"""),"11:00-12:30")</f>
        <v>11:00-12:30</v>
      </c>
      <c r="N1711" s="7"/>
    </row>
    <row r="1712">
      <c r="A1712" s="7" t="str">
        <f>IFERROR(__xludf.DUMMYFUNCTION("""COMPUTED_VALUE"""),"219-MAIN")</f>
        <v>219-MAIN</v>
      </c>
      <c r="B1712" s="7" t="str">
        <f>IFERROR(__xludf.DUMMYFUNCTION("""COMPUTED_VALUE"""),"Digital Gatekeepers: Google’s Role in Curating Hashtags and Subreddits")</f>
        <v>Digital Gatekeepers: Google’s Role in Curating Hashtags and Subreddits</v>
      </c>
      <c r="C1712" s="7" t="str">
        <f>IFERROR(__xludf.DUMMYFUNCTION("""COMPUTED_VALUE"""),"Search engines play a crucial role as digital gatekeepers, shaping the visibility of Web and social media content through algorithmic curation. This study investigates how search engines like Google selectively promotes or suppresses certain hashtags and "&amp;"subreddits, impacting the information users encounter. By comparing search engine results with nonsampled data from Reddit and Twitter/X, we reveal systematic biases in content visibility. Google’s algorithms tend to suppress subreddits and hashtags relat"&amp;"ed to sexually explicit material, conspiracy theories, advertisements, and cryptocurrencies, while promoting content associated with higher engagement. These findings suggest that Google’s gatekeeping practices influence public discourse by curating the s"&amp;"ocial media narratives available to users.")</f>
        <v>Search engines play a crucial role as digital gatekeepers, shaping the visibility of Web and social media content through algorithmic curation. This study investigates how search engines like Google selectively promotes or suppresses certain hashtags and subreddits, impacting the information users encounter. By comparing search engine results with nonsampled data from Reddit and Twitter/X, we reveal systematic biases in content visibility. Google’s algorithms tend to suppress subreddits and hashtags related to sexually explicit material, conspiracy theories, advertisements, and cryptocurrencies, while promoting content associated with higher engagement. These findings suggest that Google’s gatekeeping practices influence public discourse by curating the social media narratives available to users.</v>
      </c>
      <c r="D1712" s="7" t="str">
        <f>IFERROR(__xludf.DUMMYFUNCTION("""COMPUTED_VALUE"""),"Tim Weninger
Amrit Poudel (tentative)")</f>
        <v>Tim Weninger
Amrit Poudel (tentative)</v>
      </c>
      <c r="E1712" s="7" t="str">
        <f>IFERROR(__xludf.DUMMYFUNCTION("""COMPUTED_VALUE"""),"Yes")</f>
        <v>Yes</v>
      </c>
      <c r="F1712" s="7" t="str">
        <f>IFERROR(__xludf.DUMMYFUNCTION("""COMPUTED_VALUE"""),"IP-Poster")</f>
        <v>IP-Poster</v>
      </c>
      <c r="G1712" s="7" t="str">
        <f>IFERROR(__xludf.DUMMYFUNCTION("""COMPUTED_VALUE"""),"In-Person")</f>
        <v>In-Person</v>
      </c>
      <c r="H1712" s="7" t="str">
        <f>IFERROR(__xludf.DUMMYFUNCTION("""COMPUTED_VALUE"""),"Hall 4/5")</f>
        <v>Hall 4/5</v>
      </c>
      <c r="I1712" s="7" t="str">
        <f>IFERROR(__xludf.DUMMYFUNCTION("""COMPUTED_VALUE"""),"Session 2: IP-Posters ")</f>
        <v>Session 2: IP-Posters </v>
      </c>
      <c r="J1712" s="7" t="str">
        <f>IFERROR(__xludf.DUMMYFUNCTION("""COMPUTED_VALUE"""),"Poster Session 1")</f>
        <v>Poster Session 1</v>
      </c>
      <c r="K1712" s="7"/>
      <c r="L1712" s="8">
        <f>IFERROR(__xludf.DUMMYFUNCTION("""COMPUTED_VALUE"""),45866.0)</f>
        <v>45866</v>
      </c>
      <c r="M1712" s="7" t="str">
        <f>IFERROR(__xludf.DUMMYFUNCTION("""COMPUTED_VALUE"""),"11:00-12:30")</f>
        <v>11:00-12:30</v>
      </c>
      <c r="N1712" s="7"/>
    </row>
    <row r="1713">
      <c r="A1713" s="7" t="str">
        <f>IFERROR(__xludf.DUMMYFUNCTION("""COMPUTED_VALUE"""),"220-MAIN")</f>
        <v>220-MAIN</v>
      </c>
      <c r="B1713" s="7" t="str">
        <f>IFERROR(__xludf.DUMMYFUNCTION("""COMPUTED_VALUE"""),"Behind Closed Words: Creating and Investigating the forePLay Annotated Dataset for Polish Erotic Discourse")</f>
        <v>Behind Closed Words: Creating and Investigating the forePLay Annotated Dataset for Polish Erotic Discourse</v>
      </c>
      <c r="C1713" s="7" t="str">
        <f>IFERROR(__xludf.DUMMYFUNCTION("""COMPUTED_VALUE"""),"The surge in online content has created an urgent demand for robust detection systems, especially in non-English contexts where current tools demonstrate significant limitations. We introduce forePLay, a novel Polish-language dataset for erotic content de"&amp;"tection, comprising over 24,000 annotated sentences. The dataset features a multidimensional taxonomy that captures ambiguity, violence, and socially unacceptable behaviors. Our comprehensive evaluation demonstrates that specialized Polish language models"&amp;" achieve superior performance compared to multilingual alternatives, with transformer-based architectures showing particular strength in handling imbalanced categories. The dataset and accompanying analysis establish essential frameworks for developing li"&amp;"nguistically-aware content moderation systems, while highlighting critical considerations for extending such capabilities to morphologically complex languages.")</f>
        <v>The surge in online content has created an urgent demand for robust detection systems, especially in non-English contexts where current tools demonstrate significant limitations. We introduce forePLay, a novel Polish-language dataset for erotic content detection, comprising over 24,000 annotated sentences. The dataset features a multidimensional taxonomy that captures ambiguity, violence, and socially unacceptable behaviors. Our comprehensive evaluation demonstrates that specialized Polish language models achieve superior performance compared to multilingual alternatives, with transformer-based architectures showing particular strength in handling imbalanced categories. The dataset and accompanying analysis establish essential frameworks for developing linguistically-aware content moderation systems, while highlighting critical considerations for extending such capabilities to morphologically complex languages.</v>
      </c>
      <c r="D1713" s="7" t="str">
        <f>IFERROR(__xludf.DUMMYFUNCTION("""COMPUTED_VALUE"""),"Anna Kołos")</f>
        <v>Anna Kołos</v>
      </c>
      <c r="E1713" s="7" t="str">
        <f>IFERROR(__xludf.DUMMYFUNCTION("""COMPUTED_VALUE"""),"Yes")</f>
        <v>Yes</v>
      </c>
      <c r="F1713" s="7" t="str">
        <f>IFERROR(__xludf.DUMMYFUNCTION("""COMPUTED_VALUE"""),"IP-Poster")</f>
        <v>IP-Poster</v>
      </c>
      <c r="G1713" s="7" t="str">
        <f>IFERROR(__xludf.DUMMYFUNCTION("""COMPUTED_VALUE"""),"In-Person")</f>
        <v>In-Person</v>
      </c>
      <c r="H1713" s="7" t="str">
        <f>IFERROR(__xludf.DUMMYFUNCTION("""COMPUTED_VALUE"""),"Hall 4/5")</f>
        <v>Hall 4/5</v>
      </c>
      <c r="I1713" s="7" t="str">
        <f>IFERROR(__xludf.DUMMYFUNCTION("""COMPUTED_VALUE"""),"Session 2: IP-Posters ")</f>
        <v>Session 2: IP-Posters </v>
      </c>
      <c r="J1713" s="7" t="str">
        <f>IFERROR(__xludf.DUMMYFUNCTION("""COMPUTED_VALUE"""),"Poster Session 1")</f>
        <v>Poster Session 1</v>
      </c>
      <c r="K1713" s="7"/>
      <c r="L1713" s="8">
        <f>IFERROR(__xludf.DUMMYFUNCTION("""COMPUTED_VALUE"""),45866.0)</f>
        <v>45866</v>
      </c>
      <c r="M1713" s="7" t="str">
        <f>IFERROR(__xludf.DUMMYFUNCTION("""COMPUTED_VALUE"""),"11:00-12:30")</f>
        <v>11:00-12:30</v>
      </c>
      <c r="N1713" s="7"/>
    </row>
    <row r="1714">
      <c r="A1714" s="7" t="str">
        <f>IFERROR(__xludf.DUMMYFUNCTION("""COMPUTED_VALUE"""),"221-MAIN")</f>
        <v>221-MAIN</v>
      </c>
      <c r="B1714" s="7" t="str">
        <f>IFERROR(__xludf.DUMMYFUNCTION("""COMPUTED_VALUE"""),"Assessment and manipulation of latent constructs in pre-trained language models using psychometric scales")</f>
        <v>Assessment and manipulation of latent constructs in pre-trained language models using psychometric scales</v>
      </c>
      <c r="C1714" s="7" t="str">
        <f>IFERROR(__xludf.DUMMYFUNCTION("""COMPUTED_VALUE"""),"Human-like personality traits have recently been discovered in large language models, raising the hypothesis that their (known and as yet undiscovered) biases conform with human latent psychological constructs. While large conversational models may be tri"&amp;"cked into answering psychometric questionnaires, the latent psychological constructs of thousands of simpler transformers, trained for other tasks, cannot be assessed because appropriate psychometric methods are currently lacking. Here, we show how standa"&amp;"rd psychological questionnaires can be reformulated into natural language inference prompts, and we provide a code library to support the psychometric assessment of arbitrary models. We demonstrate, using a sample of 88 publicly available models, the exis"&amp;"tence of human-like mental health-related constructs—including anxiety, depression, and the sense of coherence—which conform with standard theories in human psychology and show similar correlations and mitigation strategies. The ability to interpret and r"&amp;"ectify the performance of language models by using psychological tools can boost the development of more explainable, controllable, and trustworthy models.")</f>
        <v>Human-like personality traits have recently been discovered in large language models, raising the hypothesis that their (known and as yet undiscovered) biases conform with human latent psychological constructs. While large conversational models may be tricked into answering psychometric questionnaires, the latent psychological constructs of thousands of simpler transformers, trained for other tasks, cannot be assessed because appropriate psychometric methods are currently lacking. Here, we show how standard psychological questionnaires can be reformulated into natural language inference prompts, and we provide a code library to support the psychometric assessment of arbitrary models. We demonstrate, using a sample of 88 publicly available models, the existence of human-like mental health-related constructs—including anxiety, depression, and the sense of coherence—which conform with standard theories in human psychology and show similar correlations and mitigation strategies. The ability to interpret and rectify the performance of language models by using psychological tools can boost the development of more explainable, controllable, and trustworthy models.</v>
      </c>
      <c r="D1714" s="7" t="str">
        <f>IFERROR(__xludf.DUMMYFUNCTION("""COMPUTED_VALUE"""),"Aviad Elyashar")</f>
        <v>Aviad Elyashar</v>
      </c>
      <c r="E1714" s="7" t="str">
        <f>IFERROR(__xludf.DUMMYFUNCTION("""COMPUTED_VALUE"""),"Yes")</f>
        <v>Yes</v>
      </c>
      <c r="F1714" s="7" t="str">
        <f>IFERROR(__xludf.DUMMYFUNCTION("""COMPUTED_VALUE"""),"IP-Poster")</f>
        <v>IP-Poster</v>
      </c>
      <c r="G1714" s="7" t="str">
        <f>IFERROR(__xludf.DUMMYFUNCTION("""COMPUTED_VALUE"""),"In-Person")</f>
        <v>In-Person</v>
      </c>
      <c r="H1714" s="7" t="str">
        <f>IFERROR(__xludf.DUMMYFUNCTION("""COMPUTED_VALUE"""),"Hall 4/5")</f>
        <v>Hall 4/5</v>
      </c>
      <c r="I1714" s="7" t="str">
        <f>IFERROR(__xludf.DUMMYFUNCTION("""COMPUTED_VALUE"""),"Session 7: IP-Posters")</f>
        <v>Session 7: IP-Posters</v>
      </c>
      <c r="J1714" s="7" t="str">
        <f>IFERROR(__xludf.DUMMYFUNCTION("""COMPUTED_VALUE"""),"Poster Session 2")</f>
        <v>Poster Session 2</v>
      </c>
      <c r="K1714" s="7"/>
      <c r="L1714" s="8">
        <f>IFERROR(__xludf.DUMMYFUNCTION("""COMPUTED_VALUE"""),45867.0)</f>
        <v>45867</v>
      </c>
      <c r="M1714" s="7" t="str">
        <f>IFERROR(__xludf.DUMMYFUNCTION("""COMPUTED_VALUE"""),"10:30-12:00")</f>
        <v>10:30-12:00</v>
      </c>
      <c r="N1714" s="7"/>
    </row>
    <row r="1715">
      <c r="A1715" s="7" t="str">
        <f>IFERROR(__xludf.DUMMYFUNCTION("""COMPUTED_VALUE"""),"222-MAIN")</f>
        <v>222-MAIN</v>
      </c>
      <c r="B1715" s="7" t="str">
        <f>IFERROR(__xludf.DUMMYFUNCTION("""COMPUTED_VALUE"""),"Did Translation Models Get More Robust Without Anyone Even Noticing?")</f>
        <v>Did Translation Models Get More Robust Without Anyone Even Noticing?</v>
      </c>
      <c r="C1715" s="7" t="str">
        <f>IFERROR(__xludf.DUMMYFUNCTION("""COMPUTED_VALUE"""),"Neural machine translation (MT) models achieve strong results across a variety of settings, but it is widely believed that they are highly sensitive to ""noisy"" inputs, such as spelling errors, abbreviations, and other formatting issues.  In this paper, "&amp;"we revisit this insight in light of recent multilingual MT models and large language models (LLMs) applied to machine translation. Somewhat surprisingly, we show through controlled experiments that these models are far more robust to many kinds of noise t"&amp;"han previous models, even when they perform similarly on clean data. This is notable because, even though LLMs have more parameters and more complex training processes than past models, none of the open ones we consider use any techniques specifically des"&amp;"igned to encourage robustness. Next, we show that similar trends hold for social media translation experiments -- LLMs are more robust to social media text. We include an analysis of the circumstances in which source correction techniques can be used to m"&amp;"itigate the effects of noise. Altogether, we show that robustness to many types of noise has increased.")</f>
        <v>Neural machine translation (MT) models achieve strong results across a variety of settings, but it is widely believed that they are highly sensitive to "noisy" inputs, such as spelling errors, abbreviations, and other formatting issues.  In this paper, we revisit this insight in light of recent multilingual MT models and large language models (LLMs) applied to machine translation. Somewhat surprisingly, we show through controlled experiments that these models are far more robust to many kinds of noise than previous models, even when they perform similarly on clean data. This is notable because, even though LLMs have more parameters and more complex training processes than past models, none of the open ones we consider use any techniques specifically designed to encourage robustness. Next, we show that similar trends hold for social media translation experiments -- LLMs are more robust to social media text. We include an analysis of the circumstances in which source correction techniques can be used to mitigate the effects of noise. Altogether, we show that robustness to many types of noise has increased.</v>
      </c>
      <c r="D1715" s="7" t="str">
        <f>IFERROR(__xludf.DUMMYFUNCTION("""COMPUTED_VALUE"""),"Ben Peters")</f>
        <v>Ben Peters</v>
      </c>
      <c r="E1715" s="7" t="str">
        <f>IFERROR(__xludf.DUMMYFUNCTION("""COMPUTED_VALUE"""),"Yes")</f>
        <v>Yes</v>
      </c>
      <c r="F1715" s="7" t="str">
        <f>IFERROR(__xludf.DUMMYFUNCTION("""COMPUTED_VALUE"""),"IP-Poster")</f>
        <v>IP-Poster</v>
      </c>
      <c r="G1715" s="7" t="str">
        <f>IFERROR(__xludf.DUMMYFUNCTION("""COMPUTED_VALUE"""),"In-Person")</f>
        <v>In-Person</v>
      </c>
      <c r="H1715" s="7" t="str">
        <f>IFERROR(__xludf.DUMMYFUNCTION("""COMPUTED_VALUE"""),"Hall 4/5")</f>
        <v>Hall 4/5</v>
      </c>
      <c r="I1715" s="7" t="str">
        <f>IFERROR(__xludf.DUMMYFUNCTION("""COMPUTED_VALUE"""),"Session 10: IP-Posters")</f>
        <v>Session 10: IP-Posters</v>
      </c>
      <c r="J1715" s="7" t="str">
        <f>IFERROR(__xludf.DUMMYFUNCTION("""COMPUTED_VALUE"""),"Poster Session 3")</f>
        <v>Poster Session 3</v>
      </c>
      <c r="K1715" s="7"/>
      <c r="L1715" s="8">
        <f>IFERROR(__xludf.DUMMYFUNCTION("""COMPUTED_VALUE"""),45867.0)</f>
        <v>45867</v>
      </c>
      <c r="M1715" s="7" t="str">
        <f>IFERROR(__xludf.DUMMYFUNCTION("""COMPUTED_VALUE"""),"16:00-17:30")</f>
        <v>16:00-17:30</v>
      </c>
      <c r="N1715" s="7"/>
    </row>
    <row r="1716">
      <c r="A1716" s="7" t="str">
        <f>IFERROR(__xludf.DUMMYFUNCTION("""COMPUTED_VALUE"""),"223-MAIN")</f>
        <v>223-MAIN</v>
      </c>
      <c r="B1716" s="7" t="str">
        <f>IFERROR(__xludf.DUMMYFUNCTION("""COMPUTED_VALUE"""),"Transforming Common Crawl into a Refined Long-Horizon Pretraining Dataset")</f>
        <v>Transforming Common Crawl into a Refined Long-Horizon Pretraining Dataset</v>
      </c>
      <c r="C1716" s="7" t="str">
        <f>IFERROR(__xludf.DUMMYFUNCTION("""COMPUTED_VALUE"""),"Recent English Common Crawl datasets like FineWeb-Edu and DCLM achieved significant benchmark gains via aggressive model-based filtering, but at the cost of removing 90% of data. This limits their suitability for long token horizon training, such as 15T t"&amp;"okens for Llama 3.1. In this paper, we show how to achieve better trade-offs between accuracy and data quantity by a combination of classifier ensembling, synthetic data rephrasing, and reduced reliance on heuristic filters. When training 8B parameter mod"&amp;"els for 1T tokens, using a high-quality subset of our data improves MMLU by 5.6 over DCLM, demonstrating the efficacy of our methods for boosting accuracies over a relatively short token horizon. Furthermore, our full 6.3T token dataset matches DCLM on MM"&amp;"LU, but contains four times more unique real tokens than DCLM. This unlocks state-of-the-art training over a long token horizon: an 8B parameter model trained for 15T tokens, of which 7.2T came from our dataset, is better than the Llama 3.1 8B model: +5 o"&amp;"n MMLU, +3.1 on ARC-Challenge, and +0.5 on average across ten diverse tasks. The dataset is available at https://data.commoncrawl.org/contrib/Nemotron/Nemotron-CC/index.html.")</f>
        <v>Recent English Common Crawl datasets like FineWeb-Edu and DCLM achieved significant benchmark gains via aggressive model-based filtering, but at the cost of removing 90% of data. This limits their suitability for long token horizon training, such as 15T tokens for Llama 3.1. In this paper, we show how to achieve better trade-offs between accuracy and data quantity by a combination of classifier ensembling, synthetic data rephrasing, and reduced reliance on heuristic filters. When training 8B parameter models for 1T tokens, using a high-quality subset of our data improves MMLU by 5.6 over DCLM, demonstrating the efficacy of our methods for boosting accuracies over a relatively short token horizon. Furthermore, our full 6.3T token dataset matches DCLM on MMLU, but contains four times more unique real tokens than DCLM. This unlocks state-of-the-art training over a long token horizon: an 8B parameter model trained for 15T tokens, of which 7.2T came from our dataset, is better than the Llama 3.1 8B model: +5 on MMLU, +3.1 on ARC-Challenge, and +0.5 on average across ten diverse tasks. The dataset is available at https://data.commoncrawl.org/contrib/Nemotron/Nemotron-CC/index.html.</v>
      </c>
      <c r="D1716" s="7" t="str">
        <f>IFERROR(__xludf.DUMMYFUNCTION("""COMPUTED_VALUE"""),"Dan Su")</f>
        <v>Dan Su</v>
      </c>
      <c r="E1716" s="7" t="str">
        <f>IFERROR(__xludf.DUMMYFUNCTION("""COMPUTED_VALUE"""),"Yes")</f>
        <v>Yes</v>
      </c>
      <c r="F1716" s="7" t="str">
        <f>IFERROR(__xludf.DUMMYFUNCTION("""COMPUTED_VALUE"""),"IP-Oral")</f>
        <v>IP-Oral</v>
      </c>
      <c r="G1716" s="7" t="str">
        <f>IFERROR(__xludf.DUMMYFUNCTION("""COMPUTED_VALUE"""),"In-Person")</f>
        <v>In-Person</v>
      </c>
      <c r="H1716" s="7" t="str">
        <f>IFERROR(__xludf.DUMMYFUNCTION("""COMPUTED_VALUE"""),"Room 1.15-16")</f>
        <v>Room 1.15-16</v>
      </c>
      <c r="I1716" s="7" t="str">
        <f>IFERROR(__xludf.DUMMYFUNCTION("""COMPUTED_VALUE"""),"Session 11: IP-Orals ")</f>
        <v>Session 11: IP-Orals </v>
      </c>
      <c r="J1716" s="7" t="str">
        <f>IFERROR(__xludf.DUMMYFUNCTION("""COMPUTED_VALUE"""),"Language Modeling 2")</f>
        <v>Language Modeling 2</v>
      </c>
      <c r="K1716" s="7"/>
      <c r="L1716" s="8">
        <f>IFERROR(__xludf.DUMMYFUNCTION("""COMPUTED_VALUE"""),45868.0)</f>
        <v>45868</v>
      </c>
      <c r="M1716" s="7" t="str">
        <f>IFERROR(__xludf.DUMMYFUNCTION("""COMPUTED_VALUE"""),"09:00-10:30")</f>
        <v>09:00-10:30</v>
      </c>
      <c r="N1716" s="7">
        <f>IFERROR(__xludf.DUMMYFUNCTION("""COMPUTED_VALUE"""),1.0)</f>
        <v>1</v>
      </c>
    </row>
    <row r="1717">
      <c r="A1717" s="7" t="str">
        <f>IFERROR(__xludf.DUMMYFUNCTION("""COMPUTED_VALUE"""),"227-MAIN")</f>
        <v>227-MAIN</v>
      </c>
      <c r="B1717" s="7" t="str">
        <f>IFERROR(__xludf.DUMMYFUNCTION("""COMPUTED_VALUE"""),"Hierarchical Level-Wise News Article Clustering via Multilingual Matryoshka Embeddings")</f>
        <v>Hierarchical Level-Wise News Article Clustering via Multilingual Matryoshka Embeddings</v>
      </c>
      <c r="C1717" s="7" t="str">
        <f>IFERROR(__xludf.DUMMYFUNCTION("""COMPUTED_VALUE"""),"Contextual large language model embeddings are increasingly utilized for topic modeling and clustering. However, current methods often scale poorly, rely on opaque similarity metrics, and struggle in multilingual settings. In this work, we present a novel"&amp;", scalable, interpretable, hierarchical, and multilingual approach to clustering news articles and social media data. To do this, we first train multilingual Matryoshka embeddings that can determine story similarity at varying levels of granularity based "&amp;"on which subset of the dimensions of the embeddings is examined. This embedding model achieves state-of-the-art performance on the SemEval 2022 Task 8 test dataset (Pearson $\rho$ = 0.816). Once trained, we develop an efficient hierarchical clustering alg"&amp;"orithm that leverages the hierarchical nature of Matryoshka embeddings to identify unique news stories, narratives, and themes. We conclude by illustrating how our approach can identify and cluster stories, narratives, and overarching themes within real-w"&amp;"orld news datasets.")</f>
        <v>Contextual large language model embeddings are increasingly utilized for topic modeling and clustering. However, current methods often scale poorly, rely on opaque similarity metrics, and struggle in multilingual settings. In this work, we present a novel, scalable, interpretable, hierarchical, and multilingual approach to clustering news articles and social media data. To do this, we first train multilingual Matryoshka embeddings that can determine story similarity at varying levels of granularity based on which subset of the dimensions of the embeddings is examined. This embedding model achieves state-of-the-art performance on the SemEval 2022 Task 8 test dataset (Pearson $\rho$ = 0.816). Once trained, we develop an efficient hierarchical clustering algorithm that leverages the hierarchical nature of Matryoshka embeddings to identify unique news stories, narratives, and themes. We conclude by illustrating how our approach can identify and cluster stories, narratives, and overarching themes within real-world news datasets.</v>
      </c>
      <c r="D1717" s="7" t="str">
        <f>IFERROR(__xludf.DUMMYFUNCTION("""COMPUTED_VALUE"""),"Hans W. A. Hanley")</f>
        <v>Hans W. A. Hanley</v>
      </c>
      <c r="E1717" s="7" t="str">
        <f>IFERROR(__xludf.DUMMYFUNCTION("""COMPUTED_VALUE"""),"Yes")</f>
        <v>Yes</v>
      </c>
      <c r="F1717" s="7" t="str">
        <f>IFERROR(__xludf.DUMMYFUNCTION("""COMPUTED_VALUE"""),"IP-Poster")</f>
        <v>IP-Poster</v>
      </c>
      <c r="G1717" s="7" t="str">
        <f>IFERROR(__xludf.DUMMYFUNCTION("""COMPUTED_VALUE"""),"In-Person")</f>
        <v>In-Person</v>
      </c>
      <c r="H1717" s="7" t="str">
        <f>IFERROR(__xludf.DUMMYFUNCTION("""COMPUTED_VALUE"""),"Hall 4/5")</f>
        <v>Hall 4/5</v>
      </c>
      <c r="I1717" s="7" t="str">
        <f>IFERROR(__xludf.DUMMYFUNCTION("""COMPUTED_VALUE"""),"Session 12: IP-Posters")</f>
        <v>Session 12: IP-Posters</v>
      </c>
      <c r="J1717" s="7" t="str">
        <f>IFERROR(__xludf.DUMMYFUNCTION("""COMPUTED_VALUE"""),"Poster Session 4")</f>
        <v>Poster Session 4</v>
      </c>
      <c r="K1717" s="7"/>
      <c r="L1717" s="8">
        <f>IFERROR(__xludf.DUMMYFUNCTION("""COMPUTED_VALUE"""),45868.0)</f>
        <v>45868</v>
      </c>
      <c r="M1717" s="7" t="str">
        <f>IFERROR(__xludf.DUMMYFUNCTION("""COMPUTED_VALUE"""),"11:00-12:30")</f>
        <v>11:00-12:30</v>
      </c>
      <c r="N1717" s="7"/>
    </row>
    <row r="1718">
      <c r="A1718" s="7" t="str">
        <f>IFERROR(__xludf.DUMMYFUNCTION("""COMPUTED_VALUE"""),"228-MAIN")</f>
        <v>228-MAIN</v>
      </c>
      <c r="B1718" s="7" t="str">
        <f>IFERROR(__xludf.DUMMYFUNCTION("""COMPUTED_VALUE"""),"Contrastive Perplexity for Controlled Generation: An Application in Detoxifying Large Language Models")</f>
        <v>Contrastive Perplexity for Controlled Generation: An Application in Detoxifying Large Language Models</v>
      </c>
      <c r="C1718" s="7" t="str">
        <f>IFERROR(__xludf.DUMMYFUNCTION("""COMPUTED_VALUE"""),"The generation of toxic content by large language models (LLMs) remains a critical challenge for the safe deployment of language technology. We propose a novel framework for implicit knowledge editing and controlled text generation by fine-tuning LLMs wit"&amp;"h a prototype-based contrastive perplexity objective. Central to our method is the construction of hard negatives—toxic outputs that are generated through adversarial paraphrasing to be semantically similar and model probability to their non-toxic counter"&amp;"parts. By training on these challenging and realistic pairs, our approach ensures robust and stable contrastive optimization. Experimental results in the domain of detoxification demonstrate that our method significantly reduces toxic generation while mai"&amp;"ntaining strong performance on downstream tasks such as commonsense reasoning and reading comprehension. Our findings highlight the effectiveness of exploiting hard negatives for attribute-aware fine-tuning.")</f>
        <v>The generation of toxic content by large language models (LLMs) remains a critical challenge for the safe deployment of language technology. We propose a novel framework for implicit knowledge editing and controlled text generation by fine-tuning LLMs with a prototype-based contrastive perplexity objective. Central to our method is the construction of hard negatives—toxic outputs that are generated through adversarial paraphrasing to be semantically similar and model probability to their non-toxic counterparts. By training on these challenging and realistic pairs, our approach ensures robust and stable contrastive optimization. Experimental results in the domain of detoxification demonstrate that our method significantly reduces toxic generation while maintaining strong performance on downstream tasks such as commonsense reasoning and reading comprehension. Our findings highlight the effectiveness of exploiting hard negatives for attribute-aware fine-tuning.</v>
      </c>
      <c r="D1718" s="7" t="str">
        <f>IFERROR(__xludf.DUMMYFUNCTION("""COMPUTED_VALUE"""),"Tassilo Klein")</f>
        <v>Tassilo Klein</v>
      </c>
      <c r="E1718" s="7" t="str">
        <f>IFERROR(__xludf.DUMMYFUNCTION("""COMPUTED_VALUE"""),"Yes")</f>
        <v>Yes</v>
      </c>
      <c r="F1718" s="7" t="str">
        <f>IFERROR(__xludf.DUMMYFUNCTION("""COMPUTED_VALUE"""),"IP-Poster")</f>
        <v>IP-Poster</v>
      </c>
      <c r="G1718" s="7" t="str">
        <f>IFERROR(__xludf.DUMMYFUNCTION("""COMPUTED_VALUE"""),"In-Person")</f>
        <v>In-Person</v>
      </c>
      <c r="H1718" s="7" t="str">
        <f>IFERROR(__xludf.DUMMYFUNCTION("""COMPUTED_VALUE"""),"Hall 4/5")</f>
        <v>Hall 4/5</v>
      </c>
      <c r="I1718" s="7" t="str">
        <f>IFERROR(__xludf.DUMMYFUNCTION("""COMPUTED_VALUE"""),"Session 7: IP-Posters")</f>
        <v>Session 7: IP-Posters</v>
      </c>
      <c r="J1718" s="7" t="str">
        <f>IFERROR(__xludf.DUMMYFUNCTION("""COMPUTED_VALUE"""),"Poster Session 2")</f>
        <v>Poster Session 2</v>
      </c>
      <c r="K1718" s="7"/>
      <c r="L1718" s="8">
        <f>IFERROR(__xludf.DUMMYFUNCTION("""COMPUTED_VALUE"""),45867.0)</f>
        <v>45867</v>
      </c>
      <c r="M1718" s="7" t="str">
        <f>IFERROR(__xludf.DUMMYFUNCTION("""COMPUTED_VALUE"""),"10:30-12:00")</f>
        <v>10:30-12:00</v>
      </c>
      <c r="N1718" s="7"/>
    </row>
    <row r="1719">
      <c r="A1719" s="7" t="str">
        <f>IFERROR(__xludf.DUMMYFUNCTION("""COMPUTED_VALUE"""),"229-MAIN")</f>
        <v>229-MAIN</v>
      </c>
      <c r="B1719" s="7" t="str">
        <f>IFERROR(__xludf.DUMMYFUNCTION("""COMPUTED_VALUE"""),"INVESTORBENCH: A Benchmark for Financial Decision-Making Tasks with LLM-based Agent")</f>
        <v>INVESTORBENCH: A Benchmark for Financial Decision-Making Tasks with LLM-based Agent</v>
      </c>
      <c r="C1719" s="7" t="str">
        <f>IFERROR(__xludf.DUMMYFUNCTION("""COMPUTED_VALUE"""),"Recent advancements have underscored the potential of large language model (LLM)-based agents in financial decision-making. Despite this progress, the field currently encounters two main challenges: (1) the lack of a comprehensive LLM agent framework adap"&amp;"table to a variety of financial tasks, and (2) the absence of standardized benchmarks and consistent datasets for assessing agent performance. To tackle these issues, we introduce \textsc{InvestorBench}, the first benchmark specifically designed for evalu"&amp;"ating LLM-based agents in diverse financial decision-making contexts. \textsc{InvestorBench} enhances the versatility of LLM-enabled agents by providing a comprehensive suite of tasks applicable to different financial products, including single equities l"&amp;"ike stocks and cryptocurrencies, and exchange-traded funds (ETFs). Additionally, we assess the reasoning and decision-making capabilities of our agent framework using thirteen different LLMs as backbone models, across various market environments and tasks"&amp;". Furthermore, we have curated a diverse collection of open-source, datasets and developed a comprehensive suite of environments for financial decision-making. This establishes a highly accessible platform for evaluating financial agents' performance acro"&amp;"ss various scenarios.")</f>
        <v>Recent advancements have underscored the potential of large language model (LLM)-based agents in financial decision-making. Despite this progress, the field currently encounters two main challenges: (1) the lack of a comprehensive LLM agent framework adaptable to a variety of financial tasks, and (2) the absence of standardized benchmarks and consistent datasets for assessing agent performance. To tackle these issues, we introduce \textsc{InvestorBench}, the first benchmark specifically designed for evaluating LLM-based agents in diverse financial decision-making contexts. \textsc{InvestorBench} enhances the versatility of LLM-enabled agents by providing a comprehensive suite of tasks applicable to different financial products, including single equities like stocks and cryptocurrencies, and exchange-traded funds (ETFs). Additionally, we assess the reasoning and decision-making capabilities of our agent framework using thirteen different LLMs as backbone models, across various market environments and tasks. Furthermore, we have curated a diverse collection of open-source, datasets and developed a comprehensive suite of environments for financial decision-making. This establishes a highly accessible platform for evaluating financial agents' performance across various scenarios.</v>
      </c>
      <c r="D1719" s="7" t="str">
        <f>IFERROR(__xludf.DUMMYFUNCTION("""COMPUTED_VALUE"""),"Haohang Li, Yupeng Cao, Yangyang Yu")</f>
        <v>Haohang Li, Yupeng Cao, Yangyang Yu</v>
      </c>
      <c r="E1719" s="7" t="str">
        <f>IFERROR(__xludf.DUMMYFUNCTION("""COMPUTED_VALUE"""),"Yes")</f>
        <v>Yes</v>
      </c>
      <c r="F1719" s="7" t="str">
        <f>IFERROR(__xludf.DUMMYFUNCTION("""COMPUTED_VALUE"""),"IP-Poster")</f>
        <v>IP-Poster</v>
      </c>
      <c r="G1719" s="7" t="str">
        <f>IFERROR(__xludf.DUMMYFUNCTION("""COMPUTED_VALUE"""),"In-Person")</f>
        <v>In-Person</v>
      </c>
      <c r="H1719" s="7" t="str">
        <f>IFERROR(__xludf.DUMMYFUNCTION("""COMPUTED_VALUE"""),"Hall 4/5")</f>
        <v>Hall 4/5</v>
      </c>
      <c r="I1719" s="7" t="str">
        <f>IFERROR(__xludf.DUMMYFUNCTION("""COMPUTED_VALUE"""),"Session 2: IP-Posters ")</f>
        <v>Session 2: IP-Posters </v>
      </c>
      <c r="J1719" s="7" t="str">
        <f>IFERROR(__xludf.DUMMYFUNCTION("""COMPUTED_VALUE"""),"Poster Session 1")</f>
        <v>Poster Session 1</v>
      </c>
      <c r="K1719" s="7"/>
      <c r="L1719" s="8">
        <f>IFERROR(__xludf.DUMMYFUNCTION("""COMPUTED_VALUE"""),45866.0)</f>
        <v>45866</v>
      </c>
      <c r="M1719" s="7" t="str">
        <f>IFERROR(__xludf.DUMMYFUNCTION("""COMPUTED_VALUE"""),"11:00-12:30")</f>
        <v>11:00-12:30</v>
      </c>
      <c r="N1719" s="7"/>
    </row>
    <row r="1720">
      <c r="A1720" s="7" t="str">
        <f>IFERROR(__xludf.DUMMYFUNCTION("""COMPUTED_VALUE"""),"231-MAIN")</f>
        <v>231-MAIN</v>
      </c>
      <c r="B1720" s="7" t="str">
        <f>IFERROR(__xludf.DUMMYFUNCTION("""COMPUTED_VALUE"""),"Smarter, Better, Faster, Longer: A Modern Bidirectional Encoder for Fast, Memory Efficient, and Long Context Finetuning and Inference")</f>
        <v>Smarter, Better, Faster, Longer: A Modern Bidirectional Encoder for Fast, Memory Efficient, and Long Context Finetuning and Inference</v>
      </c>
      <c r="C1720" s="7" t="str">
        <f>IFERROR(__xludf.DUMMYFUNCTION("""COMPUTED_VALUE"""),"Encoder-only transformer models such as BERT offer a great performance-size tradeoff for retrieval and classification tasks with respect to larger decoder-only models. Despite being the workhorse of numerous production pipelines, there have been limited P"&amp;"areto improvements to BERT since its release. In this paper, we introduce ModernBERT, bringing modern model optimizations to encoder-only models and representing a major Pareto improvement over older encoders. Trained on 2 trillion tokens with a native 81"&amp;"92 sequence length, ModernBERT models exhibit state-of-the-art results on a large pool of evaluations encompassing diverse classification tasks and both single and multi-vector retrieval on different domains (including code). In addition to strong downstr"&amp;"eam performance, ModernBERT is also the most speed and memory efficient encoder and is designed for inference on common GPUs.")</f>
        <v>Encoder-only transformer models such as BERT offer a great performance-size tradeoff for retrieval and classification tasks with respect to larger decoder-only models. Despite being the workhorse of numerous production pipelines, there have been limited Pareto improvements to BERT since its release. In this paper, we introduce ModernBERT, bringing modern model optimizations to encoder-only models and representing a major Pareto improvement over older encoders. Trained on 2 trillion tokens with a native 8192 sequence length, ModernBERT models exhibit state-of-the-art results on a large pool of evaluations encompassing diverse classification tasks and both single and multi-vector retrieval on different domains (including code). In addition to strong downstream performance, ModernBERT is also the most speed and memory efficient encoder and is designed for inference on common GPUs.</v>
      </c>
      <c r="D1720" s="7" t="str">
        <f>IFERROR(__xludf.DUMMYFUNCTION("""COMPUTED_VALUE"""),"Benjamin Warner")</f>
        <v>Benjamin Warner</v>
      </c>
      <c r="E1720" s="7" t="str">
        <f>IFERROR(__xludf.DUMMYFUNCTION("""COMPUTED_VALUE"""),"Yes")</f>
        <v>Yes</v>
      </c>
      <c r="F1720" s="7" t="str">
        <f>IFERROR(__xludf.DUMMYFUNCTION("""COMPUTED_VALUE"""),"IP-Poster")</f>
        <v>IP-Poster</v>
      </c>
      <c r="G1720" s="7" t="str">
        <f>IFERROR(__xludf.DUMMYFUNCTION("""COMPUTED_VALUE"""),"In-Person")</f>
        <v>In-Person</v>
      </c>
      <c r="H1720" s="7" t="str">
        <f>IFERROR(__xludf.DUMMYFUNCTION("""COMPUTED_VALUE"""),"Hall 4/5")</f>
        <v>Hall 4/5</v>
      </c>
      <c r="I1720" s="7" t="str">
        <f>IFERROR(__xludf.DUMMYFUNCTION("""COMPUTED_VALUE"""),"Session 12: IP-Posters")</f>
        <v>Session 12: IP-Posters</v>
      </c>
      <c r="J1720" s="7" t="str">
        <f>IFERROR(__xludf.DUMMYFUNCTION("""COMPUTED_VALUE"""),"Poster Session 4")</f>
        <v>Poster Session 4</v>
      </c>
      <c r="K1720" s="7"/>
      <c r="L1720" s="8">
        <f>IFERROR(__xludf.DUMMYFUNCTION("""COMPUTED_VALUE"""),45868.0)</f>
        <v>45868</v>
      </c>
      <c r="M1720" s="7" t="str">
        <f>IFERROR(__xludf.DUMMYFUNCTION("""COMPUTED_VALUE"""),"11:00-12:30")</f>
        <v>11:00-12:30</v>
      </c>
      <c r="N1720" s="7"/>
    </row>
    <row r="1721">
      <c r="A1721" s="7" t="str">
        <f>IFERROR(__xludf.DUMMYFUNCTION("""COMPUTED_VALUE"""),"234-MAIN")</f>
        <v>234-MAIN</v>
      </c>
      <c r="B1721" s="7" t="str">
        <f>IFERROR(__xludf.DUMMYFUNCTION("""COMPUTED_VALUE"""),"Gender Inclusivity Fairness Index (GIFI): A Multilevel Framework for Evaluating Gender Diversity in Large Language Models")</f>
        <v>Gender Inclusivity Fairness Index (GIFI): A Multilevel Framework for Evaluating Gender Diversity in Large Language Models</v>
      </c>
      <c r="C1721" s="7" t="str">
        <f>IFERROR(__xludf.DUMMYFUNCTION("""COMPUTED_VALUE"""),"We present a comprehensive evaluation of gender fairness in large language models (LLMs), focusing on their ability to handle both binary and non-binary genders. While previous studies primarily focus on binary gender distinctions, we introduce the Gender"&amp;" Inclusivity Fairness Index (GIFI), a novel and comprehensive metric that quantifies the diverse gender inclusivity of LLMs. GIFI consists of a wide range of evaluations at different levels, from simply probing the model with respect to provided gender pr"&amp;"onouns to testing various aspects of model generation and cognitive behaviors under different gender assumptions, revealing biases associated with varying gender identifiers.
We conduct extensive evaluations with GIFI on 20 prominent open-source and propr"&amp;"ietary LLMs of varying sizes and capabilities, discovering significant variations in LLMs' gender inclusivity. Our study highlights the importance of improving LLMs’ inclusivity, providing a critical benchmark for future advancements in gender fairness in"&amp;" generative models.\footnote{Data and code available at \url{https://github.com/ZhengyangShan/GIFI}.}")</f>
        <v>We present a comprehensive evaluation of gender fairness in large language models (LLMs), focusing on their ability to handle both binary and non-binary genders. While previous studies primarily focus on binary gender distinctions, we introduce the Gender Inclusivity Fairness Index (GIFI), a novel and comprehensive metric that quantifies the diverse gender inclusivity of LLMs. GIFI consists of a wide range of evaluations at different levels, from simply probing the model with respect to provided gender pronouns to testing various aspects of model generation and cognitive behaviors under different gender assumptions, revealing biases associated with varying gender identifiers.
We conduct extensive evaluations with GIFI on 20 prominent open-source and proprietary LLMs of varying sizes and capabilities, discovering significant variations in LLMs' gender inclusivity. Our study highlights the importance of improving LLMs’ inclusivity, providing a critical benchmark for future advancements in gender fairness in generative models.\footnote{Data and code available at \url{https://github.com/ZhengyangShan/GIFI}.}</v>
      </c>
      <c r="D1721" s="7" t="str">
        <f>IFERROR(__xludf.DUMMYFUNCTION("""COMPUTED_VALUE"""),"Zhengyang Shan")</f>
        <v>Zhengyang Shan</v>
      </c>
      <c r="E1721" s="7" t="str">
        <f>IFERROR(__xludf.DUMMYFUNCTION("""COMPUTED_VALUE"""),"Yes")</f>
        <v>Yes</v>
      </c>
      <c r="F1721" s="7" t="str">
        <f>IFERROR(__xludf.DUMMYFUNCTION("""COMPUTED_VALUE"""),"V-Presentation")</f>
        <v>V-Presentation</v>
      </c>
      <c r="G1721" s="7" t="str">
        <f>IFERROR(__xludf.DUMMYFUNCTION("""COMPUTED_VALUE"""),"Virtual/Gather")</f>
        <v>Virtual/Gather</v>
      </c>
      <c r="H1721" s="7" t="str">
        <f>IFERROR(__xludf.DUMMYFUNCTION("""COMPUTED_VALUE"""),"Zoom")</f>
        <v>Zoom</v>
      </c>
      <c r="I1721" s="7" t="str">
        <f>IFERROR(__xludf.DUMMYFUNCTION("""COMPUTED_VALUE"""),"Session 10: V-Presenations")</f>
        <v>Session 10: V-Presenations</v>
      </c>
      <c r="J1721" s="7" t="str">
        <f>IFERROR(__xludf.DUMMYFUNCTION("""COMPUTED_VALUE"""),"Virtual Presentations 3")</f>
        <v>Virtual Presentations 3</v>
      </c>
      <c r="K1721" s="7"/>
      <c r="L1721" s="8">
        <f>IFERROR(__xludf.DUMMYFUNCTION("""COMPUTED_VALUE"""),45867.0)</f>
        <v>45867</v>
      </c>
      <c r="M1721" s="7" t="str">
        <f>IFERROR(__xludf.DUMMYFUNCTION("""COMPUTED_VALUE"""),"16:00-17:30")</f>
        <v>16:00-17:30</v>
      </c>
      <c r="N1721" s="7"/>
    </row>
    <row r="1722">
      <c r="A1722" s="7" t="str">
        <f>IFERROR(__xludf.DUMMYFUNCTION("""COMPUTED_VALUE"""),"235-MAIN")</f>
        <v>235-MAIN</v>
      </c>
      <c r="B1722" s="7" t="str">
        <f>IFERROR(__xludf.DUMMYFUNCTION("""COMPUTED_VALUE"""),"D.Va: Validate Your Demonstration First Before You Use It")</f>
        <v>D.Va: Validate Your Demonstration First Before You Use It</v>
      </c>
      <c r="C1722" s="7" t="str">
        <f>IFERROR(__xludf.DUMMYFUNCTION("""COMPUTED_VALUE"""),"In-context learning (ICL) has demonstrated significant potential in enhancing the capabilities of large language models (LLMs) during inference. It's well-established that ICL heavily relies on selecting effective demonstrations to achieve outputs that be"&amp;"tter align with the expected results. As for demonstration selection, previous approaches have typically relied on intuitive metrics to evaluate the effectiveness of demonstrations, which often results in limited robustness and poor cross-model generaliza"&amp;"tion capabilities. To tackle these challenges, we propose a novel method, **D**emonstration **Va**lidation (**D.Va**), which integrates a demonstration validation perspective into this field. By introducing the demonstration validation mechanism, our meth"&amp;"od effectively identifies demonstrations that are both effective and highly generalizable. **D.Va** surpasses all existing retrieval-based in-context learning techniques across both natural language understanding (NLU) and natural language generation (NLG"&amp;") tasks. Additionally, we demonstrate the robustness and generalizability of our approach across various language models and retrieval models.")</f>
        <v>In-context learning (ICL) has demonstrated significant potential in enhancing the capabilities of large language models (LLMs) during inference. It's well-established that ICL heavily relies on selecting effective demonstrations to achieve outputs that better align with the expected results. As for demonstration selection, previous approaches have typically relied on intuitive metrics to evaluate the effectiveness of demonstrations, which often results in limited robustness and poor cross-model generalization capabilities. To tackle these challenges, we propose a novel method, **D**emonstration **Va**lidation (**D.Va**), which integrates a demonstration validation perspective into this field. By introducing the demonstration validation mechanism, our method effectively identifies demonstrations that are both effective and highly generalizable. **D.Va** surpasses all existing retrieval-based in-context learning techniques across both natural language understanding (NLU) and natural language generation (NLG) tasks. Additionally, we demonstrate the robustness and generalizability of our approach across various language models and retrieval models.</v>
      </c>
      <c r="D1722" s="7" t="str">
        <f>IFERROR(__xludf.DUMMYFUNCTION("""COMPUTED_VALUE"""),"Qi Zhang")</f>
        <v>Qi Zhang</v>
      </c>
      <c r="E1722" s="7" t="str">
        <f>IFERROR(__xludf.DUMMYFUNCTION("""COMPUTED_VALUE"""),"Yes")</f>
        <v>Yes</v>
      </c>
      <c r="F1722" s="7" t="str">
        <f>IFERROR(__xludf.DUMMYFUNCTION("""COMPUTED_VALUE"""),"IP-Poster")</f>
        <v>IP-Poster</v>
      </c>
      <c r="G1722" s="7" t="str">
        <f>IFERROR(__xludf.DUMMYFUNCTION("""COMPUTED_VALUE"""),"In-Person")</f>
        <v>In-Person</v>
      </c>
      <c r="H1722" s="7" t="str">
        <f>IFERROR(__xludf.DUMMYFUNCTION("""COMPUTED_VALUE"""),"Hall 4/5")</f>
        <v>Hall 4/5</v>
      </c>
      <c r="I1722" s="7" t="str">
        <f>IFERROR(__xludf.DUMMYFUNCTION("""COMPUTED_VALUE"""),"Session 2: IP-Posters ")</f>
        <v>Session 2: IP-Posters </v>
      </c>
      <c r="J1722" s="7" t="str">
        <f>IFERROR(__xludf.DUMMYFUNCTION("""COMPUTED_VALUE"""),"Poster Session 1")</f>
        <v>Poster Session 1</v>
      </c>
      <c r="K1722" s="7"/>
      <c r="L1722" s="8">
        <f>IFERROR(__xludf.DUMMYFUNCTION("""COMPUTED_VALUE"""),45866.0)</f>
        <v>45866</v>
      </c>
      <c r="M1722" s="7" t="str">
        <f>IFERROR(__xludf.DUMMYFUNCTION("""COMPUTED_VALUE"""),"11:00-12:30")</f>
        <v>11:00-12:30</v>
      </c>
      <c r="N1722" s="7"/>
    </row>
    <row r="1723">
      <c r="A1723" s="7" t="str">
        <f>IFERROR(__xludf.DUMMYFUNCTION("""COMPUTED_VALUE"""),"236-MAIN")</f>
        <v>236-MAIN</v>
      </c>
      <c r="B1723" s="7" t="str">
        <f>IFERROR(__xludf.DUMMYFUNCTION("""COMPUTED_VALUE"""),"Are Any-to-Any Models More Consistent Across Modality Transfers Than Specialists?")</f>
        <v>Are Any-to-Any Models More Consistent Across Modality Transfers Than Specialists?</v>
      </c>
      <c r="C1723" s="7" t="str">
        <f>IFERROR(__xludf.DUMMYFUNCTION("""COMPUTED_VALUE"""),"Any-to-any generative models aim to enable seamless interpretation and generation across multiple modalities within a unified framework, yet their ability to preserve relationships across modalities remains uncertain. Do unified models truly achieve cross"&amp;"-modal coherence, or is this coherence merely perceived? To explore this, we introduce ACON, a dataset of 1,000 images (500 newly contributed) paired with captions, editing instructions, and Q&amp;A pairs to evaluate cross-modal transfers rigorously. Using th"&amp;"ree consistency criteria—cyclic consistency, forward equivariance, and conjugated equivariance—our experiments reveal that any-to-any models do not consistently demonstrate greater cross-modal consistency than specialized models in pointwise evaluations s"&amp;"uch as cyclic consistency. However, equivariance evaluations uncover weak but observable consistency through structured analyses of the intermediate latent space enabled by multiple editing operations. We release our code and data at https://github.com/Ji"&amp;"wanChung/ACON.")</f>
        <v>Any-to-any generative models aim to enable seamless interpretation and generation across multiple modalities within a unified framework, yet their ability to preserve relationships across modalities remains uncertain. Do unified models truly achieve cross-modal coherence, or is this coherence merely perceived? To explore this, we introduce ACON, a dataset of 1,000 images (500 newly contributed) paired with captions, editing instructions, and Q&amp;A pairs to evaluate cross-modal transfers rigorously. Using three consistency criteria—cyclic consistency, forward equivariance, and conjugated equivariance—our experiments reveal that any-to-any models do not consistently demonstrate greater cross-modal consistency than specialized models in pointwise evaluations such as cyclic consistency. However, equivariance evaluations uncover weak but observable consistency through structured analyses of the intermediate latent space enabled by multiple editing operations. We release our code and data at https://github.com/JiwanChung/ACON.</v>
      </c>
      <c r="D1723" s="7" t="str">
        <f>IFERROR(__xludf.DUMMYFUNCTION("""COMPUTED_VALUE"""),"Janghan Yoon")</f>
        <v>Janghan Yoon</v>
      </c>
      <c r="E1723" s="7" t="str">
        <f>IFERROR(__xludf.DUMMYFUNCTION("""COMPUTED_VALUE"""),"Yes")</f>
        <v>Yes</v>
      </c>
      <c r="F1723" s="7" t="str">
        <f>IFERROR(__xludf.DUMMYFUNCTION("""COMPUTED_VALUE"""),"IP-Poster")</f>
        <v>IP-Poster</v>
      </c>
      <c r="G1723" s="7" t="str">
        <f>IFERROR(__xludf.DUMMYFUNCTION("""COMPUTED_VALUE"""),"In-Person")</f>
        <v>In-Person</v>
      </c>
      <c r="H1723" s="7" t="str">
        <f>IFERROR(__xludf.DUMMYFUNCTION("""COMPUTED_VALUE"""),"Hall 4/5")</f>
        <v>Hall 4/5</v>
      </c>
      <c r="I1723" s="7" t="str">
        <f>IFERROR(__xludf.DUMMYFUNCTION("""COMPUTED_VALUE"""),"Session 10: IP-Posters")</f>
        <v>Session 10: IP-Posters</v>
      </c>
      <c r="J1723" s="7" t="str">
        <f>IFERROR(__xludf.DUMMYFUNCTION("""COMPUTED_VALUE"""),"Poster Session 3")</f>
        <v>Poster Session 3</v>
      </c>
      <c r="K1723" s="7"/>
      <c r="L1723" s="8">
        <f>IFERROR(__xludf.DUMMYFUNCTION("""COMPUTED_VALUE"""),45867.0)</f>
        <v>45867</v>
      </c>
      <c r="M1723" s="7" t="str">
        <f>IFERROR(__xludf.DUMMYFUNCTION("""COMPUTED_VALUE"""),"16:00-17:30")</f>
        <v>16:00-17:30</v>
      </c>
      <c r="N1723" s="7"/>
    </row>
    <row r="1724">
      <c r="A1724" s="7" t="str">
        <f>IFERROR(__xludf.DUMMYFUNCTION("""COMPUTED_VALUE"""),"237-MAIN")</f>
        <v>237-MAIN</v>
      </c>
      <c r="B1724" s="7" t="str">
        <f>IFERROR(__xludf.DUMMYFUNCTION("""COMPUTED_VALUE"""),"MAIN-RAG: Multi-Agent Filtering Retrieval-Augmented Generation")</f>
        <v>MAIN-RAG: Multi-Agent Filtering Retrieval-Augmented Generation</v>
      </c>
      <c r="C1724" s="7" t="str">
        <f>IFERROR(__xludf.DUMMYFUNCTION("""COMPUTED_VALUE"""),"Large Language Models (LLMs) are becoming essential tools for various natural language processing tasks but often suffer from generating outdated or incorrect information. Retrieval-Augmented Generation (RAG) addresses this issue by incorporating external"&amp;", real-time information retrieval to ground LLM responses. However, the existing RAG systems frequently struggle with the quality of retrieval documents, as irrelevant or noisy documents degrade performance, increase computational overhead, and undermine "&amp;"response reliability. To tackle this problem, we propose Multi-Agent Filtering Retrieval-Augmented Generation (MAIN-RAG), a training-free RAG framework that leverages multiple LLM agents to collaboratively filter and score retrieved documents. Specificall"&amp;"y, MAIN-RAG introduces an adaptive filtering mechanism that dynamically adjusts the relevance filtering threshold based on score distributions, effectively minimizing noise while maintaining high recall of relevant documents. The proposed approach leverag"&amp;"es inter-agent consensus to ensure robust document selection without requiring additional training data or fine-tuning. Experimental results across four QA benchmarks demonstrate that MAIN-RAG consistently outperforms traditional RAG approaches, achieving"&amp;" a 2–11% improvement in answer accuracy while reducing the number of irrelevant retrieved documents. Quantitative analysis further reveals that our approach achieves superior response consistency and answer accuracy over baseline methods, offering a compe"&amp;"titive and practical alternative to training-based solutions.")</f>
        <v>Large Language Models (LLMs) are becoming essential tools for various natural language processing tasks but often suffer from generating outdated or incorrect information. Retrieval-Augmented Generation (RAG) addresses this issue by incorporating external, real-time information retrieval to ground LLM responses. However, the existing RAG systems frequently struggle with the quality of retrieval documents, as irrelevant or noisy documents degrade performance, increase computational overhead, and undermine response reliability. To tackle this problem, we propose Multi-Agent Filtering Retrieval-Augmented Generation (MAIN-RAG), a training-free RAG framework that leverages multiple LLM agents to collaboratively filter and score retrieved documents. Specifically, MAIN-RAG introduces an adaptive filtering mechanism that dynamically adjusts the relevance filtering threshold based on score distributions, effectively minimizing noise while maintaining high recall of relevant documents. The proposed approach leverages inter-agent consensus to ensure robust document selection without requiring additional training data or fine-tuning. Experimental results across four QA benchmarks demonstrate that MAIN-RAG consistently outperforms traditional RAG approaches, achieving a 2–11% improvement in answer accuracy while reducing the number of irrelevant retrieved documents. Quantitative analysis further reveals that our approach achieves superior response consistency and answer accuracy over baseline methods, offering a competitive and practical alternative to training-based solutions.</v>
      </c>
      <c r="D1724" s="7" t="str">
        <f>IFERROR(__xludf.DUMMYFUNCTION("""COMPUTED_VALUE"""),"Chia-Yuan Chang")</f>
        <v>Chia-Yuan Chang</v>
      </c>
      <c r="E1724" s="7" t="str">
        <f>IFERROR(__xludf.DUMMYFUNCTION("""COMPUTED_VALUE"""),"Yes")</f>
        <v>Yes</v>
      </c>
      <c r="F1724" s="7" t="str">
        <f>IFERROR(__xludf.DUMMYFUNCTION("""COMPUTED_VALUE"""),"V-Presentation")</f>
        <v>V-Presentation</v>
      </c>
      <c r="G1724" s="7" t="str">
        <f>IFERROR(__xludf.DUMMYFUNCTION("""COMPUTED_VALUE"""),"Virtual/Gather")</f>
        <v>Virtual/Gather</v>
      </c>
      <c r="H1724" s="7" t="str">
        <f>IFERROR(__xludf.DUMMYFUNCTION("""COMPUTED_VALUE"""),"Zoom")</f>
        <v>Zoom</v>
      </c>
      <c r="I1724" s="7" t="str">
        <f>IFERROR(__xludf.DUMMYFUNCTION("""COMPUTED_VALUE"""),"Session 10: V-Presenations")</f>
        <v>Session 10: V-Presenations</v>
      </c>
      <c r="J1724" s="7" t="str">
        <f>IFERROR(__xludf.DUMMYFUNCTION("""COMPUTED_VALUE"""),"Virtual Presentations 3")</f>
        <v>Virtual Presentations 3</v>
      </c>
      <c r="K1724" s="7"/>
      <c r="L1724" s="8">
        <f>IFERROR(__xludf.DUMMYFUNCTION("""COMPUTED_VALUE"""),45867.0)</f>
        <v>45867</v>
      </c>
      <c r="M1724" s="7" t="str">
        <f>IFERROR(__xludf.DUMMYFUNCTION("""COMPUTED_VALUE"""),"16:00-17:30")</f>
        <v>16:00-17:30</v>
      </c>
      <c r="N1724" s="7"/>
    </row>
    <row r="1725">
      <c r="A1725" s="7" t="str">
        <f>IFERROR(__xludf.DUMMYFUNCTION("""COMPUTED_VALUE"""),"240-MAIN")</f>
        <v>240-MAIN</v>
      </c>
      <c r="B1725" s="7" t="str">
        <f>IFERROR(__xludf.DUMMYFUNCTION("""COMPUTED_VALUE"""),"Unraveling the Mechanics of Learning-Based Demonstration Selection for In-Context Learning")</f>
        <v>Unraveling the Mechanics of Learning-Based Demonstration Selection for In-Context Learning</v>
      </c>
      <c r="C1725" s="7" t="str">
        <f>IFERROR(__xludf.DUMMYFUNCTION("""COMPUTED_VALUE"""),"Large Language Models (LLMs) have demonstrated impressive in-context learning (ICL) capabilities from few-shot demonstration exemplars. Recent learning-based demonstration selection methods have proven beneficial to ICL by choosing more useful exemplars. "&amp;"While these methods generally assume they learn better similarity measurements between exemplars and test cases from the proxy task, what kinds of similarities are captured by them and are vital to performing ICL still need to be explored. To dive into th"&amp;"is question, we analyze the working mechanism of learning-based demonstration selection methods and empirically identify two essential factors of their similarity measurements: 1) Integrating task-agnostic similarities of different levels between the inpu"&amp;"t of exemplars and test cases; 2) Incorporating task-specific similarity between the output of exemplars and test cases. We validate these two findings through extensive quantitative analysis across ten datasets and various LLMs. Based on these insights, "&amp;"we introduce two simplified exemplar selection methods, MLSM and TTF, catering to task-agnostic and task-specific demands to eliminate costly data collection. The effectiveness of both methods evince our findings again and pave the way for future studies.")</f>
        <v>Large Language Models (LLMs) have demonstrated impressive in-context learning (ICL) capabilities from few-shot demonstration exemplars. Recent learning-based demonstration selection methods have proven beneficial to ICL by choosing more useful exemplars. While these methods generally assume they learn better similarity measurements between exemplars and test cases from the proxy task, what kinds of similarities are captured by them and are vital to performing ICL still need to be explored. To dive into this question, we analyze the working mechanism of learning-based demonstration selection methods and empirically identify two essential factors of their similarity measurements: 1) Integrating task-agnostic similarities of different levels between the input of exemplars and test cases; 2) Incorporating task-specific similarity between the output of exemplars and test cases. We validate these two findings through extensive quantitative analysis across ten datasets and various LLMs. Based on these insights, we introduce two simplified exemplar selection methods, MLSM and TTF, catering to task-agnostic and task-specific demands to eliminate costly data collection. The effectiveness of both methods evince our findings again and pave the way for future studies.</v>
      </c>
      <c r="D1725" s="7" t="str">
        <f>IFERROR(__xludf.DUMMYFUNCTION("""COMPUTED_VALUE"""),"Hui Liu")</f>
        <v>Hui Liu</v>
      </c>
      <c r="E1725" s="7" t="str">
        <f>IFERROR(__xludf.DUMMYFUNCTION("""COMPUTED_VALUE"""),"Yes")</f>
        <v>Yes</v>
      </c>
      <c r="F1725" s="7" t="str">
        <f>IFERROR(__xludf.DUMMYFUNCTION("""COMPUTED_VALUE"""),"IP-Oral")</f>
        <v>IP-Oral</v>
      </c>
      <c r="G1725" s="7" t="str">
        <f>IFERROR(__xludf.DUMMYFUNCTION("""COMPUTED_VALUE"""),"In-Person")</f>
        <v>In-Person</v>
      </c>
      <c r="H1725" s="7" t="str">
        <f>IFERROR(__xludf.DUMMYFUNCTION("""COMPUTED_VALUE"""),"Hall M.2")</f>
        <v>Hall M.2</v>
      </c>
      <c r="I1725" s="7" t="str">
        <f>IFERROR(__xludf.DUMMYFUNCTION("""COMPUTED_VALUE"""),"Session 9: IP-Orals")</f>
        <v>Session 9: IP-Orals</v>
      </c>
      <c r="J1725" s="7" t="str">
        <f>IFERROR(__xludf.DUMMYFUNCTION("""COMPUTED_VALUE"""),"Interpretability and Model Analysis 1")</f>
        <v>Interpretability and Model Analysis 1</v>
      </c>
      <c r="K1725" s="7"/>
      <c r="L1725" s="8">
        <f>IFERROR(__xludf.DUMMYFUNCTION("""COMPUTED_VALUE"""),45867.0)</f>
        <v>45867</v>
      </c>
      <c r="M1725" s="7" t="str">
        <f>IFERROR(__xludf.DUMMYFUNCTION("""COMPUTED_VALUE"""),"14:00-15:30")</f>
        <v>14:00-15:30</v>
      </c>
      <c r="N1725" s="7">
        <f>IFERROR(__xludf.DUMMYFUNCTION("""COMPUTED_VALUE"""),1.0)</f>
        <v>1</v>
      </c>
    </row>
    <row r="1726">
      <c r="A1726" s="7" t="str">
        <f>IFERROR(__xludf.DUMMYFUNCTION("""COMPUTED_VALUE"""),"241-MAIN")</f>
        <v>241-MAIN</v>
      </c>
      <c r="B1726" s="7" t="str">
        <f>IFERROR(__xludf.DUMMYFUNCTION("""COMPUTED_VALUE"""),"Direct Prompt Optimization with Continuous Representations")</f>
        <v>Direct Prompt Optimization with Continuous Representations</v>
      </c>
      <c r="C1726" s="7" t="str">
        <f>IFERROR(__xludf.DUMMYFUNCTION("""COMPUTED_VALUE"""),"Prompt optimization for language models faces challenges due to the large discrete search space, the reliance on continuous gradient updates, and the need to round continuous representations into discrete prompts, which causes inflexibility and instabilit"&amp;"y. Existing methods attempt to address these by constraining the search space and adopting greedy, incremental improvements, but they often fail to fully leverage historical gradient information. In this paper, we model the prompt optimization problem by "&amp;"the probability distribution of the prompt and present a novel approach that integrates greedy strategies into optimization with continuous representations. This approach can exploit historical gradient information to address the instability caused by rou"&amp;"nding in existing methods. Our study indicates that using continuous representations can improve prompt optimization performance on both text classification and attack tasks, as well as models, including GPT-2, OPT, Vicuna, and LLaMA-2, and also be adapta"&amp;"ble to models of different sizes.")</f>
        <v>Prompt optimization for language models faces challenges due to the large discrete search space, the reliance on continuous gradient updates, and the need to round continuous representations into discrete prompts, which causes inflexibility and instability. Existing methods attempt to address these by constraining the search space and adopting greedy, incremental improvements, but they often fail to fully leverage historical gradient information. In this paper, we model the prompt optimization problem by the probability distribution of the prompt and present a novel approach that integrates greedy strategies into optimization with continuous representations. This approach can exploit historical gradient information to address the instability caused by rounding in existing methods. Our study indicates that using continuous representations can improve prompt optimization performance on both text classification and attack tasks, as well as models, including GPT-2, OPT, Vicuna, and LLaMA-2, and also be adaptable to models of different sizes.</v>
      </c>
      <c r="D1726" s="7" t="str">
        <f>IFERROR(__xludf.DUMMYFUNCTION("""COMPUTED_VALUE"""),"Yangkun Wang")</f>
        <v>Yangkun Wang</v>
      </c>
      <c r="E1726" s="7" t="str">
        <f>IFERROR(__xludf.DUMMYFUNCTION("""COMPUTED_VALUE"""),"Yes")</f>
        <v>Yes</v>
      </c>
      <c r="F1726" s="7" t="str">
        <f>IFERROR(__xludf.DUMMYFUNCTION("""COMPUTED_VALUE"""),"V-Presentation")</f>
        <v>V-Presentation</v>
      </c>
      <c r="G1726" s="7" t="str">
        <f>IFERROR(__xludf.DUMMYFUNCTION("""COMPUTED_VALUE"""),"Virtual/Gather")</f>
        <v>Virtual/Gather</v>
      </c>
      <c r="H1726" s="7" t="str">
        <f>IFERROR(__xludf.DUMMYFUNCTION("""COMPUTED_VALUE"""),"Zoom")</f>
        <v>Zoom</v>
      </c>
      <c r="I1726" s="7" t="str">
        <f>IFERROR(__xludf.DUMMYFUNCTION("""COMPUTED_VALUE"""),"Session 10: V-Presentations")</f>
        <v>Session 10: V-Presentations</v>
      </c>
      <c r="J1726" s="7" t="str">
        <f>IFERROR(__xludf.DUMMYFUNCTION("""COMPUTED_VALUE"""),"Virtual Presentations 3")</f>
        <v>Virtual Presentations 3</v>
      </c>
      <c r="K1726" s="7"/>
      <c r="L1726" s="8">
        <f>IFERROR(__xludf.DUMMYFUNCTION("""COMPUTED_VALUE"""),45867.0)</f>
        <v>45867</v>
      </c>
      <c r="M1726" s="7" t="str">
        <f>IFERROR(__xludf.DUMMYFUNCTION("""COMPUTED_VALUE"""),"16:00-17:30")</f>
        <v>16:00-17:30</v>
      </c>
      <c r="N1726" s="7"/>
    </row>
    <row r="1727">
      <c r="A1727" s="7" t="str">
        <f>IFERROR(__xludf.DUMMYFUNCTION("""COMPUTED_VALUE"""),"242-MAIN")</f>
        <v>242-MAIN</v>
      </c>
      <c r="B1727" s="7" t="str">
        <f>IFERROR(__xludf.DUMMYFUNCTION("""COMPUTED_VALUE"""),"uMedSum: A Unified Framework for Advancing Medical Abstractive Summarization")</f>
        <v>uMedSum: A Unified Framework for Advancing Medical Abstractive Summarization</v>
      </c>
      <c r="C1727" s="7" t="str">
        <f>IFERROR(__xludf.DUMMYFUNCTION("""COMPUTED_VALUE"""),"Clinical abstractive summarization struggles to balance faithfulness and informativeness, sacrificing key information or introducing confabulations. Techniques like in-context learning and fine-tuning have improved overall summary quality orthogonally, wi"&amp;"thout considering the above issue. Conversely, methods aimed at improving faithfulness and informativeness, such as model reasoning and self improvement, have not been systematically evaluated in the clinical domain. We address this gap by first performin"&amp;"g a comprehensive benchmark and study of six advanced abstractive summarization methods across three datasets using five reference-based and reference-free metrics, with the latter specifically assessing faithfulness and informativeness. Based on its find"&amp;"ings we then develop uMedSum, a modular hybrid framework introducing novel approaches for sequential confabulation removal and key information addition. Our work outperforms previous GPT-4-based state-of-the-art (SOTA) methods in both quantitative metrics"&amp;" and expert evaluations, achieving an 11.8% average improvement in dedicated faithfulness metrics over the previous SOTA. Doctors prefer uMedSum’s summaries 6 times more than previous SOTA in difficult cases containing confabulations or missing informatio"&amp;"n. These results highlight uMedSum’s effectiveness and generalizability across various datasets and metrics, marking a significant advancement in clinical summarization. uMedSum toolkit is made available on GitHub.")</f>
        <v>Clinical abstractive summarization struggles to balance faithfulness and informativeness, sacrificing key information or introducing confabulations. Techniques like in-context learning and fine-tuning have improved overall summary quality orthogonally, without considering the above issue. Conversely, methods aimed at improving faithfulness and informativeness, such as model reasoning and self improvement, have not been systematically evaluated in the clinical domain. We address this gap by first performing a comprehensive benchmark and study of six advanced abstractive summarization methods across three datasets using five reference-based and reference-free metrics, with the latter specifically assessing faithfulness and informativeness. Based on its findings we then develop uMedSum, a modular hybrid framework introducing novel approaches for sequential confabulation removal and key information addition. Our work outperforms previous GPT-4-based state-of-the-art (SOTA) methods in both quantitative metrics and expert evaluations, achieving an 11.8% average improvement in dedicated faithfulness metrics over the previous SOTA. Doctors prefer uMedSum’s summaries 6 times more than previous SOTA in difficult cases containing confabulations or missing information. These results highlight uMedSum’s effectiveness and generalizability across various datasets and metrics, marking a significant advancement in clinical summarization. uMedSum toolkit is made available on GitHub.</v>
      </c>
      <c r="D1727" s="7" t="str">
        <f>IFERROR(__xludf.DUMMYFUNCTION("""COMPUTED_VALUE"""),"Aishik Nagar")</f>
        <v>Aishik Nagar</v>
      </c>
      <c r="E1727" s="7" t="str">
        <f>IFERROR(__xludf.DUMMYFUNCTION("""COMPUTED_VALUE"""),"Yes")</f>
        <v>Yes</v>
      </c>
      <c r="F1727" s="7" t="str">
        <f>IFERROR(__xludf.DUMMYFUNCTION("""COMPUTED_VALUE"""),"IP-Oral")</f>
        <v>IP-Oral</v>
      </c>
      <c r="G1727" s="7" t="str">
        <f>IFERROR(__xludf.DUMMYFUNCTION("""COMPUTED_VALUE"""),"In-Person")</f>
        <v>In-Person</v>
      </c>
      <c r="H1727" s="7" t="str">
        <f>IFERROR(__xludf.DUMMYFUNCTION("""COMPUTED_VALUE"""),"Hall N.2")</f>
        <v>Hall N.2</v>
      </c>
      <c r="I1727" s="7" t="str">
        <f>IFERROR(__xludf.DUMMYFUNCTION("""COMPUTED_VALUE"""),"Session 9: IP-Orals")</f>
        <v>Session 9: IP-Orals</v>
      </c>
      <c r="J1727" s="7" t="str">
        <f>IFERROR(__xludf.DUMMYFUNCTION("""COMPUTED_VALUE"""),"Summarization and Information Extraction ")</f>
        <v>Summarization and Information Extraction </v>
      </c>
      <c r="K1727" s="7"/>
      <c r="L1727" s="8">
        <f>IFERROR(__xludf.DUMMYFUNCTION("""COMPUTED_VALUE"""),45867.0)</f>
        <v>45867</v>
      </c>
      <c r="M1727" s="7" t="str">
        <f>IFERROR(__xludf.DUMMYFUNCTION("""COMPUTED_VALUE"""),"14:00-15:30")</f>
        <v>14:00-15:30</v>
      </c>
      <c r="N1727" s="7">
        <f>IFERROR(__xludf.DUMMYFUNCTION("""COMPUTED_VALUE"""),2.0)</f>
        <v>2</v>
      </c>
    </row>
    <row r="1728">
      <c r="A1728" s="7" t="str">
        <f>IFERROR(__xludf.DUMMYFUNCTION("""COMPUTED_VALUE"""),"243-MAIN")</f>
        <v>243-MAIN</v>
      </c>
      <c r="B1728" s="7" t="str">
        <f>IFERROR(__xludf.DUMMYFUNCTION("""COMPUTED_VALUE"""),"GigaSpeech 2: An Evolving, Large-Scale and Multi-domain ASR Corpus for Low-Resource Languages with Automated Crawling, Transcription and Refinement")</f>
        <v>GigaSpeech 2: An Evolving, Large-Scale and Multi-domain ASR Corpus for Low-Resource Languages with Automated Crawling, Transcription and Refinement</v>
      </c>
      <c r="C1728" s="7" t="str">
        <f>IFERROR(__xludf.DUMMYFUNCTION("""COMPUTED_VALUE"""),"The evolution of speech technology has been spurred by the rapid increase in dataset sizes. Traditional speech models generally depend on a large amount of labeled training data, which is scarce for low-resource languages. This paper presents GigaSpeech 2"&amp;", a large-scale, multi-domain, multilingual speech recognition corpus. It is designed for low-resource languages and does not rely on paired speech and text data. GigaSpeech 2 comprises about 30,000 hours of automatically transcribed speech, including Tha"&amp;"i, Indonesian, and Vietnamese, gathered from unlabeled YouTube videos. We also introduce an automated pipeline for data crawling, transcription, and label refinement. Specifically, this pipeline involves Whisper for initial transcription, MMS for forced a"&amp;"lignment, and multi-dimensional filtering for data quality assurance. A modified Noisy Student Training is developed to further refine flawed pseudo labels iteratively, thereby enhancing model performance. Experimental results on our manually transcribed "&amp;"evaluation set and two public test sets from Common Voice and FLEURS confirm our corpus's high quality and broad applicability. Notably, ASR models trained on GigaSpeech 2 can reduce the word error rate for Thai, Indonesian, and Vietnamese on our challeng"&amp;"ing and realistic YouTube test set by 25% to 40% compared to Whisper large-v3, with merely 10% model parameters. Furthermore, our ASR models trained on GigaSpeech 2 yield superior performance compared to commercial services. We hope that our newly introdu"&amp;"ced corpus and pipeline will open a new avenue for low-resource speech recognition and significantly facilitate research in this area.")</f>
        <v>The evolution of speech technology has been spurred by the rapid increase in dataset sizes. Traditional speech models generally depend on a large amount of labeled training data, which is scarce for low-resource languages. This paper presents GigaSpeech 2, a large-scale, multi-domain, multilingual speech recognition corpus. It is designed for low-resource languages and does not rely on paired speech and text data. GigaSpeech 2 comprises about 30,000 hours of automatically transcribed speech, including Thai, Indonesian, and Vietnamese, gathered from unlabeled YouTube videos. We also introduce an automated pipeline for data crawling, transcription, and label refinement. Specifically, this pipeline involves Whisper for initial transcription, MMS for forced alignment, and multi-dimensional filtering for data quality assurance. A modified Noisy Student Training is developed to further refine flawed pseudo labels iteratively, thereby enhancing model performance. Experimental results on our manually transcribed evaluation set and two public test sets from Common Voice and FLEURS confirm our corpus's high quality and broad applicability. Notably, ASR models trained on GigaSpeech 2 can reduce the word error rate for Thai, Indonesian, and Vietnamese on our challenging and realistic YouTube test set by 25% to 40% compared to Whisper large-v3, with merely 10% model parameters. Furthermore, our ASR models trained on GigaSpeech 2 yield superior performance compared to commercial services. We hope that our newly introduced corpus and pipeline will open a new avenue for low-resource speech recognition and significantly facilitate research in this area.</v>
      </c>
      <c r="D1728" s="7" t="str">
        <f>IFERROR(__xludf.DUMMYFUNCTION("""COMPUTED_VALUE"""),"Yifan Yang")</f>
        <v>Yifan Yang</v>
      </c>
      <c r="E1728" s="7" t="str">
        <f>IFERROR(__xludf.DUMMYFUNCTION("""COMPUTED_VALUE"""),"Yes")</f>
        <v>Yes</v>
      </c>
      <c r="F1728" s="7" t="str">
        <f>IFERROR(__xludf.DUMMYFUNCTION("""COMPUTED_VALUE"""),"IP-Poster")</f>
        <v>IP-Poster</v>
      </c>
      <c r="G1728" s="7" t="str">
        <f>IFERROR(__xludf.DUMMYFUNCTION("""COMPUTED_VALUE"""),"In-Person")</f>
        <v>In-Person</v>
      </c>
      <c r="H1728" s="7" t="str">
        <f>IFERROR(__xludf.DUMMYFUNCTION("""COMPUTED_VALUE"""),"Hall 4/5")</f>
        <v>Hall 4/5</v>
      </c>
      <c r="I1728" s="7" t="str">
        <f>IFERROR(__xludf.DUMMYFUNCTION("""COMPUTED_VALUE"""),"Session 2: IP-Posters ")</f>
        <v>Session 2: IP-Posters </v>
      </c>
      <c r="J1728" s="7" t="str">
        <f>IFERROR(__xludf.DUMMYFUNCTION("""COMPUTED_VALUE"""),"Poster Session 1")</f>
        <v>Poster Session 1</v>
      </c>
      <c r="K1728" s="7"/>
      <c r="L1728" s="8">
        <f>IFERROR(__xludf.DUMMYFUNCTION("""COMPUTED_VALUE"""),45866.0)</f>
        <v>45866</v>
      </c>
      <c r="M1728" s="7" t="str">
        <f>IFERROR(__xludf.DUMMYFUNCTION("""COMPUTED_VALUE"""),"11:00-12:30")</f>
        <v>11:00-12:30</v>
      </c>
      <c r="N1728" s="7"/>
    </row>
    <row r="1729">
      <c r="A1729" s="7" t="str">
        <f>IFERROR(__xludf.DUMMYFUNCTION("""COMPUTED_VALUE"""),"244-MAIN")</f>
        <v>244-MAIN</v>
      </c>
      <c r="B1729" s="7" t="str">
        <f>IFERROR(__xludf.DUMMYFUNCTION("""COMPUTED_VALUE"""),"Context-Aware Sentiment Forecasting via LLM-based Multi-Perspective Role-Playing Agents")</f>
        <v>Context-Aware Sentiment Forecasting via LLM-based Multi-Perspective Role-Playing Agents</v>
      </c>
      <c r="C1729" s="7" t="str">
        <f>IFERROR(__xludf.DUMMYFUNCTION("""COMPUTED_VALUE"""),"User sentiment on social media reveals underlying social trends, crises, and needs. Researchers have analyzed users' past messages to track the evolution of sentiments and reconstruct sentiment dynamics. However, predicting the imminent sentiment response"&amp;" of users to ongoing events remains understudied.  In this paper, we address the problem of sentiment forecasting on social media to predict users' future sentiment based on event developments. We extract sentiment-related features to enhance modeling and"&amp;" propose a multi-perspective role-playing framework to simulate human response processes. Our preliminary results show significant improvements in sentiment forecasting at both microscopic and macroscopic levels.")</f>
        <v>User sentiment on social media reveals underlying social trends, crises, and needs. Researchers have analyzed users' past messages to track the evolution of sentiments and reconstruct sentiment dynamics. However, predicting the imminent sentiment response of users to ongoing events remains understudied.  In this paper, we address the problem of sentiment forecasting on social media to predict users' future sentiment based on event developments. We extract sentiment-related features to enhance modeling and propose a multi-perspective role-playing framework to simulate human response processes. Our preliminary results show significant improvements in sentiment forecasting at both microscopic and macroscopic levels.</v>
      </c>
      <c r="D1729" s="7" t="str">
        <f>IFERROR(__xludf.DUMMYFUNCTION("""COMPUTED_VALUE"""),"Fanhang Man")</f>
        <v>Fanhang Man</v>
      </c>
      <c r="E1729" s="7" t="str">
        <f>IFERROR(__xludf.DUMMYFUNCTION("""COMPUTED_VALUE"""),"Yes")</f>
        <v>Yes</v>
      </c>
      <c r="F1729" s="7" t="str">
        <f>IFERROR(__xludf.DUMMYFUNCTION("""COMPUTED_VALUE"""),"IP-Poster")</f>
        <v>IP-Poster</v>
      </c>
      <c r="G1729" s="7" t="str">
        <f>IFERROR(__xludf.DUMMYFUNCTION("""COMPUTED_VALUE"""),"In-Person")</f>
        <v>In-Person</v>
      </c>
      <c r="H1729" s="7" t="str">
        <f>IFERROR(__xludf.DUMMYFUNCTION("""COMPUTED_VALUE"""),"Hall 4/5")</f>
        <v>Hall 4/5</v>
      </c>
      <c r="I1729" s="7" t="str">
        <f>IFERROR(__xludf.DUMMYFUNCTION("""COMPUTED_VALUE"""),"Session 2: IP-Posters ")</f>
        <v>Session 2: IP-Posters </v>
      </c>
      <c r="J1729" s="7" t="str">
        <f>IFERROR(__xludf.DUMMYFUNCTION("""COMPUTED_VALUE"""),"Poster Session 1")</f>
        <v>Poster Session 1</v>
      </c>
      <c r="K1729" s="7"/>
      <c r="L1729" s="8">
        <f>IFERROR(__xludf.DUMMYFUNCTION("""COMPUTED_VALUE"""),45866.0)</f>
        <v>45866</v>
      </c>
      <c r="M1729" s="7" t="str">
        <f>IFERROR(__xludf.DUMMYFUNCTION("""COMPUTED_VALUE"""),"11:00-12:30")</f>
        <v>11:00-12:30</v>
      </c>
      <c r="N1729" s="7"/>
    </row>
    <row r="1730">
      <c r="A1730" s="7" t="str">
        <f>IFERROR(__xludf.DUMMYFUNCTION("""COMPUTED_VALUE"""),"245-MAIN")</f>
        <v>245-MAIN</v>
      </c>
      <c r="B1730" s="7" t="str">
        <f>IFERROR(__xludf.DUMMYFUNCTION("""COMPUTED_VALUE"""),"TARGA: Targeted Synthetic Data Generation for Practical Reasoning over Structured Data")</f>
        <v>TARGA: Targeted Synthetic Data Generation for Practical Reasoning over Structured Data</v>
      </c>
      <c r="C1730" s="7" t="str">
        <f>IFERROR(__xludf.DUMMYFUNCTION("""COMPUTED_VALUE"""),"Semantic parsing, which converts natural language queries into logic forms, plays a crucial role in reasoning within structured environments. However, existing methods encounter two significant challenges: reliance on extensive manually annotated datasets"&amp;" and limited generalization capability to unseen examples. To tackle these issues, we propose Targeted Synthetic Data Generation (Targa), a practical framework that dynamically generates high-relevance synthetic data without manual annotation. Starting fr"&amp;"om the pertinent entity and relation of a given question, we probe for the potential relevant queries through layer-wise expansion and cross-layer combination. Then, we generate corresponding natural language questions for these constructed queries to joi"&amp;"ntly serve as the synthetic demonstration for in-context learning. Experiments on multiple knowledge-based question answering (KBQA) datasets demonstrate that Targa, using only a 7B-parameter model, substantially outperforms existing non-fine-tuned method"&amp;"s that utilize close-sourced model, achieving notable improvements in F1 scores on GrailQA(+7.7) and KBQA-Agent(+12.2). Furthermore, Targa also exhibits superior sample efficiency, robustness, and generalization capabilities under non-I.I.D. settings.")</f>
        <v>Semantic parsing, which converts natural language queries into logic forms, plays a crucial role in reasoning within structured environments. However, existing methods encounter two significant challenges: reliance on extensive manually annotated datasets and limited generalization capability to unseen examples. To tackle these issues, we propose Targeted Synthetic Data Generation (Targa), a practical framework that dynamically generates high-relevance synthetic data without manual annotation. Starting from the pertinent entity and relation of a given question, we probe for the potential relevant queries through layer-wise expansion and cross-layer combination. Then, we generate corresponding natural language questions for these constructed queries to jointly serve as the synthetic demonstration for in-context learning. Experiments on multiple knowledge-based question answering (KBQA) datasets demonstrate that Targa, using only a 7B-parameter model, substantially outperforms existing non-fine-tuned methods that utilize close-sourced model, achieving notable improvements in F1 scores on GrailQA(+7.7) and KBQA-Agent(+12.2). Furthermore, Targa also exhibits superior sample efficiency, robustness, and generalization capabilities under non-I.I.D. settings.</v>
      </c>
      <c r="D1730" s="7" t="str">
        <f>IFERROR(__xludf.DUMMYFUNCTION("""COMPUTED_VALUE"""),"Xiang Huang")</f>
        <v>Xiang Huang</v>
      </c>
      <c r="E1730" s="7" t="str">
        <f>IFERROR(__xludf.DUMMYFUNCTION("""COMPUTED_VALUE"""),"Yes")</f>
        <v>Yes</v>
      </c>
      <c r="F1730" s="7" t="str">
        <f>IFERROR(__xludf.DUMMYFUNCTION("""COMPUTED_VALUE"""),"IP-Poster")</f>
        <v>IP-Poster</v>
      </c>
      <c r="G1730" s="7" t="str">
        <f>IFERROR(__xludf.DUMMYFUNCTION("""COMPUTED_VALUE"""),"In-Person")</f>
        <v>In-Person</v>
      </c>
      <c r="H1730" s="7" t="str">
        <f>IFERROR(__xludf.DUMMYFUNCTION("""COMPUTED_VALUE"""),"Hall 4/5")</f>
        <v>Hall 4/5</v>
      </c>
      <c r="I1730" s="7" t="str">
        <f>IFERROR(__xludf.DUMMYFUNCTION("""COMPUTED_VALUE"""),"Session 7: IP-Posters")</f>
        <v>Session 7: IP-Posters</v>
      </c>
      <c r="J1730" s="7" t="str">
        <f>IFERROR(__xludf.DUMMYFUNCTION("""COMPUTED_VALUE"""),"Poster Session 2")</f>
        <v>Poster Session 2</v>
      </c>
      <c r="K1730" s="7"/>
      <c r="L1730" s="8">
        <f>IFERROR(__xludf.DUMMYFUNCTION("""COMPUTED_VALUE"""),45867.0)</f>
        <v>45867</v>
      </c>
      <c r="M1730" s="7" t="str">
        <f>IFERROR(__xludf.DUMMYFUNCTION("""COMPUTED_VALUE"""),"10:30-12:00")</f>
        <v>10:30-12:00</v>
      </c>
      <c r="N1730" s="7"/>
    </row>
    <row r="1731">
      <c r="A1731" s="7" t="str">
        <f>IFERROR(__xludf.DUMMYFUNCTION("""COMPUTED_VALUE"""),"246-MAIN")</f>
        <v>246-MAIN</v>
      </c>
      <c r="B1731" s="7" t="str">
        <f>IFERROR(__xludf.DUMMYFUNCTION("""COMPUTED_VALUE"""),"AndroidGen: Building an Android Language Agent under Data Scarcity")</f>
        <v>AndroidGen: Building an Android Language Agent under Data Scarcity</v>
      </c>
      <c r="C1731" s="7" t="str">
        <f>IFERROR(__xludf.DUMMYFUNCTION("""COMPUTED_VALUE"""),"Large language models have opened up a world of possibilities for various NLP tasks, sparking optimism for the future. Despite their potential, LLMs have yet to be widely used as agents on real mobile devices. The main challenge is the need for high-quali"&amp;"ty data sources. Time constraints and labor intensity often hinder human annotation. On the other hand, existing LLMs exhibit inadequate completion rates and need a robust data filtration strategy. Given these challenges, we develop a framework called And"&amp;"roidGen to enhance the capabilities of LLM-based agents under data scarcity. In addition, we leverage AndroidGen to collect trajectories given human tasks and train open-source LLMs on these trajectories to develop an open-source mobile agent without manu"&amp;"ally labeled trajectories. We extensively evaluate AndroidGen with AndroidWorld, AitW, and various popular applications, demonstrating its improvements and revealing potential areas for future improvement. Code, model, and data are available at https://gi"&amp;"thub.com/THUDM/AndroidGen.")</f>
        <v>Large language models have opened up a world of possibilities for various NLP tasks, sparking optimism for the future. Despite their potential, LLMs have yet to be widely used as agents on real mobile devices. The main challenge is the need for high-quality data sources. Time constraints and labor intensity often hinder human annotation. On the other hand, existing LLMs exhibit inadequate completion rates and need a robust data filtration strategy. Given these challenges, we develop a framework called AndroidGen to enhance the capabilities of LLM-based agents under data scarcity. In addition, we leverage AndroidGen to collect trajectories given human tasks and train open-source LLMs on these trajectories to develop an open-source mobile agent without manually labeled trajectories. We extensively evaluate AndroidGen with AndroidWorld, AitW, and various popular applications, demonstrating its improvements and revealing potential areas for future improvement. Code, model, and data are available at https://github.com/THUDM/AndroidGen.</v>
      </c>
      <c r="D1731" s="7" t="str">
        <f>IFERROR(__xludf.DUMMYFUNCTION("""COMPUTED_VALUE"""),"Hanyu Lai")</f>
        <v>Hanyu Lai</v>
      </c>
      <c r="E1731" s="7" t="str">
        <f>IFERROR(__xludf.DUMMYFUNCTION("""COMPUTED_VALUE"""),"Yes")</f>
        <v>Yes</v>
      </c>
      <c r="F1731" s="7" t="str">
        <f>IFERROR(__xludf.DUMMYFUNCTION("""COMPUTED_VALUE"""),"IP-Poster")</f>
        <v>IP-Poster</v>
      </c>
      <c r="G1731" s="7" t="str">
        <f>IFERROR(__xludf.DUMMYFUNCTION("""COMPUTED_VALUE"""),"In-Person")</f>
        <v>In-Person</v>
      </c>
      <c r="H1731" s="7" t="str">
        <f>IFERROR(__xludf.DUMMYFUNCTION("""COMPUTED_VALUE"""),"Hall 4/5")</f>
        <v>Hall 4/5</v>
      </c>
      <c r="I1731" s="7" t="str">
        <f>IFERROR(__xludf.DUMMYFUNCTION("""COMPUTED_VALUE"""),"Session 2: IP-Posters ")</f>
        <v>Session 2: IP-Posters </v>
      </c>
      <c r="J1731" s="7" t="str">
        <f>IFERROR(__xludf.DUMMYFUNCTION("""COMPUTED_VALUE"""),"Poster Session 1")</f>
        <v>Poster Session 1</v>
      </c>
      <c r="K1731" s="7"/>
      <c r="L1731" s="8">
        <f>IFERROR(__xludf.DUMMYFUNCTION("""COMPUTED_VALUE"""),45866.0)</f>
        <v>45866</v>
      </c>
      <c r="M1731" s="7" t="str">
        <f>IFERROR(__xludf.DUMMYFUNCTION("""COMPUTED_VALUE"""),"11:00-12:30")</f>
        <v>11:00-12:30</v>
      </c>
      <c r="N1731" s="7"/>
    </row>
    <row r="1732">
      <c r="A1732" s="7" t="str">
        <f>IFERROR(__xludf.DUMMYFUNCTION("""COMPUTED_VALUE"""),"247-MAIN")</f>
        <v>247-MAIN</v>
      </c>
      <c r="B1732" s="7" t="str">
        <f>IFERROR(__xludf.DUMMYFUNCTION("""COMPUTED_VALUE"""),"Prompt Candidates, then Distill: A Teacher-Student Framework for LLM-driven Data Annotation")</f>
        <v>Prompt Candidates, then Distill: A Teacher-Student Framework for LLM-driven Data Annotation</v>
      </c>
      <c r="C1732" s="7" t="str">
        <f>IFERROR(__xludf.DUMMYFUNCTION("""COMPUTED_VALUE"""),"Recently, Large Language Models (LLMs) have demonstrated significant potential for data annotation, markedly reducing the labor costs associated with downstream applications. However, existing methods mostly adopt an aggressive strategy by prompting LLM t"&amp;"o determine a single gold label for each unlabeled sample. Due to the inherent uncertainty within LLMs, they often produce incorrect labels for difficult samples, severely compromising the data quality for downstream applications. Motivated by ambiguity a"&amp;"version in human behaviors, we propose a novel candidate annotation paradigm wherein large language models are encouraged to output all possible labels when incurring uncertainty. To ensure unique labels are provided for downstream tasks, we develop a tea"&amp;"cher-student framework CanDist that distills candidate annotations with a Small Language Model (SLM). We further provide a rigorous justification demonstrating that distilling candidate annotations from the teacher LLM offers superior theoretical guarante"&amp;"es compared to directly using single annotations. Extensive experiments across six text classification tasks validate the effectiveness of our proposed method. The source code is available at https://github.com/MingxuanXia/CanDist.")</f>
        <v>Recently, Large Language Models (LLMs) have demonstrated significant potential for data annotation, markedly reducing the labor costs associated with downstream applications. However, existing methods mostly adopt an aggressive strategy by prompting LLM to determine a single gold label for each unlabeled sample. Due to the inherent uncertainty within LLMs, they often produce incorrect labels for difficult samples, severely compromising the data quality for downstream applications. Motivated by ambiguity aversion in human behaviors, we propose a novel candidate annotation paradigm wherein large language models are encouraged to output all possible labels when incurring uncertainty. To ensure unique labels are provided for downstream tasks, we develop a teacher-student framework CanDist that distills candidate annotations with a Small Language Model (SLM). We further provide a rigorous justification demonstrating that distilling candidate annotations from the teacher LLM offers superior theoretical guarantees compared to directly using single annotations. Extensive experiments across six text classification tasks validate the effectiveness of our proposed method. The source code is available at https://github.com/MingxuanXia/CanDist.</v>
      </c>
      <c r="D1732" s="7" t="str">
        <f>IFERROR(__xludf.DUMMYFUNCTION("""COMPUTED_VALUE"""),"Mingxuan Xia")</f>
        <v>Mingxuan Xia</v>
      </c>
      <c r="E1732" s="7" t="str">
        <f>IFERROR(__xludf.DUMMYFUNCTION("""COMPUTED_VALUE"""),"Yes")</f>
        <v>Yes</v>
      </c>
      <c r="F1732" s="7" t="str">
        <f>IFERROR(__xludf.DUMMYFUNCTION("""COMPUTED_VALUE"""),"IP-Poster")</f>
        <v>IP-Poster</v>
      </c>
      <c r="G1732" s="7" t="str">
        <f>IFERROR(__xludf.DUMMYFUNCTION("""COMPUTED_VALUE"""),"In-Person")</f>
        <v>In-Person</v>
      </c>
      <c r="H1732" s="7" t="str">
        <f>IFERROR(__xludf.DUMMYFUNCTION("""COMPUTED_VALUE"""),"Hall 4/5")</f>
        <v>Hall 4/5</v>
      </c>
      <c r="I1732" s="7" t="str">
        <f>IFERROR(__xludf.DUMMYFUNCTION("""COMPUTED_VALUE"""),"Session 10: IP-Posters")</f>
        <v>Session 10: IP-Posters</v>
      </c>
      <c r="J1732" s="7" t="str">
        <f>IFERROR(__xludf.DUMMYFUNCTION("""COMPUTED_VALUE"""),"Poster Session 3")</f>
        <v>Poster Session 3</v>
      </c>
      <c r="K1732" s="7"/>
      <c r="L1732" s="8">
        <f>IFERROR(__xludf.DUMMYFUNCTION("""COMPUTED_VALUE"""),45867.0)</f>
        <v>45867</v>
      </c>
      <c r="M1732" s="7" t="str">
        <f>IFERROR(__xludf.DUMMYFUNCTION("""COMPUTED_VALUE"""),"16:00-17:30")</f>
        <v>16:00-17:30</v>
      </c>
      <c r="N1732" s="7"/>
    </row>
    <row r="1733">
      <c r="A1733" s="7" t="str">
        <f>IFERROR(__xludf.DUMMYFUNCTION("""COMPUTED_VALUE"""),"252-MAIN")</f>
        <v>252-MAIN</v>
      </c>
      <c r="B1733" s="7" t="str">
        <f>IFERROR(__xludf.DUMMYFUNCTION("""COMPUTED_VALUE"""),"BQA: Body Language Question Answering Dataset for Video Large Language Models")</f>
        <v>BQA: Body Language Question Answering Dataset for Video Large Language Models</v>
      </c>
      <c r="C1733" s="7" t="str">
        <f>IFERROR(__xludf.DUMMYFUNCTION("""COMPUTED_VALUE"""),"A large part of human communication relies on nonverbal cues such as facial expressions, eye contact, and body language. 
Unlike language or sign language, such nonverbal communication lacks formal rules, requiring complex reasoning based on commonsense u"&amp;"nderstanding.
Enabling current Video Large Language Models (VideoLLMs) to accurately interpret body language is a crucial challenge, as human unconscious actions can easily cause the model to misinterpret their intent.
To address this, we propose a datase"&amp;"t, BQA, a body language question answering dataset, to validate whether the model can correctly interpret emotions from short clips of body language comprising 26 emotion labels of videos of body language.
We evaluated various VideoLLMs on the BQA with an"&amp;"d without Multimodal Chain of Thought (CoT) and revealed that understanding body language is challenging, and our analyses of the wrong answers by VideoLLMs show that certain VideoLLMs made largely biased answers depending on the age group and ethnicity o"&amp;"f the individuals. 
We also found consistent error patterns in VideoLLMs.")</f>
        <v>A large part of human communication relies on nonverbal cues such as facial expressions, eye contact, and body language. 
Unlike language or sign language, such nonverbal communication lacks formal rules, requiring complex reasoning based on commonsense understanding.
Enabling current Video Large Language Models (VideoLLMs) to accurately interpret body language is a crucial challenge, as human unconscious actions can easily cause the model to misinterpret their intent.
To address this, we propose a dataset, BQA, a body language question answering dataset, to validate whether the model can correctly interpret emotions from short clips of body language comprising 26 emotion labels of videos of body language.
We evaluated various VideoLLMs on the BQA with and without Multimodal Chain of Thought (CoT) and revealed that understanding body language is challenging, and our analyses of the wrong answers by VideoLLMs show that certain VideoLLMs made largely biased answers depending on the age group and ethnicity of the individuals. 
We also found consistent error patterns in VideoLLMs.</v>
      </c>
      <c r="D1733" s="7" t="str">
        <f>IFERROR(__xludf.DUMMYFUNCTION("""COMPUTED_VALUE"""),"Shintaro Ozaki")</f>
        <v>Shintaro Ozaki</v>
      </c>
      <c r="E1733" s="7" t="str">
        <f>IFERROR(__xludf.DUMMYFUNCTION("""COMPUTED_VALUE"""),"Yes")</f>
        <v>Yes</v>
      </c>
      <c r="F1733" s="7" t="str">
        <f>IFERROR(__xludf.DUMMYFUNCTION("""COMPUTED_VALUE"""),"IP-Poster")</f>
        <v>IP-Poster</v>
      </c>
      <c r="G1733" s="7" t="str">
        <f>IFERROR(__xludf.DUMMYFUNCTION("""COMPUTED_VALUE"""),"In-Person")</f>
        <v>In-Person</v>
      </c>
      <c r="H1733" s="7" t="str">
        <f>IFERROR(__xludf.DUMMYFUNCTION("""COMPUTED_VALUE"""),"Hall 4/5")</f>
        <v>Hall 4/5</v>
      </c>
      <c r="I1733" s="7" t="str">
        <f>IFERROR(__xludf.DUMMYFUNCTION("""COMPUTED_VALUE"""),"Session 12: IP-Posters")</f>
        <v>Session 12: IP-Posters</v>
      </c>
      <c r="J1733" s="7" t="str">
        <f>IFERROR(__xludf.DUMMYFUNCTION("""COMPUTED_VALUE"""),"Poster Session 4")</f>
        <v>Poster Session 4</v>
      </c>
      <c r="K1733" s="7"/>
      <c r="L1733" s="8">
        <f>IFERROR(__xludf.DUMMYFUNCTION("""COMPUTED_VALUE"""),45868.0)</f>
        <v>45868</v>
      </c>
      <c r="M1733" s="7" t="str">
        <f>IFERROR(__xludf.DUMMYFUNCTION("""COMPUTED_VALUE"""),"11:00-12:30")</f>
        <v>11:00-12:30</v>
      </c>
      <c r="N1733" s="7"/>
    </row>
    <row r="1734">
      <c r="A1734" s="7" t="str">
        <f>IFERROR(__xludf.DUMMYFUNCTION("""COMPUTED_VALUE"""),"253-MAIN")</f>
        <v>253-MAIN</v>
      </c>
      <c r="B1734" s="7" t="str">
        <f>IFERROR(__xludf.DUMMYFUNCTION("""COMPUTED_VALUE"""),"A Survey of Post-Training Scaling in Large Language Models")</f>
        <v>A Survey of Post-Training Scaling in Large Language Models</v>
      </c>
      <c r="C1734" s="7" t="str">
        <f>IFERROR(__xludf.DUMMYFUNCTION("""COMPUTED_VALUE"""),"Large language models (LLMs) have achieved remarkable proficiency in understanding and generating human natural languages, mainly owing to the ""scaling law"" that optimizes relationships among language modeling loss, model parameters, and pre-trained tok"&amp;"ens. However, with the exhaustion of high-quality internet corpora and increasing computational demands, the sustainability of pre-training scaling needs to be addressed. This paper presents a comprehensive survey of post-training scaling, an emergent par"&amp;"adigm aiming to relieve the limitations of traditional pre-training by focusing on the alignment phase, which traditionally accounts for a minor fraction of the total training computation. Our survey categorizes post-training scaling into three key method"&amp;"ologies: Supervised Fine-tuning (SFT), Reinforcement Learning from Feedback (RLxF), and Test-time Compute (TTC). We provide an in-depth analysis of the motivation behind post-training scaling, the scalable variants of these methodologies, and a comparativ"&amp;"e discussion against traditional approaches. By examining the latest advancements, identifying promising application scenarios, and highlighting unresolved issues, we seek a coherent understanding and map future research trajectories in the landscape of p"&amp;"ost-training scaling for LLMs.")</f>
        <v>Large language models (LLMs) have achieved remarkable proficiency in understanding and generating human natural languages, mainly owing to the "scaling law" that optimizes relationships among language modeling loss, model parameters, and pre-trained tokens. However, with the exhaustion of high-quality internet corpora and increasing computational demands, the sustainability of pre-training scaling needs to be addressed. This paper presents a comprehensive survey of post-training scaling, an emergent paradigm aiming to relieve the limitations of traditional pre-training by focusing on the alignment phase, which traditionally accounts for a minor fraction of the total training computation. Our survey categorizes post-training scaling into three key methodologies: Supervised Fine-tuning (SFT), Reinforcement Learning from Feedback (RLxF), and Test-time Compute (TTC). We provide an in-depth analysis of the motivation behind post-training scaling, the scalable variants of these methodologies, and a comparative discussion against traditional approaches. By examining the latest advancements, identifying promising application scenarios, and highlighting unresolved issues, we seek a coherent understanding and map future research trajectories in the landscape of post-training scaling for LLMs.</v>
      </c>
      <c r="D1734" s="7" t="str">
        <f>IFERROR(__xludf.DUMMYFUNCTION("""COMPUTED_VALUE"""),"Hanyu Lai")</f>
        <v>Hanyu Lai</v>
      </c>
      <c r="E1734" s="7" t="str">
        <f>IFERROR(__xludf.DUMMYFUNCTION("""COMPUTED_VALUE"""),"Yes")</f>
        <v>Yes</v>
      </c>
      <c r="F1734" s="7" t="str">
        <f>IFERROR(__xludf.DUMMYFUNCTION("""COMPUTED_VALUE"""),"IP-Poster")</f>
        <v>IP-Poster</v>
      </c>
      <c r="G1734" s="7" t="str">
        <f>IFERROR(__xludf.DUMMYFUNCTION("""COMPUTED_VALUE"""),"In-Person")</f>
        <v>In-Person</v>
      </c>
      <c r="H1734" s="7" t="str">
        <f>IFERROR(__xludf.DUMMYFUNCTION("""COMPUTED_VALUE"""),"Hall 4/5")</f>
        <v>Hall 4/5</v>
      </c>
      <c r="I1734" s="7" t="str">
        <f>IFERROR(__xludf.DUMMYFUNCTION("""COMPUTED_VALUE"""),"Session 7: IP-Posters")</f>
        <v>Session 7: IP-Posters</v>
      </c>
      <c r="J1734" s="7" t="str">
        <f>IFERROR(__xludf.DUMMYFUNCTION("""COMPUTED_VALUE"""),"Poster Session 2")</f>
        <v>Poster Session 2</v>
      </c>
      <c r="K1734" s="7"/>
      <c r="L1734" s="8">
        <f>IFERROR(__xludf.DUMMYFUNCTION("""COMPUTED_VALUE"""),45867.0)</f>
        <v>45867</v>
      </c>
      <c r="M1734" s="7" t="str">
        <f>IFERROR(__xludf.DUMMYFUNCTION("""COMPUTED_VALUE"""),"10:30-12:00")</f>
        <v>10:30-12:00</v>
      </c>
      <c r="N1734" s="7"/>
    </row>
    <row r="1735">
      <c r="A1735" s="7" t="str">
        <f>IFERROR(__xludf.DUMMYFUNCTION("""COMPUTED_VALUE"""),"254-MAIN")</f>
        <v>254-MAIN</v>
      </c>
      <c r="B1735" s="7" t="str">
        <f>IFERROR(__xludf.DUMMYFUNCTION("""COMPUTED_VALUE"""),"Position-aware Automatic Circuit Discovery")</f>
        <v>Position-aware Automatic Circuit Discovery</v>
      </c>
      <c r="C1735" s="7" t="str">
        <f>IFERROR(__xludf.DUMMYFUNCTION("""COMPUTED_VALUE"""),"A widely used strategy to discover and understand language model mechanisms is circuit analysis. A circuit is a minimal subgraph of a model’s computation graph that executes a specific task. We identify a gap in existing circuit discovery methods: they as"&amp;"sume circuits are position-invariant, treating model components as equally relevant across input positions. This limits their ability to capture cross-positional interactions or mechanisms that vary across positions. To address this gap, we propose two im"&amp;"provements to incorporate positionality into circuits, even on tasks containing variable-length examples. First, we extend edge attribution patching, a gradient-based method for circuit discovery, to differentiate between token positions. Second, we intro"&amp;"duce the concept of a dataset schema, which defines token spans with similar semantics across examples, enabling position-aware circuit discovery in datasets with variable length examples. We additionally develop an automated pipeline for schema generatio"&amp;"n and application using large language models. Our approach enables fully automated discovery of position-sensitive circuits, yielding better trade-offs between circuit size and faithfulness compared to prior work.")</f>
        <v>A widely used strategy to discover and understand language model mechanisms is circuit analysis. A circuit is a minimal subgraph of a model’s computation graph that executes a specific task. We identify a gap in existing circuit discovery methods: they assume circuits are position-invariant, treating model components as equally relevant across input positions. This limits their ability to capture cross-positional interactions or mechanisms that vary across positions. To address this gap, we propose two improvements to incorporate positionality into circuits, even on tasks containing variable-length examples. First, we extend edge attribution patching, a gradient-based method for circuit discovery, to differentiate between token positions. Second, we introduce the concept of a dataset schema, which defines token spans with similar semantics across examples, enabling position-aware circuit discovery in datasets with variable length examples. We additionally develop an automated pipeline for schema generation and application using large language models. Our approach enables fully automated discovery of position-sensitive circuits, yielding better trade-offs between circuit size and faithfulness compared to prior work.</v>
      </c>
      <c r="D1735" s="7" t="str">
        <f>IFERROR(__xludf.DUMMYFUNCTION("""COMPUTED_VALUE"""),"Tal Haklay")</f>
        <v>Tal Haklay</v>
      </c>
      <c r="E1735" s="7" t="str">
        <f>IFERROR(__xludf.DUMMYFUNCTION("""COMPUTED_VALUE"""),"Yes")</f>
        <v>Yes</v>
      </c>
      <c r="F1735" s="7" t="str">
        <f>IFERROR(__xludf.DUMMYFUNCTION("""COMPUTED_VALUE"""),"IP-Oral")</f>
        <v>IP-Oral</v>
      </c>
      <c r="G1735" s="7" t="str">
        <f>IFERROR(__xludf.DUMMYFUNCTION("""COMPUTED_VALUE"""),"In-Person")</f>
        <v>In-Person</v>
      </c>
      <c r="H1735" s="7" t="str">
        <f>IFERROR(__xludf.DUMMYFUNCTION("""COMPUTED_VALUE"""),"Hall M.2")</f>
        <v>Hall M.2</v>
      </c>
      <c r="I1735" s="7" t="str">
        <f>IFERROR(__xludf.DUMMYFUNCTION("""COMPUTED_VALUE"""),"Session 9: IP-Orals")</f>
        <v>Session 9: IP-Orals</v>
      </c>
      <c r="J1735" s="7" t="str">
        <f>IFERROR(__xludf.DUMMYFUNCTION("""COMPUTED_VALUE"""),"Interpretability and Model Analysis 1")</f>
        <v>Interpretability and Model Analysis 1</v>
      </c>
      <c r="K1735" s="7"/>
      <c r="L1735" s="8">
        <f>IFERROR(__xludf.DUMMYFUNCTION("""COMPUTED_VALUE"""),45867.0)</f>
        <v>45867</v>
      </c>
      <c r="M1735" s="7" t="str">
        <f>IFERROR(__xludf.DUMMYFUNCTION("""COMPUTED_VALUE"""),"14:00-15:30")</f>
        <v>14:00-15:30</v>
      </c>
      <c r="N1735" s="7">
        <f>IFERROR(__xludf.DUMMYFUNCTION("""COMPUTED_VALUE"""),2.0)</f>
        <v>2</v>
      </c>
    </row>
    <row r="1736">
      <c r="A1736" s="7" t="str">
        <f>IFERROR(__xludf.DUMMYFUNCTION("""COMPUTED_VALUE"""),"255-MAIN")</f>
        <v>255-MAIN</v>
      </c>
      <c r="B1736" s="7" t="str">
        <f>IFERROR(__xludf.DUMMYFUNCTION("""COMPUTED_VALUE"""),"HyperFM: Fact-Centric Multimodal Fusion for Link Prediction over Hyper-Relational Knowledge Graphs")</f>
        <v>HyperFM: Fact-Centric Multimodal Fusion for Link Prediction over Hyper-Relational Knowledge Graphs</v>
      </c>
      <c r="C1736" s="7" t="str">
        <f>IFERROR(__xludf.DUMMYFUNCTION("""COMPUTED_VALUE"""),"With the ubiquity of hyper-relational facts in modern Knowledge Graphs (KGs), existing link prediction techniques mostly focus on learning the sophisticated relationships among multiple entities and relations contained in a fact, while ignoring the multim"&amp;"odal information, which often provides additional clues to boost link prediction performance. Nevertheless, traditional multimodel fusion approaches, which are mainly designed for triple facts under either entity-centric or relation-guided fusion schemes,"&amp;" fail to integrate the multimodal information with the rich context of the hyper-relational fact consisting of multiple entities and relations. Against this background, we propose **HyperFM**, a **Hyper**-relational **F**act-centric **M**ultimodal Fusion "&amp;"technique. It effectively captures the intricate interactions between different data modalities while accommodating the hyper-relational structure of the KG in a fact-centric manner via a customized Hypergraph Transformer. We evaluate HyperFM against a si"&amp;"zeable collection of baselines in link prediction tasks on two real-world KG datasets. Results show that HyperFM consistently achieves the best performance, yielding an average improvement of 6.0-6.8% over the best-performing baselines on the two datasets"&amp;". Moreover, a series of ablation studies systematically validate our fact-centric fusion scheme.")</f>
        <v>With the ubiquity of hyper-relational facts in modern Knowledge Graphs (KGs), existing link prediction techniques mostly focus on learning the sophisticated relationships among multiple entities and relations contained in a fact, while ignoring the multimodal information, which often provides additional clues to boost link prediction performance. Nevertheless, traditional multimodel fusion approaches, which are mainly designed for triple facts under either entity-centric or relation-guided fusion schemes, fail to integrate the multimodal information with the rich context of the hyper-relational fact consisting of multiple entities and relations. Against this background, we propose **HyperFM**, a **Hyper**-relational **F**act-centric **M**ultimodal Fusion technique. It effectively captures the intricate interactions between different data modalities while accommodating the hyper-relational structure of the KG in a fact-centric manner via a customized Hypergraph Transformer. We evaluate HyperFM against a sizeable collection of baselines in link prediction tasks on two real-world KG datasets. Results show that HyperFM consistently achieves the best performance, yielding an average improvement of 6.0-6.8% over the best-performing baselines on the two datasets. Moreover, a series of ablation studies systematically validate our fact-centric fusion scheme.</v>
      </c>
      <c r="D1736" s="7" t="str">
        <f>IFERROR(__xludf.DUMMYFUNCTION("""COMPUTED_VALUE"""),"Xin Jing")</f>
        <v>Xin Jing</v>
      </c>
      <c r="E1736" s="7" t="str">
        <f>IFERROR(__xludf.DUMMYFUNCTION("""COMPUTED_VALUE"""),"Yes")</f>
        <v>Yes</v>
      </c>
      <c r="F1736" s="7" t="str">
        <f>IFERROR(__xludf.DUMMYFUNCTION("""COMPUTED_VALUE"""),"IP-Poster")</f>
        <v>IP-Poster</v>
      </c>
      <c r="G1736" s="7" t="str">
        <f>IFERROR(__xludf.DUMMYFUNCTION("""COMPUTED_VALUE"""),"In-Person")</f>
        <v>In-Person</v>
      </c>
      <c r="H1736" s="7" t="str">
        <f>IFERROR(__xludf.DUMMYFUNCTION("""COMPUTED_VALUE"""),"Hall 4/5")</f>
        <v>Hall 4/5</v>
      </c>
      <c r="I1736" s="7" t="str">
        <f>IFERROR(__xludf.DUMMYFUNCTION("""COMPUTED_VALUE"""),"Session 7: IP-Posters")</f>
        <v>Session 7: IP-Posters</v>
      </c>
      <c r="J1736" s="7" t="str">
        <f>IFERROR(__xludf.DUMMYFUNCTION("""COMPUTED_VALUE"""),"Poster Session 2")</f>
        <v>Poster Session 2</v>
      </c>
      <c r="K1736" s="7"/>
      <c r="L1736" s="8">
        <f>IFERROR(__xludf.DUMMYFUNCTION("""COMPUTED_VALUE"""),45867.0)</f>
        <v>45867</v>
      </c>
      <c r="M1736" s="7" t="str">
        <f>IFERROR(__xludf.DUMMYFUNCTION("""COMPUTED_VALUE"""),"10:30-12:00")</f>
        <v>10:30-12:00</v>
      </c>
      <c r="N1736" s="7"/>
    </row>
    <row r="1737">
      <c r="A1737" s="7" t="str">
        <f>IFERROR(__xludf.DUMMYFUNCTION("""COMPUTED_VALUE"""),"256-MAIN")</f>
        <v>256-MAIN</v>
      </c>
      <c r="B1737" s="7" t="str">
        <f>IFERROR(__xludf.DUMMYFUNCTION("""COMPUTED_VALUE"""),"Centurio: On Drivers of Multilingual Ability of Large Vision-Language Model")</f>
        <v>Centurio: On Drivers of Multilingual Ability of Large Vision-Language Model</v>
      </c>
      <c r="C1737" s="7" t="str">
        <f>IFERROR(__xludf.DUMMYFUNCTION("""COMPUTED_VALUE"""),"Most Large Vision-Language Models (LVLMs) to date are trained predominantly on English data, which makes them struggle to understand non-English input and fail to generate output in the desired target language. Existing efforts mitigate these issues by ad"&amp;"ding multilingual training data, but do so in a largely ad-hoc manner, lacking insight into how different training mixes tip the scale for different groups of languages. In this work, we present a comprehensive investigation into the training strategies f"&amp;"or massively multilingual LVLMs. First, we conduct a series of multi-stage experiments spanning 13 downstream vision-language tasks and 43 languages, systematically examining: (1) the number of training languages that can be included without degrading Eng"&amp;"lish performance and (2) optimal language distributions of pre-training as well as (3) instruction-tuning data. Further, we (4) investigate how to improve multilingual text-in-image understanding, and introduce a new benchmark for the task. Surprisingly, "&amp;"our analysis reveals that one can (i) include as many as 100 training languages simultaneously (ii) with as little as 25-50% of non-English data, to greatly improve multilingual performance while retaining strong English performance. We further find that "&amp;"(iii) including non-English OCR data in pre-training and instruction-tuning is paramount for improving multilingual text-in-image understanding. Finally, we put all our findings together and train \modelname, a 100-language LVLM, offering state-of-the-art"&amp;" performance in an evaluation covering 14 tasks and 56 languages.")</f>
        <v>Most Large Vision-Language Models (LVLMs) to date are trained predominantly on English data, which makes them struggle to understand non-English input and fail to generate output in the desired target language. Existing efforts mitigate these issues by adding multilingual training data, but do so in a largely ad-hoc manner, lacking insight into how different training mixes tip the scale for different groups of languages. In this work, we present a comprehensive investigation into the training strategies for massively multilingual LVLMs. First, we conduct a series of multi-stage experiments spanning 13 downstream vision-language tasks and 43 languages, systematically examining: (1) the number of training languages that can be included without degrading English performance and (2) optimal language distributions of pre-training as well as (3) instruction-tuning data. Further, we (4) investigate how to improve multilingual text-in-image understanding, and introduce a new benchmark for the task. Surprisingly, our analysis reveals that one can (i) include as many as 100 training languages simultaneously (ii) with as little as 25-50% of non-English data, to greatly improve multilingual performance while retaining strong English performance. We further find that (iii) including non-English OCR data in pre-training and instruction-tuning is paramount for improving multilingual text-in-image understanding. Finally, we put all our findings together and train \modelname, a 100-language LVLM, offering state-of-the-art performance in an evaluation covering 14 tasks and 56 languages.</v>
      </c>
      <c r="D1737" s="7" t="str">
        <f>IFERROR(__xludf.DUMMYFUNCTION("""COMPUTED_VALUE"""),"Gregor Geigle")</f>
        <v>Gregor Geigle</v>
      </c>
      <c r="E1737" s="7" t="str">
        <f>IFERROR(__xludf.DUMMYFUNCTION("""COMPUTED_VALUE"""),"Yes")</f>
        <v>Yes</v>
      </c>
      <c r="F1737" s="7" t="str">
        <f>IFERROR(__xludf.DUMMYFUNCTION("""COMPUTED_VALUE"""),"IP-Oral")</f>
        <v>IP-Oral</v>
      </c>
      <c r="G1737" s="7" t="str">
        <f>IFERROR(__xludf.DUMMYFUNCTION("""COMPUTED_VALUE"""),"In-Person")</f>
        <v>In-Person</v>
      </c>
      <c r="H1737" s="7" t="str">
        <f>IFERROR(__xludf.DUMMYFUNCTION("""COMPUTED_VALUE"""),"Hall C")</f>
        <v>Hall C</v>
      </c>
      <c r="I1737" s="7" t="str">
        <f>IFERROR(__xludf.DUMMYFUNCTION("""COMPUTED_VALUE"""),"Session 3: IP-Orals")</f>
        <v>Session 3: IP-Orals</v>
      </c>
      <c r="J1737" s="7" t="str">
        <f>IFERROR(__xludf.DUMMYFUNCTION("""COMPUTED_VALUE"""),"Multimodality and Language Grounding 1")</f>
        <v>Multimodality and Language Grounding 1</v>
      </c>
      <c r="K1737" s="7"/>
      <c r="L1737" s="8">
        <f>IFERROR(__xludf.DUMMYFUNCTION("""COMPUTED_VALUE"""),45866.0)</f>
        <v>45866</v>
      </c>
      <c r="M1737" s="7" t="str">
        <f>IFERROR(__xludf.DUMMYFUNCTION("""COMPUTED_VALUE"""),"14:00-15:30")</f>
        <v>14:00-15:30</v>
      </c>
      <c r="N1737" s="7">
        <f>IFERROR(__xludf.DUMMYFUNCTION("""COMPUTED_VALUE"""),5.0)</f>
        <v>5</v>
      </c>
    </row>
    <row r="1738">
      <c r="A1738" s="7" t="str">
        <f>IFERROR(__xludf.DUMMYFUNCTION("""COMPUTED_VALUE"""),"257-MAIN")</f>
        <v>257-MAIN</v>
      </c>
      <c r="B1738" s="7" t="str">
        <f>IFERROR(__xludf.DUMMYFUNCTION("""COMPUTED_VALUE"""),"Less for More: Enhanced Feedback-aligned Mixed LLMs for Molecule Caption Generation and Fine-Grained NLI Evaluation")</f>
        <v>Less for More: Enhanced Feedback-aligned Mixed LLMs for Molecule Caption Generation and Fine-Grained NLI Evaluation</v>
      </c>
      <c r="C1738" s="7" t="str">
        <f>IFERROR(__xludf.DUMMYFUNCTION("""COMPUTED_VALUE"""),"Scientific language models drive research innovation but require extensive fine-tuning on large datasets. This work enhances such models by improving their inference and evaluation capabilities with minimal or no additional training. Focusing on molecule "&amp;"caption generation, we explore post-training synergies between alignment fine-tuning and model merging in a cross-modal setup. We reveal intriguing insights into the behaviour and suitability of such methods while significantly surpassing state-of-the-art"&amp;" models. Moreover, we propose a novel atomic-level evaluation method leveraging off-the-shelf Natural Language Inference (NLI) models for use in the unseen chemical domain. Our experiments demonstrate that our evaluation operates at the right level of gra"&amp;"nularity, effectively handling multiple content units and subsentence reasoning, while widely adopted NLI methods consistently misalign with assessment criteria.")</f>
        <v>Scientific language models drive research innovation but require extensive fine-tuning on large datasets. This work enhances such models by improving their inference and evaluation capabilities with minimal or no additional training. Focusing on molecule caption generation, we explore post-training synergies between alignment fine-tuning and model merging in a cross-modal setup. We reveal intriguing insights into the behaviour and suitability of such methods while significantly surpassing state-of-the-art models. Moreover, we propose a novel atomic-level evaluation method leveraging off-the-shelf Natural Language Inference (NLI) models for use in the unseen chemical domain. Our experiments demonstrate that our evaluation operates at the right level of granularity, effectively handling multiple content units and subsentence reasoning, while widely adopted NLI methods consistently misalign with assessment criteria.</v>
      </c>
      <c r="D1738" s="7" t="str">
        <f>IFERROR(__xludf.DUMMYFUNCTION("""COMPUTED_VALUE"""),"Dimitris Gkoumas")</f>
        <v>Dimitris Gkoumas</v>
      </c>
      <c r="E1738" s="7" t="str">
        <f>IFERROR(__xludf.DUMMYFUNCTION("""COMPUTED_VALUE"""),"Yes")</f>
        <v>Yes</v>
      </c>
      <c r="F1738" s="7" t="str">
        <f>IFERROR(__xludf.DUMMYFUNCTION("""COMPUTED_VALUE"""),"IP-Oral")</f>
        <v>IP-Oral</v>
      </c>
      <c r="G1738" s="7" t="str">
        <f>IFERROR(__xludf.DUMMYFUNCTION("""COMPUTED_VALUE"""),"In-Person")</f>
        <v>In-Person</v>
      </c>
      <c r="H1738" s="7" t="str">
        <f>IFERROR(__xludf.DUMMYFUNCTION("""COMPUTED_VALUE"""),"Hall M.1")</f>
        <v>Hall M.1</v>
      </c>
      <c r="I1738" s="7" t="str">
        <f>IFERROR(__xludf.DUMMYFUNCTION("""COMPUTED_VALUE"""),"Session 9: IP-Orals")</f>
        <v>Session 9: IP-Orals</v>
      </c>
      <c r="J1738" s="7" t="str">
        <f>IFERROR(__xludf.DUMMYFUNCTION("""COMPUTED_VALUE"""),"Efficient Methods for NLP 1")</f>
        <v>Efficient Methods for NLP 1</v>
      </c>
      <c r="K1738" s="7"/>
      <c r="L1738" s="8">
        <f>IFERROR(__xludf.DUMMYFUNCTION("""COMPUTED_VALUE"""),45867.0)</f>
        <v>45867</v>
      </c>
      <c r="M1738" s="7" t="str">
        <f>IFERROR(__xludf.DUMMYFUNCTION("""COMPUTED_VALUE"""),"14:00-15:30")</f>
        <v>14:00-15:30</v>
      </c>
      <c r="N1738" s="7">
        <f>IFERROR(__xludf.DUMMYFUNCTION("""COMPUTED_VALUE"""),3.0)</f>
        <v>3</v>
      </c>
    </row>
    <row r="1739">
      <c r="A1739" s="7" t="str">
        <f>IFERROR(__xludf.DUMMYFUNCTION("""COMPUTED_VALUE"""),"261-MAIN")</f>
        <v>261-MAIN</v>
      </c>
      <c r="B1739" s="7" t="str">
        <f>IFERROR(__xludf.DUMMYFUNCTION("""COMPUTED_VALUE"""),"Ensemble Watermarks for Large Language Models")</f>
        <v>Ensemble Watermarks for Large Language Models</v>
      </c>
      <c r="C1739" s="7" t="str">
        <f>IFERROR(__xludf.DUMMYFUNCTION("""COMPUTED_VALUE"""),"As large language models (LLMs) reach human-like fluency, reliably distinguishing AI-generated text from human authorship becomes increasingly difficult. While watermarks already exist for LLMs, they often lack flexibility and struggle with attacks such a"&amp;"s paraphrasing. To address these issues, we propose a multi-feature method for generating watermarks that combines multiple distinct watermark features into an ensemble watermark. Concretely, we combine acrostica and sensorimotor norms with the establishe"&amp;"d red-green watermark to achieve a 98\% detection rate. After a paraphrasing attack, the performance remains high with 95\% detection rate. In comparison, the red-green feature alone as a baseline achieves a detection rate of 49\% after paraphrasing. The "&amp;"evaluation of all feature combinations reveals that the ensemble of all three consistently has the highest detection rate across several LLMs and watermark strength settings.  Due to the flexibility of combining features in the ensemble, various requireme"&amp;"nts and trade-offs can be addressed. Additionally, the same detection function can be used without adaptations for all ensemble configurations. This method is particularly of interest to facilitate accountability and prevent societal harm.")</f>
        <v>As large language models (LLMs) reach human-like fluency, reliably distinguishing AI-generated text from human authorship becomes increasingly difficult. While watermarks already exist for LLMs, they often lack flexibility and struggle with attacks such as paraphrasing. To address these issues, we propose a multi-feature method for generating watermarks that combines multiple distinct watermark features into an ensemble watermark. Concretely, we combine acrostica and sensorimotor norms with the established red-green watermark to achieve a 98\% detection rate. After a paraphrasing attack, the performance remains high with 95\% detection rate. In comparison, the red-green feature alone as a baseline achieves a detection rate of 49\% after paraphrasing. The evaluation of all feature combinations reveals that the ensemble of all three consistently has the highest detection rate across several LLMs and watermark strength settings.  Due to the flexibility of combining features in the ensemble, various requirements and trade-offs can be addressed. Additionally, the same detection function can be used without adaptations for all ensemble configurations. This method is particularly of interest to facilitate accountability and prevent societal harm.</v>
      </c>
      <c r="D1739" s="7" t="str">
        <f>IFERROR(__xludf.DUMMYFUNCTION("""COMPUTED_VALUE"""),"Georg Niess")</f>
        <v>Georg Niess</v>
      </c>
      <c r="E1739" s="7" t="str">
        <f>IFERROR(__xludf.DUMMYFUNCTION("""COMPUTED_VALUE"""),"Yes")</f>
        <v>Yes</v>
      </c>
      <c r="F1739" s="7" t="str">
        <f>IFERROR(__xludf.DUMMYFUNCTION("""COMPUTED_VALUE"""),"IP-Poster")</f>
        <v>IP-Poster</v>
      </c>
      <c r="G1739" s="7" t="str">
        <f>IFERROR(__xludf.DUMMYFUNCTION("""COMPUTED_VALUE"""),"In-Person")</f>
        <v>In-Person</v>
      </c>
      <c r="H1739" s="7" t="str">
        <f>IFERROR(__xludf.DUMMYFUNCTION("""COMPUTED_VALUE"""),"Hall 4/5")</f>
        <v>Hall 4/5</v>
      </c>
      <c r="I1739" s="7" t="str">
        <f>IFERROR(__xludf.DUMMYFUNCTION("""COMPUTED_VALUE"""),"Session 2: IP-Posters ")</f>
        <v>Session 2: IP-Posters </v>
      </c>
      <c r="J1739" s="7" t="str">
        <f>IFERROR(__xludf.DUMMYFUNCTION("""COMPUTED_VALUE"""),"Poster Session 1")</f>
        <v>Poster Session 1</v>
      </c>
      <c r="K1739" s="7"/>
      <c r="L1739" s="8">
        <f>IFERROR(__xludf.DUMMYFUNCTION("""COMPUTED_VALUE"""),45866.0)</f>
        <v>45866</v>
      </c>
      <c r="M1739" s="7" t="str">
        <f>IFERROR(__xludf.DUMMYFUNCTION("""COMPUTED_VALUE"""),"11:00-12:30")</f>
        <v>11:00-12:30</v>
      </c>
      <c r="N1739" s="7"/>
    </row>
    <row r="1740">
      <c r="A1740" s="7" t="str">
        <f>IFERROR(__xludf.DUMMYFUNCTION("""COMPUTED_VALUE"""),"263-MAIN")</f>
        <v>263-MAIN</v>
      </c>
      <c r="B1740" s="7" t="str">
        <f>IFERROR(__xludf.DUMMYFUNCTION("""COMPUTED_VALUE"""),"Con Instruction: Universal Jailbreaking of Multimodal Large Language Models via Non-Textual Modalities")</f>
        <v>Con Instruction: Universal Jailbreaking of Multimodal Large Language Models via Non-Textual Modalities</v>
      </c>
      <c r="C1740" s="7" t="str">
        <f>IFERROR(__xludf.DUMMYFUNCTION("""COMPUTED_VALUE"""),"Existing attacks against multimodal language models often communicate instruction through text, either as an explicit malicious instruction or a crafted generic prompt, and accompanied by a toxic image. In contrast, here we exploit the capabilities of MLL"&amp;"Ms in following non-textual instruction, i.e., an adversarial image or audio, namely Con Instruction. It is a novel gray-box attack method that generates adversarial images or audio to convey specific harmful instructions to MLLMs. We also find that combi"&amp;"ning our adversarial examples with certain non-empty text inputs amplifies attack success, while appending these after malicious text has limited effects. To evaluate whether an attack is successful, we introduce a new attack response categorization (ARC)"&amp;" that considers the response quality and relevancy concerning the malicious instruction. The results show that Con Instruction effectively bypasses the safety mechanisms in various visual and audio-language models, including LLaVA-v1.5, InternVL, Qwen-VL,"&amp;" and Qwen-Audio, across two standard benchmarks: AdvBench and SafeBench. Specifically, our method achieves the highest attack success rates, reaching 81.3% and 86.6% on LLaVA-v1.5 (13B). We show that larger models are more susceptible toCon Instruction, c"&amp;"ontrasting observations in their underlying LLMs. On the defense side, we explore various methods against our attacks and find substantial gaps among existing techniques. The code will be made available upon publication.")</f>
        <v>Existing attacks against multimodal language models often communicate instruction through text, either as an explicit malicious instruction or a crafted generic prompt, and accompanied by a toxic image. In contrast, here we exploit the capabilities of MLLMs in following non-textual instruction, i.e., an adversarial image or audio, namely Con Instruction. It is a novel gray-box attack method that generates adversarial images or audio to convey specific harmful instructions to MLLMs. We also find that combining our adversarial examples with certain non-empty text inputs amplifies attack success, while appending these after malicious text has limited effects. To evaluate whether an attack is successful, we introduce a new attack response categorization (ARC) that considers the response quality and relevancy concerning the malicious instruction. The results show that Con Instruction effectively bypasses the safety mechanisms in various visual and audio-language models, including LLaVA-v1.5, InternVL, Qwen-VL, and Qwen-Audio, across two standard benchmarks: AdvBench and SafeBench. Specifically, our method achieves the highest attack success rates, reaching 81.3% and 86.6% on LLaVA-v1.5 (13B). We show that larger models are more susceptible toCon Instruction, contrasting observations in their underlying LLMs. On the defense side, we explore various methods against our attacks and find substantial gaps among existing techniques. The code will be made available upon publication.</v>
      </c>
      <c r="D1740" s="7" t="str">
        <f>IFERROR(__xludf.DUMMYFUNCTION("""COMPUTED_VALUE"""),"Jiahui Geng")</f>
        <v>Jiahui Geng</v>
      </c>
      <c r="E1740" s="7" t="str">
        <f>IFERROR(__xludf.DUMMYFUNCTION("""COMPUTED_VALUE"""),"Yes")</f>
        <v>Yes</v>
      </c>
      <c r="F1740" s="7" t="str">
        <f>IFERROR(__xludf.DUMMYFUNCTION("""COMPUTED_VALUE"""),"IP-Poster")</f>
        <v>IP-Poster</v>
      </c>
      <c r="G1740" s="7" t="str">
        <f>IFERROR(__xludf.DUMMYFUNCTION("""COMPUTED_VALUE"""),"In-Person")</f>
        <v>In-Person</v>
      </c>
      <c r="H1740" s="7" t="str">
        <f>IFERROR(__xludf.DUMMYFUNCTION("""COMPUTED_VALUE"""),"Hall 4/5")</f>
        <v>Hall 4/5</v>
      </c>
      <c r="I1740" s="7" t="str">
        <f>IFERROR(__xludf.DUMMYFUNCTION("""COMPUTED_VALUE"""),"Session 10: IP-Posters")</f>
        <v>Session 10: IP-Posters</v>
      </c>
      <c r="J1740" s="7" t="str">
        <f>IFERROR(__xludf.DUMMYFUNCTION("""COMPUTED_VALUE"""),"Poster Session 3")</f>
        <v>Poster Session 3</v>
      </c>
      <c r="K1740" s="7"/>
      <c r="L1740" s="8">
        <f>IFERROR(__xludf.DUMMYFUNCTION("""COMPUTED_VALUE"""),45867.0)</f>
        <v>45867</v>
      </c>
      <c r="M1740" s="7" t="str">
        <f>IFERROR(__xludf.DUMMYFUNCTION("""COMPUTED_VALUE"""),"16:00-17:30")</f>
        <v>16:00-17:30</v>
      </c>
      <c r="N1740" s="7"/>
    </row>
    <row r="1741">
      <c r="A1741" s="7" t="str">
        <f>IFERROR(__xludf.DUMMYFUNCTION("""COMPUTED_VALUE"""),"264-MAIN")</f>
        <v>264-MAIN</v>
      </c>
      <c r="B1741" s="7" t="str">
        <f>IFERROR(__xludf.DUMMYFUNCTION("""COMPUTED_VALUE"""),"TRACT: Regression-Aware Fine-tuning Meets Chain-of-Thought Reasoning for LLM-as-a-Judge")</f>
        <v>TRACT: Regression-Aware Fine-tuning Meets Chain-of-Thought Reasoning for LLM-as-a-Judge</v>
      </c>
      <c r="C1741" s="7" t="str">
        <f>IFERROR(__xludf.DUMMYFUNCTION("""COMPUTED_VALUE"""),"The LLM-as-a-judge paradigm uses large language models (LLMs) for automated text evaluation, assigning a score to the input based on scoring rubrics. Existing methods for fine-tuning LLM-as-a-judge use cross-entropy (CE) loss, which neglects the numeric n"&amp;"ature of score prediction. Recent work addresses numerical prediction limitations of LLM fine-tuning through regression-aware fine-tuning but does not consider chain-of-thought (CoT) reasoning for score prediction. In this paper, we introduce TRACT (Two-s"&amp;"tage Regression-Aware fine-tuning with CoT), which combines CoT reasoning with regression-aware training. TRACT uses a two-stage process: first, it fine-tunes the seed LLM to generate CoTs, which serve as the training data for the second stage; next, it u"&amp;"ses these self-generated CoTs to retrain the seed LLM. The fine-tuning objective of TRACT applies CE loss for CoT reasoning and regression-aware loss for the score. Experiments across four LLM-as-a-judge datasets and two LLMs show that TRACT significantly"&amp;" outperforms existing methods. Extensive ablation studies validate the effectiveness of each component in TRACT.")</f>
        <v>The LLM-as-a-judge paradigm uses large language models (LLMs) for automated text evaluation, assigning a score to the input based on scoring rubrics. Existing methods for fine-tuning LLM-as-a-judge use cross-entropy (CE) loss, which neglects the numeric nature of score prediction. Recent work addresses numerical prediction limitations of LLM fine-tuning through regression-aware fine-tuning but does not consider chain-of-thought (CoT) reasoning for score prediction. In this paper, we introduce TRACT (Two-stage Regression-Aware fine-tuning with CoT), which combines CoT reasoning with regression-aware training. TRACT uses a two-stage process: first, it fine-tunes the seed LLM to generate CoTs, which serve as the training data for the second stage; next, it uses these self-generated CoTs to retrain the seed LLM. The fine-tuning objective of TRACT applies CE loss for CoT reasoning and regression-aware loss for the score. Experiments across four LLM-as-a-judge datasets and two LLMs show that TRACT significantly outperforms existing methods. Extensive ablation studies validate the effectiveness of each component in TRACT.</v>
      </c>
      <c r="D1741" s="7" t="str">
        <f>IFERROR(__xludf.DUMMYFUNCTION("""COMPUTED_VALUE"""),"Cheng-Han Chiang")</f>
        <v>Cheng-Han Chiang</v>
      </c>
      <c r="E1741" s="7" t="str">
        <f>IFERROR(__xludf.DUMMYFUNCTION("""COMPUTED_VALUE"""),"Yes")</f>
        <v>Yes</v>
      </c>
      <c r="F1741" s="7" t="str">
        <f>IFERROR(__xludf.DUMMYFUNCTION("""COMPUTED_VALUE"""),"IP-Poster")</f>
        <v>IP-Poster</v>
      </c>
      <c r="G1741" s="7" t="str">
        <f>IFERROR(__xludf.DUMMYFUNCTION("""COMPUTED_VALUE"""),"In-Person")</f>
        <v>In-Person</v>
      </c>
      <c r="H1741" s="7" t="str">
        <f>IFERROR(__xludf.DUMMYFUNCTION("""COMPUTED_VALUE"""),"Hall 4/5")</f>
        <v>Hall 4/5</v>
      </c>
      <c r="I1741" s="7" t="str">
        <f>IFERROR(__xludf.DUMMYFUNCTION("""COMPUTED_VALUE"""),"Session 2: IP-Posters ")</f>
        <v>Session 2: IP-Posters </v>
      </c>
      <c r="J1741" s="7" t="str">
        <f>IFERROR(__xludf.DUMMYFUNCTION("""COMPUTED_VALUE"""),"Poster Session 1")</f>
        <v>Poster Session 1</v>
      </c>
      <c r="K1741" s="7"/>
      <c r="L1741" s="8">
        <f>IFERROR(__xludf.DUMMYFUNCTION("""COMPUTED_VALUE"""),45866.0)</f>
        <v>45866</v>
      </c>
      <c r="M1741" s="7" t="str">
        <f>IFERROR(__xludf.DUMMYFUNCTION("""COMPUTED_VALUE"""),"11:00-12:30")</f>
        <v>11:00-12:30</v>
      </c>
      <c r="N1741" s="7"/>
    </row>
    <row r="1742">
      <c r="A1742" s="7" t="str">
        <f>IFERROR(__xludf.DUMMYFUNCTION("""COMPUTED_VALUE"""),"266-MAIN")</f>
        <v>266-MAIN</v>
      </c>
      <c r="B1742" s="7" t="str">
        <f>IFERROR(__xludf.DUMMYFUNCTION("""COMPUTED_VALUE"""),"DioR: Adaptive Cognitive Detection and Contextual Retrieval Optimization for Dynamic Retrieval-Augmented Generation")</f>
        <v>DioR: Adaptive Cognitive Detection and Contextual Retrieval Optimization for Dynamic Retrieval-Augmented Generation</v>
      </c>
      <c r="C1742" s="7" t="str">
        <f>IFERROR(__xludf.DUMMYFUNCTION("""COMPUTED_VALUE"""),"Dynamic Retrieval-augmented Generation (RAG) has shown great success in mitigating hallucinations in large language models (LLMs) during generation. However, existing dynamic RAG methods face significant limitations in two key aspects: 1) Lack of an effec"&amp;"tive mechanism to control retrieval triggers, and 2) Lack of effective scrutiny of retrieval content. To address these limitations, we propose an innovative dynamic RAG method, DioR (Adaptive Cognitive Detection and Contextual Retrieval Optimization), whi"&amp;"ch consists of two main components: adaptive cognitive detection and contextual retrieval optimization, specifically designed to determine when retrieval is needed and what to retrieve for LLMs is useful. Experimental results demonstrate that DioR achieve"&amp;"s superior performance on all tasks, demonstrating the effectiveness of our work.")</f>
        <v>Dynamic Retrieval-augmented Generation (RAG) has shown great success in mitigating hallucinations in large language models (LLMs) during generation. However, existing dynamic RAG methods face significant limitations in two key aspects: 1) Lack of an effective mechanism to control retrieval triggers, and 2) Lack of effective scrutiny of retrieval content. To address these limitations, we propose an innovative dynamic RAG method, DioR (Adaptive Cognitive Detection and Contextual Retrieval Optimization), which consists of two main components: adaptive cognitive detection and contextual retrieval optimization, specifically designed to determine when retrieval is needed and what to retrieve for LLMs is useful. Experimental results demonstrate that DioR achieves superior performance on all tasks, demonstrating the effectiveness of our work.</v>
      </c>
      <c r="D1742" s="7" t="str">
        <f>IFERROR(__xludf.DUMMYFUNCTION("""COMPUTED_VALUE"""),"Hanghui Guo")</f>
        <v>Hanghui Guo</v>
      </c>
      <c r="E1742" s="7" t="str">
        <f>IFERROR(__xludf.DUMMYFUNCTION("""COMPUTED_VALUE"""),"Yes")</f>
        <v>Yes</v>
      </c>
      <c r="F1742" s="7" t="str">
        <f>IFERROR(__xludf.DUMMYFUNCTION("""COMPUTED_VALUE"""),"IP-Poster")</f>
        <v>IP-Poster</v>
      </c>
      <c r="G1742" s="7" t="str">
        <f>IFERROR(__xludf.DUMMYFUNCTION("""COMPUTED_VALUE"""),"In-Person")</f>
        <v>In-Person</v>
      </c>
      <c r="H1742" s="7" t="str">
        <f>IFERROR(__xludf.DUMMYFUNCTION("""COMPUTED_VALUE"""),"Hall 4/5")</f>
        <v>Hall 4/5</v>
      </c>
      <c r="I1742" s="7" t="str">
        <f>IFERROR(__xludf.DUMMYFUNCTION("""COMPUTED_VALUE"""),"Session 10: IP-Posters")</f>
        <v>Session 10: IP-Posters</v>
      </c>
      <c r="J1742" s="7" t="str">
        <f>IFERROR(__xludf.DUMMYFUNCTION("""COMPUTED_VALUE"""),"Poster Session 3")</f>
        <v>Poster Session 3</v>
      </c>
      <c r="K1742" s="7"/>
      <c r="L1742" s="8">
        <f>IFERROR(__xludf.DUMMYFUNCTION("""COMPUTED_VALUE"""),45867.0)</f>
        <v>45867</v>
      </c>
      <c r="M1742" s="7" t="str">
        <f>IFERROR(__xludf.DUMMYFUNCTION("""COMPUTED_VALUE"""),"16:00-17:30")</f>
        <v>16:00-17:30</v>
      </c>
      <c r="N1742" s="7"/>
    </row>
    <row r="1743">
      <c r="A1743" s="7" t="str">
        <f>IFERROR(__xludf.DUMMYFUNCTION("""COMPUTED_VALUE"""),"267-MAIN")</f>
        <v>267-MAIN</v>
      </c>
      <c r="B1743" s="7" t="str">
        <f>IFERROR(__xludf.DUMMYFUNCTION("""COMPUTED_VALUE"""),"Unveiling the Power of Source: Source-based Minimum Bayes Risk Decoding for Neural Machine Translation")</f>
        <v>Unveiling the Power of Source: Source-based Minimum Bayes Risk Decoding for Neural Machine Translation</v>
      </c>
      <c r="C1743" s="7" t="str">
        <f>IFERROR(__xludf.DUMMYFUNCTION("""COMPUTED_VALUE"""),"Maximum a posteriori decoding, a commonly used method for neural machine translation (NMT), aims to maximize the estimated posterior probability. However, high estimated probability does not always lead to high translation quality. Minimum Bayes Risk (MBR"&amp;") decoding  offers an alternative by seeking hypotheses with the highest expected utility.
Inspired by Quality Estimation (QE) reranking which uses the QE model as a ranker, we propose source-based MBR (sMBR) decoding, a novel approach that utilizes quas"&amp;"i-sources (generated via paraphrasing or back-translation) as ``support hypotheses'' and a reference-free quality estimation metric as the utility function, marking the first work to solely use sources in MBR decoding. Experiments show that sMBR outperfor"&amp;"ms QE reranking and the standard MBR decoding. Our findings suggest that sMBR is a promising approach for NMT decoding.")</f>
        <v>Maximum a posteriori decoding, a commonly used method for neural machine translation (NMT), aims to maximize the estimated posterior probability. However, high estimated probability does not always lead to high translation quality. Minimum Bayes Risk (MBR) decoding  offers an alternative by seeking hypotheses with the highest expected utility.
Inspired by Quality Estimation (QE) reranking which uses the QE model as a ranker, we propose source-based MBR (sMBR) decoding, a novel approach that utilizes quasi-sources (generated via paraphrasing or back-translation) as ``support hypotheses'' and a reference-free quality estimation metric as the utility function, marking the first work to solely use sources in MBR decoding. Experiments show that sMBR outperforms QE reranking and the standard MBR decoding. Our findings suggest that sMBR is a promising approach for NMT decoding.</v>
      </c>
      <c r="D1743" s="7" t="str">
        <f>IFERROR(__xludf.DUMMYFUNCTION("""COMPUTED_VALUE"""),"Boxuan Lyu")</f>
        <v>Boxuan Lyu</v>
      </c>
      <c r="E1743" s="7" t="str">
        <f>IFERROR(__xludf.DUMMYFUNCTION("""COMPUTED_VALUE"""),"Yes")</f>
        <v>Yes</v>
      </c>
      <c r="F1743" s="7" t="str">
        <f>IFERROR(__xludf.DUMMYFUNCTION("""COMPUTED_VALUE"""),"IP-Poster")</f>
        <v>IP-Poster</v>
      </c>
      <c r="G1743" s="7" t="str">
        <f>IFERROR(__xludf.DUMMYFUNCTION("""COMPUTED_VALUE"""),"In-Person")</f>
        <v>In-Person</v>
      </c>
      <c r="H1743" s="7" t="str">
        <f>IFERROR(__xludf.DUMMYFUNCTION("""COMPUTED_VALUE"""),"Hall 4/5")</f>
        <v>Hall 4/5</v>
      </c>
      <c r="I1743" s="7" t="str">
        <f>IFERROR(__xludf.DUMMYFUNCTION("""COMPUTED_VALUE"""),"Session 10: IP-Posters")</f>
        <v>Session 10: IP-Posters</v>
      </c>
      <c r="J1743" s="7" t="str">
        <f>IFERROR(__xludf.DUMMYFUNCTION("""COMPUTED_VALUE"""),"Poster Session 3")</f>
        <v>Poster Session 3</v>
      </c>
      <c r="K1743" s="7"/>
      <c r="L1743" s="8">
        <f>IFERROR(__xludf.DUMMYFUNCTION("""COMPUTED_VALUE"""),45867.0)</f>
        <v>45867</v>
      </c>
      <c r="M1743" s="7" t="str">
        <f>IFERROR(__xludf.DUMMYFUNCTION("""COMPUTED_VALUE"""),"16:00-17:30")</f>
        <v>16:00-17:30</v>
      </c>
      <c r="N1743" s="7"/>
    </row>
    <row r="1744">
      <c r="A1744" s="7" t="str">
        <f>IFERROR(__xludf.DUMMYFUNCTION("""COMPUTED_VALUE"""),"269-MAIN")</f>
        <v>269-MAIN</v>
      </c>
      <c r="B1744" s="7" t="str">
        <f>IFERROR(__xludf.DUMMYFUNCTION("""COMPUTED_VALUE"""),"ToolHop: A Query-Driven Benchmark for Evaluating Large Language Models in Multi-Hop Tool Use")</f>
        <v>ToolHop: A Query-Driven Benchmark for Evaluating Large Language Models in Multi-Hop Tool Use</v>
      </c>
      <c r="C1744" s="7" t="str">
        <f>IFERROR(__xludf.DUMMYFUNCTION("""COMPUTED_VALUE"""),"Effective evaluation of multi-hop tool use is critical for analyzing the understanding, reasoning, and function-calling capabilities of large language models (LLMs). However, progress has been hindered by a lack of reliable evaluation datasets. To address"&amp;" this, we present ToolHop, a dataset comprising 995 user queries and 3,912 associated tools, specifically designed for rigorous evaluation of multi-hop tool use. ToolHop ensures diverse queries, meaningful interdependencies, locally executable tools, deta"&amp;"iled feedback, and verifiable answers through a novel query-driven data construction approach that includes tool creation, document refinement, and code generation. We evaluate 14 LLMs across five model families (i.e., LLaMA3.1, Qwen2.5, Gemini1.5, Claude"&amp;"3.5, and GPT), uncovering significant challenges in handling multi-hop tool-use scenarios. The leading model, GPT-4o, achieves an accuracy of 49.04%, underscoring substantial room for improvement. Further analysis reveals variations in tool-use strategies"&amp;" for various families, offering actionable insights to guide the development of more effective approaches. Code and data can be found in https://huggingface.co/datasets/bytedance-research/ToolHop.")</f>
        <v>Effective evaluation of multi-hop tool use is critical for analyzing the understanding, reasoning, and function-calling capabilities of large language models (LLMs). However, progress has been hindered by a lack of reliable evaluation datasets. To address this, we present ToolHop, a dataset comprising 995 user queries and 3,912 associated tools, specifically designed for rigorous evaluation of multi-hop tool use. ToolHop ensures diverse queries, meaningful interdependencies, locally executable tools, detailed feedback, and verifiable answers through a novel query-driven data construction approach that includes tool creation, document refinement, and code generation. We evaluate 14 LLMs across five model families (i.e., LLaMA3.1, Qwen2.5, Gemini1.5, Claude3.5, and GPT), uncovering significant challenges in handling multi-hop tool-use scenarios. The leading model, GPT-4o, achieves an accuracy of 49.04%, underscoring substantial room for improvement. Further analysis reveals variations in tool-use strategies for various families, offering actionable insights to guide the development of more effective approaches. Code and data can be found in https://huggingface.co/datasets/bytedance-research/ToolHop.</v>
      </c>
      <c r="D1744" s="7" t="str">
        <f>IFERROR(__xludf.DUMMYFUNCTION("""COMPUTED_VALUE"""),"Junjie Ye")</f>
        <v>Junjie Ye</v>
      </c>
      <c r="E1744" s="7" t="str">
        <f>IFERROR(__xludf.DUMMYFUNCTION("""COMPUTED_VALUE"""),"Yes")</f>
        <v>Yes</v>
      </c>
      <c r="F1744" s="7" t="str">
        <f>IFERROR(__xludf.DUMMYFUNCTION("""COMPUTED_VALUE"""),"IP-Poster")</f>
        <v>IP-Poster</v>
      </c>
      <c r="G1744" s="7" t="str">
        <f>IFERROR(__xludf.DUMMYFUNCTION("""COMPUTED_VALUE"""),"In-Person")</f>
        <v>In-Person</v>
      </c>
      <c r="H1744" s="7" t="str">
        <f>IFERROR(__xludf.DUMMYFUNCTION("""COMPUTED_VALUE"""),"Hall 4/5")</f>
        <v>Hall 4/5</v>
      </c>
      <c r="I1744" s="7" t="str">
        <f>IFERROR(__xludf.DUMMYFUNCTION("""COMPUTED_VALUE"""),"Session 2: IP-Posters ")</f>
        <v>Session 2: IP-Posters </v>
      </c>
      <c r="J1744" s="7" t="str">
        <f>IFERROR(__xludf.DUMMYFUNCTION("""COMPUTED_VALUE"""),"Poster Session 1")</f>
        <v>Poster Session 1</v>
      </c>
      <c r="K1744" s="7"/>
      <c r="L1744" s="8">
        <f>IFERROR(__xludf.DUMMYFUNCTION("""COMPUTED_VALUE"""),45866.0)</f>
        <v>45866</v>
      </c>
      <c r="M1744" s="7" t="str">
        <f>IFERROR(__xludf.DUMMYFUNCTION("""COMPUTED_VALUE"""),"11:00-12:30")</f>
        <v>11:00-12:30</v>
      </c>
      <c r="N1744" s="7"/>
    </row>
    <row r="1745">
      <c r="A1745" s="7" t="str">
        <f>IFERROR(__xludf.DUMMYFUNCTION("""COMPUTED_VALUE"""),"273-MAIN")</f>
        <v>273-MAIN</v>
      </c>
      <c r="B1745" s="7" t="str">
        <f>IFERROR(__xludf.DUMMYFUNCTION("""COMPUTED_VALUE"""),"Mixture of insighTful Experts (MoTE): The Synergy of Reasoning Chains and Expert Mixtures in Self-Alignment")</f>
        <v>Mixture of insighTful Experts (MoTE): The Synergy of Reasoning Chains and Expert Mixtures in Self-Alignment</v>
      </c>
      <c r="C1745" s="7" t="str">
        <f>IFERROR(__xludf.DUMMYFUNCTION("""COMPUTED_VALUE"""),"As the capabilities of large language models (LLMs) continue to expand, aligning these models with human values remains a significant challenge. Recent studies show that reasoning abilities contribute significantly to model safety, while integrating Mixtu"&amp;"re-of-Experts (MoE) architectures can further enhance alignment.
In this work, we address a fundamental question:
\textit{How to effectively incorporate reasoning abilities
and MoE architectures into self-alignment process
in LLMs?}
We propose Mixture of "&amp;"insighTful Experts (MoTE), a novel framework that synergistically combines reasoning chains and expert mixtures to improve self-alignments.
From a data perspective, MoTE employs a structured reasoning chain comprising four key stages: Question Analysis, A"&amp;"nswer Guidance, Safe Answer, and Safety Checking. This approach enhances safety through multi-step reasoning and proves effective even for smaller and less powerful LLMs (e.g., 7B models). From an architectural perspective, MoTE adopts a multi-LoRA framew"&amp;"ork with step-level routing, where each expert is dedicated to a specific reasoning step. This design eliminates the need for balance losses, ensures stable training, and supports adaptive inference lengths. Experimental results demonstrate that MoTE sign"&amp;"ificantly improves model safety, jailbreak resistance, and over-refusal capabilities, achieving performance comparable to OpenAI's state-of-the-art o1 model.")</f>
        <v>As the capabilities of large language models (LLMs) continue to expand, aligning these models with human values remains a significant challenge. Recent studies show that reasoning abilities contribute significantly to model safety, while integrating Mixture-of-Experts (MoE) architectures can further enhance alignment.
In this work, we address a fundamental question:
\textit{How to effectively incorporate reasoning abilities
and MoE architectures into self-alignment process
in LLMs?}
We propose Mixture of insighTful Experts (MoTE), a novel framework that synergistically combines reasoning chains and expert mixtures to improve self-alignments.
From a data perspective, MoTE employs a structured reasoning chain comprising four key stages: Question Analysis, Answer Guidance, Safe Answer, and Safety Checking. This approach enhances safety through multi-step reasoning and proves effective even for smaller and less powerful LLMs (e.g., 7B models). From an architectural perspective, MoTE adopts a multi-LoRA framework with step-level routing, where each expert is dedicated to a specific reasoning step. This design eliminates the need for balance losses, ensures stable training, and supports adaptive inference lengths. Experimental results demonstrate that MoTE significantly improves model safety, jailbreak resistance, and over-refusal capabilities, achieving performance comparable to OpenAI's state-of-the-art o1 model.</v>
      </c>
      <c r="D1745" s="7" t="str">
        <f>IFERROR(__xludf.DUMMYFUNCTION("""COMPUTED_VALUE"""),"Zhili Liu")</f>
        <v>Zhili Liu</v>
      </c>
      <c r="E1745" s="7" t="str">
        <f>IFERROR(__xludf.DUMMYFUNCTION("""COMPUTED_VALUE"""),"Yes")</f>
        <v>Yes</v>
      </c>
      <c r="F1745" s="7" t="str">
        <f>IFERROR(__xludf.DUMMYFUNCTION("""COMPUTED_VALUE"""),"IP-Poster")</f>
        <v>IP-Poster</v>
      </c>
      <c r="G1745" s="7" t="str">
        <f>IFERROR(__xludf.DUMMYFUNCTION("""COMPUTED_VALUE"""),"In-Person")</f>
        <v>In-Person</v>
      </c>
      <c r="H1745" s="7" t="str">
        <f>IFERROR(__xludf.DUMMYFUNCTION("""COMPUTED_VALUE"""),"Hall 4/5")</f>
        <v>Hall 4/5</v>
      </c>
      <c r="I1745" s="7" t="str">
        <f>IFERROR(__xludf.DUMMYFUNCTION("""COMPUTED_VALUE"""),"Session 12: IP-Posters")</f>
        <v>Session 12: IP-Posters</v>
      </c>
      <c r="J1745" s="7" t="str">
        <f>IFERROR(__xludf.DUMMYFUNCTION("""COMPUTED_VALUE"""),"Poster Session 4")</f>
        <v>Poster Session 4</v>
      </c>
      <c r="K1745" s="7"/>
      <c r="L1745" s="8">
        <f>IFERROR(__xludf.DUMMYFUNCTION("""COMPUTED_VALUE"""),45868.0)</f>
        <v>45868</v>
      </c>
      <c r="M1745" s="7" t="str">
        <f>IFERROR(__xludf.DUMMYFUNCTION("""COMPUTED_VALUE"""),"11:00-12:30")</f>
        <v>11:00-12:30</v>
      </c>
      <c r="N1745" s="7"/>
    </row>
    <row r="1746">
      <c r="A1746" s="7" t="str">
        <f>IFERROR(__xludf.DUMMYFUNCTION("""COMPUTED_VALUE"""),"274-MAIN")</f>
        <v>274-MAIN</v>
      </c>
      <c r="B1746" s="7" t="str">
        <f>IFERROR(__xludf.DUMMYFUNCTION("""COMPUTED_VALUE"""),"MAPS: Motivation-Aware Personalized Search via LLM-Driven Consultation Alignment")</f>
        <v>MAPS: Motivation-Aware Personalized Search via LLM-Driven Consultation Alignment</v>
      </c>
      <c r="C1746" s="7" t="str">
        <f>IFERROR(__xludf.DUMMYFUNCTION("""COMPUTED_VALUE"""),"Personalized product search aims to retrieve and rank items that match users' preferences and search intent. Despite their effectiveness, existing approaches typically assume that users' query fully captures their real motivation. However, our analysis of"&amp;" a real-world e-commerce platform reveals that users often engage in relevant consultations before searching, indicating they refine intents through consultations based on motivation and need. The implied motivation in consultations is a key enhancing fac"&amp;"tor for personalized search. This unexplored area comes with new challenges including aligning contextual motivations with concise queries, bridging the category-text gap, and filtering noise within sequence history. To address these, we propose a Motivat"&amp;"ion-Aware Personalized Search (MAPS) method. It embeds queries and consultations into a unified semantic space via LLMs, utilizes a Mixture of Attention Experts (MoAE) to prioritize critical semantics, and introduces dual alignment: (1) contrastive learni"&amp;"ng aligns consultations, reviews, and product features; (2) bidirectional attention integrates motivation-aware embeddings with user preferences. Extensive experiments on real and synthetic data show MAPS outperforms existing methods in both retrieval and"&amp;" ranking tasks. Code and supplementary materials are available at: https://github.com/E-qin/MAPS.")</f>
        <v>Personalized product search aims to retrieve and rank items that match users' preferences and search intent. Despite their effectiveness, existing approaches typically assume that users' query fully captures their real motivation. However, our analysis of a real-world e-commerce platform reveals that users often engage in relevant consultations before searching, indicating they refine intents through consultations based on motivation and need. The implied motivation in consultations is a key enhancing factor for personalized search. This unexplored area comes with new challenges including aligning contextual motivations with concise queries, bridging the category-text gap, and filtering noise within sequence history. To address these, we propose a Motivation-Aware Personalized Search (MAPS) method. It embeds queries and consultations into a unified semantic space via LLMs, utilizes a Mixture of Attention Experts (MoAE) to prioritize critical semantics, and introduces dual alignment: (1) contrastive learning aligns consultations, reviews, and product features; (2) bidirectional attention integrates motivation-aware embeddings with user preferences. Extensive experiments on real and synthetic data show MAPS outperforms existing methods in both retrieval and ranking tasks. Code and supplementary materials are available at: https://github.com/E-qin/MAPS.</v>
      </c>
      <c r="D1746" s="7" t="str">
        <f>IFERROR(__xludf.DUMMYFUNCTION("""COMPUTED_VALUE"""),"Yi Xu")</f>
        <v>Yi Xu</v>
      </c>
      <c r="E1746" s="7" t="str">
        <f>IFERROR(__xludf.DUMMYFUNCTION("""COMPUTED_VALUE"""),"Yes")</f>
        <v>Yes</v>
      </c>
      <c r="F1746" s="7" t="str">
        <f>IFERROR(__xludf.DUMMYFUNCTION("""COMPUTED_VALUE"""),"IP-Oral")</f>
        <v>IP-Oral</v>
      </c>
      <c r="G1746" s="7" t="str">
        <f>IFERROR(__xludf.DUMMYFUNCTION("""COMPUTED_VALUE"""),"In-Person")</f>
        <v>In-Person</v>
      </c>
      <c r="H1746" s="7" t="str">
        <f>IFERROR(__xludf.DUMMYFUNCTION("""COMPUTED_VALUE"""),"Hall N.1")</f>
        <v>Hall N.1</v>
      </c>
      <c r="I1746" s="7" t="str">
        <f>IFERROR(__xludf.DUMMYFUNCTION("""COMPUTED_VALUE"""),"Session 3: IP-Orals")</f>
        <v>Session 3: IP-Orals</v>
      </c>
      <c r="J1746" s="7" t="str">
        <f>IFERROR(__xludf.DUMMYFUNCTION("""COMPUTED_VALUE"""),"Information Retrieval and Text Mining")</f>
        <v>Information Retrieval and Text Mining</v>
      </c>
      <c r="K1746" s="7"/>
      <c r="L1746" s="8">
        <f>IFERROR(__xludf.DUMMYFUNCTION("""COMPUTED_VALUE"""),45866.0)</f>
        <v>45866</v>
      </c>
      <c r="M1746" s="7" t="str">
        <f>IFERROR(__xludf.DUMMYFUNCTION("""COMPUTED_VALUE"""),"14:00-15:30")</f>
        <v>14:00-15:30</v>
      </c>
      <c r="N1746" s="7">
        <f>IFERROR(__xludf.DUMMYFUNCTION("""COMPUTED_VALUE"""),8.0)</f>
        <v>8</v>
      </c>
    </row>
    <row r="1747">
      <c r="A1747" s="7" t="str">
        <f>IFERROR(__xludf.DUMMYFUNCTION("""COMPUTED_VALUE"""),"275-MAIN")</f>
        <v>275-MAIN</v>
      </c>
      <c r="B1747" s="7" t="str">
        <f>IFERROR(__xludf.DUMMYFUNCTION("""COMPUTED_VALUE"""),"Aristotle: Mastering Logical Reasoning with A Logic-Complete Decompose-Search-Resolve Framework")</f>
        <v>Aristotle: Mastering Logical Reasoning with A Logic-Complete Decompose-Search-Resolve Framework</v>
      </c>
      <c r="C1747" s="7" t="str">
        <f>IFERROR(__xludf.DUMMYFUNCTION("""COMPUTED_VALUE"""),"In the context of large language models (LLMs), current advanced reasoning methods have made impressive strides in various reasoning tasks. However, when it comes to logical reasoning tasks, significant challenges remain in both efficacy and efficiency. T"&amp;"his is rooted in the fact that these systems fail to fully leverage the inherent structure of logical tasks throughout the reasoning processes, including decomposition, search, and resolution. To address this, this paper proposes a logic-complete reasonin"&amp;"g framework, Aristotle. The framework consists of three key components: Logical Decomposer, Logical Search Router, and Logical Resolver, in which symbolic expressions and logical rules are comprehensively integrated into the entire reasoning process, sign"&amp;"ificantly alleviating the bottlenecks of logical reasoning, i.e., reducing sub-task complexity, minimizing search errors, and resolving logical contradictions. Experimental results demonstrate that Aristotle consistently outperforms state-of-the-art reaso"&amp;"ning frameworks in both accuracy and efficiency, particularly excelling in complex logical reasoning scenarios.")</f>
        <v>In the context of large language models (LLMs), current advanced reasoning methods have made impressive strides in various reasoning tasks. However, when it comes to logical reasoning tasks, significant challenges remain in both efficacy and efficiency. This is rooted in the fact that these systems fail to fully leverage the inherent structure of logical tasks throughout the reasoning processes, including decomposition, search, and resolution. To address this, this paper proposes a logic-complete reasoning framework, Aristotle. The framework consists of three key components: Logical Decomposer, Logical Search Router, and Logical Resolver, in which symbolic expressions and logical rules are comprehensively integrated into the entire reasoning process, significantly alleviating the bottlenecks of logical reasoning, i.e., reducing sub-task complexity, minimizing search errors, and resolving logical contradictions. Experimental results demonstrate that Aristotle consistently outperforms state-of-the-art reasoning frameworks in both accuracy and efficiency, particularly excelling in complex logical reasoning scenarios.</v>
      </c>
      <c r="D1747" s="7" t="str">
        <f>IFERROR(__xludf.DUMMYFUNCTION("""COMPUTED_VALUE"""),"Jundong Xu")</f>
        <v>Jundong Xu</v>
      </c>
      <c r="E1747" s="7" t="str">
        <f>IFERROR(__xludf.DUMMYFUNCTION("""COMPUTED_VALUE"""),"Yes")</f>
        <v>Yes</v>
      </c>
      <c r="F1747" s="7" t="str">
        <f>IFERROR(__xludf.DUMMYFUNCTION("""COMPUTED_VALUE"""),"IP-Oral")</f>
        <v>IP-Oral</v>
      </c>
      <c r="G1747" s="7" t="str">
        <f>IFERROR(__xludf.DUMMYFUNCTION("""COMPUTED_VALUE"""),"In-Person")</f>
        <v>In-Person</v>
      </c>
      <c r="H1747" s="7" t="str">
        <f>IFERROR(__xludf.DUMMYFUNCTION("""COMPUTED_VALUE"""),"Hall M.1")</f>
        <v>Hall M.1</v>
      </c>
      <c r="I1747" s="7" t="str">
        <f>IFERROR(__xludf.DUMMYFUNCTION("""COMPUTED_VALUE"""),"Session 11: IP-Orals ")</f>
        <v>Session 11: IP-Orals </v>
      </c>
      <c r="J1747" s="7" t="str">
        <f>IFERROR(__xludf.DUMMYFUNCTION("""COMPUTED_VALUE"""),"NLP Applications 2")</f>
        <v>NLP Applications 2</v>
      </c>
      <c r="K1747" s="7"/>
      <c r="L1747" s="8">
        <f>IFERROR(__xludf.DUMMYFUNCTION("""COMPUTED_VALUE"""),45868.0)</f>
        <v>45868</v>
      </c>
      <c r="M1747" s="7" t="str">
        <f>IFERROR(__xludf.DUMMYFUNCTION("""COMPUTED_VALUE"""),"09:00-10:30")</f>
        <v>09:00-10:30</v>
      </c>
      <c r="N1747" s="7">
        <f>IFERROR(__xludf.DUMMYFUNCTION("""COMPUTED_VALUE"""),1.0)</f>
        <v>1</v>
      </c>
    </row>
    <row r="1748">
      <c r="A1748" s="7" t="str">
        <f>IFERROR(__xludf.DUMMYFUNCTION("""COMPUTED_VALUE"""),"278-MAIN")</f>
        <v>278-MAIN</v>
      </c>
      <c r="B1748" s="7" t="str">
        <f>IFERROR(__xludf.DUMMYFUNCTION("""COMPUTED_VALUE"""),"LADM: Long-context Training Data Selection with Attention-based Dependency Measurement for LLMs")</f>
        <v>LADM: Long-context Training Data Selection with Attention-based Dependency Measurement for LLMs</v>
      </c>
      <c r="C1748" s="7" t="str">
        <f>IFERROR(__xludf.DUMMYFUNCTION("""COMPUTED_VALUE"""),"Long-context modeling has drawn more and more attention in the area of Large Language Models (LLMs). Continual training with long-context data becomes the de-facto method to equip LLMs with the ability to process long inputs. However, it still remains an "&amp;"open challenge to measure the quality of long-context training data. To address this issue, we propose a Long-context data selection framework with Attention-based Dependency Measurement (LADM), which can efficiently identify high-quality long-context dat"&amp;"a from a large-scale, multi-domain pre-training corpus. LADM leverages the retrieval capabilities of the attention mechanism to capture contextual dependencies, ensuring a comprehensive quality measurement of long-context data. Experimental results show t"&amp;"hat our LADM framework significantly boosts the performance of LLMs on multiple long-context tasks with only 1B tokens for continual training.")</f>
        <v>Long-context modeling has drawn more and more attention in the area of Large Language Models (LLMs). Continual training with long-context data becomes the de-facto method to equip LLMs with the ability to process long inputs. However, it still remains an open challenge to measure the quality of long-context training data. To address this issue, we propose a Long-context data selection framework with Attention-based Dependency Measurement (LADM), which can efficiently identify high-quality long-context data from a large-scale, multi-domain pre-training corpus. LADM leverages the retrieval capabilities of the attention mechanism to capture contextual dependencies, ensuring a comprehensive quality measurement of long-context data. Experimental results show that our LADM framework significantly boosts the performance of LLMs on multiple long-context tasks with only 1B tokens for continual training.</v>
      </c>
      <c r="D1748" s="7" t="str">
        <f>IFERROR(__xludf.DUMMYFUNCTION("""COMPUTED_VALUE"""),"Jianghao Chen")</f>
        <v>Jianghao Chen</v>
      </c>
      <c r="E1748" s="7" t="str">
        <f>IFERROR(__xludf.DUMMYFUNCTION("""COMPUTED_VALUE"""),"Yes")</f>
        <v>Yes</v>
      </c>
      <c r="F1748" s="7" t="str">
        <f>IFERROR(__xludf.DUMMYFUNCTION("""COMPUTED_VALUE"""),"IP-Poster")</f>
        <v>IP-Poster</v>
      </c>
      <c r="G1748" s="7" t="str">
        <f>IFERROR(__xludf.DUMMYFUNCTION("""COMPUTED_VALUE"""),"In-Person")</f>
        <v>In-Person</v>
      </c>
      <c r="H1748" s="7" t="str">
        <f>IFERROR(__xludf.DUMMYFUNCTION("""COMPUTED_VALUE"""),"Hall 4/5")</f>
        <v>Hall 4/5</v>
      </c>
      <c r="I1748" s="7" t="str">
        <f>IFERROR(__xludf.DUMMYFUNCTION("""COMPUTED_VALUE"""),"Session 2: IP-Posters ")</f>
        <v>Session 2: IP-Posters </v>
      </c>
      <c r="J1748" s="7" t="str">
        <f>IFERROR(__xludf.DUMMYFUNCTION("""COMPUTED_VALUE"""),"Poster Session 1")</f>
        <v>Poster Session 1</v>
      </c>
      <c r="K1748" s="7"/>
      <c r="L1748" s="8">
        <f>IFERROR(__xludf.DUMMYFUNCTION("""COMPUTED_VALUE"""),45866.0)</f>
        <v>45866</v>
      </c>
      <c r="M1748" s="7" t="str">
        <f>IFERROR(__xludf.DUMMYFUNCTION("""COMPUTED_VALUE"""),"11:00-12:30")</f>
        <v>11:00-12:30</v>
      </c>
      <c r="N1748" s="7"/>
    </row>
    <row r="1749">
      <c r="A1749" s="7" t="str">
        <f>IFERROR(__xludf.DUMMYFUNCTION("""COMPUTED_VALUE"""),"283-MAIN")</f>
        <v>283-MAIN</v>
      </c>
      <c r="B1749" s="7" t="str">
        <f>IFERROR(__xludf.DUMMYFUNCTION("""COMPUTED_VALUE"""),"Iron Sharpens Iron: Defending Against Attacks in Machine-Generated Text Detection with Adversarial Training")</f>
        <v>Iron Sharpens Iron: Defending Against Attacks in Machine-Generated Text Detection with Adversarial Training</v>
      </c>
      <c r="C1749" s="7" t="str">
        <f>IFERROR(__xludf.DUMMYFUNCTION("""COMPUTED_VALUE"""),"Machine-generated Text (MGT) detection is crucial for regulating and attributing online texts. While the existing MGT detectors achieve strong performance, they remain vulnerable to simple perturbations and adversarial attacks. To build an effective defen"&amp;"se against malicious perturbations, we view MGT detection from a threat modeling perspective, that is, analyzing the model’s vulnerability from an adversary’s point of view and exploring effective mitigations. To this end, we introduce an adversarial fram"&amp;"ework for training a robust MGT detector, named GREedy Adversary PromoTed DefendER (GREATER). The GREATER consists of two key components: an adversary GREATER-A and a detector GREATER-D. The GREATER-D learns to defend against the adversarial attack from G"&amp;"REATER-A and generalizes the defense to other attacks. GREATER-A identifies and perturbs the critical tokens in embedding space, along with greedy search and pruning to generate stealthy and disruptive adversarial examples. Besides, we update the GREATER-"&amp;"A and GREATER-D synchronously, encouraging the GREATER-D to generalize its defense to different attacks and varying attack intensities. Our experimental results across 10 text perturbation strategies and 6 adversarial attacks show that our GREATER-D reduc"&amp;"es the Attack Success Rate (ASR) by 0.67% compared with SOTA defense methods while our GREATER-A is demonstrated to be more effective and efficient than SOTA attack approaches. Codes and dataset are available in https://github.com/Liyuuuu111/GREATER.")</f>
        <v>Machine-generated Text (MGT) detection is crucial for regulating and attributing online texts. While the existing MGT detectors achieve strong performance, they remain vulnerable to simple perturbations and adversarial attacks. To build an effective defense against malicious perturbations, we view MGT detection from a threat modeling perspective, that is, analyzing the model’s vulnerability from an adversary’s point of view and exploring effective mitigations. To this end, we introduce an adversarial framework for training a robust MGT detector, named GREedy Adversary PromoTed DefendER (GREATER). The GREATER consists of two key components: an adversary GREATER-A and a detector GREATER-D. The GREATER-D learns to defend against the adversarial attack from GREATER-A and generalizes the defense to other attacks. GREATER-A identifies and perturbs the critical tokens in embedding space, along with greedy search and pruning to generate stealthy and disruptive adversarial examples. Besides, we update the GREATER-A and GREATER-D synchronously, encouraging the GREATER-D to generalize its defense to different attacks and varying attack intensities. Our experimental results across 10 text perturbation strategies and 6 adversarial attacks show that our GREATER-D reduces the Attack Success Rate (ASR) by 0.67% compared with SOTA defense methods while our GREATER-A is demonstrated to be more effective and efficient than SOTA attack approaches. Codes and dataset are available in https://github.com/Liyuuuu111/GREATER.</v>
      </c>
      <c r="D1749" s="7" t="str">
        <f>IFERROR(__xludf.DUMMYFUNCTION("""COMPUTED_VALUE"""),"Yuanfan Li")</f>
        <v>Yuanfan Li</v>
      </c>
      <c r="E1749" s="7" t="str">
        <f>IFERROR(__xludf.DUMMYFUNCTION("""COMPUTED_VALUE"""),"Yes")</f>
        <v>Yes</v>
      </c>
      <c r="F1749" s="7" t="str">
        <f>IFERROR(__xludf.DUMMYFUNCTION("""COMPUTED_VALUE"""),"V-Presentation")</f>
        <v>V-Presentation</v>
      </c>
      <c r="G1749" s="7" t="str">
        <f>IFERROR(__xludf.DUMMYFUNCTION("""COMPUTED_VALUE"""),"Virtual/Gather")</f>
        <v>Virtual/Gather</v>
      </c>
      <c r="H1749" s="7" t="str">
        <f>IFERROR(__xludf.DUMMYFUNCTION("""COMPUTED_VALUE"""),"Zoom")</f>
        <v>Zoom</v>
      </c>
      <c r="I1749" s="7" t="str">
        <f>IFERROR(__xludf.DUMMYFUNCTION("""COMPUTED_VALUE"""),"Session 2: V-Presentations")</f>
        <v>Session 2: V-Presentations</v>
      </c>
      <c r="J1749" s="7" t="str">
        <f>IFERROR(__xludf.DUMMYFUNCTION("""COMPUTED_VALUE"""),"Virtual Presentations 1")</f>
        <v>Virtual Presentations 1</v>
      </c>
      <c r="K1749" s="7"/>
      <c r="L1749" s="8">
        <f>IFERROR(__xludf.DUMMYFUNCTION("""COMPUTED_VALUE"""),45866.0)</f>
        <v>45866</v>
      </c>
      <c r="M1749" s="7" t="str">
        <f>IFERROR(__xludf.DUMMYFUNCTION("""COMPUTED_VALUE"""),"11:00-12:30")</f>
        <v>11:00-12:30</v>
      </c>
      <c r="N1749" s="7"/>
    </row>
    <row r="1750">
      <c r="A1750" s="7" t="str">
        <f>IFERROR(__xludf.DUMMYFUNCTION("""COMPUTED_VALUE"""),"285-MAIN")</f>
        <v>285-MAIN</v>
      </c>
      <c r="B1750" s="7" t="str">
        <f>IFERROR(__xludf.DUMMYFUNCTION("""COMPUTED_VALUE"""),"Cultural Learning-Based Culture Adaptation of Language Models")</f>
        <v>Cultural Learning-Based Culture Adaptation of Language Models</v>
      </c>
      <c r="C1750" s="7" t="str">
        <f>IFERROR(__xludf.DUMMYFUNCTION("""COMPUTED_VALUE"""),"Adapting large language models (LLMs) to diverse cultural values is a challenging task, as existing LLMs often reflect the values of specific groups by default, and potentially cause harm to others. In this paper, we present CLCA, a novel framework for en"&amp;"hancing LLM alignment with cultural values based on cultural learning. The framework leverages simulated social interactions to generate conversations in which LLMs engage in role-playing within culturally adapted social scenarios, capturing implicit cult"&amp;"ural norms for model fine-tuning. CLCA improves cultural value alignment across various model architectures measured using World Value Survey data, demonstrating the effectiveness of our proposed approach. Our results provide early evidence that understan"&amp;"ding intent and social interactions can enhance cultural value adaptation in LLMs, highlighting the promise of training approaches based on cultural learning.")</f>
        <v>Adapting large language models (LLMs) to diverse cultural values is a challenging task, as existing LLMs often reflect the values of specific groups by default, and potentially cause harm to others. In this paper, we present CLCA, a novel framework for enhancing LLM alignment with cultural values based on cultural learning. The framework leverages simulated social interactions to generate conversations in which LLMs engage in role-playing within culturally adapted social scenarios, capturing implicit cultural norms for model fine-tuning. CLCA improves cultural value alignment across various model architectures measured using World Value Survey data, demonstrating the effectiveness of our proposed approach. Our results provide early evidence that understanding intent and social interactions can enhance cultural value adaptation in LLMs, highlighting the promise of training approaches based on cultural learning.</v>
      </c>
      <c r="D1750" s="7" t="str">
        <f>IFERROR(__xludf.DUMMYFUNCTION("""COMPUTED_VALUE"""),"Chen Cecilia Liu [prefer poster presentation]")</f>
        <v>Chen Cecilia Liu [prefer poster presentation]</v>
      </c>
      <c r="E1750" s="7" t="str">
        <f>IFERROR(__xludf.DUMMYFUNCTION("""COMPUTED_VALUE"""),"Yes")</f>
        <v>Yes</v>
      </c>
      <c r="F1750" s="7" t="str">
        <f>IFERROR(__xludf.DUMMYFUNCTION("""COMPUTED_VALUE"""),"IP-Poster")</f>
        <v>IP-Poster</v>
      </c>
      <c r="G1750" s="7" t="str">
        <f>IFERROR(__xludf.DUMMYFUNCTION("""COMPUTED_VALUE"""),"In-Person")</f>
        <v>In-Person</v>
      </c>
      <c r="H1750" s="7" t="str">
        <f>IFERROR(__xludf.DUMMYFUNCTION("""COMPUTED_VALUE"""),"Hall 4/5")</f>
        <v>Hall 4/5</v>
      </c>
      <c r="I1750" s="7" t="str">
        <f>IFERROR(__xludf.DUMMYFUNCTION("""COMPUTED_VALUE"""),"Session 2: IP-Posters ")</f>
        <v>Session 2: IP-Posters </v>
      </c>
      <c r="J1750" s="7" t="str">
        <f>IFERROR(__xludf.DUMMYFUNCTION("""COMPUTED_VALUE"""),"Poster Session 1")</f>
        <v>Poster Session 1</v>
      </c>
      <c r="K1750" s="7"/>
      <c r="L1750" s="8">
        <f>IFERROR(__xludf.DUMMYFUNCTION("""COMPUTED_VALUE"""),45866.0)</f>
        <v>45866</v>
      </c>
      <c r="M1750" s="7" t="str">
        <f>IFERROR(__xludf.DUMMYFUNCTION("""COMPUTED_VALUE"""),"11:00-12:30")</f>
        <v>11:00-12:30</v>
      </c>
      <c r="N1750" s="7"/>
    </row>
    <row r="1751">
      <c r="A1751" s="7" t="str">
        <f>IFERROR(__xludf.DUMMYFUNCTION("""COMPUTED_VALUE"""),"286-MAIN")</f>
        <v>286-MAIN</v>
      </c>
      <c r="B1751" s="7" t="str">
        <f>IFERROR(__xludf.DUMMYFUNCTION("""COMPUTED_VALUE"""),"A-TASC: Asian TED-Based Automatic Subtitling Corpus")</f>
        <v>A-TASC: Asian TED-Based Automatic Subtitling Corpus</v>
      </c>
      <c r="C1751" s="7" t="str">
        <f>IFERROR(__xludf.DUMMYFUNCTION("""COMPUTED_VALUE"""),"Subtitles play a crucial role in improving the accessibility of the vast amount of audiovisual content available on the Internet, allowing audiences worldwide to comprehend and engage with this content in various languages. Automatic subtitling (AS) syste"&amp;"ms are essential for alleviating the substantial workload of human transcribers and translators. However, existing AS corpora and the primary metric SubER focus on European languages. This paper introduces A-TASC, an Asian TED-based automatic subtitling c"&amp;"orpus derived from English TED Talks, comprising nearly 800 hours of audio segments, aligned English transcripts, and subtitles in Chinese, Japanese, Korean, and Vietnamese. We then present SacreSubER, a modification of SubER, to enable the reliable evalu"&amp;"ation of subtitle quality for languages without explicit word boundaries. Experimental results, using both end-to-end systems and pipeline approaches built on strong ASR and LLM components, validate the quality of the proposed corpus and reveal difference"&amp;"s in AS performance between European and Asian languages. The code to build our corpus is released.")</f>
        <v>Subtitles play a crucial role in improving the accessibility of the vast amount of audiovisual content available on the Internet, allowing audiences worldwide to comprehend and engage with this content in various languages. Automatic subtitling (AS) systems are essential for alleviating the substantial workload of human transcribers and translators. However, existing AS corpora and the primary metric SubER focus on European languages. This paper introduces A-TASC, an Asian TED-based automatic subtitling corpus derived from English TED Talks, comprising nearly 800 hours of audio segments, aligned English transcripts, and subtitles in Chinese, Japanese, Korean, and Vietnamese. We then present SacreSubER, a modification of SubER, to enable the reliable evaluation of subtitle quality for languages without explicit word boundaries. Experimental results, using both end-to-end systems and pipeline approaches built on strong ASR and LLM components, validate the quality of the proposed corpus and reveal differences in AS performance between European and Asian languages. The code to build our corpus is released.</v>
      </c>
      <c r="D1751" s="7" t="str">
        <f>IFERROR(__xludf.DUMMYFUNCTION("""COMPUTED_VALUE"""),"Yuhan Zhou")</f>
        <v>Yuhan Zhou</v>
      </c>
      <c r="E1751" s="7" t="str">
        <f>IFERROR(__xludf.DUMMYFUNCTION("""COMPUTED_VALUE"""),"Yes")</f>
        <v>Yes</v>
      </c>
      <c r="F1751" s="7" t="str">
        <f>IFERROR(__xludf.DUMMYFUNCTION("""COMPUTED_VALUE"""),"IP-Poster")</f>
        <v>IP-Poster</v>
      </c>
      <c r="G1751" s="7" t="str">
        <f>IFERROR(__xludf.DUMMYFUNCTION("""COMPUTED_VALUE"""),"In-Person")</f>
        <v>In-Person</v>
      </c>
      <c r="H1751" s="7" t="str">
        <f>IFERROR(__xludf.DUMMYFUNCTION("""COMPUTED_VALUE"""),"Hall 4/5")</f>
        <v>Hall 4/5</v>
      </c>
      <c r="I1751" s="7" t="str">
        <f>IFERROR(__xludf.DUMMYFUNCTION("""COMPUTED_VALUE"""),"Session 2: IP-Posters ")</f>
        <v>Session 2: IP-Posters </v>
      </c>
      <c r="J1751" s="7" t="str">
        <f>IFERROR(__xludf.DUMMYFUNCTION("""COMPUTED_VALUE"""),"Poster Session 1")</f>
        <v>Poster Session 1</v>
      </c>
      <c r="K1751" s="7"/>
      <c r="L1751" s="8">
        <f>IFERROR(__xludf.DUMMYFUNCTION("""COMPUTED_VALUE"""),45866.0)</f>
        <v>45866</v>
      </c>
      <c r="M1751" s="7" t="str">
        <f>IFERROR(__xludf.DUMMYFUNCTION("""COMPUTED_VALUE"""),"11:00-12:30")</f>
        <v>11:00-12:30</v>
      </c>
      <c r="N1751" s="7"/>
    </row>
    <row r="1752">
      <c r="A1752" s="7" t="str">
        <f>IFERROR(__xludf.DUMMYFUNCTION("""COMPUTED_VALUE"""),"287-MAIN")</f>
        <v>287-MAIN</v>
      </c>
      <c r="B1752" s="7" t="str">
        <f>IFERROR(__xludf.DUMMYFUNCTION("""COMPUTED_VALUE"""),"Refuse Whenever You Feel Unsafe: Improving Safety in LLMs via Decoupled Refusal Training")</f>
        <v>Refuse Whenever You Feel Unsafe: Improving Safety in LLMs via Decoupled Refusal Training</v>
      </c>
      <c r="C1752" s="7" t="str">
        <f>IFERROR(__xludf.DUMMYFUNCTION("""COMPUTED_VALUE"""),"This study addresses a critical gap in safety tuning practices for Large Language Models (LLMs) by identifying and tackling a refusal position bias within safety tuning data, which compromises the models' ability to appropriately refuse generating unsafe "&amp;"content. We introduce a novel approach, \textbf{De}coupled \textbf{R}efusal \textbf{T}r\textbf{a}ining (DeRTa), designed to empower LLMs to refuse compliance to harmful prompts at any response position, significantly enhancing their safety capabilities. D"&amp;"eRTa incorporates two novel components: (1) Maximum Likelihood Estimation (MLE) with Harmful Response Prefix, which trains models to recognize and avoid unsafe content by appending a segment of harmful response to the beginning of a safe response, and (2)"&amp;" Reinforced Transition Optimization (RTO), which equips models with the ability to transition from potential harm to safety refusal consistently throughout the harmful response sequence. Our empirical evaluation, conducted using LLaMA3 and Mistral model f"&amp;"amilies across six attack scenarios, demonstrates that our method not only improves model safety without compromising performance but also surpasses baseline methods in defending against attacks.")</f>
        <v>This study addresses a critical gap in safety tuning practices for Large Language Models (LLMs) by identifying and tackling a refusal position bias within safety tuning data, which compromises the models' ability to appropriately refuse generating unsafe content. We introduce a novel approach, \textbf{De}coupled \textbf{R}efusal \textbf{T}r\textbf{a}ining (DeRTa), designed to empower LLMs to refuse compliance to harmful prompts at any response position, significantly enhancing their safety capabilities. DeRTa incorporates two novel components: (1) Maximum Likelihood Estimation (MLE) with Harmful Response Prefix, which trains models to recognize and avoid unsafe content by appending a segment of harmful response to the beginning of a safe response, and (2) Reinforced Transition Optimization (RTO), which equips models with the ability to transition from potential harm to safety refusal consistently throughout the harmful response sequence. Our empirical evaluation, conducted using LLaMA3 and Mistral model families across six attack scenarios, demonstrates that our method not only improves model safety without compromising performance but also surpasses baseline methods in defending against attacks.</v>
      </c>
      <c r="D1752" s="7" t="str">
        <f>IFERROR(__xludf.DUMMYFUNCTION("""COMPUTED_VALUE"""),"Youliang Yuan")</f>
        <v>Youliang Yuan</v>
      </c>
      <c r="E1752" s="7" t="str">
        <f>IFERROR(__xludf.DUMMYFUNCTION("""COMPUTED_VALUE"""),"Yes")</f>
        <v>Yes</v>
      </c>
      <c r="F1752" s="7" t="str">
        <f>IFERROR(__xludf.DUMMYFUNCTION("""COMPUTED_VALUE"""),"IP-Poster")</f>
        <v>IP-Poster</v>
      </c>
      <c r="G1752" s="7" t="str">
        <f>IFERROR(__xludf.DUMMYFUNCTION("""COMPUTED_VALUE"""),"In-Person")</f>
        <v>In-Person</v>
      </c>
      <c r="H1752" s="7" t="str">
        <f>IFERROR(__xludf.DUMMYFUNCTION("""COMPUTED_VALUE"""),"Hall 4/5")</f>
        <v>Hall 4/5</v>
      </c>
      <c r="I1752" s="7" t="str">
        <f>IFERROR(__xludf.DUMMYFUNCTION("""COMPUTED_VALUE"""),"Session 2: IP-Posters ")</f>
        <v>Session 2: IP-Posters </v>
      </c>
      <c r="J1752" s="7" t="str">
        <f>IFERROR(__xludf.DUMMYFUNCTION("""COMPUTED_VALUE"""),"Poster Session 1")</f>
        <v>Poster Session 1</v>
      </c>
      <c r="K1752" s="7"/>
      <c r="L1752" s="8">
        <f>IFERROR(__xludf.DUMMYFUNCTION("""COMPUTED_VALUE"""),45866.0)</f>
        <v>45866</v>
      </c>
      <c r="M1752" s="7" t="str">
        <f>IFERROR(__xludf.DUMMYFUNCTION("""COMPUTED_VALUE"""),"11:00-12:30")</f>
        <v>11:00-12:30</v>
      </c>
      <c r="N1752" s="7"/>
    </row>
    <row r="1753">
      <c r="A1753" s="7" t="str">
        <f>IFERROR(__xludf.DUMMYFUNCTION("""COMPUTED_VALUE"""),"291-MAIN")</f>
        <v>291-MAIN</v>
      </c>
      <c r="B1753" s="7" t="str">
        <f>IFERROR(__xludf.DUMMYFUNCTION("""COMPUTED_VALUE"""),"Token Prepending: A Training-Free Approach for Eliciting Better Sentence Embeddings from LLMs")</f>
        <v>Token Prepending: A Training-Free Approach for Eliciting Better Sentence Embeddings from LLMs</v>
      </c>
      <c r="C1753" s="7" t="str">
        <f>IFERROR(__xludf.DUMMYFUNCTION("""COMPUTED_VALUE"""),"Extracting sentence embeddings from large language models (LLMs) is a promising direction, as LLMs have demonstrated stronger semantic understanding capabilities. 
Previous studies typically focus on prompt engineering to elicit sentence embeddings from L"&amp;"LMs by prompting the model to encode sentence information into the embedding of the last token.
However, LLMs are mostly decoder-only models with causal attention and the earlier tokens in the sentence cannot attend to the latter tokens, resulting in bias"&amp;"ed encoding of sentence information and cascading effects on the final decoded token.
To this end, we propose a novel Token Prepending (TP) technique that prepends each layer's decoded sentence embedding to the beginning of the sentence in the next layer'"&amp;"s input, allowing earlier tokens to attend to the complete sentence information under the causal attention mechanism.
The proposed TP technique is a plug-and-play and training-free technique, which means it can be seamlessly integrated with various prompt"&amp;"-based sentence embedding methods and autoregressive LLMs.
Extensive experiments on various Semantic Textual Similarity (STS) tasks and downstream classification tasks demonstrate that our proposed TP technique can significantly improve the performance of"&amp;" existing prompt-based sentence embedding methods across different LLMs, while incurring negligible additional inference cost.")</f>
        <v>Extracting sentence embeddings from large language models (LLMs) is a promising direction, as LLMs have demonstrated stronger semantic understanding capabilities. 
Previous studies typically focus on prompt engineering to elicit sentence embeddings from LLMs by prompting the model to encode sentence information into the embedding of the last token.
However, LLMs are mostly decoder-only models with causal attention and the earlier tokens in the sentence cannot attend to the latter tokens, resulting in biased encoding of sentence information and cascading effects on the final decoded token.
To this end, we propose a novel Token Prepending (TP) technique that prepends each layer's decoded sentence embedding to the beginning of the sentence in the next layer's input, allowing earlier tokens to attend to the complete sentence information under the causal attention mechanism.
The proposed TP technique is a plug-and-play and training-free technique, which means it can be seamlessly integrated with various prompt-based sentence embedding methods and autoregressive LLMs.
Extensive experiments on various Semantic Textual Similarity (STS) tasks and downstream classification tasks demonstrate that our proposed TP technique can significantly improve the performance of existing prompt-based sentence embedding methods across different LLMs, while incurring negligible additional inference cost.</v>
      </c>
      <c r="D1753" s="7" t="str">
        <f>IFERROR(__xludf.DUMMYFUNCTION("""COMPUTED_VALUE"""),"Yuchen Fu")</f>
        <v>Yuchen Fu</v>
      </c>
      <c r="E1753" s="7" t="str">
        <f>IFERROR(__xludf.DUMMYFUNCTION("""COMPUTED_VALUE"""),"Yes")</f>
        <v>Yes</v>
      </c>
      <c r="F1753" s="7" t="str">
        <f>IFERROR(__xludf.DUMMYFUNCTION("""COMPUTED_VALUE"""),"IP-Oral")</f>
        <v>IP-Oral</v>
      </c>
      <c r="G1753" s="7" t="str">
        <f>IFERROR(__xludf.DUMMYFUNCTION("""COMPUTED_VALUE"""),"In-Person")</f>
        <v>In-Person</v>
      </c>
      <c r="H1753" s="7" t="str">
        <f>IFERROR(__xludf.DUMMYFUNCTION("""COMPUTED_VALUE"""),"Room 1.86")</f>
        <v>Room 1.86</v>
      </c>
      <c r="I1753" s="7" t="str">
        <f>IFERROR(__xludf.DUMMYFUNCTION("""COMPUTED_VALUE"""),"Session 3: IP-Orals")</f>
        <v>Session 3: IP-Orals</v>
      </c>
      <c r="J1753" s="7" t="str">
        <f>IFERROR(__xludf.DUMMYFUNCTION("""COMPUTED_VALUE"""),"Semantics")</f>
        <v>Semantics</v>
      </c>
      <c r="K1753" s="7"/>
      <c r="L1753" s="8">
        <f>IFERROR(__xludf.DUMMYFUNCTION("""COMPUTED_VALUE"""),45866.0)</f>
        <v>45866</v>
      </c>
      <c r="M1753" s="7" t="str">
        <f>IFERROR(__xludf.DUMMYFUNCTION("""COMPUTED_VALUE"""),"14:00-15:30")</f>
        <v>14:00-15:30</v>
      </c>
      <c r="N1753" s="7">
        <f>IFERROR(__xludf.DUMMYFUNCTION("""COMPUTED_VALUE"""),1.0)</f>
        <v>1</v>
      </c>
    </row>
    <row r="1754">
      <c r="A1754" s="7" t="str">
        <f>IFERROR(__xludf.DUMMYFUNCTION("""COMPUTED_VALUE"""),"292-MAIN")</f>
        <v>292-MAIN</v>
      </c>
      <c r="B1754" s="7" t="str">
        <f>IFERROR(__xludf.DUMMYFUNCTION("""COMPUTED_VALUE"""),"No Questions are Stupid, but some are Poorly Posed: Understanding Poorly-Posed Information-Seeking Questions")</f>
        <v>No Questions are Stupid, but some are Poorly Posed: Understanding Poorly-Posed Information-Seeking Questions</v>
      </c>
      <c r="C1754" s="7" t="str">
        <f>IFERROR(__xludf.DUMMYFUNCTION("""COMPUTED_VALUE"""),"Questions help unlock information to satisfy users' information needs. However, when the question is poorly posed, answerers (whether human or computer) may struggle to answer the question in a way that satisfies the asker, despite possibly knowing everyt"&amp;"hing necessary to address the asker's latent information need. Using Reddit question-answer interactions from r/NoStupidQuestions, we develop a computational framework grounded in linguistic theory to study poorly-posedness of questions by generating spac"&amp;"es of potential interpretations of questions and computing distributions over these spaces based on interpretations chosen by both human answerers in the Reddit question thread, as well as by a suite of large language models. Both humans and models strugg"&amp;"le to converge on dominant interpretations when faced with poorly-posed questions, but employ different strategies: humans focus on specific interpretations through question negotiation, while models attempt comprehensive coverage by addressing many inter"&amp;"pretations simultaneously.")</f>
        <v>Questions help unlock information to satisfy users' information needs. However, when the question is poorly posed, answerers (whether human or computer) may struggle to answer the question in a way that satisfies the asker, despite possibly knowing everything necessary to address the asker's latent information need. Using Reddit question-answer interactions from r/NoStupidQuestions, we develop a computational framework grounded in linguistic theory to study poorly-posedness of questions by generating spaces of potential interpretations of questions and computing distributions over these spaces based on interpretations chosen by both human answerers in the Reddit question thread, as well as by a suite of large language models. Both humans and models struggle to converge on dominant interpretations when faced with poorly-posed questions, but employ different strategies: humans focus on specific interpretations through question negotiation, while models attempt comprehensive coverage by addressing many interpretations simultaneously.</v>
      </c>
      <c r="D1754" s="7" t="str">
        <f>IFERROR(__xludf.DUMMYFUNCTION("""COMPUTED_VALUE"""),"Neha Srikanth")</f>
        <v>Neha Srikanth</v>
      </c>
      <c r="E1754" s="7" t="str">
        <f>IFERROR(__xludf.DUMMYFUNCTION("""COMPUTED_VALUE"""),"Yes")</f>
        <v>Yes</v>
      </c>
      <c r="F1754" s="7" t="str">
        <f>IFERROR(__xludf.DUMMYFUNCTION("""COMPUTED_VALUE"""),"IP-Poster")</f>
        <v>IP-Poster</v>
      </c>
      <c r="G1754" s="7" t="str">
        <f>IFERROR(__xludf.DUMMYFUNCTION("""COMPUTED_VALUE"""),"In-Person")</f>
        <v>In-Person</v>
      </c>
      <c r="H1754" s="7" t="str">
        <f>IFERROR(__xludf.DUMMYFUNCTION("""COMPUTED_VALUE"""),"Hall 4/5")</f>
        <v>Hall 4/5</v>
      </c>
      <c r="I1754" s="7" t="str">
        <f>IFERROR(__xludf.DUMMYFUNCTION("""COMPUTED_VALUE"""),"Session 12: IP-Posters")</f>
        <v>Session 12: IP-Posters</v>
      </c>
      <c r="J1754" s="7" t="str">
        <f>IFERROR(__xludf.DUMMYFUNCTION("""COMPUTED_VALUE"""),"Poster Session 4")</f>
        <v>Poster Session 4</v>
      </c>
      <c r="K1754" s="7"/>
      <c r="L1754" s="8">
        <f>IFERROR(__xludf.DUMMYFUNCTION("""COMPUTED_VALUE"""),45868.0)</f>
        <v>45868</v>
      </c>
      <c r="M1754" s="7" t="str">
        <f>IFERROR(__xludf.DUMMYFUNCTION("""COMPUTED_VALUE"""),"11:00-12:30")</f>
        <v>11:00-12:30</v>
      </c>
      <c r="N1754" s="7"/>
    </row>
    <row r="1755">
      <c r="A1755" s="7" t="str">
        <f>IFERROR(__xludf.DUMMYFUNCTION("""COMPUTED_VALUE"""),"293-MAIN")</f>
        <v>293-MAIN</v>
      </c>
      <c r="B1755" s="7" t="str">
        <f>IFERROR(__xludf.DUMMYFUNCTION("""COMPUTED_VALUE"""),"Understanding Common Ground Misalignment in Goal-Oriented Dialog: A Case-Study with Ubuntu Chat Logs")</f>
        <v>Understanding Common Ground Misalignment in Goal-Oriented Dialog: A Case-Study with Ubuntu Chat Logs</v>
      </c>
      <c r="C1755" s="7" t="str">
        <f>IFERROR(__xludf.DUMMYFUNCTION("""COMPUTED_VALUE"""),"While it is commonly accepted that maintaining common ground plays a role in conversational success, little prior research exists connecting conversational grounding to success in task-oriented conversations. We study failures of grounding in the Ubuntu I"&amp;"RC dataset, where participants use text-only communication to resolve technical issues. We find that disruptions in conversational flow often stem from a misalignment in common ground, driven by a divergence in beliefs and assumptions held by participants"&amp;". These disruptions, which we call conversational friction, significantly correlate with task success. While LLMs can identify overt cases of conversational friction, they struggle with subtler and more context-dependent instances that require pragmatic o"&amp;"r domain-specific reasoning.")</f>
        <v>While it is commonly accepted that maintaining common ground plays a role in conversational success, little prior research exists connecting conversational grounding to success in task-oriented conversations. We study failures of grounding in the Ubuntu IRC dataset, where participants use text-only communication to resolve technical issues. We find that disruptions in conversational flow often stem from a misalignment in common ground, driven by a divergence in beliefs and assumptions held by participants. These disruptions, which we call conversational friction, significantly correlate with task success. While LLMs can identify overt cases of conversational friction, they struggle with subtler and more context-dependent instances that require pragmatic or domain-specific reasoning.</v>
      </c>
      <c r="D1755" s="7" t="str">
        <f>IFERROR(__xludf.DUMMYFUNCTION("""COMPUTED_VALUE"""),"Philip Resnik")</f>
        <v>Philip Resnik</v>
      </c>
      <c r="E1755" s="7" t="str">
        <f>IFERROR(__xludf.DUMMYFUNCTION("""COMPUTED_VALUE"""),"Yes")</f>
        <v>Yes</v>
      </c>
      <c r="F1755" s="7" t="str">
        <f>IFERROR(__xludf.DUMMYFUNCTION("""COMPUTED_VALUE"""),"IP-Oral")</f>
        <v>IP-Oral</v>
      </c>
      <c r="G1755" s="7" t="str">
        <f>IFERROR(__xludf.DUMMYFUNCTION("""COMPUTED_VALUE"""),"In-Person")</f>
        <v>In-Person</v>
      </c>
      <c r="H1755" s="7" t="str">
        <f>IFERROR(__xludf.DUMMYFUNCTION("""COMPUTED_VALUE"""),"Hall N.1")</f>
        <v>Hall N.1</v>
      </c>
      <c r="I1755" s="7" t="str">
        <f>IFERROR(__xludf.DUMMYFUNCTION("""COMPUTED_VALUE"""),"Session 9: IP-Orals")</f>
        <v>Session 9: IP-Orals</v>
      </c>
      <c r="J1755" s="7" t="str">
        <f>IFERROR(__xludf.DUMMYFUNCTION("""COMPUTED_VALUE"""),"Dialogue and Interactive Systems")</f>
        <v>Dialogue and Interactive Systems</v>
      </c>
      <c r="K1755" s="7"/>
      <c r="L1755" s="8">
        <f>IFERROR(__xludf.DUMMYFUNCTION("""COMPUTED_VALUE"""),45867.0)</f>
        <v>45867</v>
      </c>
      <c r="M1755" s="7" t="str">
        <f>IFERROR(__xludf.DUMMYFUNCTION("""COMPUTED_VALUE"""),"14:00-15:30")</f>
        <v>14:00-15:30</v>
      </c>
      <c r="N1755" s="7">
        <f>IFERROR(__xludf.DUMMYFUNCTION("""COMPUTED_VALUE"""),6.0)</f>
        <v>6</v>
      </c>
    </row>
    <row r="1756">
      <c r="A1756" s="7" t="str">
        <f>IFERROR(__xludf.DUMMYFUNCTION("""COMPUTED_VALUE"""),"297-MAIN")</f>
        <v>297-MAIN</v>
      </c>
      <c r="B1756" s="7" t="str">
        <f>IFERROR(__xludf.DUMMYFUNCTION("""COMPUTED_VALUE"""),"Grounded, or a Good Guesser? A Per-Question Balanced Dataset to Separate Blind from Grounded Models for Embodied Question Answering")</f>
        <v>Grounded, or a Good Guesser? A Per-Question Balanced Dataset to Separate Blind from Grounded Models for Embodied Question Answering</v>
      </c>
      <c r="C1756" s="7" t="str">
        <f>IFERROR(__xludf.DUMMYFUNCTION("""COMPUTED_VALUE"""),"Embodied question answering (EQA) means using *perception of* and *action in* an environment to answer natural language questions about that environment. However, previous work has demonstrated that blind language models (which do not incorporate percepti"&amp;"on, but predict an answer based solely on the question text) are a strong baseline for existing benchmarks, even compared against state-of-the-art vision and language models. To determine whether a model is grounding its answers in its specific environmen"&amp;"t, rather than relying on a language model's expectations about the world generally, we propose PQB-EQA, a *per-question balanced* EQA dataset. In this new benchmark, every question appears twice, paired with two different environments that yield two diff"&amp;"erent answers. That is, the answer distribution is balanced for each question, not just across the whole dataset. We show both theoretically and empirically that grounding in the environment is necessary to perform better than chance on PQB-EQA.")</f>
        <v>Embodied question answering (EQA) means using *perception of* and *action in* an environment to answer natural language questions about that environment. However, previous work has demonstrated that blind language models (which do not incorporate perception, but predict an answer based solely on the question text) are a strong baseline for existing benchmarks, even compared against state-of-the-art vision and language models. To determine whether a model is grounding its answers in its specific environment, rather than relying on a language model's expectations about the world generally, we propose PQB-EQA, a *per-question balanced* EQA dataset. In this new benchmark, every question appears twice, paired with two different environments that yield two different answers. That is, the answer distribution is balanced for each question, not just across the whole dataset. We show both theoretically and empirically that grounding in the environment is necessary to perform better than chance on PQB-EQA.</v>
      </c>
      <c r="D1756" s="7" t="str">
        <f>IFERROR(__xludf.DUMMYFUNCTION("""COMPUTED_VALUE"""),"Catherine Finegan-Dollak")</f>
        <v>Catherine Finegan-Dollak</v>
      </c>
      <c r="E1756" s="7" t="str">
        <f>IFERROR(__xludf.DUMMYFUNCTION("""COMPUTED_VALUE"""),"Yes")</f>
        <v>Yes</v>
      </c>
      <c r="F1756" s="7" t="str">
        <f>IFERROR(__xludf.DUMMYFUNCTION("""COMPUTED_VALUE"""),"IP-Poster")</f>
        <v>IP-Poster</v>
      </c>
      <c r="G1756" s="7" t="str">
        <f>IFERROR(__xludf.DUMMYFUNCTION("""COMPUTED_VALUE"""),"In-Person")</f>
        <v>In-Person</v>
      </c>
      <c r="H1756" s="7" t="str">
        <f>IFERROR(__xludf.DUMMYFUNCTION("""COMPUTED_VALUE"""),"Hall 4/5")</f>
        <v>Hall 4/5</v>
      </c>
      <c r="I1756" s="7" t="str">
        <f>IFERROR(__xludf.DUMMYFUNCTION("""COMPUTED_VALUE"""),"Session 10: IP-Posters")</f>
        <v>Session 10: IP-Posters</v>
      </c>
      <c r="J1756" s="7" t="str">
        <f>IFERROR(__xludf.DUMMYFUNCTION("""COMPUTED_VALUE"""),"Poster Session 3")</f>
        <v>Poster Session 3</v>
      </c>
      <c r="K1756" s="7"/>
      <c r="L1756" s="8">
        <f>IFERROR(__xludf.DUMMYFUNCTION("""COMPUTED_VALUE"""),45867.0)</f>
        <v>45867</v>
      </c>
      <c r="M1756" s="7" t="str">
        <f>IFERROR(__xludf.DUMMYFUNCTION("""COMPUTED_VALUE"""),"16:00-17:30")</f>
        <v>16:00-17:30</v>
      </c>
      <c r="N1756" s="7"/>
    </row>
    <row r="1757">
      <c r="A1757" s="7" t="str">
        <f>IFERROR(__xludf.DUMMYFUNCTION("""COMPUTED_VALUE"""),"300-MAIN")</f>
        <v>300-MAIN</v>
      </c>
      <c r="B1757" s="7" t="str">
        <f>IFERROR(__xludf.DUMMYFUNCTION("""COMPUTED_VALUE"""),"Addressing Blind Guessing: Calibration of Selection Bias in Multiple-Choice Question Answering by Video Language Models")</f>
        <v>Addressing Blind Guessing: Calibration of Selection Bias in Multiple-Choice Question Answering by Video Language Models</v>
      </c>
      <c r="C1757" s="7" t="str">
        <f>IFERROR(__xludf.DUMMYFUNCTION("""COMPUTED_VALUE"""),"Evaluating Video Language Models (VLMs) is a challenging task. Due to its transparency, Multiple-Choice Question Answering (MCQA) is widely used to measure the performance of these models through accuracy. However, existing MCQA benchmarks fail to capture"&amp;" the full reasoning capabilities of VLMs due to selection bias, when models disproportionately favor certain answer options based on positional patterns observed during training. In this work, we conduct a comprehensive empirical analysis of several VLM a"&amp;"rchitectures across major datasets designed to assess complex video-focused reasoning. We identify where the bias is most pronounced and demonstrate to what extent model responses reflect genuine understanding of video content and related questions, as op"&amp;"posed to reliance on arbitrary patterns or superficial cues, such as answer position. By decomposing the MCQA task and adapting fairness bias metrics to VLMs, we introduce a post-processing calibration technique BOLD to balance this bias. Our results show"&amp;" that reducing selection bias improves not only debiasing metrics but also overall model performance, including Accuracy and F1 Mean score. Our method, by suppressing ""blind guessing"", offers a more cost- and time-effective approach to mitigating select"&amp;"ion bias compared to existing techniques. This study represents the first focused investigation of selection bias in video-to-text LLM-powered models.")</f>
        <v>Evaluating Video Language Models (VLMs) is a challenging task. Due to its transparency, Multiple-Choice Question Answering (MCQA) is widely used to measure the performance of these models through accuracy. However, existing MCQA benchmarks fail to capture the full reasoning capabilities of VLMs due to selection bias, when models disproportionately favor certain answer options based on positional patterns observed during training. In this work, we conduct a comprehensive empirical analysis of several VLM architectures across major datasets designed to assess complex video-focused reasoning. We identify where the bias is most pronounced and demonstrate to what extent model responses reflect genuine understanding of video content and related questions, as opposed to reliance on arbitrary patterns or superficial cues, such as answer position. By decomposing the MCQA task and adapting fairness bias metrics to VLMs, we introduce a post-processing calibration technique BOLD to balance this bias. Our results show that reducing selection bias improves not only debiasing metrics but also overall model performance, including Accuracy and F1 Mean score. Our method, by suppressing "blind guessing", offers a more cost- and time-effective approach to mitigating selection bias compared to existing techniques. This study represents the first focused investigation of selection bias in video-to-text LLM-powered models.</v>
      </c>
      <c r="D1757" s="7" t="str">
        <f>IFERROR(__xludf.DUMMYFUNCTION("""COMPUTED_VALUE"""),"Oleksandr Bezrukov")</f>
        <v>Oleksandr Bezrukov</v>
      </c>
      <c r="E1757" s="7" t="str">
        <f>IFERROR(__xludf.DUMMYFUNCTION("""COMPUTED_VALUE"""),"Yes")</f>
        <v>Yes</v>
      </c>
      <c r="F1757" s="7" t="str">
        <f>IFERROR(__xludf.DUMMYFUNCTION("""COMPUTED_VALUE"""),"IP-Poster")</f>
        <v>IP-Poster</v>
      </c>
      <c r="G1757" s="7" t="str">
        <f>IFERROR(__xludf.DUMMYFUNCTION("""COMPUTED_VALUE"""),"In-Person")</f>
        <v>In-Person</v>
      </c>
      <c r="H1757" s="7" t="str">
        <f>IFERROR(__xludf.DUMMYFUNCTION("""COMPUTED_VALUE"""),"Hall 4/5")</f>
        <v>Hall 4/5</v>
      </c>
      <c r="I1757" s="7" t="str">
        <f>IFERROR(__xludf.DUMMYFUNCTION("""COMPUTED_VALUE"""),"Session 12: IP-Posters")</f>
        <v>Session 12: IP-Posters</v>
      </c>
      <c r="J1757" s="7" t="str">
        <f>IFERROR(__xludf.DUMMYFUNCTION("""COMPUTED_VALUE"""),"Poster Session 4")</f>
        <v>Poster Session 4</v>
      </c>
      <c r="K1757" s="7"/>
      <c r="L1757" s="8">
        <f>IFERROR(__xludf.DUMMYFUNCTION("""COMPUTED_VALUE"""),45868.0)</f>
        <v>45868</v>
      </c>
      <c r="M1757" s="7" t="str">
        <f>IFERROR(__xludf.DUMMYFUNCTION("""COMPUTED_VALUE"""),"11:00-12:30")</f>
        <v>11:00-12:30</v>
      </c>
      <c r="N1757" s="7"/>
    </row>
    <row r="1758">
      <c r="A1758" s="7" t="str">
        <f>IFERROR(__xludf.DUMMYFUNCTION("""COMPUTED_VALUE"""),"303-MAIN")</f>
        <v>303-MAIN</v>
      </c>
      <c r="B1758" s="7" t="str">
        <f>IFERROR(__xludf.DUMMYFUNCTION("""COMPUTED_VALUE"""),"Towards Reward Fairness in RLHF: From a Resource Allocation Perspective")</f>
        <v>Towards Reward Fairness in RLHF: From a Resource Allocation Perspective</v>
      </c>
      <c r="C1758" s="7" t="str">
        <f>IFERROR(__xludf.DUMMYFUNCTION("""COMPUTED_VALUE"""),"Rewards serve as proxies for human preferences and play a crucial role in Reinforcement Learning from Human Feedback (RLHF). However, if these rewards are inherently imperfect, exhibiting various biases, they can adversely affect the alignment of large la"&amp;"nguage models (LLMs). In this paper, we collectively define the various biases present in rewards as the problem of reward unfairness. We propose a bias-agnostic method to address the issue of reward fairness from a resource allocation perspective, withou"&amp;"t specifically designing for each type of bias, yet effectively mitigating them. Specifically, we model preference learning as a resource allocation problem, treating rewards as resources to be allocated while considering the trade-off between utility and"&amp;" fairness in their distribution. We propose two methods, Fairness Regularization and Fairness Coefficient, to achieve fairness in rewards. We apply our methods in both verification and reinforcement learning scenarios to obtain a fairness reward model and"&amp;" a policy model, respectively. Experiments conducted in these scenarios demonstrate that our approach aligns LLMs with human preferences in a more fair manner. Our data and code are available at
\url{https://github.com/shoyua/Towards-Reward-Fairness}.")</f>
        <v>Rewards serve as proxies for human preferences and play a crucial role in Reinforcement Learning from Human Feedback (RLHF). However, if these rewards are inherently imperfect, exhibiting various biases, they can adversely affect the alignment of large language models (LLMs). In this paper, we collectively define the various biases present in rewards as the problem of reward unfairness. We propose a bias-agnostic method to address the issue of reward fairness from a resource allocation perspective, without specifically designing for each type of bias, yet effectively mitigating them. Specifically, we model preference learning as a resource allocation problem, treating rewards as resources to be allocated while considering the trade-off between utility and fairness in their distribution. We propose two methods, Fairness Regularization and Fairness Coefficient, to achieve fairness in rewards. We apply our methods in both verification and reinforcement learning scenarios to obtain a fairness reward model and a policy model, respectively. Experiments conducted in these scenarios demonstrate that our approach aligns LLMs with human preferences in a more fair manner. Our data and code are available at
\url{https://github.com/shoyua/Towards-Reward-Fairness}.</v>
      </c>
      <c r="D1758" s="7" t="str">
        <f>IFERROR(__xludf.DUMMYFUNCTION("""COMPUTED_VALUE"""),"Sheng Ouyang")</f>
        <v>Sheng Ouyang</v>
      </c>
      <c r="E1758" s="7" t="str">
        <f>IFERROR(__xludf.DUMMYFUNCTION("""COMPUTED_VALUE"""),"Yes")</f>
        <v>Yes</v>
      </c>
      <c r="F1758" s="7" t="str">
        <f>IFERROR(__xludf.DUMMYFUNCTION("""COMPUTED_VALUE"""),"IP-Poster")</f>
        <v>IP-Poster</v>
      </c>
      <c r="G1758" s="7" t="str">
        <f>IFERROR(__xludf.DUMMYFUNCTION("""COMPUTED_VALUE"""),"In-Person")</f>
        <v>In-Person</v>
      </c>
      <c r="H1758" s="7" t="str">
        <f>IFERROR(__xludf.DUMMYFUNCTION("""COMPUTED_VALUE"""),"Hall 4/5")</f>
        <v>Hall 4/5</v>
      </c>
      <c r="I1758" s="7" t="str">
        <f>IFERROR(__xludf.DUMMYFUNCTION("""COMPUTED_VALUE"""),"Session 12: IP-Posters")</f>
        <v>Session 12: IP-Posters</v>
      </c>
      <c r="J1758" s="7" t="str">
        <f>IFERROR(__xludf.DUMMYFUNCTION("""COMPUTED_VALUE"""),"Poster Session 4")</f>
        <v>Poster Session 4</v>
      </c>
      <c r="K1758" s="7"/>
      <c r="L1758" s="8">
        <f>IFERROR(__xludf.DUMMYFUNCTION("""COMPUTED_VALUE"""),45868.0)</f>
        <v>45868</v>
      </c>
      <c r="M1758" s="7" t="str">
        <f>IFERROR(__xludf.DUMMYFUNCTION("""COMPUTED_VALUE"""),"11:00-12:30")</f>
        <v>11:00-12:30</v>
      </c>
      <c r="N1758" s="7"/>
    </row>
    <row r="1759">
      <c r="A1759" s="7" t="str">
        <f>IFERROR(__xludf.DUMMYFUNCTION("""COMPUTED_VALUE"""),"306-MAIN")</f>
        <v>306-MAIN</v>
      </c>
      <c r="B1759" s="7" t="str">
        <f>IFERROR(__xludf.DUMMYFUNCTION("""COMPUTED_VALUE"""),"Taming LLMs with Gradient Grouping")</f>
        <v>Taming LLMs with Gradient Grouping</v>
      </c>
      <c r="C1759" s="7" t="str">
        <f>IFERROR(__xludf.DUMMYFUNCTION("""COMPUTED_VALUE"""),"Training large language models (LLMs) poses challenges due to their massive scale and heterogeneous architectures. While adaptive optimizers like AdamW help address gradient variations, they still struggle with efficient and effective parameter-wise learn"&amp;"ing rate estimation, resulting in training instability, slow convergence, and poor compatibility with parameter-efficient fine-tuning (PEFT) techniques. This work introduces Scaling with Gradient Grouping (SGG), an optimizer wrapper that improves adaptive"&amp;" learning rate estimation by dynamic grouping and group-specific scaling. SGG first groups gradient statistics in each layer into clusters and then applies cluster-specific scaling to calibrate learning rates for each parameter, thus imposing collective g"&amp;"roup-wise constraints while maintaining precise per-parameter adaptation. Experiments on diverse (M)LLM benchmarks show that SGG integrates seamlessly with existing optimizers, and offers consistent gains and faster convergence over baselines, with variou"&amp;"s model sizes. Its stability across varying batch sizes and learning rates establishes SGG as a robust choice for LLM optimization.")</f>
        <v>Training large language models (LLMs) poses challenges due to their massive scale and heterogeneous architectures. While adaptive optimizers like AdamW help address gradient variations, they still struggle with efficient and effective parameter-wise learning rate estimation, resulting in training instability, slow convergence, and poor compatibility with parameter-efficient fine-tuning (PEFT) techniques. This work introduces Scaling with Gradient Grouping (SGG), an optimizer wrapper that improves adaptive learning rate estimation by dynamic grouping and group-specific scaling. SGG first groups gradient statistics in each layer into clusters and then applies cluster-specific scaling to calibrate learning rates for each parameter, thus imposing collective group-wise constraints while maintaining precise per-parameter adaptation. Experiments on diverse (M)LLM benchmarks show that SGG integrates seamlessly with existing optimizers, and offers consistent gains and faster convergence over baselines, with various model sizes. Its stability across varying batch sizes and learning rates establishes SGG as a robust choice for LLM optimization.</v>
      </c>
      <c r="D1759" s="7" t="str">
        <f>IFERROR(__xludf.DUMMYFUNCTION("""COMPUTED_VALUE"""),"Siyuan Li")</f>
        <v>Siyuan Li</v>
      </c>
      <c r="E1759" s="7" t="str">
        <f>IFERROR(__xludf.DUMMYFUNCTION("""COMPUTED_VALUE"""),"Yes")</f>
        <v>Yes</v>
      </c>
      <c r="F1759" s="7" t="str">
        <f>IFERROR(__xludf.DUMMYFUNCTION("""COMPUTED_VALUE"""),"V-Presentation")</f>
        <v>V-Presentation</v>
      </c>
      <c r="G1759" s="7" t="str">
        <f>IFERROR(__xludf.DUMMYFUNCTION("""COMPUTED_VALUE"""),"Virtual/Gather")</f>
        <v>Virtual/Gather</v>
      </c>
      <c r="H1759" s="7" t="str">
        <f>IFERROR(__xludf.DUMMYFUNCTION("""COMPUTED_VALUE"""),"Zoom")</f>
        <v>Zoom</v>
      </c>
      <c r="I1759" s="7" t="str">
        <f>IFERROR(__xludf.DUMMYFUNCTION("""COMPUTED_VALUE"""),"Session 2: V-Presentations")</f>
        <v>Session 2: V-Presentations</v>
      </c>
      <c r="J1759" s="7" t="str">
        <f>IFERROR(__xludf.DUMMYFUNCTION("""COMPUTED_VALUE"""),"Virtual Presentations 1")</f>
        <v>Virtual Presentations 1</v>
      </c>
      <c r="K1759" s="7"/>
      <c r="L1759" s="8">
        <f>IFERROR(__xludf.DUMMYFUNCTION("""COMPUTED_VALUE"""),45866.0)</f>
        <v>45866</v>
      </c>
      <c r="M1759" s="7" t="str">
        <f>IFERROR(__xludf.DUMMYFUNCTION("""COMPUTED_VALUE"""),"11:00-12:30")</f>
        <v>11:00-12:30</v>
      </c>
      <c r="N1759" s="7"/>
    </row>
    <row r="1760">
      <c r="A1760" s="7" t="str">
        <f>IFERROR(__xludf.DUMMYFUNCTION("""COMPUTED_VALUE"""),"307-MAIN")</f>
        <v>307-MAIN</v>
      </c>
      <c r="B1760" s="7" t="str">
        <f>IFERROR(__xludf.DUMMYFUNCTION("""COMPUTED_VALUE"""),"LazyReview A Dataset for Uncovering Lazy Thinking in NLP Peer Reviews")</f>
        <v>LazyReview A Dataset for Uncovering Lazy Thinking in NLP Peer Reviews</v>
      </c>
      <c r="C1760" s="7" t="str">
        <f>IFERROR(__xludf.DUMMYFUNCTION("""COMPUTED_VALUE"""),"Peer review is a cornerstone of quality control in scientific publishing. With the increasing workload, the unintended use of `quick' heuristics, referred to as \emph{lazy thinking}, has emerged as a recurring issue compromising review quality. Automated "&amp;"methods to detect such heuristics can help improve the peer-reviewing process. However, there is limited NLP research on this issue, and no real-world dataset exists to support the development of detection tools. This work introduces $\textsc{LazyReview}$"&amp;", a dataset of peer-review sentences annotated with fine-grained \emph{lazy thinking} categories. Our analysis reveals that Large Language Models (LLMs) struggle to detect these instances in a zero-shot setting. However, instruction-based fine-tuning on o"&amp;"ur dataset significantly boosts performance by 10-20 performance points, highlighting the importance of high-quality training data. Furthermore, a controlled experiment demonstrates that reviews revised with \emph{lazy thinking} feedback are more comprehe"&amp;"nsive and actionable than those written without such feedback. We will release our dataset and the enhanced guidelines that can be used to train junior reviewers in the community.")</f>
        <v>Peer review is a cornerstone of quality control in scientific publishing. With the increasing workload, the unintended use of `quick' heuristics, referred to as \emph{lazy thinking}, has emerged as a recurring issue compromising review quality. Automated methods to detect such heuristics can help improve the peer-reviewing process. However, there is limited NLP research on this issue, and no real-world dataset exists to support the development of detection tools. This work introduces $\textsc{LazyReview}$, a dataset of peer-review sentences annotated with fine-grained \emph{lazy thinking} categories. Our analysis reveals that Large Language Models (LLMs) struggle to detect these instances in a zero-shot setting. However, instruction-based fine-tuning on our dataset significantly boosts performance by 10-20 performance points, highlighting the importance of high-quality training data. Furthermore, a controlled experiment demonstrates that reviews revised with \emph{lazy thinking} feedback are more comprehensive and actionable than those written without such feedback. We will release our dataset and the enhanced guidelines that can be used to train junior reviewers in the community.</v>
      </c>
      <c r="D1760" s="7" t="str">
        <f>IFERROR(__xludf.DUMMYFUNCTION("""COMPUTED_VALUE"""),"Sukannya Purkayastha")</f>
        <v>Sukannya Purkayastha</v>
      </c>
      <c r="E1760" s="7" t="str">
        <f>IFERROR(__xludf.DUMMYFUNCTION("""COMPUTED_VALUE"""),"Yes")</f>
        <v>Yes</v>
      </c>
      <c r="F1760" s="7" t="str">
        <f>IFERROR(__xludf.DUMMYFUNCTION("""COMPUTED_VALUE"""),"IP-Poster")</f>
        <v>IP-Poster</v>
      </c>
      <c r="G1760" s="7" t="str">
        <f>IFERROR(__xludf.DUMMYFUNCTION("""COMPUTED_VALUE"""),"In-Person")</f>
        <v>In-Person</v>
      </c>
      <c r="H1760" s="7" t="str">
        <f>IFERROR(__xludf.DUMMYFUNCTION("""COMPUTED_VALUE"""),"Hall 4/5")</f>
        <v>Hall 4/5</v>
      </c>
      <c r="I1760" s="7" t="str">
        <f>IFERROR(__xludf.DUMMYFUNCTION("""COMPUTED_VALUE"""),"Session 2: IP-Posters ")</f>
        <v>Session 2: IP-Posters </v>
      </c>
      <c r="J1760" s="7" t="str">
        <f>IFERROR(__xludf.DUMMYFUNCTION("""COMPUTED_VALUE"""),"Poster Session 1")</f>
        <v>Poster Session 1</v>
      </c>
      <c r="K1760" s="7"/>
      <c r="L1760" s="8">
        <f>IFERROR(__xludf.DUMMYFUNCTION("""COMPUTED_VALUE"""),45866.0)</f>
        <v>45866</v>
      </c>
      <c r="M1760" s="7" t="str">
        <f>IFERROR(__xludf.DUMMYFUNCTION("""COMPUTED_VALUE"""),"11:00-12:30")</f>
        <v>11:00-12:30</v>
      </c>
      <c r="N1760" s="7"/>
    </row>
    <row r="1761">
      <c r="A1761" s="7" t="str">
        <f>IFERROR(__xludf.DUMMYFUNCTION("""COMPUTED_VALUE"""),"308-MAIN")</f>
        <v>308-MAIN</v>
      </c>
      <c r="B1761" s="7" t="str">
        <f>IFERROR(__xludf.DUMMYFUNCTION("""COMPUTED_VALUE"""),"Revisiting Common Assumptions about Arabic Dialects in NLP")</f>
        <v>Revisiting Common Assumptions about Arabic Dialects in NLP</v>
      </c>
      <c r="C1761" s="7" t="str">
        <f>IFERROR(__xludf.DUMMYFUNCTION("""COMPUTED_VALUE"""),"Arabic has diverse dialects, where one dialect can be substantially different from the others. In the NLP literature, some assumptions about these dialects are widely adopted (e.g., ``Arabic dialects can be grouped into distinguishable regional dialects''"&amp;") and are manifested in different computational tasks such as Arabic Dialect Identification (ADI). However, these assumptions are not quantitatively verified. We identify four of these assumptions and examine them by extending and analyzing a multi-label "&amp;"dataset, where the validity of each sentence in 11 different country-level dialects is manually assessed by speakers of these dialects. Our analysis indicates that the four assumptions oversimplify reality, and some of them are not always accurate. This i"&amp;"n turn might be hindering further progress in different Arabic NLP tasks.")</f>
        <v>Arabic has diverse dialects, where one dialect can be substantially different from the others. In the NLP literature, some assumptions about these dialects are widely adopted (e.g., ``Arabic dialects can be grouped into distinguishable regional dialects'') and are manifested in different computational tasks such as Arabic Dialect Identification (ADI). However, these assumptions are not quantitatively verified. We identify four of these assumptions and examine them by extending and analyzing a multi-label dataset, where the validity of each sentence in 11 different country-level dialects is manually assessed by speakers of these dialects. Our analysis indicates that the four assumptions oversimplify reality, and some of them are not always accurate. This in turn might be hindering further progress in different Arabic NLP tasks.</v>
      </c>
      <c r="D1761" s="7" t="str">
        <f>IFERROR(__xludf.DUMMYFUNCTION("""COMPUTED_VALUE"""),"Amr Keleg")</f>
        <v>Amr Keleg</v>
      </c>
      <c r="E1761" s="7" t="str">
        <f>IFERROR(__xludf.DUMMYFUNCTION("""COMPUTED_VALUE"""),"Yes")</f>
        <v>Yes</v>
      </c>
      <c r="F1761" s="7" t="str">
        <f>IFERROR(__xludf.DUMMYFUNCTION("""COMPUTED_VALUE"""),"IP-Poster")</f>
        <v>IP-Poster</v>
      </c>
      <c r="G1761" s="7" t="str">
        <f>IFERROR(__xludf.DUMMYFUNCTION("""COMPUTED_VALUE"""),"In-Person")</f>
        <v>In-Person</v>
      </c>
      <c r="H1761" s="7" t="str">
        <f>IFERROR(__xludf.DUMMYFUNCTION("""COMPUTED_VALUE"""),"Hall 4/5")</f>
        <v>Hall 4/5</v>
      </c>
      <c r="I1761" s="7" t="str">
        <f>IFERROR(__xludf.DUMMYFUNCTION("""COMPUTED_VALUE"""),"Session 7: IP-Posters")</f>
        <v>Session 7: IP-Posters</v>
      </c>
      <c r="J1761" s="7" t="str">
        <f>IFERROR(__xludf.DUMMYFUNCTION("""COMPUTED_VALUE"""),"Poster Session 2")</f>
        <v>Poster Session 2</v>
      </c>
      <c r="K1761" s="7"/>
      <c r="L1761" s="8">
        <f>IFERROR(__xludf.DUMMYFUNCTION("""COMPUTED_VALUE"""),45867.0)</f>
        <v>45867</v>
      </c>
      <c r="M1761" s="7" t="str">
        <f>IFERROR(__xludf.DUMMYFUNCTION("""COMPUTED_VALUE"""),"10:30-12:00")</f>
        <v>10:30-12:00</v>
      </c>
      <c r="N1761" s="7"/>
    </row>
    <row r="1762">
      <c r="A1762" s="7" t="str">
        <f>IFERROR(__xludf.DUMMYFUNCTION("""COMPUTED_VALUE"""),"310-MAIN")</f>
        <v>310-MAIN</v>
      </c>
      <c r="B1762" s="7" t="str">
        <f>IFERROR(__xludf.DUMMYFUNCTION("""COMPUTED_VALUE"""),"Retrieve to Explain: Evidence-driven Predictions for Explainable Drug Target Identification")</f>
        <v>Retrieve to Explain: Evidence-driven Predictions for Explainable Drug Target Identification</v>
      </c>
      <c r="C1762" s="7" t="str">
        <f>IFERROR(__xludf.DUMMYFUNCTION("""COMPUTED_VALUE"""),"Language models hold incredible promise for enabling scientific discovery by synthesizing massive research corpora. Many complex scientific research questions have multiple plausible answers, each supported by evidence of varying strength. However, existi"&amp;"ng language models lack the capability to quantitatively and faithfully compare answer plausibility in terms of supporting evidence. To address this, we introduce Retrieve to Explain (R2E), a retrieval-based model that scores and ranks all possible answer"&amp;"s to a research question based on evidence retrieved from a document corpus. The architecture represents each answer only in terms of its supporting evidence, with the answer itself masked. This allows us to extend feature attribution methods such as Shap"&amp;"ley values, to transparently attribute answer scores to supporting evidence at inference time. The architecture also allows incorporation of new evidence without retraining, including non-textual data modalities templated into natural language. We develop"&amp;"ed R2E for the challenging scientific discovery task of drug target identification, a human-in-the-loop process where failures are extremely costly and explainability paramount. When predicting whether drug targets will subsequently be confirmed as effica"&amp;"cious in clinical trials, R2E not only matches non-explainable literature-based models but also surpasses a genetics-based target identification approach used throughout the pharmaceutical industry.")</f>
        <v>Language models hold incredible promise for enabling scientific discovery by synthesizing massive research corpora. Many complex scientific research questions have multiple plausible answers, each supported by evidence of varying strength. However, existing language models lack the capability to quantitatively and faithfully compare answer plausibility in terms of supporting evidence. To address this, we introduce Retrieve to Explain (R2E), a retrieval-based model that scores and ranks all possible answers to a research question based on evidence retrieved from a document corpus. The architecture represents each answer only in terms of its supporting evidence, with the answer itself masked. This allows us to extend feature attribution methods such as Shapley values, to transparently attribute answer scores to supporting evidence at inference time. The architecture also allows incorporation of new evidence without retraining, including non-textual data modalities templated into natural language. We developed R2E for the challenging scientific discovery task of drug target identification, a human-in-the-loop process where failures are extremely costly and explainability paramount. When predicting whether drug targets will subsequently be confirmed as efficacious in clinical trials, R2E not only matches non-explainable literature-based models but also surpasses a genetics-based target identification approach used throughout the pharmaceutical industry.</v>
      </c>
      <c r="D1762" s="7" t="str">
        <f>IFERROR(__xludf.DUMMYFUNCTION("""COMPUTED_VALUE"""),"Ravi Patel")</f>
        <v>Ravi Patel</v>
      </c>
      <c r="E1762" s="7" t="str">
        <f>IFERROR(__xludf.DUMMYFUNCTION("""COMPUTED_VALUE"""),"Yes")</f>
        <v>Yes</v>
      </c>
      <c r="F1762" s="7" t="str">
        <f>IFERROR(__xludf.DUMMYFUNCTION("""COMPUTED_VALUE"""),"V-Presentation")</f>
        <v>V-Presentation</v>
      </c>
      <c r="G1762" s="7" t="str">
        <f>IFERROR(__xludf.DUMMYFUNCTION("""COMPUTED_VALUE"""),"Virtual/Gather")</f>
        <v>Virtual/Gather</v>
      </c>
      <c r="H1762" s="7" t="str">
        <f>IFERROR(__xludf.DUMMYFUNCTION("""COMPUTED_VALUE"""),"Zoom")</f>
        <v>Zoom</v>
      </c>
      <c r="I1762" s="7" t="str">
        <f>IFERROR(__xludf.DUMMYFUNCTION("""COMPUTED_VALUE"""),"Session 2: V-Presentations")</f>
        <v>Session 2: V-Presentations</v>
      </c>
      <c r="J1762" s="7" t="str">
        <f>IFERROR(__xludf.DUMMYFUNCTION("""COMPUTED_VALUE"""),"Virtual Presentations 1")</f>
        <v>Virtual Presentations 1</v>
      </c>
      <c r="K1762" s="7"/>
      <c r="L1762" s="8">
        <f>IFERROR(__xludf.DUMMYFUNCTION("""COMPUTED_VALUE"""),45866.0)</f>
        <v>45866</v>
      </c>
      <c r="M1762" s="7" t="str">
        <f>IFERROR(__xludf.DUMMYFUNCTION("""COMPUTED_VALUE"""),"11:00-12:30")</f>
        <v>11:00-12:30</v>
      </c>
      <c r="N1762" s="7"/>
    </row>
    <row r="1763">
      <c r="A1763" s="7" t="str">
        <f>IFERROR(__xludf.DUMMYFUNCTION("""COMPUTED_VALUE"""),"311-MAIN")</f>
        <v>311-MAIN</v>
      </c>
      <c r="B1763" s="7" t="str">
        <f>IFERROR(__xludf.DUMMYFUNCTION("""COMPUTED_VALUE"""),"Whose Boat Does it Float? Improving Personalization in Preference Tuning via Inferred User Personas")</f>
        <v>Whose Boat Does it Float? Improving Personalization in Preference Tuning via Inferred User Personas</v>
      </c>
      <c r="C1763" s="7" t="str">
        <f>IFERROR(__xludf.DUMMYFUNCTION("""COMPUTED_VALUE"""),"LLMs are aligned to follow input instructions by learning which of two responses users prefer for a prompt. However, such preference data do not convey *why* users prefer responses that are chosen or rejected, so LLMs trained on these datasets cannot tail"&amp;"or responses to varied user needs. To surface these parameters of personalization, we apply *abductive reasoning* to preference data, inferring needs and interests of users, i.e., personas, that may prefer either response. We test this idea in two steps: "&amp;"**Persona Inference (PI)**—abductively inferring personas of users who prefer chosen or rejected outputs—and **Persona Tailoring (PT)**—training models to tailor outputs to personas from PI. We show: 1) LLMs infer personas accurately explaining why differ"&amp;"ent users may prefer *both* chosen or rejected outputs; 2) Training on preference data augmented with PI personas via PT boosts personalization and generalizes to supporting user-written personas; and 3) Rejected response personas form harder personalizat"&amp;"ion evaluations, showing PT better aids users with uncommon preferences versus typical alignment methods. We argue for an abductive view of preferences for personalization, asking not only which response is better but when, why, and for whom.")</f>
        <v>LLMs are aligned to follow input instructions by learning which of two responses users prefer for a prompt. However, such preference data do not convey *why* users prefer responses that are chosen or rejected, so LLMs trained on these datasets cannot tailor responses to varied user needs. To surface these parameters of personalization, we apply *abductive reasoning* to preference data, inferring needs and interests of users, i.e., personas, that may prefer either response. We test this idea in two steps: **Persona Inference (PI)**—abductively inferring personas of users who prefer chosen or rejected outputs—and **Persona Tailoring (PT)**—training models to tailor outputs to personas from PI. We show: 1) LLMs infer personas accurately explaining why different users may prefer *both* chosen or rejected outputs; 2) Training on preference data augmented with PI personas via PT boosts personalization and generalizes to supporting user-written personas; and 3) Rejected response personas form harder personalization evaluations, showing PT better aids users with uncommon preferences versus typical alignment methods. We argue for an abductive view of preferences for personalization, asking not only which response is better but when, why, and for whom.</v>
      </c>
      <c r="D1763" s="7" t="str">
        <f>IFERROR(__xludf.DUMMYFUNCTION("""COMPUTED_VALUE"""),"Nishant Balepur")</f>
        <v>Nishant Balepur</v>
      </c>
      <c r="E1763" s="7" t="str">
        <f>IFERROR(__xludf.DUMMYFUNCTION("""COMPUTED_VALUE"""),"Yes")</f>
        <v>Yes</v>
      </c>
      <c r="F1763" s="7" t="str">
        <f>IFERROR(__xludf.DUMMYFUNCTION("""COMPUTED_VALUE"""),"IP-Poster")</f>
        <v>IP-Poster</v>
      </c>
      <c r="G1763" s="7" t="str">
        <f>IFERROR(__xludf.DUMMYFUNCTION("""COMPUTED_VALUE"""),"In-Person")</f>
        <v>In-Person</v>
      </c>
      <c r="H1763" s="7" t="str">
        <f>IFERROR(__xludf.DUMMYFUNCTION("""COMPUTED_VALUE"""),"Hall 4/5")</f>
        <v>Hall 4/5</v>
      </c>
      <c r="I1763" s="7" t="str">
        <f>IFERROR(__xludf.DUMMYFUNCTION("""COMPUTED_VALUE"""),"Session 2: IP-Posters ")</f>
        <v>Session 2: IP-Posters </v>
      </c>
      <c r="J1763" s="7" t="str">
        <f>IFERROR(__xludf.DUMMYFUNCTION("""COMPUTED_VALUE"""),"Poster Session 1")</f>
        <v>Poster Session 1</v>
      </c>
      <c r="K1763" s="7"/>
      <c r="L1763" s="8">
        <f>IFERROR(__xludf.DUMMYFUNCTION("""COMPUTED_VALUE"""),45866.0)</f>
        <v>45866</v>
      </c>
      <c r="M1763" s="7" t="str">
        <f>IFERROR(__xludf.DUMMYFUNCTION("""COMPUTED_VALUE"""),"11:00-12:30")</f>
        <v>11:00-12:30</v>
      </c>
      <c r="N1763" s="7"/>
    </row>
    <row r="1764">
      <c r="A1764" s="7" t="str">
        <f>IFERROR(__xludf.DUMMYFUNCTION("""COMPUTED_VALUE"""),"312-MAIN")</f>
        <v>312-MAIN</v>
      </c>
      <c r="B1764" s="7" t="str">
        <f>IFERROR(__xludf.DUMMYFUNCTION("""COMPUTED_VALUE"""),"Which of These Best Describes Multiple Choice Evaluation with LLMs? A) Forced B) Flawed C) Fixable D) All of the Above")</f>
        <v>Which of These Best Describes Multiple Choice Evaluation with LLMs? A) Forced B) Flawed C) Fixable D) All of the Above</v>
      </c>
      <c r="C1764" s="7" t="str">
        <f>IFERROR(__xludf.DUMMYFUNCTION("""COMPUTED_VALUE"""),"Multiple choice question answering (MCQA) is popular for LLM evaluation due to its simplicity and human-like testing, but we argue for its reform. We first reveal flaws in MCQA's format, as it struggles to: 1) test generation/subjectivity; 2) match LLM us"&amp;"e cases; and 3) fully test knowledge. We instead advocate for generative formats based on human testing—where LLMs construct and explain answers—better capturing user needs and knowledge while remaining easy to score. We then show even when MCQA is a usef"&amp;"ul format, its datasets suffer from: leakage; unanswerability; shortcuts; and saturation. In each issue, we give fixes from education, like rubrics to guide MCQ writing; scoring methods to bridle guessing; and Item Response Theory to build harder MCQs. La"&amp;"stly, we discuss LLM errors in MCQA—robustness, biases, and unfaithful explanations—showing how our prior solutions better measure or address these issues. While we do not need to desert MCQA, we encourage more efforts in refining the task based on educat"&amp;"ional testing, advancing evaluations.")</f>
        <v>Multiple choice question answering (MCQA) is popular for LLM evaluation due to its simplicity and human-like testing, but we argue for its reform. We first reveal flaws in MCQA's format, as it struggles to: 1) test generation/subjectivity; 2) match LLM use cases; and 3) fully test knowledge. We instead advocate for generative formats based on human testing—where LLMs construct and explain answers—better capturing user needs and knowledge while remaining easy to score. We then show even when MCQA is a useful format, its datasets suffer from: leakage; unanswerability; shortcuts; and saturation. In each issue, we give fixes from education, like rubrics to guide MCQ writing; scoring methods to bridle guessing; and Item Response Theory to build harder MCQs. Lastly, we discuss LLM errors in MCQA—robustness, biases, and unfaithful explanations—showing how our prior solutions better measure or address these issues. While we do not need to desert MCQA, we encourage more efforts in refining the task based on educational testing, advancing evaluations.</v>
      </c>
      <c r="D1764" s="7" t="str">
        <f>IFERROR(__xludf.DUMMYFUNCTION("""COMPUTED_VALUE"""),"Nishant Balepur")</f>
        <v>Nishant Balepur</v>
      </c>
      <c r="E1764" s="7" t="str">
        <f>IFERROR(__xludf.DUMMYFUNCTION("""COMPUTED_VALUE"""),"Yes")</f>
        <v>Yes</v>
      </c>
      <c r="F1764" s="7" t="str">
        <f>IFERROR(__xludf.DUMMYFUNCTION("""COMPUTED_VALUE"""),"IP-Oral")</f>
        <v>IP-Oral</v>
      </c>
      <c r="G1764" s="7" t="str">
        <f>IFERROR(__xludf.DUMMYFUNCTION("""COMPUTED_VALUE"""),"In-Person")</f>
        <v>In-Person</v>
      </c>
      <c r="H1764" s="7" t="str">
        <f>IFERROR(__xludf.DUMMYFUNCTION("""COMPUTED_VALUE"""),"Room 1.86")</f>
        <v>Room 1.86</v>
      </c>
      <c r="I1764" s="7" t="str">
        <f>IFERROR(__xludf.DUMMYFUNCTION("""COMPUTED_VALUE"""),"Session 11: IP-Orals ")</f>
        <v>Session 11: IP-Orals </v>
      </c>
      <c r="J1764" s="7" t="str">
        <f>IFERROR(__xludf.DUMMYFUNCTION("""COMPUTED_VALUE"""),"Question Answering ")</f>
        <v>Question Answering </v>
      </c>
      <c r="K1764" s="7"/>
      <c r="L1764" s="8">
        <f>IFERROR(__xludf.DUMMYFUNCTION("""COMPUTED_VALUE"""),45868.0)</f>
        <v>45868</v>
      </c>
      <c r="M1764" s="7" t="str">
        <f>IFERROR(__xludf.DUMMYFUNCTION("""COMPUTED_VALUE"""),"09:00-10:30")</f>
        <v>09:00-10:30</v>
      </c>
      <c r="N1764" s="7">
        <f>IFERROR(__xludf.DUMMYFUNCTION("""COMPUTED_VALUE"""),1.0)</f>
        <v>1</v>
      </c>
    </row>
    <row r="1765">
      <c r="A1765" s="7" t="str">
        <f>IFERROR(__xludf.DUMMYFUNCTION("""COMPUTED_VALUE"""),"315-MAIN")</f>
        <v>315-MAIN</v>
      </c>
      <c r="B1765" s="7" t="str">
        <f>IFERROR(__xludf.DUMMYFUNCTION("""COMPUTED_VALUE"""),"Detection of Human and Machine-Authored Fake News in Urdu")</f>
        <v>Detection of Human and Machine-Authored Fake News in Urdu</v>
      </c>
      <c r="C1765" s="7" t="str">
        <f>IFERROR(__xludf.DUMMYFUNCTION("""COMPUTED_VALUE"""),"The rise of social media has amplified the spread of fake news, now further complicated by large language models (LLMs) like ChatGPT, which ease the generation of highly convincing, error-free misinformation, making it increasingly challenging for the pub"&amp;"lic to discern truth from falsehood. Traditional fake news detection methods relying on linguistic cues have also become less effective. Moreover, current detectors primarily focus on binary classification and English texts, often overlooking the distinct"&amp;"ion between machine-generated true vs. fake news and the detection in low-resource languages. To this end, we updated the detection schema to include machine-generated news focusing on Urdu. We further propose a conjoint detection strategy to improve the "&amp;"accuracy and robustness. Experiments show its effectiveness across four datasets in various settings.")</f>
        <v>The rise of social media has amplified the spread of fake news, now further complicated by large language models (LLMs) like ChatGPT, which ease the generation of highly convincing, error-free misinformation, making it increasingly challenging for the public to discern truth from falsehood. Traditional fake news detection methods relying on linguistic cues have also become less effective. Moreover, current detectors primarily focus on binary classification and English texts, often overlooking the distinction between machine-generated true vs. fake news and the detection in low-resource languages. To this end, we updated the detection schema to include machine-generated news focusing on Urdu. We further propose a conjoint detection strategy to improve the accuracy and robustness. Experiments show its effectiveness across four datasets in various settings.</v>
      </c>
      <c r="D1765" s="7" t="str">
        <f>IFERROR(__xludf.DUMMYFUNCTION("""COMPUTED_VALUE"""),"Muhammad Zain Ali")</f>
        <v>Muhammad Zain Ali</v>
      </c>
      <c r="E1765" s="7" t="str">
        <f>IFERROR(__xludf.DUMMYFUNCTION("""COMPUTED_VALUE"""),"Yes")</f>
        <v>Yes</v>
      </c>
      <c r="F1765" s="7" t="str">
        <f>IFERROR(__xludf.DUMMYFUNCTION("""COMPUTED_VALUE"""),"IP-Poster")</f>
        <v>IP-Poster</v>
      </c>
      <c r="G1765" s="7" t="str">
        <f>IFERROR(__xludf.DUMMYFUNCTION("""COMPUTED_VALUE"""),"In-Person")</f>
        <v>In-Person</v>
      </c>
      <c r="H1765" s="7" t="str">
        <f>IFERROR(__xludf.DUMMYFUNCTION("""COMPUTED_VALUE"""),"Hall 4/5")</f>
        <v>Hall 4/5</v>
      </c>
      <c r="I1765" s="7" t="str">
        <f>IFERROR(__xludf.DUMMYFUNCTION("""COMPUTED_VALUE"""),"Session 2: IP-Posters ")</f>
        <v>Session 2: IP-Posters </v>
      </c>
      <c r="J1765" s="7" t="str">
        <f>IFERROR(__xludf.DUMMYFUNCTION("""COMPUTED_VALUE"""),"Poster Session 1")</f>
        <v>Poster Session 1</v>
      </c>
      <c r="K1765" s="7"/>
      <c r="L1765" s="8">
        <f>IFERROR(__xludf.DUMMYFUNCTION("""COMPUTED_VALUE"""),45866.0)</f>
        <v>45866</v>
      </c>
      <c r="M1765" s="7" t="str">
        <f>IFERROR(__xludf.DUMMYFUNCTION("""COMPUTED_VALUE"""),"11:00-12:30")</f>
        <v>11:00-12:30</v>
      </c>
      <c r="N1765" s="7"/>
    </row>
    <row r="1766">
      <c r="A1766" s="7" t="str">
        <f>IFERROR(__xludf.DUMMYFUNCTION("""COMPUTED_VALUE"""),"316-MAIN")</f>
        <v>316-MAIN</v>
      </c>
      <c r="B1766" s="7" t="str">
        <f>IFERROR(__xludf.DUMMYFUNCTION("""COMPUTED_VALUE"""),"An Efficient Task-Oriented Dialogue Policy: Evolutionary Reinforcement Learning Injected by Elite Individuals.")</f>
        <v>An Efficient Task-Oriented Dialogue Policy: Evolutionary Reinforcement Learning Injected by Elite Individuals.</v>
      </c>
      <c r="C1766" s="7" t="str">
        <f>IFERROR(__xludf.DUMMYFUNCTION("""COMPUTED_VALUE"""),"Deep Reinforcement Learning (DRL) is widely used in task-oriented dialogue systems to optimize dialogue policy, but it struggles to balance exploration and exploitation due to the high dimensionality of state and action spaces. This challenge often result"&amp;"s in local optima or poor convergence. Evolutionary Algorithms (EAs) have been proven to effectively explore the solution space of neural networks by maintaining population diversity. Inspired by this, we innovatively combine the global search capabilitie"&amp;"s of EA with the local optimization of DRL to achieve a balance between exploration and exploitation. Nevertheless, the inherent flexibility of natural language in dialogue tasks complicates this direct integration, leading to prolonged evolutionary times"&amp;". Thus, we further propose an elite individual injection mechanism to enhance EA's search efficiency by adaptively introducing best-performing individuals into the population. Experiments across four datasets show that our approach significantly improves "&amp;"the balance between exploration and exploitation, boosting performance. Moreover, the effectiveness of the EII mechanism in reducing exploration time has been demonstrated, achieving an efficient integration of EA and DRL on task-oriented dialogue policy "&amp;"tasks.")</f>
        <v>Deep Reinforcement Learning (DRL) is widely used in task-oriented dialogue systems to optimize dialogue policy, but it struggles to balance exploration and exploitation due to the high dimensionality of state and action spaces. This challenge often results in local optima or poor convergence. Evolutionary Algorithms (EAs) have been proven to effectively explore the solution space of neural networks by maintaining population diversity. Inspired by this, we innovatively combine the global search capabilities of EA with the local optimization of DRL to achieve a balance between exploration and exploitation. Nevertheless, the inherent flexibility of natural language in dialogue tasks complicates this direct integration, leading to prolonged evolutionary times. Thus, we further propose an elite individual injection mechanism to enhance EA's search efficiency by adaptively introducing best-performing individuals into the population. Experiments across four datasets show that our approach significantly improves the balance between exploration and exploitation, boosting performance. Moreover, the effectiveness of the EII mechanism in reducing exploration time has been demonstrated, achieving an efficient integration of EA and DRL on task-oriented dialogue policy tasks.</v>
      </c>
      <c r="D1766" s="7" t="str">
        <f>IFERROR(__xludf.DUMMYFUNCTION("""COMPUTED_VALUE"""),"Ben Niu")</f>
        <v>Ben Niu</v>
      </c>
      <c r="E1766" s="7" t="str">
        <f>IFERROR(__xludf.DUMMYFUNCTION("""COMPUTED_VALUE"""),"Yes")</f>
        <v>Yes</v>
      </c>
      <c r="F1766" s="7" t="str">
        <f>IFERROR(__xludf.DUMMYFUNCTION("""COMPUTED_VALUE"""),"V-Presentation")</f>
        <v>V-Presentation</v>
      </c>
      <c r="G1766" s="7" t="str">
        <f>IFERROR(__xludf.DUMMYFUNCTION("""COMPUTED_VALUE"""),"Virtual/Gather")</f>
        <v>Virtual/Gather</v>
      </c>
      <c r="H1766" s="7" t="str">
        <f>IFERROR(__xludf.DUMMYFUNCTION("""COMPUTED_VALUE"""),"Zoom")</f>
        <v>Zoom</v>
      </c>
      <c r="I1766" s="7" t="str">
        <f>IFERROR(__xludf.DUMMYFUNCTION("""COMPUTED_VALUE"""),"Session 10: V-Presentations")</f>
        <v>Session 10: V-Presentations</v>
      </c>
      <c r="J1766" s="7" t="str">
        <f>IFERROR(__xludf.DUMMYFUNCTION("""COMPUTED_VALUE"""),"Virtual Presentations 3")</f>
        <v>Virtual Presentations 3</v>
      </c>
      <c r="K1766" s="7"/>
      <c r="L1766" s="8">
        <f>IFERROR(__xludf.DUMMYFUNCTION("""COMPUTED_VALUE"""),45867.0)</f>
        <v>45867</v>
      </c>
      <c r="M1766" s="7" t="str">
        <f>IFERROR(__xludf.DUMMYFUNCTION("""COMPUTED_VALUE"""),"16:00-17:30")</f>
        <v>16:00-17:30</v>
      </c>
      <c r="N1766" s="7"/>
    </row>
    <row r="1767">
      <c r="A1767" s="7" t="str">
        <f>IFERROR(__xludf.DUMMYFUNCTION("""COMPUTED_VALUE"""),"318-MAIN")</f>
        <v>318-MAIN</v>
      </c>
      <c r="B1767" s="7" t="str">
        <f>IFERROR(__xludf.DUMMYFUNCTION("""COMPUTED_VALUE"""),"SR-LLM: Rethinking the Structured Representation in Large Language Model")</f>
        <v>SR-LLM: Rethinking the Structured Representation in Large Language Model</v>
      </c>
      <c r="C1767" s="7" t="str">
        <f>IFERROR(__xludf.DUMMYFUNCTION("""COMPUTED_VALUE"""),"Structured representations, exemplified by Abstract Meaning Representation~(AMR), have long been pivotal in computational linguistics. However, their role remains ambiguous in the Large Language Models (LLMs) era. Initial attempts to integrate structured "&amp;"representation into LLMs via a zero-shot setting yielded inferior performance. We hypothesize that such a decline stems from the structure information being passed into LLMs in a code format unfamiliar to LLMs' training corpora. Consequently, we propose S"&amp;"R-LLM, an innovative framework with two settings to explore a superior way of integrating structured representation with LLMs from training-free and training-dependent perspectives. The former integrates structural information through natural language des"&amp;"criptions in LLM prompts, whereas its counterpart augments the model's inference capability through fine-tuning on linguistically described structured representations. Performance improvements were observed in widely downstream datasets, with particularly"&amp;" notable gains of 3.17% and 12.38% in PAWS. To the best of our knowledge, this work represents the pioneering demonstration that leveraging structural representations can substantially enhance LLMs' inference capability. We hope that our work sheds light "&amp;"and encourages future research to enhance the reasoning and interoperability of LLMs by structure data.")</f>
        <v>Structured representations, exemplified by Abstract Meaning Representation~(AMR), have long been pivotal in computational linguistics. However, their role remains ambiguous in the Large Language Models (LLMs) era. Initial attempts to integrate structured representation into LLMs via a zero-shot setting yielded inferior performance. We hypothesize that such a decline stems from the structure information being passed into LLMs in a code format unfamiliar to LLMs' training corpora. Consequently, we propose SR-LLM, an innovative framework with two settings to explore a superior way of integrating structured representation with LLMs from training-free and training-dependent perspectives. The former integrates structural information through natural language descriptions in LLM prompts, whereas its counterpart augments the model's inference capability through fine-tuning on linguistically described structured representations. Performance improvements were observed in widely downstream datasets, with particularly notable gains of 3.17% and 12.38% in PAWS. To the best of our knowledge, this work represents the pioneering demonstration that leveraging structural representations can substantially enhance LLMs' inference capability. We hope that our work sheds light and encourages future research to enhance the reasoning and interoperability of LLMs by structure data.</v>
      </c>
      <c r="D1767" s="7" t="str">
        <f>IFERROR(__xludf.DUMMYFUNCTION("""COMPUTED_VALUE"""),"Jiahuan Zhang; Kaicheng Yu")</f>
        <v>Jiahuan Zhang; Kaicheng Yu</v>
      </c>
      <c r="E1767" s="7" t="str">
        <f>IFERROR(__xludf.DUMMYFUNCTION("""COMPUTED_VALUE"""),"Yes")</f>
        <v>Yes</v>
      </c>
      <c r="F1767" s="7" t="str">
        <f>IFERROR(__xludf.DUMMYFUNCTION("""COMPUTED_VALUE"""),"IP-Poster")</f>
        <v>IP-Poster</v>
      </c>
      <c r="G1767" s="7" t="str">
        <f>IFERROR(__xludf.DUMMYFUNCTION("""COMPUTED_VALUE"""),"In-Person")</f>
        <v>In-Person</v>
      </c>
      <c r="H1767" s="7" t="str">
        <f>IFERROR(__xludf.DUMMYFUNCTION("""COMPUTED_VALUE"""),"Hall 4/5")</f>
        <v>Hall 4/5</v>
      </c>
      <c r="I1767" s="7" t="str">
        <f>IFERROR(__xludf.DUMMYFUNCTION("""COMPUTED_VALUE"""),"Session 7: IP-Posters")</f>
        <v>Session 7: IP-Posters</v>
      </c>
      <c r="J1767" s="7" t="str">
        <f>IFERROR(__xludf.DUMMYFUNCTION("""COMPUTED_VALUE"""),"Poster Session 2")</f>
        <v>Poster Session 2</v>
      </c>
      <c r="K1767" s="7"/>
      <c r="L1767" s="8">
        <f>IFERROR(__xludf.DUMMYFUNCTION("""COMPUTED_VALUE"""),45867.0)</f>
        <v>45867</v>
      </c>
      <c r="M1767" s="7" t="str">
        <f>IFERROR(__xludf.DUMMYFUNCTION("""COMPUTED_VALUE"""),"10:30-12:00")</f>
        <v>10:30-12:00</v>
      </c>
      <c r="N1767" s="7"/>
    </row>
    <row r="1768">
      <c r="A1768" s="7" t="str">
        <f>IFERROR(__xludf.DUMMYFUNCTION("""COMPUTED_VALUE"""),"321-MAIN")</f>
        <v>321-MAIN</v>
      </c>
      <c r="B1768" s="7" t="str">
        <f>IFERROR(__xludf.DUMMYFUNCTION("""COMPUTED_VALUE"""),"Learning Sparsity for Effective and Efficient Music Performance Question Answering")</f>
        <v>Learning Sparsity for Effective and Efficient Music Performance Question Answering</v>
      </c>
      <c r="C1768" s="7" t="str">
        <f>IFERROR(__xludf.DUMMYFUNCTION("""COMPUTED_VALUE"""),"Music performances, characterized by dense and continuous audio as well as seamless audio-visual integration, present unique challenges for multimodal scene understanding and reasoning. Recent Music Performance Audio-Visual Question Answering (Music AVQA)"&amp;" datasets have been proposed to reflect these challenges, highlighting the continued need for more effective integration of audio-visual representations in complex question answering. However, existing Music AVQA methods often rely on dense and unoptimize"&amp;"d representations, leading to inefficiencies in the isolation of key information, the reduction of redundancy, and the prioritization of critical samples. To address these challenges, we introduce Sparsify, a sparse learning framework specifically designe"&amp;"d for Music AVQA. It integrates three sparsification strategies into an end-to-end pipeline and achieves state-of-the-art performance on the Music AVQA datasets. In addition, it reduces training time by 28.32% compared to its fully trained dense counterpa"&amp;"rt while maintaining accuracy, demonstrating clear efficiency gains. To further improve data efficiency, we propose a key-subset selection algorithm that selects and uses approximately 25% of MUSIC-AVQA v2.0 training data and retains 70–80% of full-data p"&amp;"erformance across models.")</f>
        <v>Music performances, characterized by dense and continuous audio as well as seamless audio-visual integration, present unique challenges for multimodal scene understanding and reasoning. Recent Music Performance Audio-Visual Question Answering (Music AVQA) datasets have been proposed to reflect these challenges, highlighting the continued need for more effective integration of audio-visual representations in complex question answering. However, existing Music AVQA methods often rely on dense and unoptimized representations, leading to inefficiencies in the isolation of key information, the reduction of redundancy, and the prioritization of critical samples. To address these challenges, we introduce Sparsify, a sparse learning framework specifically designed for Music AVQA. It integrates three sparsification strategies into an end-to-end pipeline and achieves state-of-the-art performance on the Music AVQA datasets. In addition, it reduces training time by 28.32% compared to its fully trained dense counterpart while maintaining accuracy, demonstrating clear efficiency gains. To further improve data efficiency, we propose a key-subset selection algorithm that selects and uses approximately 25% of MUSIC-AVQA v2.0 training data and retains 70–80% of full-data performance across models.</v>
      </c>
      <c r="D1768" s="7" t="str">
        <f>IFERROR(__xludf.DUMMYFUNCTION("""COMPUTED_VALUE"""),"Xingjian Diao")</f>
        <v>Xingjian Diao</v>
      </c>
      <c r="E1768" s="7" t="str">
        <f>IFERROR(__xludf.DUMMYFUNCTION("""COMPUTED_VALUE"""),"Yes")</f>
        <v>Yes</v>
      </c>
      <c r="F1768" s="7" t="str">
        <f>IFERROR(__xludf.DUMMYFUNCTION("""COMPUTED_VALUE"""),"IP-Poster")</f>
        <v>IP-Poster</v>
      </c>
      <c r="G1768" s="7" t="str">
        <f>IFERROR(__xludf.DUMMYFUNCTION("""COMPUTED_VALUE"""),"In-Person")</f>
        <v>In-Person</v>
      </c>
      <c r="H1768" s="7" t="str">
        <f>IFERROR(__xludf.DUMMYFUNCTION("""COMPUTED_VALUE"""),"Hall 4/5")</f>
        <v>Hall 4/5</v>
      </c>
      <c r="I1768" s="7" t="str">
        <f>IFERROR(__xludf.DUMMYFUNCTION("""COMPUTED_VALUE"""),"Session 10: IP-Posters")</f>
        <v>Session 10: IP-Posters</v>
      </c>
      <c r="J1768" s="7" t="str">
        <f>IFERROR(__xludf.DUMMYFUNCTION("""COMPUTED_VALUE"""),"Poster Session 3")</f>
        <v>Poster Session 3</v>
      </c>
      <c r="K1768" s="7"/>
      <c r="L1768" s="8">
        <f>IFERROR(__xludf.DUMMYFUNCTION("""COMPUTED_VALUE"""),45867.0)</f>
        <v>45867</v>
      </c>
      <c r="M1768" s="7" t="str">
        <f>IFERROR(__xludf.DUMMYFUNCTION("""COMPUTED_VALUE"""),"16:00-17:30")</f>
        <v>16:00-17:30</v>
      </c>
      <c r="N1768" s="7"/>
    </row>
    <row r="1769">
      <c r="A1769" s="7" t="str">
        <f>IFERROR(__xludf.DUMMYFUNCTION("""COMPUTED_VALUE"""),"323-MAIN")</f>
        <v>323-MAIN</v>
      </c>
      <c r="B1769" s="7" t="str">
        <f>IFERROR(__xludf.DUMMYFUNCTION("""COMPUTED_VALUE"""),"Taming Language Models for Text-attributed Graph Learning with Decoupled Aggregation")</f>
        <v>Taming Language Models for Text-attributed Graph Learning with Decoupled Aggregation</v>
      </c>
      <c r="C1769" s="7" t="str">
        <f>IFERROR(__xludf.DUMMYFUNCTION("""COMPUTED_VALUE"""),"Text-attributed graphs (TAGs) are prevalent in various real-world applications, including academic networks, e-commerce platforms, and social networks. Effective learning on TAGs requires leveraging both textual node features and structural graph informat"&amp;"ion. While language models (LMs) excel at processing text and graph neural networks (GNNs) effectively capture relational structures, their direct integration is computationally prohibitive due to the high cost of text and graph representation learning. E"&amp;"xisting approaches address this challenge by adopting a two-step pipeline where LMs generate fixed node embeddings, which are then used for GNN training. However, this method neglects the interaction between textual and structural information, leading to "&amp;"suboptimal learning outcomes. To overcome these limitations, we propose SKETCH (Semantic Knowledge and Structure Enrichment), a novel framework that decouples node aggregation from graph convolution and integrates it into the text representation learning "&amp;"process. SKETCH enhances TAG learning by incorporating two key aggregation mechanisms: (1) Semantic aggregation, which retrieves semantically relevant node texts for contextual enrichment, and (2) Structural aggregation, which propagates textual features "&amp;"beyond immediate neighbors to capture broader graph relationships. Extensive experiments demonstrate that SKETCH outperforms state-of-the-art TAG learning methods while requiring fewer computational resources. By enabling a more efficient and effective fu"&amp;"sion of textual and structural information, SKETCH provides new insights into TAG problems and offers a practical solution for real applications.")</f>
        <v>Text-attributed graphs (TAGs) are prevalent in various real-world applications, including academic networks, e-commerce platforms, and social networks. Effective learning on TAGs requires leveraging both textual node features and structural graph information. While language models (LMs) excel at processing text and graph neural networks (GNNs) effectively capture relational structures, their direct integration is computationally prohibitive due to the high cost of text and graph representation learning. Existing approaches address this challenge by adopting a two-step pipeline where LMs generate fixed node embeddings, which are then used for GNN training. However, this method neglects the interaction between textual and structural information, leading to suboptimal learning outcomes. To overcome these limitations, we propose SKETCH (Semantic Knowledge and Structure Enrichment), a novel framework that decouples node aggregation from graph convolution and integrates it into the text representation learning process. SKETCH enhances TAG learning by incorporating two key aggregation mechanisms: (1) Semantic aggregation, which retrieves semantically relevant node texts for contextual enrichment, and (2) Structural aggregation, which propagates textual features beyond immediate neighbors to capture broader graph relationships. Extensive experiments demonstrate that SKETCH outperforms state-of-the-art TAG learning methods while requiring fewer computational resources. By enabling a more efficient and effective fusion of textual and structural information, SKETCH provides new insights into TAG problems and offers a practical solution for real applications.</v>
      </c>
      <c r="D1769" s="7" t="str">
        <f>IFERROR(__xludf.DUMMYFUNCTION("""COMPUTED_VALUE"""),"Chuang Zhou, Zhu Wang, Shengyuan Chen")</f>
        <v>Chuang Zhou, Zhu Wang, Shengyuan Chen</v>
      </c>
      <c r="E1769" s="7" t="str">
        <f>IFERROR(__xludf.DUMMYFUNCTION("""COMPUTED_VALUE"""),"Yes")</f>
        <v>Yes</v>
      </c>
      <c r="F1769" s="7" t="str">
        <f>IFERROR(__xludf.DUMMYFUNCTION("""COMPUTED_VALUE"""),"IP-Poster")</f>
        <v>IP-Poster</v>
      </c>
      <c r="G1769" s="7" t="str">
        <f>IFERROR(__xludf.DUMMYFUNCTION("""COMPUTED_VALUE"""),"In-Person")</f>
        <v>In-Person</v>
      </c>
      <c r="H1769" s="7" t="str">
        <f>IFERROR(__xludf.DUMMYFUNCTION("""COMPUTED_VALUE"""),"Hall 4/5")</f>
        <v>Hall 4/5</v>
      </c>
      <c r="I1769" s="7" t="str">
        <f>IFERROR(__xludf.DUMMYFUNCTION("""COMPUTED_VALUE"""),"Session 2: IP-Posters ")</f>
        <v>Session 2: IP-Posters </v>
      </c>
      <c r="J1769" s="7" t="str">
        <f>IFERROR(__xludf.DUMMYFUNCTION("""COMPUTED_VALUE"""),"Poster Session 1")</f>
        <v>Poster Session 1</v>
      </c>
      <c r="K1769" s="7"/>
      <c r="L1769" s="8">
        <f>IFERROR(__xludf.DUMMYFUNCTION("""COMPUTED_VALUE"""),45866.0)</f>
        <v>45866</v>
      </c>
      <c r="M1769" s="7" t="str">
        <f>IFERROR(__xludf.DUMMYFUNCTION("""COMPUTED_VALUE"""),"11:00-12:30")</f>
        <v>11:00-12:30</v>
      </c>
      <c r="N1769" s="7"/>
    </row>
    <row r="1770">
      <c r="A1770" s="7" t="str">
        <f>IFERROR(__xludf.DUMMYFUNCTION("""COMPUTED_VALUE"""),"325-MAIN")</f>
        <v>325-MAIN</v>
      </c>
      <c r="B1770" s="7" t="str">
        <f>IFERROR(__xludf.DUMMYFUNCTION("""COMPUTED_VALUE"""),"Contrastive Prompting Enhances Sentence Embeddings in LLMs through Inference-Time Steering")</f>
        <v>Contrastive Prompting Enhances Sentence Embeddings in LLMs through Inference-Time Steering</v>
      </c>
      <c r="C1770" s="7" t="str">
        <f>IFERROR(__xludf.DUMMYFUNCTION("""COMPUTED_VALUE"""),"Extracting sentence embeddings from large language models (LLMs) is a practical direction, as it requires neither additional data nor fine-tuning. Previous studies usually focus on prompt engineering to guide LLMs to encode the core semantic information o"&amp;"f the sentence into the embedding of the last token. However, the last token in these methods still encodes an excess of non-essential information, such as stop words, limiting its encoding capacity. To this end, we propose a Contrastive Prompting (CP) te"&amp;"chnique that introduces an extra auxiliary prompt to elicit better sentence embedding. By contrasting with the auxiliary prompt, CP can steer existing prompts to encode the core semantics of the sentence, rather than non-essential information. CP is a plu"&amp;"g-and-play inference-time intervention method that can be combined with various prompt-based methods. Extensive experiments on Semantic Textual Similarity (STS) tasks and downstream classification tasks demonstrate that our method can improve the performa"&amp;"nce of existing prompt-based methods across different LLMs.")</f>
        <v>Extracting sentence embeddings from large language models (LLMs) is a practical direction, as it requires neither additional data nor fine-tuning. Previous studies usually focus on prompt engineering to guide LLMs to encode the core semantic information of the sentence into the embedding of the last token. However, the last token in these methods still encodes an excess of non-essential information, such as stop words, limiting its encoding capacity. To this end, we propose a Contrastive Prompting (CP) technique that introduces an extra auxiliary prompt to elicit better sentence embedding. By contrasting with the auxiliary prompt, CP can steer existing prompts to encode the core semantics of the sentence, rather than non-essential information. CP is a plug-and-play inference-time intervention method that can be combined with various prompt-based methods. Extensive experiments on Semantic Textual Similarity (STS) tasks and downstream classification tasks demonstrate that our method can improve the performance of existing prompt-based methods across different LLMs.</v>
      </c>
      <c r="D1770" s="7" t="str">
        <f>IFERROR(__xludf.DUMMYFUNCTION("""COMPUTED_VALUE"""),"Zifeng Cheng")</f>
        <v>Zifeng Cheng</v>
      </c>
      <c r="E1770" s="7" t="str">
        <f>IFERROR(__xludf.DUMMYFUNCTION("""COMPUTED_VALUE"""),"Yes")</f>
        <v>Yes</v>
      </c>
      <c r="F1770" s="7" t="str">
        <f>IFERROR(__xludf.DUMMYFUNCTION("""COMPUTED_VALUE"""),"IP-Poster")</f>
        <v>IP-Poster</v>
      </c>
      <c r="G1770" s="7" t="str">
        <f>IFERROR(__xludf.DUMMYFUNCTION("""COMPUTED_VALUE"""),"In-Person")</f>
        <v>In-Person</v>
      </c>
      <c r="H1770" s="7" t="str">
        <f>IFERROR(__xludf.DUMMYFUNCTION("""COMPUTED_VALUE"""),"Hall 4/5")</f>
        <v>Hall 4/5</v>
      </c>
      <c r="I1770" s="7" t="str">
        <f>IFERROR(__xludf.DUMMYFUNCTION("""COMPUTED_VALUE"""),"Session 7: IP-Posters")</f>
        <v>Session 7: IP-Posters</v>
      </c>
      <c r="J1770" s="7" t="str">
        <f>IFERROR(__xludf.DUMMYFUNCTION("""COMPUTED_VALUE"""),"Poster Session 2")</f>
        <v>Poster Session 2</v>
      </c>
      <c r="K1770" s="7"/>
      <c r="L1770" s="8">
        <f>IFERROR(__xludf.DUMMYFUNCTION("""COMPUTED_VALUE"""),45867.0)</f>
        <v>45867</v>
      </c>
      <c r="M1770" s="7" t="str">
        <f>IFERROR(__xludf.DUMMYFUNCTION("""COMPUTED_VALUE"""),"10:30-12:00")</f>
        <v>10:30-12:00</v>
      </c>
      <c r="N1770" s="7"/>
    </row>
    <row r="1771">
      <c r="A1771" s="7" t="str">
        <f>IFERROR(__xludf.DUMMYFUNCTION("""COMPUTED_VALUE"""),"326-MAIN")</f>
        <v>326-MAIN</v>
      </c>
      <c r="B1771" s="7" t="str">
        <f>IFERROR(__xludf.DUMMYFUNCTION("""COMPUTED_VALUE"""),"Cracking the Code of Hallucination in LVLMs with Vision-aware Head Divergence")</f>
        <v>Cracking the Code of Hallucination in LVLMs with Vision-aware Head Divergence</v>
      </c>
      <c r="C1771" s="7" t="str">
        <f>IFERROR(__xludf.DUMMYFUNCTION("""COMPUTED_VALUE"""),"Large vision-language models (LVLMs) have made substantial progress in integrating large language models (LLMs) with visual inputs, enabling advanced multimodal reasoning. Despite their success, a persistent challenge is hallucination—where generated text"&amp;" fails to accurately reflect visual content—undermining both accuracy and reliability. Existing methods focus on alignment training or decoding refinements but primarily address symptoms at the generation stage without probing the underlying causes. In th"&amp;"is work, we investigate the internal mechanisms driving hallucination in LVLMs, with an emphasis on the multi-head attention module. Specifically, we introduce Vision-aware Head Divergence (VHD), a metric that quantifies the sensitivity of attention head "&amp;"outputs to visual context. Based on this, our findings reveal the presence of vision-aware attention heads that are more attuned to visual information; however, the model's overreliance on its prior language patterns is closely related to hallucinations. "&amp;"Building on these insights, we propose Vision-aware Head Reinforcement (VHR), a training-free approach to mitigate hallucination by enhancing the role of vision-aware attention heads. Extensive experiments demonstrate that our method achieves superior per"&amp;"formance compared to state-of-the-art approaches in mitigating hallucinations, while maintaining high efficiency with negligible additional time overhead. The code is available at https://github.com/jinghan1he/VHR.")</f>
        <v>Large vision-language models (LVLMs) have made substantial progress in integrating large language models (LLMs) with visual inputs, enabling advanced multimodal reasoning. Despite their success, a persistent challenge is hallucination—where generated text fails to accurately reflect visual content—undermining both accuracy and reliability. Existing methods focus on alignment training or decoding refinements but primarily address symptoms at the generation stage without probing the underlying causes. In this work, we investigate the internal mechanisms driving hallucination in LVLMs, with an emphasis on the multi-head attention module. Specifically, we introduce Vision-aware Head Divergence (VHD), a metric that quantifies the sensitivity of attention head outputs to visual context. Based on this, our findings reveal the presence of vision-aware attention heads that are more attuned to visual information; however, the model's overreliance on its prior language patterns is closely related to hallucinations. Building on these insights, we propose Vision-aware Head Reinforcement (VHR), a training-free approach to mitigate hallucination by enhancing the role of vision-aware attention heads. Extensive experiments demonstrate that our method achieves superior performance compared to state-of-the-art approaches in mitigating hallucinations, while maintaining high efficiency with negligible additional time overhead. The code is available at https://github.com/jinghan1he/VHR.</v>
      </c>
      <c r="D1771" s="7" t="str">
        <f>IFERROR(__xludf.DUMMYFUNCTION("""COMPUTED_VALUE"""),"Jinghan He")</f>
        <v>Jinghan He</v>
      </c>
      <c r="E1771" s="7" t="str">
        <f>IFERROR(__xludf.DUMMYFUNCTION("""COMPUTED_VALUE"""),"Yes")</f>
        <v>Yes</v>
      </c>
      <c r="F1771" s="7" t="str">
        <f>IFERROR(__xludf.DUMMYFUNCTION("""COMPUTED_VALUE"""),"IP-Poster")</f>
        <v>IP-Poster</v>
      </c>
      <c r="G1771" s="7" t="str">
        <f>IFERROR(__xludf.DUMMYFUNCTION("""COMPUTED_VALUE"""),"In-Person")</f>
        <v>In-Person</v>
      </c>
      <c r="H1771" s="7" t="str">
        <f>IFERROR(__xludf.DUMMYFUNCTION("""COMPUTED_VALUE"""),"Hall 4/5")</f>
        <v>Hall 4/5</v>
      </c>
      <c r="I1771" s="7" t="str">
        <f>IFERROR(__xludf.DUMMYFUNCTION("""COMPUTED_VALUE"""),"Session 2: IP-Posters ")</f>
        <v>Session 2: IP-Posters </v>
      </c>
      <c r="J1771" s="7" t="str">
        <f>IFERROR(__xludf.DUMMYFUNCTION("""COMPUTED_VALUE"""),"Poster Session 1")</f>
        <v>Poster Session 1</v>
      </c>
      <c r="K1771" s="7"/>
      <c r="L1771" s="8">
        <f>IFERROR(__xludf.DUMMYFUNCTION("""COMPUTED_VALUE"""),45866.0)</f>
        <v>45866</v>
      </c>
      <c r="M1771" s="7" t="str">
        <f>IFERROR(__xludf.DUMMYFUNCTION("""COMPUTED_VALUE"""),"11:00-12:30")</f>
        <v>11:00-12:30</v>
      </c>
      <c r="N1771" s="7"/>
    </row>
    <row r="1772">
      <c r="A1772" s="7" t="str">
        <f>IFERROR(__xludf.DUMMYFUNCTION("""COMPUTED_VALUE"""),"327-MAIN")</f>
        <v>327-MAIN</v>
      </c>
      <c r="B1772" s="7" t="str">
        <f>IFERROR(__xludf.DUMMYFUNCTION("""COMPUTED_VALUE"""),"Hierarchical Document Refinement for Long-context Retrieval-augmented Generation")</f>
        <v>Hierarchical Document Refinement for Long-context Retrieval-augmented Generation</v>
      </c>
      <c r="C1772" s="7" t="str">
        <f>IFERROR(__xludf.DUMMYFUNCTION("""COMPUTED_VALUE"""),"Real-world RAG applications often encounter long-context input scenarios, where redundant information and noise results in higher inference costs and reduced performance. To address these challenges, we propose LongRefiner, an efficient plug-and-play refi"&amp;"ner that leverages the inherent structural characteristics of long documents. LongRefiner employs dual-level query analysis, hierarchical document structuring, and adaptive refinement through multi-task learning on a single foundation model. Experiments o"&amp;"n seven QA datasets demonstrate that LongRefiner achieves competitive performance in various scenarios while using 10x fewer computational costs and latency compared to the best baseline. Further analysis validates that LongRefiner is scalable, efficient,"&amp;" and effective, providing practical insights for real-world long-text RAG applications. Our code is available at https://github.com/ignorejjj/LongRefiner.")</f>
        <v>Real-world RAG applications often encounter long-context input scenarios, where redundant information and noise results in higher inference costs and reduced performance. To address these challenges, we propose LongRefiner, an efficient plug-and-play refiner that leverages the inherent structural characteristics of long documents. LongRefiner employs dual-level query analysis, hierarchical document structuring, and adaptive refinement through multi-task learning on a single foundation model. Experiments on seven QA datasets demonstrate that LongRefiner achieves competitive performance in various scenarios while using 10x fewer computational costs and latency compared to the best baseline. Further analysis validates that LongRefiner is scalable, efficient, and effective, providing practical insights for real-world long-text RAG applications. Our code is available at https://github.com/ignorejjj/LongRefiner.</v>
      </c>
      <c r="D1772" s="7" t="str">
        <f>IFERROR(__xludf.DUMMYFUNCTION("""COMPUTED_VALUE"""),"Jiajie Jin")</f>
        <v>Jiajie Jin</v>
      </c>
      <c r="E1772" s="7" t="str">
        <f>IFERROR(__xludf.DUMMYFUNCTION("""COMPUTED_VALUE"""),"Yes")</f>
        <v>Yes</v>
      </c>
      <c r="F1772" s="7" t="str">
        <f>IFERROR(__xludf.DUMMYFUNCTION("""COMPUTED_VALUE"""),"IP-Oral")</f>
        <v>IP-Oral</v>
      </c>
      <c r="G1772" s="7" t="str">
        <f>IFERROR(__xludf.DUMMYFUNCTION("""COMPUTED_VALUE"""),"In-Person")</f>
        <v>In-Person</v>
      </c>
      <c r="H1772" s="7" t="str">
        <f>IFERROR(__xludf.DUMMYFUNCTION("""COMPUTED_VALUE"""),"Hall M.1")</f>
        <v>Hall M.1</v>
      </c>
      <c r="I1772" s="7" t="str">
        <f>IFERROR(__xludf.DUMMYFUNCTION("""COMPUTED_VALUE"""),"Session 3: IP-Orals")</f>
        <v>Session 3: IP-Orals</v>
      </c>
      <c r="J1772" s="7" t="str">
        <f>IFERROR(__xludf.DUMMYFUNCTION("""COMPUTED_VALUE"""),"Generation")</f>
        <v>Generation</v>
      </c>
      <c r="K1772" s="7"/>
      <c r="L1772" s="8">
        <f>IFERROR(__xludf.DUMMYFUNCTION("""COMPUTED_VALUE"""),45866.0)</f>
        <v>45866</v>
      </c>
      <c r="M1772" s="7" t="str">
        <f>IFERROR(__xludf.DUMMYFUNCTION("""COMPUTED_VALUE"""),"14:00-15:30")</f>
        <v>14:00-15:30</v>
      </c>
      <c r="N1772" s="7">
        <f>IFERROR(__xludf.DUMMYFUNCTION("""COMPUTED_VALUE"""),2.0)</f>
        <v>2</v>
      </c>
    </row>
    <row r="1773">
      <c r="A1773" s="7" t="str">
        <f>IFERROR(__xludf.DUMMYFUNCTION("""COMPUTED_VALUE"""),"328-MAIN")</f>
        <v>328-MAIN</v>
      </c>
      <c r="B1773" s="7" t="str">
        <f>IFERROR(__xludf.DUMMYFUNCTION("""COMPUTED_VALUE"""),"Comparing Moral Values in Western English-speaking societies and LLMs with Word Associations")</f>
        <v>Comparing Moral Values in Western English-speaking societies and LLMs with Word Associations</v>
      </c>
      <c r="C1773" s="7" t="str">
        <f>IFERROR(__xludf.DUMMYFUNCTION("""COMPUTED_VALUE"""),"As the impact of large language models increases, understanding the moral values they encode becomes ever more important. Assessing moral values encoded in these models via direct prompting is challenging due to potential leakage of human norms into model"&amp;" training data, and their sensitivity to prompt formulation. Instead, we propose to use word associations, which have been shown to reflect moral reasoning in humans, as low-level underlying representations to obtain a more robust picture of LLMs' moral r"&amp;"easoning. We study moral differences in associations from western English-speaking communities and LLMs trained predominantly on English data. First, we create a large dataset of $\textit{LLM-generated}$ word associations, resembling an existing data set "&amp;"of $\textit{human}$ word associations. Next, we propose a novel method to propagate moral values based on seed words derived from Moral Foundation Theory through the human and LLM-generated association graphs. Finally, we compare the resulting moral repre"&amp;"sentations, highlighting detailed but systematic differences between moral values emerging from English speakers and LLM associations.")</f>
        <v>As the impact of large language models increases, understanding the moral values they encode becomes ever more important. Assessing moral values encoded in these models via direct prompting is challenging due to potential leakage of human norms into model training data, and their sensitivity to prompt formulation. Instead, we propose to use word associations, which have been shown to reflect moral reasoning in humans, as low-level underlying representations to obtain a more robust picture of LLMs' moral reasoning. We study moral differences in associations from western English-speaking communities and LLMs trained predominantly on English data. First, we create a large dataset of $\textit{LLM-generated}$ word associations, resembling an existing data set of $\textit{human}$ word associations. Next, we propose a novel method to propagate moral values based on seed words derived from Moral Foundation Theory through the human and LLM-generated association graphs. Finally, we compare the resulting moral representations, highlighting detailed but systematic differences between moral values emerging from English speakers and LLM associations.</v>
      </c>
      <c r="D1773" s="7" t="str">
        <f>IFERROR(__xludf.DUMMYFUNCTION("""COMPUTED_VALUE"""),"Chunhua Liu
Chaoyi Xiang")</f>
        <v>Chunhua Liu
Chaoyi Xiang</v>
      </c>
      <c r="E1773" s="7" t="str">
        <f>IFERROR(__xludf.DUMMYFUNCTION("""COMPUTED_VALUE"""),"Yes")</f>
        <v>Yes</v>
      </c>
      <c r="F1773" s="7" t="str">
        <f>IFERROR(__xludf.DUMMYFUNCTION("""COMPUTED_VALUE"""),"IP-Poster")</f>
        <v>IP-Poster</v>
      </c>
      <c r="G1773" s="7" t="str">
        <f>IFERROR(__xludf.DUMMYFUNCTION("""COMPUTED_VALUE"""),"In-Person")</f>
        <v>In-Person</v>
      </c>
      <c r="H1773" s="7" t="str">
        <f>IFERROR(__xludf.DUMMYFUNCTION("""COMPUTED_VALUE"""),"Hall 4/5")</f>
        <v>Hall 4/5</v>
      </c>
      <c r="I1773" s="7" t="str">
        <f>IFERROR(__xludf.DUMMYFUNCTION("""COMPUTED_VALUE"""),"Session 12: IP-Posters")</f>
        <v>Session 12: IP-Posters</v>
      </c>
      <c r="J1773" s="7" t="str">
        <f>IFERROR(__xludf.DUMMYFUNCTION("""COMPUTED_VALUE"""),"Poster Session 4")</f>
        <v>Poster Session 4</v>
      </c>
      <c r="K1773" s="7"/>
      <c r="L1773" s="8">
        <f>IFERROR(__xludf.DUMMYFUNCTION("""COMPUTED_VALUE"""),45868.0)</f>
        <v>45868</v>
      </c>
      <c r="M1773" s="7" t="str">
        <f>IFERROR(__xludf.DUMMYFUNCTION("""COMPUTED_VALUE"""),"11:00-12:30")</f>
        <v>11:00-12:30</v>
      </c>
      <c r="N1773" s="7"/>
    </row>
    <row r="1774">
      <c r="A1774" s="7" t="str">
        <f>IFERROR(__xludf.DUMMYFUNCTION("""COMPUTED_VALUE"""),"329-MAIN")</f>
        <v>329-MAIN</v>
      </c>
      <c r="B1774" s="7" t="str">
        <f>IFERROR(__xludf.DUMMYFUNCTION("""COMPUTED_VALUE"""),"TEACH: A Contrastive Knowledge Adaptive Distillation Framework for Ancient Chinese Understanding")</f>
        <v>TEACH: A Contrastive Knowledge Adaptive Distillation Framework for Ancient Chinese Understanding</v>
      </c>
      <c r="C1774" s="7" t="str">
        <f>IFERROR(__xludf.DUMMYFUNCTION("""COMPUTED_VALUE"""),"Traditional methods for processing classical Chinese typically segment language understanding into discrete tasks, which overlook crucial background information and reduce user engagement. Large language models (LLMs) provide integrated solutions, yet the"&amp;"y entail high computational costs and risks of generating inaccurate historical information. To tackle these challenges, we propose a novel framework, TEACH (conTrastive knowlEdge Adaptive distillation with enhanCed Historical interpretability), which foc"&amp;"uses on classical Chinese understanding by integrating word sense disambiguation with sentence translation. This integration leverages a confidence-annotated knowledge base and a step-by-step Chain-of-Thought prompting mechanism to minimize hallucinations"&amp;" and improve semantic analysis. Moreover, TEACH employs contrastive distillation learning to efficiently transfer capabilities from larger models to smaller ones (e.g., Qwen2-1.5B), addressing overly liberal translations. Additionally, we introduce an inn"&amp;"ovative generation evaluation metric using iterative word alignment, enhancing LLM performance assessments by distinguishing additional information and addressing excessive translation issues. Experiments conducted on real-world datasets validate TEACH's "&amp;"efficacy in classical Chinese educational scenarios.")</f>
        <v>Traditional methods for processing classical Chinese typically segment language understanding into discrete tasks, which overlook crucial background information and reduce user engagement. Large language models (LLMs) provide integrated solutions, yet they entail high computational costs and risks of generating inaccurate historical information. To tackle these challenges, we propose a novel framework, TEACH (conTrastive knowlEdge Adaptive distillation with enhanCed Historical interpretability), which focuses on classical Chinese understanding by integrating word sense disambiguation with sentence translation. This integration leverages a confidence-annotated knowledge base and a step-by-step Chain-of-Thought prompting mechanism to minimize hallucinations and improve semantic analysis. Moreover, TEACH employs contrastive distillation learning to efficiently transfer capabilities from larger models to smaller ones (e.g., Qwen2-1.5B), addressing overly liberal translations. Additionally, we introduce an innovative generation evaluation metric using iterative word alignment, enhancing LLM performance assessments by distinguishing additional information and addressing excessive translation issues. Experiments conducted on real-world datasets validate TEACH's efficacy in classical Chinese educational scenarios.</v>
      </c>
      <c r="D1774" s="7" t="str">
        <f>IFERROR(__xludf.DUMMYFUNCTION("""COMPUTED_VALUE"""),"Yuting Wei")</f>
        <v>Yuting Wei</v>
      </c>
      <c r="E1774" s="7" t="str">
        <f>IFERROR(__xludf.DUMMYFUNCTION("""COMPUTED_VALUE"""),"Yes")</f>
        <v>Yes</v>
      </c>
      <c r="F1774" s="7" t="str">
        <f>IFERROR(__xludf.DUMMYFUNCTION("""COMPUTED_VALUE"""),"V-Presentation")</f>
        <v>V-Presentation</v>
      </c>
      <c r="G1774" s="7" t="str">
        <f>IFERROR(__xludf.DUMMYFUNCTION("""COMPUTED_VALUE"""),"Virtual/Gather")</f>
        <v>Virtual/Gather</v>
      </c>
      <c r="H1774" s="7" t="str">
        <f>IFERROR(__xludf.DUMMYFUNCTION("""COMPUTED_VALUE"""),"Zoom")</f>
        <v>Zoom</v>
      </c>
      <c r="I1774" s="7" t="str">
        <f>IFERROR(__xludf.DUMMYFUNCTION("""COMPUTED_VALUE"""),"Session 2: V-Presentations")</f>
        <v>Session 2: V-Presentations</v>
      </c>
      <c r="J1774" s="7" t="str">
        <f>IFERROR(__xludf.DUMMYFUNCTION("""COMPUTED_VALUE"""),"Virtual Presentations 1")</f>
        <v>Virtual Presentations 1</v>
      </c>
      <c r="K1774" s="7"/>
      <c r="L1774" s="8">
        <f>IFERROR(__xludf.DUMMYFUNCTION("""COMPUTED_VALUE"""),45866.0)</f>
        <v>45866</v>
      </c>
      <c r="M1774" s="7" t="str">
        <f>IFERROR(__xludf.DUMMYFUNCTION("""COMPUTED_VALUE"""),"11:00-12:30")</f>
        <v>11:00-12:30</v>
      </c>
      <c r="N1774" s="7"/>
    </row>
    <row r="1775">
      <c r="A1775" s="7" t="str">
        <f>IFERROR(__xludf.DUMMYFUNCTION("""COMPUTED_VALUE"""),"330-MAIN")</f>
        <v>330-MAIN</v>
      </c>
      <c r="B1775" s="7" t="str">
        <f>IFERROR(__xludf.DUMMYFUNCTION("""COMPUTED_VALUE"""),"RAG-Critic: Leveraging Automated Critic-Guided Agentic Workflow for Retrieval Augmented Generation")</f>
        <v>RAG-Critic: Leveraging Automated Critic-Guided Agentic Workflow for Retrieval Augmented Generation</v>
      </c>
      <c r="C1775" s="7" t="str">
        <f>IFERROR(__xludf.DUMMYFUNCTION("""COMPUTED_VALUE"""),"Retrieval-augmented generation (RAG) has emerged as a pivotal technology in natural language processing, owing to its efficacy in generating factual content. However, its informative inputs and complex paradigms often lead to a greater variety of errors. "&amp;"Consequently, achieving automated on-policy assessment and error-oriented correction remain unresolved issues. In this paper, we propose RAG-Critic, a novel framework that leverages a critic-guided agentic workflow to improve RAG capabilities autonomously"&amp;". Specifically, we initially design a data-driven error mining pipeline to establish a hierarchical RAG error system. Based on this system, we progressively align an error-critic model using a coarse-to-fine training objective, which automatically provide"&amp;"s fine-grained error feedback. Finally, we design a critic-guided agentic RAG workflow that customizes executor-based solution flows based on the error-critic model's feedback, facilitating an error-driven self-correction process. Experimental results acr"&amp;"oss seven RAG-related datasets confirm the effectiveness of RAG-Critic, while qualitative analysis offers practical insights for achieving reliable RAG systems. Our dataset and code are available at https://github.com/RUC-NLPIR/RAG-Critic.")</f>
        <v>Retrieval-augmented generation (RAG) has emerged as a pivotal technology in natural language processing, owing to its efficacy in generating factual content. However, its informative inputs and complex paradigms often lead to a greater variety of errors. Consequently, achieving automated on-policy assessment and error-oriented correction remain unresolved issues. In this paper, we propose RAG-Critic, a novel framework that leverages a critic-guided agentic workflow to improve RAG capabilities autonomously. Specifically, we initially design a data-driven error mining pipeline to establish a hierarchical RAG error system. Based on this system, we progressively align an error-critic model using a coarse-to-fine training objective, which automatically provides fine-grained error feedback. Finally, we design a critic-guided agentic RAG workflow that customizes executor-based solution flows based on the error-critic model's feedback, facilitating an error-driven self-correction process. Experimental results across seven RAG-related datasets confirm the effectiveness of RAG-Critic, while qualitative analysis offers practical insights for achieving reliable RAG systems. Our dataset and code are available at https://github.com/RUC-NLPIR/RAG-Critic.</v>
      </c>
      <c r="D1775" s="7" t="str">
        <f>IFERROR(__xludf.DUMMYFUNCTION("""COMPUTED_VALUE"""),"Guanting Dong")</f>
        <v>Guanting Dong</v>
      </c>
      <c r="E1775" s="7" t="str">
        <f>IFERROR(__xludf.DUMMYFUNCTION("""COMPUTED_VALUE"""),"Yes")</f>
        <v>Yes</v>
      </c>
      <c r="F1775" s="7" t="str">
        <f>IFERROR(__xludf.DUMMYFUNCTION("""COMPUTED_VALUE"""),"IP-Poster")</f>
        <v>IP-Poster</v>
      </c>
      <c r="G1775" s="7" t="str">
        <f>IFERROR(__xludf.DUMMYFUNCTION("""COMPUTED_VALUE"""),"In-Person")</f>
        <v>In-Person</v>
      </c>
      <c r="H1775" s="7" t="str">
        <f>IFERROR(__xludf.DUMMYFUNCTION("""COMPUTED_VALUE"""),"Hall 4/5")</f>
        <v>Hall 4/5</v>
      </c>
      <c r="I1775" s="7" t="str">
        <f>IFERROR(__xludf.DUMMYFUNCTION("""COMPUTED_VALUE"""),"Session 2: IP-Posters ")</f>
        <v>Session 2: IP-Posters </v>
      </c>
      <c r="J1775" s="7" t="str">
        <f>IFERROR(__xludf.DUMMYFUNCTION("""COMPUTED_VALUE"""),"Poster Session 1")</f>
        <v>Poster Session 1</v>
      </c>
      <c r="K1775" s="7"/>
      <c r="L1775" s="8">
        <f>IFERROR(__xludf.DUMMYFUNCTION("""COMPUTED_VALUE"""),45866.0)</f>
        <v>45866</v>
      </c>
      <c r="M1775" s="7" t="str">
        <f>IFERROR(__xludf.DUMMYFUNCTION("""COMPUTED_VALUE"""),"11:00-12:30")</f>
        <v>11:00-12:30</v>
      </c>
      <c r="N1775" s="7"/>
    </row>
    <row r="1776">
      <c r="A1776" s="7" t="str">
        <f>IFERROR(__xludf.DUMMYFUNCTION("""COMPUTED_VALUE"""),"331-MAIN")</f>
        <v>331-MAIN</v>
      </c>
      <c r="B1776" s="7" t="str">
        <f>IFERROR(__xludf.DUMMYFUNCTION("""COMPUTED_VALUE"""),"Progressive Multimodal Reasoning via Active Retrieval")</f>
        <v>Progressive Multimodal Reasoning via Active Retrieval</v>
      </c>
      <c r="C1776" s="7" t="str">
        <f>IFERROR(__xludf.DUMMYFUNCTION("""COMPUTED_VALUE"""),"Multi-step multimodal reasoning tasks pose significant challenges for multimodal large language models (MLLMs), and finding effective ways to enhance their performance in such scenarios remains an unresolved issue. In this paper, we propose AR-MCTS, a uni"&amp;"versal framework designed to progressively improve the reasoning capabilities of MLLMs through Active Retrieval (AR) and Monte Carlo Tree Search (MCTS). AR-MCTS follows the MCTS algorithm and heuristically integrates an active retrieval mechanism during t"&amp;"he expansion stage to automatically acquire high-quality step-wise reasoning annotations. Moreover, we further introduce curriculum training objectives to progressively align with a process reward model, ultimately achieving process-level multimodal reaso"&amp;"ning verification. Experimental results across three complex multimodal reasoning benchmarks confirm the effectiveness of AR-MCTS. Further analysis demonstrates that it can optimize sampling diversity and accuracy, yielding reliable multimodal reasoning.")</f>
        <v>Multi-step multimodal reasoning tasks pose significant challenges for multimodal large language models (MLLMs), and finding effective ways to enhance their performance in such scenarios remains an unresolved issue. In this paper, we propose AR-MCTS, a universal framework designed to progressively improve the reasoning capabilities of MLLMs through Active Retrieval (AR) and Monte Carlo Tree Search (MCTS). AR-MCTS follows the MCTS algorithm and heuristically integrates an active retrieval mechanism during the expansion stage to automatically acquire high-quality step-wise reasoning annotations. Moreover, we further introduce curriculum training objectives to progressively align with a process reward model, ultimately achieving process-level multimodal reasoning verification. Experimental results across three complex multimodal reasoning benchmarks confirm the effectiveness of AR-MCTS. Further analysis demonstrates that it can optimize sampling diversity and accuracy, yielding reliable multimodal reasoning.</v>
      </c>
      <c r="D1776" s="7" t="str">
        <f>IFERROR(__xludf.DUMMYFUNCTION("""COMPUTED_VALUE"""),"Guanting Dong")</f>
        <v>Guanting Dong</v>
      </c>
      <c r="E1776" s="7" t="str">
        <f>IFERROR(__xludf.DUMMYFUNCTION("""COMPUTED_VALUE"""),"Yes")</f>
        <v>Yes</v>
      </c>
      <c r="F1776" s="7" t="str">
        <f>IFERROR(__xludf.DUMMYFUNCTION("""COMPUTED_VALUE"""),"IP-Poster")</f>
        <v>IP-Poster</v>
      </c>
      <c r="G1776" s="7" t="str">
        <f>IFERROR(__xludf.DUMMYFUNCTION("""COMPUTED_VALUE"""),"In-Person")</f>
        <v>In-Person</v>
      </c>
      <c r="H1776" s="7" t="str">
        <f>IFERROR(__xludf.DUMMYFUNCTION("""COMPUTED_VALUE"""),"Hall 4/5")</f>
        <v>Hall 4/5</v>
      </c>
      <c r="I1776" s="7" t="str">
        <f>IFERROR(__xludf.DUMMYFUNCTION("""COMPUTED_VALUE"""),"Session 10: IP-Posters")</f>
        <v>Session 10: IP-Posters</v>
      </c>
      <c r="J1776" s="7" t="str">
        <f>IFERROR(__xludf.DUMMYFUNCTION("""COMPUTED_VALUE"""),"Poster Session 3")</f>
        <v>Poster Session 3</v>
      </c>
      <c r="K1776" s="7"/>
      <c r="L1776" s="8">
        <f>IFERROR(__xludf.DUMMYFUNCTION("""COMPUTED_VALUE"""),45867.0)</f>
        <v>45867</v>
      </c>
      <c r="M1776" s="7" t="str">
        <f>IFERROR(__xludf.DUMMYFUNCTION("""COMPUTED_VALUE"""),"16:00-17:30")</f>
        <v>16:00-17:30</v>
      </c>
      <c r="N1776" s="7"/>
    </row>
    <row r="1777">
      <c r="A1777" s="7" t="str">
        <f>IFERROR(__xludf.DUMMYFUNCTION("""COMPUTED_VALUE"""),"332-MAIN")</f>
        <v>332-MAIN</v>
      </c>
      <c r="B1777" s="7" t="str">
        <f>IFERROR(__xludf.DUMMYFUNCTION("""COMPUTED_VALUE"""),"Pre-training Distillation for Large Language Models: A Design Space Exploration")</f>
        <v>Pre-training Distillation for Large Language Models: A Design Space Exploration</v>
      </c>
      <c r="C1777" s="7" t="str">
        <f>IFERROR(__xludf.DUMMYFUNCTION("""COMPUTED_VALUE"""),"Knowledge distillation (KD) aims to transfer knowledge from a large teacher model to a smaller student model. Previous work applying KD in the field of large language models (LLMs) typically focused on the post-training phase, where the student LLM learns"&amp;" directly from instructions and corresponding responses generated by the teacher model. In this paper, we extend KD to the pre-training phase of LLMs, named pre-training distillation (PD). We first conduct a preliminary experiment using GLM-4-9B as the te"&amp;"acher LLM to distill a 1.9B parameter student LLM, validating the effectiveness of PD. Considering the key impact factors of distillation, we systematically explore the design space of pre-training distillation across four aspects: logits processing, loss"&amp;" selection, scaling law, and offline or online logits. We conduct extensive experiments to explore the design space of pre-training distillation and find better configurations and interesting conclusions, such as larger student LLMs generally benefiting m"&amp;"ore from pre-training distillation, while a larger teacher LLM does not necessarily guarantee better results. We hope our exploration of the design space will inform future practices in pre-training distillation.")</f>
        <v>Knowledge distillation (KD) aims to transfer knowledge from a large teacher model to a smaller student model. Previous work applying KD in the field of large language models (LLMs) typically focused on the post-training phase, where the student LLM learns directly from instructions and corresponding responses generated by the teacher model. In this paper, we extend KD to the pre-training phase of LLMs, named pre-training distillation (PD). We first conduct a preliminary experiment using GLM-4-9B as the teacher LLM to distill a 1.9B parameter student LLM, validating the effectiveness of PD. Considering the key impact factors of distillation, we systematically explore the design space of pre-training distillation across four aspects: logits processing, loss selection, scaling law, and offline or online logits. We conduct extensive experiments to explore the design space of pre-training distillation and find better configurations and interesting conclusions, such as larger student LLMs generally benefiting more from pre-training distillation, while a larger teacher LLM does not necessarily guarantee better results. We hope our exploration of the design space will inform future practices in pre-training distillation.</v>
      </c>
      <c r="D1777" s="7" t="str">
        <f>IFERROR(__xludf.DUMMYFUNCTION("""COMPUTED_VALUE"""),"Hao Peng")</f>
        <v>Hao Peng</v>
      </c>
      <c r="E1777" s="7" t="str">
        <f>IFERROR(__xludf.DUMMYFUNCTION("""COMPUTED_VALUE"""),"Yes")</f>
        <v>Yes</v>
      </c>
      <c r="F1777" s="7" t="str">
        <f>IFERROR(__xludf.DUMMYFUNCTION("""COMPUTED_VALUE"""),"IP-Poster")</f>
        <v>IP-Poster</v>
      </c>
      <c r="G1777" s="7" t="str">
        <f>IFERROR(__xludf.DUMMYFUNCTION("""COMPUTED_VALUE"""),"In-Person")</f>
        <v>In-Person</v>
      </c>
      <c r="H1777" s="7" t="str">
        <f>IFERROR(__xludf.DUMMYFUNCTION("""COMPUTED_VALUE"""),"Hall 4/5")</f>
        <v>Hall 4/5</v>
      </c>
      <c r="I1777" s="7" t="str">
        <f>IFERROR(__xludf.DUMMYFUNCTION("""COMPUTED_VALUE"""),"Session 7: IP-Posters")</f>
        <v>Session 7: IP-Posters</v>
      </c>
      <c r="J1777" s="7" t="str">
        <f>IFERROR(__xludf.DUMMYFUNCTION("""COMPUTED_VALUE"""),"Poster Session 2")</f>
        <v>Poster Session 2</v>
      </c>
      <c r="K1777" s="7"/>
      <c r="L1777" s="8">
        <f>IFERROR(__xludf.DUMMYFUNCTION("""COMPUTED_VALUE"""),45867.0)</f>
        <v>45867</v>
      </c>
      <c r="M1777" s="7" t="str">
        <f>IFERROR(__xludf.DUMMYFUNCTION("""COMPUTED_VALUE"""),"10:30-12:00")</f>
        <v>10:30-12:00</v>
      </c>
      <c r="N1777" s="7"/>
    </row>
    <row r="1778">
      <c r="A1778" s="7" t="str">
        <f>IFERROR(__xludf.DUMMYFUNCTION("""COMPUTED_VALUE"""),"334-MAIN")</f>
        <v>334-MAIN</v>
      </c>
      <c r="B1778" s="7" t="str">
        <f>IFERROR(__xludf.DUMMYFUNCTION("""COMPUTED_VALUE"""),"Teaching Vision-Language Models to Ask: Resolving Ambiguity in Visual Questions")</f>
        <v>Teaching Vision-Language Models to Ask: Resolving Ambiguity in Visual Questions</v>
      </c>
      <c r="C1778" s="7" t="str">
        <f>IFERROR(__xludf.DUMMYFUNCTION("""COMPUTED_VALUE"""),"In visual question answering (VQA) context, users often pose ambiguous questions to visual language models (VLMs) due to varying expression habits. Existing research addresses such ambiguities primarily by rephrasing questions. These approaches neglect th"&amp;"e inherently interactive nature of user interactions with VLMs, where ambiguities can be clarified through user feedback. However, research on interactive clarification faces two major challenges: (1) Benchmarks are absent to assess VLMs' capacity for res"&amp;"olving ambiguities through interaction; (2) VLMs are trained to prefer answering rather than asking, preventing them from seeking clarification. To overcome these challenges, we introduce ClearVQA benchmark, which targets three common categories of ambigu"&amp;"ity in VQA context, and encompasses various VQA scenarios. Furthermore, we propose an automated pipeline to generate ambiguity-clarification question pairs, enabling VLMs to ask reasonable clarification questions and generate more accurate and specific an"&amp;"swers based on user feedback, as demonstrated by experimental results.")</f>
        <v>In visual question answering (VQA) context, users often pose ambiguous questions to visual language models (VLMs) due to varying expression habits. Existing research addresses such ambiguities primarily by rephrasing questions. These approaches neglect the inherently interactive nature of user interactions with VLMs, where ambiguities can be clarified through user feedback. However, research on interactive clarification faces two major challenges: (1) Benchmarks are absent to assess VLMs' capacity for resolving ambiguities through interaction; (2) VLMs are trained to prefer answering rather than asking, preventing them from seeking clarification. To overcome these challenges, we introduce ClearVQA benchmark, which targets three common categories of ambiguity in VQA context, and encompasses various VQA scenarios. Furthermore, we propose an automated pipeline to generate ambiguity-clarification question pairs, enabling VLMs to ask reasonable clarification questions and generate more accurate and specific answers based on user feedback, as demonstrated by experimental results.</v>
      </c>
      <c r="D1778" s="7" t="str">
        <f>IFERROR(__xludf.DUMMYFUNCTION("""COMPUTED_VALUE"""),"Pu Jian")</f>
        <v>Pu Jian</v>
      </c>
      <c r="E1778" s="7" t="str">
        <f>IFERROR(__xludf.DUMMYFUNCTION("""COMPUTED_VALUE"""),"Yes")</f>
        <v>Yes</v>
      </c>
      <c r="F1778" s="7" t="str">
        <f>IFERROR(__xludf.DUMMYFUNCTION("""COMPUTED_VALUE"""),"IP-Poster")</f>
        <v>IP-Poster</v>
      </c>
      <c r="G1778" s="7" t="str">
        <f>IFERROR(__xludf.DUMMYFUNCTION("""COMPUTED_VALUE"""),"In-Person")</f>
        <v>In-Person</v>
      </c>
      <c r="H1778" s="7" t="str">
        <f>IFERROR(__xludf.DUMMYFUNCTION("""COMPUTED_VALUE"""),"Hall 4/5")</f>
        <v>Hall 4/5</v>
      </c>
      <c r="I1778" s="7" t="str">
        <f>IFERROR(__xludf.DUMMYFUNCTION("""COMPUTED_VALUE"""),"Session 2: IP-Posters ")</f>
        <v>Session 2: IP-Posters </v>
      </c>
      <c r="J1778" s="7" t="str">
        <f>IFERROR(__xludf.DUMMYFUNCTION("""COMPUTED_VALUE"""),"Poster Session 1")</f>
        <v>Poster Session 1</v>
      </c>
      <c r="K1778" s="7"/>
      <c r="L1778" s="8">
        <f>IFERROR(__xludf.DUMMYFUNCTION("""COMPUTED_VALUE"""),45866.0)</f>
        <v>45866</v>
      </c>
      <c r="M1778" s="7" t="str">
        <f>IFERROR(__xludf.DUMMYFUNCTION("""COMPUTED_VALUE"""),"11:00-12:30")</f>
        <v>11:00-12:30</v>
      </c>
      <c r="N1778" s="7"/>
    </row>
    <row r="1779">
      <c r="A1779" s="7" t="str">
        <f>IFERROR(__xludf.DUMMYFUNCTION("""COMPUTED_VALUE"""),"336-MAIN")</f>
        <v>336-MAIN</v>
      </c>
      <c r="B1779" s="7" t="str">
        <f>IFERROR(__xludf.DUMMYFUNCTION("""COMPUTED_VALUE"""),"LongBench v2: Towards Deeper Understanding and Reasoning on Realistic Long-context Multitasks")</f>
        <v>LongBench v2: Towards Deeper Understanding and Reasoning on Realistic Long-context Multitasks</v>
      </c>
      <c r="C1779" s="7" t="str">
        <f>IFERROR(__xludf.DUMMYFUNCTION("""COMPUTED_VALUE"""),"This paper introduces LongBench v2, a benchmark designed to assess the ability of LLMs to handle long-context problems requiring deep understanding and reasoning across real-world multitasks. LongBench v2 consists of 503 challenging multiple-choice questi"&amp;"ons, with contexts ranging from 8k to 2M words, across six major task categories: single-document QA, multi-document QA, long in-context learning, long-dialogue history understanding, code repository understanding, and long structured data understanding. "&amp;"To ensure the breadth and the practicality, we collect data from nearly 100 highly educated individuals with diverse professional backgrounds. We employ both automated and manual review processes to maintain high quality and difficulty, resulting in human"&amp;" experts achieving only 53.7% accuracy under a 15-minute time constraint. Our evaluation reveals that the best-performing model, when directly answers the questions, achieves only 50.1% accuracy. In contrast, the o1-preview model, which includes longer re"&amp;"asoning, achieves 57.7%, surpassing the human baseline by 4%. These results highlight the importance of enhanced reasoning ability and scaling inference-time compute to tackle the long-context challenges in LongBench v2.")</f>
        <v>This paper introduces LongBench v2, a benchmark designed to assess the ability of LLMs to handle long-context problems requiring deep understanding and reasoning across real-world multitasks. LongBench v2 consists of 503 challenging multiple-choice questions, with contexts ranging from 8k to 2M words, across six major task categories: single-document QA, multi-document QA, long in-context learning, long-dialogue history understanding, code repository understanding, and long structured data understanding. To ensure the breadth and the practicality, we collect data from nearly 100 highly educated individuals with diverse professional backgrounds. We employ both automated and manual review processes to maintain high quality and difficulty, resulting in human experts achieving only 53.7% accuracy under a 15-minute time constraint. Our evaluation reveals that the best-performing model, when directly answers the questions, achieves only 50.1% accuracy. In contrast, the o1-preview model, which includes longer reasoning, achieves 57.7%, surpassing the human baseline by 4%. These results highlight the importance of enhanced reasoning ability and scaling inference-time compute to tackle the long-context challenges in LongBench v2.</v>
      </c>
      <c r="D1779" s="7" t="str">
        <f>IFERROR(__xludf.DUMMYFUNCTION("""COMPUTED_VALUE"""),"Yushi Bai")</f>
        <v>Yushi Bai</v>
      </c>
      <c r="E1779" s="7" t="str">
        <f>IFERROR(__xludf.DUMMYFUNCTION("""COMPUTED_VALUE"""),"Yes")</f>
        <v>Yes</v>
      </c>
      <c r="F1779" s="7" t="str">
        <f>IFERROR(__xludf.DUMMYFUNCTION("""COMPUTED_VALUE"""),"IP-Poster")</f>
        <v>IP-Poster</v>
      </c>
      <c r="G1779" s="7" t="str">
        <f>IFERROR(__xludf.DUMMYFUNCTION("""COMPUTED_VALUE"""),"In-Person")</f>
        <v>In-Person</v>
      </c>
      <c r="H1779" s="7" t="str">
        <f>IFERROR(__xludf.DUMMYFUNCTION("""COMPUTED_VALUE"""),"Hall 4/5")</f>
        <v>Hall 4/5</v>
      </c>
      <c r="I1779" s="7" t="str">
        <f>IFERROR(__xludf.DUMMYFUNCTION("""COMPUTED_VALUE"""),"Session 2: IP-Posters ")</f>
        <v>Session 2: IP-Posters </v>
      </c>
      <c r="J1779" s="7" t="str">
        <f>IFERROR(__xludf.DUMMYFUNCTION("""COMPUTED_VALUE"""),"Poster Session 1")</f>
        <v>Poster Session 1</v>
      </c>
      <c r="K1779" s="7"/>
      <c r="L1779" s="8">
        <f>IFERROR(__xludf.DUMMYFUNCTION("""COMPUTED_VALUE"""),45866.0)</f>
        <v>45866</v>
      </c>
      <c r="M1779" s="7" t="str">
        <f>IFERROR(__xludf.DUMMYFUNCTION("""COMPUTED_VALUE"""),"11:00-12:30")</f>
        <v>11:00-12:30</v>
      </c>
      <c r="N1779" s="7"/>
    </row>
    <row r="1780">
      <c r="A1780" s="7" t="str">
        <f>IFERROR(__xludf.DUMMYFUNCTION("""COMPUTED_VALUE"""),"337-MAIN")</f>
        <v>337-MAIN</v>
      </c>
      <c r="B1780" s="7" t="str">
        <f>IFERROR(__xludf.DUMMYFUNCTION("""COMPUTED_VALUE"""),"Battling against Tough Resister: Strategy Planning with Adversarial Game for Non-collaborative Dialogues")</f>
        <v>Battling against Tough Resister: Strategy Planning with Adversarial Game for Non-collaborative Dialogues</v>
      </c>
      <c r="C1780" s="7" t="str">
        <f>IFERROR(__xludf.DUMMYFUNCTION("""COMPUTED_VALUE"""),"Non-collaborative dialogue involves two participants with conflicting interests engaging in a multi-round dialogue to achieve their own goals. Strategy planning is the key to guiding both participants towards a consensus. Most LLMs-based methods use stimu"&amp;"lus prompts or external strategy planners for strategy planning. However, stimulus prompts fail to teach LLMs to plan dialogue strategies explicitly. Moreover, training external strategy planners doesn't fully account for adversarial interactions, thereby"&amp;" limiting their effectiveness against tough resisters. In this paper, to mitigate the above issues, we propose $\textbf{GAIA}$, a $\textbf{G}$ame-based $\textbf{A}$dversarial self-play $\textbf{I}$nter$\textbf{A}$ctive training paradigm, which constructs "&amp;"an adversarial two-player (a persuader and a resister) zero-sum game and guides the game to approximate Nash Equilibrium (NE) via reinforcement learning (RL) for the non-collaborative dialogues. First, we design a Chain-of-Mind prompt to reason the resist"&amp;"er’s dialogue act step-by-step to plan the persuasive strategies. Secondly, to adversarially improve the persuader, we construct diverse resistant planners and theoretically improve the persuader's optimal lower bound. Finally, we iteratively optimise the"&amp;"ir policies via adversarial self-play interactive RL and design an $\epsilon$-NE verification algorithm to approximate the game's NE. Experiments on three datasets show that our model obtains state-of-the-art performance.")</f>
        <v>Non-collaborative dialogue involves two participants with conflicting interests engaging in a multi-round dialogue to achieve their own goals. Strategy planning is the key to guiding both participants towards a consensus. Most LLMs-based methods use stimulus prompts or external strategy planners for strategy planning. However, stimulus prompts fail to teach LLMs to plan dialogue strategies explicitly. Moreover, training external strategy planners doesn't fully account for adversarial interactions, thereby limiting their effectiveness against tough resisters. In this paper, to mitigate the above issues, we propose $\textbf{GAIA}$, a $\textbf{G}$ame-based $\textbf{A}$dversarial self-play $\textbf{I}$nter$\textbf{A}$ctive training paradigm, which constructs an adversarial two-player (a persuader and a resister) zero-sum game and guides the game to approximate Nash Equilibrium (NE) via reinforcement learning (RL) for the non-collaborative dialogues. First, we design a Chain-of-Mind prompt to reason the resister’s dialogue act step-by-step to plan the persuasive strategies. Secondly, to adversarially improve the persuader, we construct diverse resistant planners and theoretically improve the persuader's optimal lower bound. Finally, we iteratively optimise their policies via adversarial self-play interactive RL and design an $\epsilon$-NE verification algorithm to approximate the game's NE. Experiments on three datasets show that our model obtains state-of-the-art performance.</v>
      </c>
      <c r="D1780" s="7" t="str">
        <f>IFERROR(__xludf.DUMMYFUNCTION("""COMPUTED_VALUE"""),"Haiyang Wang")</f>
        <v>Haiyang Wang</v>
      </c>
      <c r="E1780" s="7" t="str">
        <f>IFERROR(__xludf.DUMMYFUNCTION("""COMPUTED_VALUE"""),"Yes")</f>
        <v>Yes</v>
      </c>
      <c r="F1780" s="7" t="str">
        <f>IFERROR(__xludf.DUMMYFUNCTION("""COMPUTED_VALUE"""),"V-Presentation")</f>
        <v>V-Presentation</v>
      </c>
      <c r="G1780" s="7" t="str">
        <f>IFERROR(__xludf.DUMMYFUNCTION("""COMPUTED_VALUE"""),"Virtual/Gather")</f>
        <v>Virtual/Gather</v>
      </c>
      <c r="H1780" s="7" t="str">
        <f>IFERROR(__xludf.DUMMYFUNCTION("""COMPUTED_VALUE"""),"Zoom")</f>
        <v>Zoom</v>
      </c>
      <c r="I1780" s="7" t="str">
        <f>IFERROR(__xludf.DUMMYFUNCTION("""COMPUTED_VALUE"""),"Session 12: V-Presentations")</f>
        <v>Session 12: V-Presentations</v>
      </c>
      <c r="J1780" s="7" t="str">
        <f>IFERROR(__xludf.DUMMYFUNCTION("""COMPUTED_VALUE"""),"Virtual Presentations 4")</f>
        <v>Virtual Presentations 4</v>
      </c>
      <c r="K1780" s="7"/>
      <c r="L1780" s="8">
        <f>IFERROR(__xludf.DUMMYFUNCTION("""COMPUTED_VALUE"""),45868.0)</f>
        <v>45868</v>
      </c>
      <c r="M1780" s="7" t="str">
        <f>IFERROR(__xludf.DUMMYFUNCTION("""COMPUTED_VALUE"""),"11:00-12:30")</f>
        <v>11:00-12:30</v>
      </c>
      <c r="N1780" s="7"/>
    </row>
    <row r="1781">
      <c r="A1781" s="7" t="str">
        <f>IFERROR(__xludf.DUMMYFUNCTION("""COMPUTED_VALUE"""),"338-MAIN")</f>
        <v>338-MAIN</v>
      </c>
      <c r="B1781" s="7" t="str">
        <f>IFERROR(__xludf.DUMMYFUNCTION("""COMPUTED_VALUE"""),"Cross-model Transferability among Large Language Models on the Platonic Representations of Concepts")</f>
        <v>Cross-model Transferability among Large Language Models on the Platonic Representations of Concepts</v>
      </c>
      <c r="C1781" s="7" t="str">
        <f>IFERROR(__xludf.DUMMYFUNCTION("""COMPUTED_VALUE"""),"Understanding the inner workings of Large Language Models (LLMs) is a critical research frontier. Prior research has shown that a single LLM's concept representations can be captured as steering vectors (SVs), enabling the control of LLM behavior (e.g., t"&amp;"owards generating harmful content). Our work takes a novel approach by exploring the intricate relationships between concept representations across different LLMs, drawing an intriguing parallel to Plato's Allegory of the Cave. In particular, we introduce"&amp;" a linear transformation method to bridge these representations and present three key findings: 1) Concept representations across different LLMs can be effectively aligned using simple linear transformations, enabling efficient cross-model transfer and be"&amp;"havioral control via SVs. 2) This linear transformation generalizes across concepts, facilitating alignment and control of SVs representing different concepts across LLMs. 3) A weak-to-strong transferability exists between LLM concept representations, whe"&amp;"reby SVs extracted from smaller LLMs can effectively control the behavior of larger LLMs. Our code is provided in the supplementary file and will be openly released.")</f>
        <v>Understanding the inner workings of Large Language Models (LLMs) is a critical research frontier. Prior research has shown that a single LLM's concept representations can be captured as steering vectors (SVs), enabling the control of LLM behavior (e.g., towards generating harmful content). Our work takes a novel approach by exploring the intricate relationships between concept representations across different LLMs, drawing an intriguing parallel to Plato's Allegory of the Cave. In particular, we introduce a linear transformation method to bridge these representations and present three key findings: 1) Concept representations across different LLMs can be effectively aligned using simple linear transformations, enabling efficient cross-model transfer and behavioral control via SVs. 2) This linear transformation generalizes across concepts, facilitating alignment and control of SVs representing different concepts across LLMs. 3) A weak-to-strong transferability exists between LLM concept representations, whereby SVs extracted from smaller LLMs can effectively control the behavior of larger LLMs. Our code is provided in the supplementary file and will be openly released.</v>
      </c>
      <c r="D1781" s="7" t="str">
        <f>IFERROR(__xludf.DUMMYFUNCTION("""COMPUTED_VALUE"""),"Youcheng Huang")</f>
        <v>Youcheng Huang</v>
      </c>
      <c r="E1781" s="7" t="str">
        <f>IFERROR(__xludf.DUMMYFUNCTION("""COMPUTED_VALUE"""),"Yes")</f>
        <v>Yes</v>
      </c>
      <c r="F1781" s="7" t="str">
        <f>IFERROR(__xludf.DUMMYFUNCTION("""COMPUTED_VALUE"""),"IP-Poster")</f>
        <v>IP-Poster</v>
      </c>
      <c r="G1781" s="7" t="str">
        <f>IFERROR(__xludf.DUMMYFUNCTION("""COMPUTED_VALUE"""),"In-Person")</f>
        <v>In-Person</v>
      </c>
      <c r="H1781" s="7" t="str">
        <f>IFERROR(__xludf.DUMMYFUNCTION("""COMPUTED_VALUE"""),"Hall 4/5")</f>
        <v>Hall 4/5</v>
      </c>
      <c r="I1781" s="7" t="str">
        <f>IFERROR(__xludf.DUMMYFUNCTION("""COMPUTED_VALUE"""),"Session 7: IP-Posters")</f>
        <v>Session 7: IP-Posters</v>
      </c>
      <c r="J1781" s="7" t="str">
        <f>IFERROR(__xludf.DUMMYFUNCTION("""COMPUTED_VALUE"""),"Poster Session 2")</f>
        <v>Poster Session 2</v>
      </c>
      <c r="K1781" s="7"/>
      <c r="L1781" s="8">
        <f>IFERROR(__xludf.DUMMYFUNCTION("""COMPUTED_VALUE"""),45867.0)</f>
        <v>45867</v>
      </c>
      <c r="M1781" s="7" t="str">
        <f>IFERROR(__xludf.DUMMYFUNCTION("""COMPUTED_VALUE"""),"10:30-12:00")</f>
        <v>10:30-12:00</v>
      </c>
      <c r="N1781" s="7"/>
    </row>
    <row r="1782">
      <c r="A1782" s="7" t="str">
        <f>IFERROR(__xludf.DUMMYFUNCTION("""COMPUTED_VALUE"""),"339-MAIN")</f>
        <v>339-MAIN</v>
      </c>
      <c r="B1782" s="7" t="str">
        <f>IFERROR(__xludf.DUMMYFUNCTION("""COMPUTED_VALUE"""),"FoldMoE: Efficient Long Sequence MoE Training via Attention-MoE Pipelining")</f>
        <v>FoldMoE: Efficient Long Sequence MoE Training via Attention-MoE Pipelining</v>
      </c>
      <c r="C1782" s="7" t="str">
        <f>IFERROR(__xludf.DUMMYFUNCTION("""COMPUTED_VALUE"""),"Training LLMs with Mixture-of-Experts (MoE) architecture on long sequences poses significant challenges due to the all-to-all communication bottleneck of expert parallelism. While existing approaches attempt to hide the communication costs in computation "&amp;"through token-level pipelining within MoE layers, their effectiveness is limited by the insufficient computation. We present FoldMoE, a high-performance MoE training system that enables token-level overlapping across entire Transformer blocks through nove"&amp;"l attention-MoE pipelining. We propose an efficient pipeline schedule, and a novel token buffering design to decouple attention and MoE layer partitioning, along with a time-uniform micro-batching strategy for enhanced efficiency. Evaluations on GPT-MoE m"&amp;"odels with sequences up to 32K tokens show that FoldMoE achieves up to 1.49x and 2.72x speedup over state-of-the-art token-level overlapping and non-overlapping baselines respectively.")</f>
        <v>Training LLMs with Mixture-of-Experts (MoE) architecture on long sequences poses significant challenges due to the all-to-all communication bottleneck of expert parallelism. While existing approaches attempt to hide the communication costs in computation through token-level pipelining within MoE layers, their effectiveness is limited by the insufficient computation. We present FoldMoE, a high-performance MoE training system that enables token-level overlapping across entire Transformer blocks through novel attention-MoE pipelining. We propose an efficient pipeline schedule, and a novel token buffering design to decouple attention and MoE layer partitioning, along with a time-uniform micro-batching strategy for enhanced efficiency. Evaluations on GPT-MoE models with sequences up to 32K tokens show that FoldMoE achieves up to 1.49x and 2.72x speedup over state-of-the-art token-level overlapping and non-overlapping baselines respectively.</v>
      </c>
      <c r="D1782" s="7" t="str">
        <f>IFERROR(__xludf.DUMMYFUNCTION("""COMPUTED_VALUE"""),"Guichao Zhu")</f>
        <v>Guichao Zhu</v>
      </c>
      <c r="E1782" s="7" t="str">
        <f>IFERROR(__xludf.DUMMYFUNCTION("""COMPUTED_VALUE"""),"Yes")</f>
        <v>Yes</v>
      </c>
      <c r="F1782" s="7" t="str">
        <f>IFERROR(__xludf.DUMMYFUNCTION("""COMPUTED_VALUE"""),"IP-Oral")</f>
        <v>IP-Oral</v>
      </c>
      <c r="G1782" s="7" t="str">
        <f>IFERROR(__xludf.DUMMYFUNCTION("""COMPUTED_VALUE"""),"In-Person")</f>
        <v>In-Person</v>
      </c>
      <c r="H1782" s="7" t="str">
        <f>IFERROR(__xludf.DUMMYFUNCTION("""COMPUTED_VALUE"""),"Room 1.15-16")</f>
        <v>Room 1.15-16</v>
      </c>
      <c r="I1782" s="7" t="str">
        <f>IFERROR(__xludf.DUMMYFUNCTION("""COMPUTED_VALUE"""),"Session 11: IP-Orals ")</f>
        <v>Session 11: IP-Orals </v>
      </c>
      <c r="J1782" s="7" t="str">
        <f>IFERROR(__xludf.DUMMYFUNCTION("""COMPUTED_VALUE"""),"Language Modeling 2")</f>
        <v>Language Modeling 2</v>
      </c>
      <c r="K1782" s="7"/>
      <c r="L1782" s="8">
        <f>IFERROR(__xludf.DUMMYFUNCTION("""COMPUTED_VALUE"""),45868.0)</f>
        <v>45868</v>
      </c>
      <c r="M1782" s="7" t="str">
        <f>IFERROR(__xludf.DUMMYFUNCTION("""COMPUTED_VALUE"""),"09:00-10:30")</f>
        <v>09:00-10:30</v>
      </c>
      <c r="N1782" s="7">
        <f>IFERROR(__xludf.DUMMYFUNCTION("""COMPUTED_VALUE"""),2.0)</f>
        <v>2</v>
      </c>
    </row>
    <row r="1783">
      <c r="A1783" s="7" t="str">
        <f>IFERROR(__xludf.DUMMYFUNCTION("""COMPUTED_VALUE"""),"340-MAIN")</f>
        <v>340-MAIN</v>
      </c>
      <c r="B1783" s="7" t="str">
        <f>IFERROR(__xludf.DUMMYFUNCTION("""COMPUTED_VALUE"""),"LongReward: Improving Long-context Large Language Models with AI Feedback")</f>
        <v>LongReward: Improving Long-context Large Language Models with AI Feedback</v>
      </c>
      <c r="C1783" s="7" t="str">
        <f>IFERROR(__xludf.DUMMYFUNCTION("""COMPUTED_VALUE"""),"Though significant advancements have been achieved in developing long-context large language models (LLMs), the compromised quality of LLM-synthesized data for supervised fine-tuning (SFT) often affects the long-context performance of SFT models and leads"&amp;" to inherent limitations. In principle, reinforcement learning (RL) with appropriate reward signals can further enhance models' capacities. However, how to obtain reliable rewards in long-context scenarios remains unexplored. To this end, we propose \text"&amp;"bf{LongReward}, a novel method that utilizes an off-the-shelf LLM to provide rewards for long-context model responses from four human-valued dimensions: helpfulness, logicality, faithfulness, and completeness, each with a carefully designed assessment pip"&amp;"eline. By combining LongReward and offline RL algorithm DPO, we are able to effectively improve long-context SFT models. Our experiments indicate that LongReward not only significantly improves models' long-context performance but also enhances their abil"&amp;"ity to follow short instructions. We also find that long-context DPO with LongReward and conventional short-context DPO can be used together without hurting either one's performance.")</f>
        <v>Though significant advancements have been achieved in developing long-context large language models (LLMs), the compromised quality of LLM-synthesized data for supervised fine-tuning (SFT) often affects the long-context performance of SFT models and leads to inherent limitations. In principle, reinforcement learning (RL) with appropriate reward signals can further enhance models' capacities. However, how to obtain reliable rewards in long-context scenarios remains unexplored. To this end, we propose \textbf{LongReward}, a novel method that utilizes an off-the-shelf LLM to provide rewards for long-context model responses from four human-valued dimensions: helpfulness, logicality, faithfulness, and completeness, each with a carefully designed assessment pipeline. By combining LongReward and offline RL algorithm DPO, we are able to effectively improve long-context SFT models. Our experiments indicate that LongReward not only significantly improves models' long-context performance but also enhances their ability to follow short instructions. We also find that long-context DPO with LongReward and conventional short-context DPO can be used together without hurting either one's performance.</v>
      </c>
      <c r="D1783" s="7" t="str">
        <f>IFERROR(__xludf.DUMMYFUNCTION("""COMPUTED_VALUE"""),"Jiajie Zhang")</f>
        <v>Jiajie Zhang</v>
      </c>
      <c r="E1783" s="7" t="str">
        <f>IFERROR(__xludf.DUMMYFUNCTION("""COMPUTED_VALUE"""),"Yes")</f>
        <v>Yes</v>
      </c>
      <c r="F1783" s="7" t="str">
        <f>IFERROR(__xludf.DUMMYFUNCTION("""COMPUTED_VALUE"""),"IP-Poster")</f>
        <v>IP-Poster</v>
      </c>
      <c r="G1783" s="7" t="str">
        <f>IFERROR(__xludf.DUMMYFUNCTION("""COMPUTED_VALUE"""),"In-Person")</f>
        <v>In-Person</v>
      </c>
      <c r="H1783" s="7" t="str">
        <f>IFERROR(__xludf.DUMMYFUNCTION("""COMPUTED_VALUE"""),"Hall 4/5")</f>
        <v>Hall 4/5</v>
      </c>
      <c r="I1783" s="7" t="str">
        <f>IFERROR(__xludf.DUMMYFUNCTION("""COMPUTED_VALUE"""),"Session 7: IP-Posters")</f>
        <v>Session 7: IP-Posters</v>
      </c>
      <c r="J1783" s="7" t="str">
        <f>IFERROR(__xludf.DUMMYFUNCTION("""COMPUTED_VALUE"""),"Poster Session 2")</f>
        <v>Poster Session 2</v>
      </c>
      <c r="K1783" s="7"/>
      <c r="L1783" s="8">
        <f>IFERROR(__xludf.DUMMYFUNCTION("""COMPUTED_VALUE"""),45867.0)</f>
        <v>45867</v>
      </c>
      <c r="M1783" s="7" t="str">
        <f>IFERROR(__xludf.DUMMYFUNCTION("""COMPUTED_VALUE"""),"10:30-12:00")</f>
        <v>10:30-12:00</v>
      </c>
      <c r="N1783" s="7"/>
    </row>
    <row r="1784">
      <c r="A1784" s="7" t="str">
        <f>IFERROR(__xludf.DUMMYFUNCTION("""COMPUTED_VALUE"""),"342-MAIN")</f>
        <v>342-MAIN</v>
      </c>
      <c r="B1784" s="7" t="str">
        <f>IFERROR(__xludf.DUMMYFUNCTION("""COMPUTED_VALUE"""),"Influences on LLM Calibration: A Study of Response Agreement, Loss Functions, and Prompt Styles")</f>
        <v>Influences on LLM Calibration: A Study of Response Agreement, Loss Functions, and Prompt Styles</v>
      </c>
      <c r="C1784" s="7" t="str">
        <f>IFERROR(__xludf.DUMMYFUNCTION("""COMPUTED_VALUE"""),"Calibration, the alignment between model confidence and prediction accuracy, is critical for the reliable deployment of large language models (LLMs). Existing works neglect to measure the generalization of their methods to other prompt styles and differen"&amp;"t sizes of LLMs. To address this, we define a controlled experimental setting covering 12 LLMs and four prompt styles. We additionally investigate if incorporating the response agreement of multiple LLMs and an appropriate loss function can improve calibr"&amp;"ation performance. Concretely, we build Calib-n, a novel framework that trains an auxiliary model for confidence estimation that aggregates responses from multiple LLMs to capture inter-model agreement. To optimize calibration, we integrate focal and AUC "&amp;"surrogate losses alongside binary cross-entropy. Experiments across four datasets demonstrate that both response agreement and focal loss improve calibration from baselines. We find that few-shot prompts are the most effective for auxiliary model-based me"&amp;"thods, and auxiliary models demonstrate robust calibration performance across accuracy variations, outperforming LLMs' internal probabilities and verbalized confidences. These insights deepen the understanding of influence factors in LLM calibration, supp"&amp;"orting their reliable deployment in diverse applications.")</f>
        <v>Calibration, the alignment between model confidence and prediction accuracy, is critical for the reliable deployment of large language models (LLMs). Existing works neglect to measure the generalization of their methods to other prompt styles and different sizes of LLMs. To address this, we define a controlled experimental setting covering 12 LLMs and four prompt styles. We additionally investigate if incorporating the response agreement of multiple LLMs and an appropriate loss function can improve calibration performance. Concretely, we build Calib-n, a novel framework that trains an auxiliary model for confidence estimation that aggregates responses from multiple LLMs to capture inter-model agreement. To optimize calibration, we integrate focal and AUC surrogate losses alongside binary cross-entropy. Experiments across four datasets demonstrate that both response agreement and focal loss improve calibration from baselines. We find that few-shot prompts are the most effective for auxiliary model-based methods, and auxiliary models demonstrate robust calibration performance across accuracy variations, outperforming LLMs' internal probabilities and verbalized confidences. These insights deepen the understanding of influence factors in LLM calibration, supporting their reliable deployment in diverse applications.</v>
      </c>
      <c r="D1784" s="7" t="str">
        <f>IFERROR(__xludf.DUMMYFUNCTION("""COMPUTED_VALUE"""),"Yuxi Xia")</f>
        <v>Yuxi Xia</v>
      </c>
      <c r="E1784" s="7" t="str">
        <f>IFERROR(__xludf.DUMMYFUNCTION("""COMPUTED_VALUE"""),"Yes")</f>
        <v>Yes</v>
      </c>
      <c r="F1784" s="7" t="str">
        <f>IFERROR(__xludf.DUMMYFUNCTION("""COMPUTED_VALUE"""),"IP-Oral")</f>
        <v>IP-Oral</v>
      </c>
      <c r="G1784" s="7" t="str">
        <f>IFERROR(__xludf.DUMMYFUNCTION("""COMPUTED_VALUE"""),"In-Person")</f>
        <v>In-Person</v>
      </c>
      <c r="H1784" s="7" t="str">
        <f>IFERROR(__xludf.DUMMYFUNCTION("""COMPUTED_VALUE"""),"Room 1.85")</f>
        <v>Room 1.85</v>
      </c>
      <c r="I1784" s="7" t="str">
        <f>IFERROR(__xludf.DUMMYFUNCTION("""COMPUTED_VALUE"""),"Session 11: IP-Orals ")</f>
        <v>Session 11: IP-Orals </v>
      </c>
      <c r="J1784" s="7" t="str">
        <f>IFERROR(__xludf.DUMMYFUNCTION("""COMPUTED_VALUE"""),"Interpretability and Model Analysis 2")</f>
        <v>Interpretability and Model Analysis 2</v>
      </c>
      <c r="K1784" s="7"/>
      <c r="L1784" s="8">
        <f>IFERROR(__xludf.DUMMYFUNCTION("""COMPUTED_VALUE"""),45868.0)</f>
        <v>45868</v>
      </c>
      <c r="M1784" s="7" t="str">
        <f>IFERROR(__xludf.DUMMYFUNCTION("""COMPUTED_VALUE"""),"09:00-10:30")</f>
        <v>09:00-10:30</v>
      </c>
      <c r="N1784" s="7">
        <f>IFERROR(__xludf.DUMMYFUNCTION("""COMPUTED_VALUE"""),1.0)</f>
        <v>1</v>
      </c>
    </row>
    <row r="1785">
      <c r="A1785" s="7" t="str">
        <f>IFERROR(__xludf.DUMMYFUNCTION("""COMPUTED_VALUE"""),"345-MAIN")</f>
        <v>345-MAIN</v>
      </c>
      <c r="B1785" s="7" t="str">
        <f>IFERROR(__xludf.DUMMYFUNCTION("""COMPUTED_VALUE"""),"UTBoost: Rigorous Evaluation of Coding Agents on SWE-Bench")</f>
        <v>UTBoost: Rigorous Evaluation of Coding Agents on SWE-Bench</v>
      </c>
      <c r="C1785" s="7" t="str">
        <f>IFERROR(__xludf.DUMMYFUNCTION("""COMPUTED_VALUE"""),"The advent of Large Language Models (LLMs) has spurred the development of coding agents for real-world code generation.
As a widely used benchmark for evaluating the code generation capabilities of these agents, SWE-Bench uses real-world problems based on"&amp;" GitHub issues and their corresponding pull requests.
However, the manually written test cases included in these pull requests are often insufficient, allowing generated patches to pass the tests without resolving the underlying issue.
To address this cha"&amp;"llenge, we introduce UTGenerator, an LLM-driven test case generator that automatically analyzes codebases and dependencies to generate test cases for real-world Python projects.
Building on UTGenerator, we propose UTBoost, a comprehensive framework for te"&amp;"st case augmentation.
In our evaluation, we identified 36 task instances with insufficient test cases and uncovered 345 erroneous patches incorrectly labeled as passed in the original SWE Bench.
These corrections, impacting 40.9\% of SWE-Bench Lite and 24"&amp;".4\% of SWE-Bench Verified leaderboard entries, yield 18 and 11 ranking changes, respectively.")</f>
        <v>The advent of Large Language Models (LLMs) has spurred the development of coding agents for real-world code generation.
As a widely used benchmark for evaluating the code generation capabilities of these agents, SWE-Bench uses real-world problems based on GitHub issues and their corresponding pull requests.
However, the manually written test cases included in these pull requests are often insufficient, allowing generated patches to pass the tests without resolving the underlying issue.
To address this challenge, we introduce UTGenerator, an LLM-driven test case generator that automatically analyzes codebases and dependencies to generate test cases for real-world Python projects.
Building on UTGenerator, we propose UTBoost, a comprehensive framework for test case augmentation.
In our evaluation, we identified 36 task instances with insufficient test cases and uncovered 345 erroneous patches incorrectly labeled as passed in the original SWE Bench.
These corrections, impacting 40.9\% of SWE-Bench Lite and 24.4\% of SWE-Bench Verified leaderboard entries, yield 18 and 11 ranking changes, respectively.</v>
      </c>
      <c r="D1785" s="7" t="str">
        <f>IFERROR(__xludf.DUMMYFUNCTION("""COMPUTED_VALUE"""),"Boxi Yu")</f>
        <v>Boxi Yu</v>
      </c>
      <c r="E1785" s="7" t="str">
        <f>IFERROR(__xludf.DUMMYFUNCTION("""COMPUTED_VALUE"""),"Yes")</f>
        <v>Yes</v>
      </c>
      <c r="F1785" s="7" t="str">
        <f>IFERROR(__xludf.DUMMYFUNCTION("""COMPUTED_VALUE"""),"V-Presentation")</f>
        <v>V-Presentation</v>
      </c>
      <c r="G1785" s="7" t="str">
        <f>IFERROR(__xludf.DUMMYFUNCTION("""COMPUTED_VALUE"""),"In-Person")</f>
        <v>In-Person</v>
      </c>
      <c r="H1785" s="7" t="str">
        <f>IFERROR(__xludf.DUMMYFUNCTION("""COMPUTED_VALUE"""),"Zoom")</f>
        <v>Zoom</v>
      </c>
      <c r="I1785" s="7" t="str">
        <f>IFERROR(__xludf.DUMMYFUNCTION("""COMPUTED_VALUE"""),"Session 2: V-Presentations")</f>
        <v>Session 2: V-Presentations</v>
      </c>
      <c r="J1785" s="7" t="str">
        <f>IFERROR(__xludf.DUMMYFUNCTION("""COMPUTED_VALUE"""),"Virtual Presentations 1")</f>
        <v>Virtual Presentations 1</v>
      </c>
      <c r="K1785" s="7"/>
      <c r="L1785" s="8">
        <f>IFERROR(__xludf.DUMMYFUNCTION("""COMPUTED_VALUE"""),45866.0)</f>
        <v>45866</v>
      </c>
      <c r="M1785" s="7" t="str">
        <f>IFERROR(__xludf.DUMMYFUNCTION("""COMPUTED_VALUE"""),"11:00-12:30")</f>
        <v>11:00-12:30</v>
      </c>
      <c r="N1785" s="7"/>
    </row>
    <row r="1786">
      <c r="A1786" s="7" t="str">
        <f>IFERROR(__xludf.DUMMYFUNCTION("""COMPUTED_VALUE"""),"350-MAIN")</f>
        <v>350-MAIN</v>
      </c>
      <c r="B1786" s="7" t="str">
        <f>IFERROR(__xludf.DUMMYFUNCTION("""COMPUTED_VALUE"""),"Towards Better Evaluation for Generated Patent Claims")</f>
        <v>Towards Better Evaluation for Generated Patent Claims</v>
      </c>
      <c r="C1786" s="7" t="str">
        <f>IFERROR(__xludf.DUMMYFUNCTION("""COMPUTED_VALUE"""),"Patent claims define the scope of protection and establish the legal boundaries of an invention. Drafting these claims is a complex and time-consuming process that usually requires the expertise of skilled patent attorneys, which can form a large access b"&amp;"arrier for many small enterprises. To solve these challenges, researchers have investigated large language models (LLMs) for automating patent claim generation. However, existing studies highlight inconsistencies between automated evaluation metrics and h"&amp;"uman expert assessments. To bridge this gap, we introduce Patent-CE, the first comprehensive benchmark for evaluating patent claims. Patent-CE includes comparative claim evaluations annotated by patent experts, focusing on five key criteria: feature compl"&amp;"eteness, conceptual clarity, terminology consistency, logical linkage, and overall quality. Additionally, we propose PatClaimEval, a novel multi-dimensional evaluation method specifically designed for patent claims. Our experiments demonstrate that PatCla"&amp;"imEval achieves the highest correlation with human expert evaluations across all assessment criteria among all tested metrics. This research provides the groundwork for more accurate evaluations of automated patent claim generation systems.")</f>
        <v>Patent claims define the scope of protection and establish the legal boundaries of an invention. Drafting these claims is a complex and time-consuming process that usually requires the expertise of skilled patent attorneys, which can form a large access barrier for many small enterprises. To solve these challenges, researchers have investigated large language models (LLMs) for automating patent claim generation. However, existing studies highlight inconsistencies between automated evaluation metrics and human expert assessments. To bridge this gap, we introduce Patent-CE, the first comprehensive benchmark for evaluating patent claims. Patent-CE includes comparative claim evaluations annotated by patent experts, focusing on five key criteria: feature completeness, conceptual clarity, terminology consistency, logical linkage, and overall quality. Additionally, we propose PatClaimEval, a novel multi-dimensional evaluation method specifically designed for patent claims. Our experiments demonstrate that PatClaimEval achieves the highest correlation with human expert evaluations across all assessment criteria among all tested metrics. This research provides the groundwork for more accurate evaluations of automated patent claim generation systems.</v>
      </c>
      <c r="D1786" s="7" t="str">
        <f>IFERROR(__xludf.DUMMYFUNCTION("""COMPUTED_VALUE"""),"Lekang Jiang")</f>
        <v>Lekang Jiang</v>
      </c>
      <c r="E1786" s="7" t="str">
        <f>IFERROR(__xludf.DUMMYFUNCTION("""COMPUTED_VALUE"""),"Yes")</f>
        <v>Yes</v>
      </c>
      <c r="F1786" s="7" t="str">
        <f>IFERROR(__xludf.DUMMYFUNCTION("""COMPUTED_VALUE"""),"V-Presentation")</f>
        <v>V-Presentation</v>
      </c>
      <c r="G1786" s="7" t="str">
        <f>IFERROR(__xludf.DUMMYFUNCTION("""COMPUTED_VALUE"""),"Virtual/Gather")</f>
        <v>Virtual/Gather</v>
      </c>
      <c r="H1786" s="7" t="str">
        <f>IFERROR(__xludf.DUMMYFUNCTION("""COMPUTED_VALUE"""),"Zoom")</f>
        <v>Zoom</v>
      </c>
      <c r="I1786" s="7" t="str">
        <f>IFERROR(__xludf.DUMMYFUNCTION("""COMPUTED_VALUE"""),"Session 10: V-Presenations")</f>
        <v>Session 10: V-Presenations</v>
      </c>
      <c r="J1786" s="7" t="str">
        <f>IFERROR(__xludf.DUMMYFUNCTION("""COMPUTED_VALUE"""),"Virtual Presentations 3")</f>
        <v>Virtual Presentations 3</v>
      </c>
      <c r="K1786" s="7"/>
      <c r="L1786" s="8">
        <f>IFERROR(__xludf.DUMMYFUNCTION("""COMPUTED_VALUE"""),45867.0)</f>
        <v>45867</v>
      </c>
      <c r="M1786" s="7" t="str">
        <f>IFERROR(__xludf.DUMMYFUNCTION("""COMPUTED_VALUE"""),"16:00-17:30")</f>
        <v>16:00-17:30</v>
      </c>
      <c r="N1786" s="7"/>
    </row>
    <row r="1787">
      <c r="A1787" s="7" t="str">
        <f>IFERROR(__xludf.DUMMYFUNCTION("""COMPUTED_VALUE"""),"352-MAIN")</f>
        <v>352-MAIN</v>
      </c>
      <c r="B1787" s="7" t="str">
        <f>IFERROR(__xludf.DUMMYFUNCTION("""COMPUTED_VALUE"""),"Fine-Tuning on Diverse Reasoning Chains Drives Within-Inference CoT Refinement in LLMs")</f>
        <v>Fine-Tuning on Diverse Reasoning Chains Drives Within-Inference CoT Refinement in LLMs</v>
      </c>
      <c r="C1787" s="7" t="str">
        <f>IFERROR(__xludf.DUMMYFUNCTION("""COMPUTED_VALUE"""),"Requiring a large language model (LLM) to generate intermediary reasoning steps, known as Chain of Thought (CoT), has been shown to be an effective way of boosting performance. Previous approaches have focused on generating multiple independent CoTs, comb"&amp;"ining them through ensembling or other post-hoc strategies to enhance reasoning. In this work, we introduce a novel approach where LLMs are fine-tuned to generate a sequence of Diverse Chains of Thought (DCoT) within a single inference step, which is fund"&amp;"amentally different from prior work that primarily operate on parallel CoT generations. DCoT allows LLMs to gain the ability to perform within-inference refinement of reasoning chains without requiring external feedback. Through a rigorous set of experime"&amp;"nts spanning a wide range of tasks that require various reasoning types, we show that fine-tuning on DCoT improves performance over the CoT baseline across model families and scales (1.3B to 70B). These improvements are particularly impactful for tasks wi"&amp;"th a large result state space, such as those involving numeric answers. Our work is also significant because both quantitative analyses and manual evaluations reveal the observed gains stem from the models' ability to refine an initial reasoning chain by "&amp;"generating a second, improved chain within the same inference step, demonstrating previously elusive self-improvement. Our code and data are publicly available.")</f>
        <v>Requiring a large language model (LLM) to generate intermediary reasoning steps, known as Chain of Thought (CoT), has been shown to be an effective way of boosting performance. Previous approaches have focused on generating multiple independent CoTs, combining them through ensembling or other post-hoc strategies to enhance reasoning. In this work, we introduce a novel approach where LLMs are fine-tuned to generate a sequence of Diverse Chains of Thought (DCoT) within a single inference step, which is fundamentally different from prior work that primarily operate on parallel CoT generations. DCoT allows LLMs to gain the ability to perform within-inference refinement of reasoning chains without requiring external feedback. Through a rigorous set of experiments spanning a wide range of tasks that require various reasoning types, we show that fine-tuning on DCoT improves performance over the CoT baseline across model families and scales (1.3B to 70B). These improvements are particularly impactful for tasks with a large result state space, such as those involving numeric answers. Our work is also significant because both quantitative analyses and manual evaluations reveal the observed gains stem from the models' ability to refine an initial reasoning chain by generating a second, improved chain within the same inference step, demonstrating previously elusive self-improvement. Our code and data are publicly available.</v>
      </c>
      <c r="D1787" s="7" t="str">
        <f>IFERROR(__xludf.DUMMYFUNCTION("""COMPUTED_VALUE"""),"Haritz Puerto")</f>
        <v>Haritz Puerto</v>
      </c>
      <c r="E1787" s="7" t="str">
        <f>IFERROR(__xludf.DUMMYFUNCTION("""COMPUTED_VALUE"""),"Yes")</f>
        <v>Yes</v>
      </c>
      <c r="F1787" s="7" t="str">
        <f>IFERROR(__xludf.DUMMYFUNCTION("""COMPUTED_VALUE"""),"IP-Poster")</f>
        <v>IP-Poster</v>
      </c>
      <c r="G1787" s="7" t="str">
        <f>IFERROR(__xludf.DUMMYFUNCTION("""COMPUTED_VALUE"""),"In-Person")</f>
        <v>In-Person</v>
      </c>
      <c r="H1787" s="7" t="str">
        <f>IFERROR(__xludf.DUMMYFUNCTION("""COMPUTED_VALUE"""),"Hall 4/5")</f>
        <v>Hall 4/5</v>
      </c>
      <c r="I1787" s="7" t="str">
        <f>IFERROR(__xludf.DUMMYFUNCTION("""COMPUTED_VALUE"""),"Session 12: IP-Posters")</f>
        <v>Session 12: IP-Posters</v>
      </c>
      <c r="J1787" s="7" t="str">
        <f>IFERROR(__xludf.DUMMYFUNCTION("""COMPUTED_VALUE"""),"Poster Session 4")</f>
        <v>Poster Session 4</v>
      </c>
      <c r="K1787" s="7"/>
      <c r="L1787" s="8">
        <f>IFERROR(__xludf.DUMMYFUNCTION("""COMPUTED_VALUE"""),45868.0)</f>
        <v>45868</v>
      </c>
      <c r="M1787" s="7" t="str">
        <f>IFERROR(__xludf.DUMMYFUNCTION("""COMPUTED_VALUE"""),"11:00-12:30")</f>
        <v>11:00-12:30</v>
      </c>
      <c r="N1787" s="7"/>
    </row>
    <row r="1788">
      <c r="A1788" s="7" t="str">
        <f>IFERROR(__xludf.DUMMYFUNCTION("""COMPUTED_VALUE"""),"353-MAIN")</f>
        <v>353-MAIN</v>
      </c>
      <c r="B1788" s="7" t="str">
        <f>IFERROR(__xludf.DUMMYFUNCTION("""COMPUTED_VALUE"""),"Establishing Trustworthy LLM Evaluation via Shortcut Neuron Analysis")</f>
        <v>Establishing Trustworthy LLM Evaluation via Shortcut Neuron Analysis</v>
      </c>
      <c r="C1788" s="7" t="str">
        <f>IFERROR(__xludf.DUMMYFUNCTION("""COMPUTED_VALUE"""),"The development of large language models (LLMs) depends on **trustworthy evaluation**. However, most current evaluations rely on public benchmarks, which are prone to data contamination issues that significantly compromise fairness. Previous researches ha"&amp;"ve focused on constructing dynamic benchmarks to address contamination. However, continuously building new benchmarks is costly and cyclical.
In this work, we aim to tackle contamination by analyzing the mechanisms of contaminated models themselves. Throu"&amp;"gh our experiments, we discover that the overestimation of contaminated models is likely due to parameters acquiring shortcut solutions in training. We further propose a novel method for identifying shortcut neurons through **comparative and causal analys"&amp;"is**.
Building on this, we introduce an evaluation method called **shortcut neuron patching** to suppress shortcut neurons. Experiments validate the effectiveness of our approach in mitigating contamination. Additionally, our evaluation results exhibit a "&amp;"strong linear correlation with MixEval, a recently released trustworthy benchmark, achieving a Spearman coefficient ($\rho$) exceeding 0.95. This high correlation indicates that our method closely reveals true capabilities of the models and is trustworthy"&amp;". We conduct further experiments to demonstrate the generalizability of our method across various benchmarks and hyperparameter settings. **Code**: https://github.com/GaryStack/Trustworthy-Evaluation.")</f>
        <v>The development of large language models (LLMs) depends on **trustworthy evaluation**. However, most current evaluations rely on public benchmarks, which are prone to data contamination issues that significantly compromise fairness. Previous researches have focused on constructing dynamic benchmarks to address contamination. However, continuously building new benchmarks is costly and cyclical.
In this work, we aim to tackle contamination by analyzing the mechanisms of contaminated models themselves. Through our experiments, we discover that the overestimation of contaminated models is likely due to parameters acquiring shortcut solutions in training. We further propose a novel method for identifying shortcut neurons through **comparative and causal analysis**.
Building on this, we introduce an evaluation method called **shortcut neuron patching** to suppress shortcut neurons. Experiments validate the effectiveness of our approach in mitigating contamination. Additionally, our evaluation results exhibit a strong linear correlation with MixEval, a recently released trustworthy benchmark, achieving a Spearman coefficient ($\rho$) exceeding 0.95. This high correlation indicates that our method closely reveals true capabilities of the models and is trustworthy. We conduct further experiments to demonstrate the generalizability of our method across various benchmarks and hyperparameter settings. **Code**: https://github.com/GaryStack/Trustworthy-Evaluation.</v>
      </c>
      <c r="D1788" s="7" t="str">
        <f>IFERROR(__xludf.DUMMYFUNCTION("""COMPUTED_VALUE"""),"Zhuoran Jin")</f>
        <v>Zhuoran Jin</v>
      </c>
      <c r="E1788" s="7" t="str">
        <f>IFERROR(__xludf.DUMMYFUNCTION("""COMPUTED_VALUE"""),"Yes")</f>
        <v>Yes</v>
      </c>
      <c r="F1788" s="7" t="str">
        <f>IFERROR(__xludf.DUMMYFUNCTION("""COMPUTED_VALUE"""),"IP-Poster")</f>
        <v>IP-Poster</v>
      </c>
      <c r="G1788" s="7" t="str">
        <f>IFERROR(__xludf.DUMMYFUNCTION("""COMPUTED_VALUE"""),"In-Person")</f>
        <v>In-Person</v>
      </c>
      <c r="H1788" s="7" t="str">
        <f>IFERROR(__xludf.DUMMYFUNCTION("""COMPUTED_VALUE"""),"Hall 4/5")</f>
        <v>Hall 4/5</v>
      </c>
      <c r="I1788" s="7" t="str">
        <f>IFERROR(__xludf.DUMMYFUNCTION("""COMPUTED_VALUE"""),"Session 2: IP-Posters ")</f>
        <v>Session 2: IP-Posters </v>
      </c>
      <c r="J1788" s="7" t="str">
        <f>IFERROR(__xludf.DUMMYFUNCTION("""COMPUTED_VALUE"""),"Poster Session 1")</f>
        <v>Poster Session 1</v>
      </c>
      <c r="K1788" s="7"/>
      <c r="L1788" s="8">
        <f>IFERROR(__xludf.DUMMYFUNCTION("""COMPUTED_VALUE"""),45866.0)</f>
        <v>45866</v>
      </c>
      <c r="M1788" s="7" t="str">
        <f>IFERROR(__xludf.DUMMYFUNCTION("""COMPUTED_VALUE"""),"11:00-12:30")</f>
        <v>11:00-12:30</v>
      </c>
      <c r="N1788" s="7"/>
    </row>
    <row r="1789">
      <c r="A1789" s="7" t="str">
        <f>IFERROR(__xludf.DUMMYFUNCTION("""COMPUTED_VALUE"""),"354-MAIN")</f>
        <v>354-MAIN</v>
      </c>
      <c r="B1789" s="7" t="str">
        <f>IFERROR(__xludf.DUMMYFUNCTION("""COMPUTED_VALUE"""),"Do Large Language Models have an English Accent? Evaluating and Improving the Naturalness of Multilingual LLMs")</f>
        <v>Do Large Language Models have an English Accent? Evaluating and Improving the Naturalness of Multilingual LLMs</v>
      </c>
      <c r="C1789" s="7" t="str">
        <f>IFERROR(__xludf.DUMMYFUNCTION("""COMPUTED_VALUE"""),"Current Large Language Models (LLMs) are predominantly designed with English as the primary language, and even the few that are multilingual tend to exhibit strong English-centric biases. Much like speakers who might produce awkward expressions when learn"&amp;"ing a second language, LLMs often generate unnatural outputs in non-English languages, reflecting English-centric patterns in both vocabulary and grammar. Despite the importance of this issue, the naturalness of multilingual LLM outputs has received limit"&amp;"ed attention. In this paper, we address this gap by introducing novel automatic corpus-level metrics to assess the lexical and syntactic naturalness of LLM outputs in a multilingual context. Using our new metrics, we evaluate state-of-the-art LLMs on a cu"&amp;"rated benchmark in French and Chinese, revealing a tendency towards English-influenced patterns. To mitigate this issue, we also propose a simple and effective alignment method to improve the naturalness of an LLM in a target language and domain, achievin"&amp;"g consistent improvements in naturalness without compromising the performance on general-purpose benchmarks. Our work highlights the importance of developing multilingual metrics, resources and methods for the new wave of multilingual LLMs.")</f>
        <v>Current Large Language Models (LLMs) are predominantly designed with English as the primary language, and even the few that are multilingual tend to exhibit strong English-centric biases. Much like speakers who might produce awkward expressions when learning a second language, LLMs often generate unnatural outputs in non-English languages, reflecting English-centric patterns in both vocabulary and grammar. Despite the importance of this issue, the naturalness of multilingual LLM outputs has received limited attention. In this paper, we address this gap by introducing novel automatic corpus-level metrics to assess the lexical and syntactic naturalness of LLM outputs in a multilingual context. Using our new metrics, we evaluate state-of-the-art LLMs on a curated benchmark in French and Chinese, revealing a tendency towards English-influenced patterns. To mitigate this issue, we also propose a simple and effective alignment method to improve the naturalness of an LLM in a target language and domain, achieving consistent improvements in naturalness without compromising the performance on general-purpose benchmarks. Our work highlights the importance of developing multilingual metrics, resources and methods for the new wave of multilingual LLMs.</v>
      </c>
      <c r="D1789" s="7" t="str">
        <f>IFERROR(__xludf.DUMMYFUNCTION("""COMPUTED_VALUE"""),"Yanzhu Guo")</f>
        <v>Yanzhu Guo</v>
      </c>
      <c r="E1789" s="7" t="str">
        <f>IFERROR(__xludf.DUMMYFUNCTION("""COMPUTED_VALUE"""),"Yes")</f>
        <v>Yes</v>
      </c>
      <c r="F1789" s="7" t="str">
        <f>IFERROR(__xludf.DUMMYFUNCTION("""COMPUTED_VALUE"""),"IP-Oral")</f>
        <v>IP-Oral</v>
      </c>
      <c r="G1789" s="7" t="str">
        <f>IFERROR(__xludf.DUMMYFUNCTION("""COMPUTED_VALUE"""),"In-Person")</f>
        <v>In-Person</v>
      </c>
      <c r="H1789" s="7" t="str">
        <f>IFERROR(__xludf.DUMMYFUNCTION("""COMPUTED_VALUE"""),"Room 1.15-16")</f>
        <v>Room 1.15-16</v>
      </c>
      <c r="I1789" s="7" t="str">
        <f>IFERROR(__xludf.DUMMYFUNCTION("""COMPUTED_VALUE"""),"Session 9: IP-Orals")</f>
        <v>Session 9: IP-Orals</v>
      </c>
      <c r="J1789" s="7" t="str">
        <f>IFERROR(__xludf.DUMMYFUNCTION("""COMPUTED_VALUE"""),"Multilingualism and Cross-Lingual NLP")</f>
        <v>Multilingualism and Cross-Lingual NLP</v>
      </c>
      <c r="K1789" s="7"/>
      <c r="L1789" s="8">
        <f>IFERROR(__xludf.DUMMYFUNCTION("""COMPUTED_VALUE"""),45867.0)</f>
        <v>45867</v>
      </c>
      <c r="M1789" s="7" t="str">
        <f>IFERROR(__xludf.DUMMYFUNCTION("""COMPUTED_VALUE"""),"14:00-15:30")</f>
        <v>14:00-15:30</v>
      </c>
      <c r="N1789" s="7">
        <f>IFERROR(__xludf.DUMMYFUNCTION("""COMPUTED_VALUE"""),1.0)</f>
        <v>1</v>
      </c>
    </row>
    <row r="1790">
      <c r="A1790" s="7" t="str">
        <f>IFERROR(__xludf.DUMMYFUNCTION("""COMPUTED_VALUE"""),"357-MAIN")</f>
        <v>357-MAIN</v>
      </c>
      <c r="B1790" s="7" t="str">
        <f>IFERROR(__xludf.DUMMYFUNCTION("""COMPUTED_VALUE"""),"Enhancing Character-Level Understanding in LLMs through Token Internal Structure Learning")</f>
        <v>Enhancing Character-Level Understanding in LLMs through Token Internal Structure Learning</v>
      </c>
      <c r="C1790" s="7" t="str">
        <f>IFERROR(__xludf.DUMMYFUNCTION("""COMPUTED_VALUE"""),"Tokenization methods like Byte-Pair Encoding (BPE) enhance computational efficiency in large language models (LLMs) but often obscure internal character structures within tokens. This limitation hinders LLMs' ability to predict precise character positions"&amp;", which is crucial in tasks like Chinese Spelling Correction (CSC) where identifying the positions of misspelled characters accelerates correction processes. We propose Token Internal Position Awareness (TIPA), a method that significantly improves models'"&amp;" ability to capture character positions within tokens by training them on reverse character prediction tasks using the tokenizer's vocabulary. Experiments demonstrate that TIPA enhances position prediction accuracy in LLMs, enabling more precise identific"&amp;"ation of target characters in original text. Furthermore, when applied to downstream tasks that do not require exact position prediction, TIPA still boosts performance in tasks needing character-level information, validating its versatility and effectiven"&amp;"ess.")</f>
        <v>Tokenization methods like Byte-Pair Encoding (BPE) enhance computational efficiency in large language models (LLMs) but often obscure internal character structures within tokens. This limitation hinders LLMs' ability to predict precise character positions, which is crucial in tasks like Chinese Spelling Correction (CSC) where identifying the positions of misspelled characters accelerates correction processes. We propose Token Internal Position Awareness (TIPA), a method that significantly improves models' ability to capture character positions within tokens by training them on reverse character prediction tasks using the tokenizer's vocabulary. Experiments demonstrate that TIPA enhances position prediction accuracy in LLMs, enabling more precise identification of target characters in original text. Furthermore, when applied to downstream tasks that do not require exact position prediction, TIPA still boosts performance in tasks needing character-level information, validating its versatility and effectiveness.</v>
      </c>
      <c r="D1790" s="7" t="str">
        <f>IFERROR(__xludf.DUMMYFUNCTION("""COMPUTED_VALUE"""),"Zhu Xu")</f>
        <v>Zhu Xu</v>
      </c>
      <c r="E1790" s="7" t="str">
        <f>IFERROR(__xludf.DUMMYFUNCTION("""COMPUTED_VALUE"""),"Yes")</f>
        <v>Yes</v>
      </c>
      <c r="F1790" s="7" t="str">
        <f>IFERROR(__xludf.DUMMYFUNCTION("""COMPUTED_VALUE"""),"V-Presentation")</f>
        <v>V-Presentation</v>
      </c>
      <c r="G1790" s="7" t="str">
        <f>IFERROR(__xludf.DUMMYFUNCTION("""COMPUTED_VALUE"""),"Virtual/Gather")</f>
        <v>Virtual/Gather</v>
      </c>
      <c r="H1790" s="7" t="str">
        <f>IFERROR(__xludf.DUMMYFUNCTION("""COMPUTED_VALUE"""),"Zoom")</f>
        <v>Zoom</v>
      </c>
      <c r="I1790" s="7" t="str">
        <f>IFERROR(__xludf.DUMMYFUNCTION("""COMPUTED_VALUE"""),"Session 10: V-Presenations")</f>
        <v>Session 10: V-Presenations</v>
      </c>
      <c r="J1790" s="7" t="str">
        <f>IFERROR(__xludf.DUMMYFUNCTION("""COMPUTED_VALUE"""),"Virtual Presentations 3")</f>
        <v>Virtual Presentations 3</v>
      </c>
      <c r="K1790" s="7"/>
      <c r="L1790" s="8">
        <f>IFERROR(__xludf.DUMMYFUNCTION("""COMPUTED_VALUE"""),45867.0)</f>
        <v>45867</v>
      </c>
      <c r="M1790" s="7" t="str">
        <f>IFERROR(__xludf.DUMMYFUNCTION("""COMPUTED_VALUE"""),"16:00-17:30")</f>
        <v>16:00-17:30</v>
      </c>
      <c r="N1790" s="7"/>
    </row>
    <row r="1791">
      <c r="A1791" s="7" t="str">
        <f>IFERROR(__xludf.DUMMYFUNCTION("""COMPUTED_VALUE"""),"358-MAIN")</f>
        <v>358-MAIN</v>
      </c>
      <c r="B1791" s="7" t="str">
        <f>IFERROR(__xludf.DUMMYFUNCTION("""COMPUTED_VALUE"""),"Conformity in Large Language Models")</f>
        <v>Conformity in Large Language Models</v>
      </c>
      <c r="C1791" s="7" t="str">
        <f>IFERROR(__xludf.DUMMYFUNCTION("""COMPUTED_VALUE"""),"The conformity effect describes the tendency of individuals to align their responses with the majority. Studying this bias in large language models (LLMs) is crucial, as LLMs are increasingly used in various information-seeking and decision-making tasks a"&amp;"s conversation partners to improve productivity. Thus, conformity to incorrect responses can compromise their effectiveness. In this paper, we adapt psychological experiments to examine the extent of conformity in state-of-the-art LLMs. Our findings revea"&amp;"l that all models tested exhibit varying levels of conformity toward the majority, regardless of their initial choice or correctness, across different knowledge domains. Notably, we are the first to show that LLMs are more likely to conform when they are "&amp;"more uncertain in their own prediction. We further explore factors that influence conformity, such as training paradigms and input characteristics, finding that instruction-tuned models are less susceptible to conformity, while increasing the naturalness "&amp;"of majority tones amplifies conformity. Finally, we propose two interventions—Devil's Advocate and Question Distillation—to mitigate conformity, providing insights into building more robust language models.")</f>
        <v>The conformity effect describes the tendency of individuals to align their responses with the majority. Studying this bias in large language models (LLMs) is crucial, as LLMs are increasingly used in various information-seeking and decision-making tasks as conversation partners to improve productivity. Thus, conformity to incorrect responses can compromise their effectiveness. In this paper, we adapt psychological experiments to examine the extent of conformity in state-of-the-art LLMs. Our findings reveal that all models tested exhibit varying levels of conformity toward the majority, regardless of their initial choice or correctness, across different knowledge domains. Notably, we are the first to show that LLMs are more likely to conform when they are more uncertain in their own prediction. We further explore factors that influence conformity, such as training paradigms and input characteristics, finding that instruction-tuned models are less susceptible to conformity, while increasing the naturalness of majority tones amplifies conformity. Finally, we propose two interventions—Devil's Advocate and Question Distillation—to mitigate conformity, providing insights into building more robust language models.</v>
      </c>
      <c r="D1791" s="7" t="str">
        <f>IFERROR(__xludf.DUMMYFUNCTION("""COMPUTED_VALUE"""),"Xiaochen Zhu")</f>
        <v>Xiaochen Zhu</v>
      </c>
      <c r="E1791" s="7" t="str">
        <f>IFERROR(__xludf.DUMMYFUNCTION("""COMPUTED_VALUE"""),"Yes")</f>
        <v>Yes</v>
      </c>
      <c r="F1791" s="7" t="str">
        <f>IFERROR(__xludf.DUMMYFUNCTION("""COMPUTED_VALUE"""),"IP-Poster")</f>
        <v>IP-Poster</v>
      </c>
      <c r="G1791" s="7" t="str">
        <f>IFERROR(__xludf.DUMMYFUNCTION("""COMPUTED_VALUE"""),"In-Person")</f>
        <v>In-Person</v>
      </c>
      <c r="H1791" s="7" t="str">
        <f>IFERROR(__xludf.DUMMYFUNCTION("""COMPUTED_VALUE"""),"Hall 4/5")</f>
        <v>Hall 4/5</v>
      </c>
      <c r="I1791" s="7" t="str">
        <f>IFERROR(__xludf.DUMMYFUNCTION("""COMPUTED_VALUE"""),"Session 12: IP-Posters")</f>
        <v>Session 12: IP-Posters</v>
      </c>
      <c r="J1791" s="7" t="str">
        <f>IFERROR(__xludf.DUMMYFUNCTION("""COMPUTED_VALUE"""),"Poster Session 4")</f>
        <v>Poster Session 4</v>
      </c>
      <c r="K1791" s="7"/>
      <c r="L1791" s="8">
        <f>IFERROR(__xludf.DUMMYFUNCTION("""COMPUTED_VALUE"""),45868.0)</f>
        <v>45868</v>
      </c>
      <c r="M1791" s="7" t="str">
        <f>IFERROR(__xludf.DUMMYFUNCTION("""COMPUTED_VALUE"""),"11:00-12:30")</f>
        <v>11:00-12:30</v>
      </c>
      <c r="N1791" s="7"/>
    </row>
    <row r="1792">
      <c r="A1792" s="7" t="str">
        <f>IFERROR(__xludf.DUMMYFUNCTION("""COMPUTED_VALUE"""),"359-MAIN")</f>
        <v>359-MAIN</v>
      </c>
      <c r="B1792" s="7" t="str">
        <f>IFERROR(__xludf.DUMMYFUNCTION("""COMPUTED_VALUE"""),"Interpret and Improve In-Context Learning via the Lens of Input-Label Mappings")</f>
        <v>Interpret and Improve In-Context Learning via the Lens of Input-Label Mappings</v>
      </c>
      <c r="C1792" s="7" t="str">
        <f>IFERROR(__xludf.DUMMYFUNCTION("""COMPUTED_VALUE"""),"Large language models (LLMs) excel at downstream NLP tasks through in-context learning (ICL) with a few demonstrations of input–label pairs. However, the internal mechanisms behind ICL remain under-explored, particularly the mappings between inputs and la"&amp;"bels. In this work, we reverse-engineer ICL by examining input-label mappings: what they are within LLMs, where they function, and how LLMs utilize them. (1) what: We discover input-label mappings stored within a few specific layers in the form of princip"&amp;"al components (PCs), which capture human-interpretable and task-related words. (2) where: We propose a PC patching approach to identify the modules where input-label mappings function. Specifically, PC patching automatically crafts counterfactual represen"&amp;"tations using identified semantic PCs, rather than manually designing counterfactual text, to suppress the behavior related to LLM capability for ICL-related modules. Utilizing PC patching, we identify LLMs apply input-label mappings in a small fraction o"&amp;"f attention heads. (3) how: We observe and verify that the identified key heads utilize input-label mappings from demonstrations to generate target labels for new queries. Based on these discoveries, we further show that precisely fine-tuning key ICL-rela"&amp;"ted modules leads to significant improvements across diverse tasks.")</f>
        <v>Large language models (LLMs) excel at downstream NLP tasks through in-context learning (ICL) with a few demonstrations of input–label pairs. However, the internal mechanisms behind ICL remain under-explored, particularly the mappings between inputs and labels. In this work, we reverse-engineer ICL by examining input-label mappings: what they are within LLMs, where they function, and how LLMs utilize them. (1) what: We discover input-label mappings stored within a few specific layers in the form of principal components (PCs), which capture human-interpretable and task-related words. (2) where: We propose a PC patching approach to identify the modules where input-label mappings function. Specifically, PC patching automatically crafts counterfactual representations using identified semantic PCs, rather than manually designing counterfactual text, to suppress the behavior related to LLM capability for ICL-related modules. Utilizing PC patching, we identify LLMs apply input-label mappings in a small fraction of attention heads. (3) how: We observe and verify that the identified key heads utilize input-label mappings from demonstrations to generate target labels for new queries. Based on these discoveries, we further show that precisely fine-tuning key ICL-related modules leads to significant improvements across diverse tasks.</v>
      </c>
      <c r="D1792" s="7" t="str">
        <f>IFERROR(__xludf.DUMMYFUNCTION("""COMPUTED_VALUE"""),"Chenghao Sun")</f>
        <v>Chenghao Sun</v>
      </c>
      <c r="E1792" s="7" t="str">
        <f>IFERROR(__xludf.DUMMYFUNCTION("""COMPUTED_VALUE"""),"Yes")</f>
        <v>Yes</v>
      </c>
      <c r="F1792" s="7" t="str">
        <f>IFERROR(__xludf.DUMMYFUNCTION("""COMPUTED_VALUE"""),"IP-Poster")</f>
        <v>IP-Poster</v>
      </c>
      <c r="G1792" s="7" t="str">
        <f>IFERROR(__xludf.DUMMYFUNCTION("""COMPUTED_VALUE"""),"In-Person")</f>
        <v>In-Person</v>
      </c>
      <c r="H1792" s="7" t="str">
        <f>IFERROR(__xludf.DUMMYFUNCTION("""COMPUTED_VALUE"""),"Hall 4/5")</f>
        <v>Hall 4/5</v>
      </c>
      <c r="I1792" s="7" t="str">
        <f>IFERROR(__xludf.DUMMYFUNCTION("""COMPUTED_VALUE"""),"Session 7: IP-Posters")</f>
        <v>Session 7: IP-Posters</v>
      </c>
      <c r="J1792" s="7" t="str">
        <f>IFERROR(__xludf.DUMMYFUNCTION("""COMPUTED_VALUE"""),"Poster Session 2")</f>
        <v>Poster Session 2</v>
      </c>
      <c r="K1792" s="7"/>
      <c r="L1792" s="8">
        <f>IFERROR(__xludf.DUMMYFUNCTION("""COMPUTED_VALUE"""),45867.0)</f>
        <v>45867</v>
      </c>
      <c r="M1792" s="7" t="str">
        <f>IFERROR(__xludf.DUMMYFUNCTION("""COMPUTED_VALUE"""),"10:30-12:00")</f>
        <v>10:30-12:00</v>
      </c>
      <c r="N1792" s="7"/>
    </row>
    <row r="1793">
      <c r="A1793" s="7" t="str">
        <f>IFERROR(__xludf.DUMMYFUNCTION("""COMPUTED_VALUE"""),"363-MAIN")</f>
        <v>363-MAIN</v>
      </c>
      <c r="B1793" s="7" t="str">
        <f>IFERROR(__xludf.DUMMYFUNCTION("""COMPUTED_VALUE"""),"Positional Overload: Positional Debiasing and Context Window Extension for Large Language Models using Set Encoding")</f>
        <v>Positional Overload: Positional Debiasing and Context Window Extension for Large Language Models using Set Encoding</v>
      </c>
      <c r="C1793" s="7" t="str">
        <f>IFERROR(__xludf.DUMMYFUNCTION("""COMPUTED_VALUE"""),"Large Language Models (LLMs) typically track the order of tokens using positional encoding, which causes the following problems: positional bias, where the model is influenced by an ordering within the prompt, and a fixed context window, as models struggl"&amp;"e to generalize to positions beyond those encountered during training. To address these limitations, we developed a novel method called $\textit{set encoding}$. This method allows multiple pieces of text to be encoded in the same position, thereby elimina"&amp;"ting positional bias entirely. Another promising use case for set encoding is to increase the size of the input an LLM can handle. Our experiments demonstrate that set encoding allows an LLM to solve tasks with far more tokens than without set encoding. T"&amp;"o our knowledge, set encoding is the first technique to effectively extend an LLM’s context window without requiring any additional training.")</f>
        <v>Large Language Models (LLMs) typically track the order of tokens using positional encoding, which causes the following problems: positional bias, where the model is influenced by an ordering within the prompt, and a fixed context window, as models struggle to generalize to positions beyond those encountered during training. To address these limitations, we developed a novel method called $\textit{set encoding}$. This method allows multiple pieces of text to be encoded in the same position, thereby eliminating positional bias entirely. Another promising use case for set encoding is to increase the size of the input an LLM can handle. Our experiments demonstrate that set encoding allows an LLM to solve tasks with far more tokens than without set encoding. To our knowledge, set encoding is the first technique to effectively extend an LLM’s context window without requiring any additional training.</v>
      </c>
      <c r="D1793" s="7" t="str">
        <f>IFERROR(__xludf.DUMMYFUNCTION("""COMPUTED_VALUE"""),"Lukas Kinder")</f>
        <v>Lukas Kinder</v>
      </c>
      <c r="E1793" s="7" t="str">
        <f>IFERROR(__xludf.DUMMYFUNCTION("""COMPUTED_VALUE"""),"Yes")</f>
        <v>Yes</v>
      </c>
      <c r="F1793" s="7" t="str">
        <f>IFERROR(__xludf.DUMMYFUNCTION("""COMPUTED_VALUE"""),"IP-Poster")</f>
        <v>IP-Poster</v>
      </c>
      <c r="G1793" s="7" t="str">
        <f>IFERROR(__xludf.DUMMYFUNCTION("""COMPUTED_VALUE"""),"In-Person")</f>
        <v>In-Person</v>
      </c>
      <c r="H1793" s="7" t="str">
        <f>IFERROR(__xludf.DUMMYFUNCTION("""COMPUTED_VALUE"""),"Hall 4/5")</f>
        <v>Hall 4/5</v>
      </c>
      <c r="I1793" s="7" t="str">
        <f>IFERROR(__xludf.DUMMYFUNCTION("""COMPUTED_VALUE"""),"Session 7: IP-Posters")</f>
        <v>Session 7: IP-Posters</v>
      </c>
      <c r="J1793" s="7" t="str">
        <f>IFERROR(__xludf.DUMMYFUNCTION("""COMPUTED_VALUE"""),"Poster Session 2")</f>
        <v>Poster Session 2</v>
      </c>
      <c r="K1793" s="7"/>
      <c r="L1793" s="8">
        <f>IFERROR(__xludf.DUMMYFUNCTION("""COMPUTED_VALUE"""),45867.0)</f>
        <v>45867</v>
      </c>
      <c r="M1793" s="7" t="str">
        <f>IFERROR(__xludf.DUMMYFUNCTION("""COMPUTED_VALUE"""),"10:30-12:00")</f>
        <v>10:30-12:00</v>
      </c>
      <c r="N1793" s="7"/>
    </row>
    <row r="1794">
      <c r="A1794" s="7" t="str">
        <f>IFERROR(__xludf.DUMMYFUNCTION("""COMPUTED_VALUE"""),"365-MAIN")</f>
        <v>365-MAIN</v>
      </c>
      <c r="B1794" s="7" t="str">
        <f>IFERROR(__xludf.DUMMYFUNCTION("""COMPUTED_VALUE"""),"FR-Spec: Accelerating Large-Vocabulary Language Models via Frequency-Ranked Speculative Sampling")</f>
        <v>FR-Spec: Accelerating Large-Vocabulary Language Models via Frequency-Ranked Speculative Sampling</v>
      </c>
      <c r="C1794" s="7" t="str">
        <f>IFERROR(__xludf.DUMMYFUNCTION("""COMPUTED_VALUE"""),"Speculative sampling has emerged as an important technique for accelerating the auto-regressive generation process of large language models (LLMs) by utilizing a draft-then-verify mechanism to produce multiple tokens per forward pass. While state-of-the-a"&amp;"rt speculative sampling methods use only a single layer and a language modeling (LM) head as the draft model to achieve impressive layer compression, their efficiency gains are substantially reduced for large-vocabulary LLMs, such as Llama-3-8B with a voc"&amp;"abulary of 128k tokens. To address this, we present FR-Spec, a frequency-ranked speculative sampling framework that optimizes draft candidate selection through vocabulary space compression. By constraining the draft search to a frequency-prioritized token"&amp;" subset, our method reduces LM Head computation overhead by 75% while ensuring the equivalence of the final output distribution. Experiments across multiple datasets demonstrate an average of 1.12$\times$ speedup over the state-of-the-art speculative samp"&amp;"ling method EAGLE-2. Code is available
at https://github.com/thunlp/FR-Spec.")</f>
        <v>Speculative sampling has emerged as an important technique for accelerating the auto-regressive generation process of large language models (LLMs) by utilizing a draft-then-verify mechanism to produce multiple tokens per forward pass. While state-of-the-art speculative sampling methods use only a single layer and a language modeling (LM) head as the draft model to achieve impressive layer compression, their efficiency gains are substantially reduced for large-vocabulary LLMs, such as Llama-3-8B with a vocabulary of 128k tokens. To address this, we present FR-Spec, a frequency-ranked speculative sampling framework that optimizes draft candidate selection through vocabulary space compression. By constraining the draft search to a frequency-prioritized token subset, our method reduces LM Head computation overhead by 75% while ensuring the equivalence of the final output distribution. Experiments across multiple datasets demonstrate an average of 1.12$\times$ speedup over the state-of-the-art speculative sampling method EAGLE-2. Code is available
at https://github.com/thunlp/FR-Spec.</v>
      </c>
      <c r="D1794" s="7" t="str">
        <f>IFERROR(__xludf.DUMMYFUNCTION("""COMPUTED_VALUE"""),"Weilin Zhao")</f>
        <v>Weilin Zhao</v>
      </c>
      <c r="E1794" s="7" t="str">
        <f>IFERROR(__xludf.DUMMYFUNCTION("""COMPUTED_VALUE"""),"Yes")</f>
        <v>Yes</v>
      </c>
      <c r="F1794" s="7" t="str">
        <f>IFERROR(__xludf.DUMMYFUNCTION("""COMPUTED_VALUE"""),"IP-Poster")</f>
        <v>IP-Poster</v>
      </c>
      <c r="G1794" s="7" t="str">
        <f>IFERROR(__xludf.DUMMYFUNCTION("""COMPUTED_VALUE"""),"In-Person")</f>
        <v>In-Person</v>
      </c>
      <c r="H1794" s="7" t="str">
        <f>IFERROR(__xludf.DUMMYFUNCTION("""COMPUTED_VALUE"""),"Hall 4/5")</f>
        <v>Hall 4/5</v>
      </c>
      <c r="I1794" s="7" t="str">
        <f>IFERROR(__xludf.DUMMYFUNCTION("""COMPUTED_VALUE"""),"Session 2: IP-Posters ")</f>
        <v>Session 2: IP-Posters </v>
      </c>
      <c r="J1794" s="7" t="str">
        <f>IFERROR(__xludf.DUMMYFUNCTION("""COMPUTED_VALUE"""),"Poster Session 1")</f>
        <v>Poster Session 1</v>
      </c>
      <c r="K1794" s="7"/>
      <c r="L1794" s="8">
        <f>IFERROR(__xludf.DUMMYFUNCTION("""COMPUTED_VALUE"""),45866.0)</f>
        <v>45866</v>
      </c>
      <c r="M1794" s="7" t="str">
        <f>IFERROR(__xludf.DUMMYFUNCTION("""COMPUTED_VALUE"""),"11:00-12:30")</f>
        <v>11:00-12:30</v>
      </c>
      <c r="N1794" s="7"/>
    </row>
    <row r="1795">
      <c r="A1795" s="7" t="str">
        <f>IFERROR(__xludf.DUMMYFUNCTION("""COMPUTED_VALUE"""),"366-MAIN")</f>
        <v>366-MAIN</v>
      </c>
      <c r="B1795" s="7" t="str">
        <f>IFERROR(__xludf.DUMMYFUNCTION("""COMPUTED_VALUE"""),"VReST: Enhancing Reasoning in Large Vision-Language Models through Tree Search and Self-Reward Mechanism")</f>
        <v>VReST: Enhancing Reasoning in Large Vision-Language Models through Tree Search and Self-Reward Mechanism</v>
      </c>
      <c r="C1795" s="7" t="str">
        <f>IFERROR(__xludf.DUMMYFUNCTION("""COMPUTED_VALUE"""),"Large Vision-Language Models (LVLMs) have shown exceptional performance in multimodal tasks, but their effectiveness in complex visual reasoning is still constrained, especially when employing Chain-of-Thought prompting techniques. In this paper, we propo"&amp;"se VReST, a novel training-free approach that enhances Reasoning in LVLMs through Monte Carlo Tree Search and Self-Reward mechanisms. VReST meticulously traverses the reasoning landscape by establishing a search tree, where each node encapsulates a reason"&amp;"ing step, and each path delineates a comprehensive reasoning sequence. Our innovative multimodal Self-Reward mechanism assesses the quality of reasoning steps by integrating the utility of sub-questions, answer correctness, and the relevance of vision-lan"&amp;"guage clues, all without the need for additional models. VReST surpasses current prompting methods and secures state-of-the-art performance across three multimodal mathematical reasoning benchmarks. Furthermore, it substantiates the efficacy of test-time "&amp;"scaling laws in multimodal tasks, offering a promising direction for future research.")</f>
        <v>Large Vision-Language Models (LVLMs) have shown exceptional performance in multimodal tasks, but their effectiveness in complex visual reasoning is still constrained, especially when employing Chain-of-Thought prompting techniques. In this paper, we propose VReST, a novel training-free approach that enhances Reasoning in LVLMs through Monte Carlo Tree Search and Self-Reward mechanisms. VReST meticulously traverses the reasoning landscape by establishing a search tree, where each node encapsulates a reasoning step, and each path delineates a comprehensive reasoning sequence. Our innovative multimodal Self-Reward mechanism assesses the quality of reasoning steps by integrating the utility of sub-questions, answer correctness, and the relevance of vision-language clues, all without the need for additional models. VReST surpasses current prompting methods and secures state-of-the-art performance across three multimodal mathematical reasoning benchmarks. Furthermore, it substantiates the efficacy of test-time scaling laws in multimodal tasks, offering a promising direction for future research.</v>
      </c>
      <c r="D1795" s="7" t="str">
        <f>IFERROR(__xludf.DUMMYFUNCTION("""COMPUTED_VALUE"""),"Congzhi Zhang")</f>
        <v>Congzhi Zhang</v>
      </c>
      <c r="E1795" s="7" t="str">
        <f>IFERROR(__xludf.DUMMYFUNCTION("""COMPUTED_VALUE"""),"Yes")</f>
        <v>Yes</v>
      </c>
      <c r="F1795" s="7" t="str">
        <f>IFERROR(__xludf.DUMMYFUNCTION("""COMPUTED_VALUE"""),"V-Presentation")</f>
        <v>V-Presentation</v>
      </c>
      <c r="G1795" s="7" t="str">
        <f>IFERROR(__xludf.DUMMYFUNCTION("""COMPUTED_VALUE"""),"Virtual/Gather")</f>
        <v>Virtual/Gather</v>
      </c>
      <c r="H1795" s="7" t="str">
        <f>IFERROR(__xludf.DUMMYFUNCTION("""COMPUTED_VALUE"""),"Zoom")</f>
        <v>Zoom</v>
      </c>
      <c r="I1795" s="7" t="str">
        <f>IFERROR(__xludf.DUMMYFUNCTION("""COMPUTED_VALUE"""),"Session 12: V-Presentations")</f>
        <v>Session 12: V-Presentations</v>
      </c>
      <c r="J1795" s="7" t="str">
        <f>IFERROR(__xludf.DUMMYFUNCTION("""COMPUTED_VALUE"""),"Virtual Presentations 4")</f>
        <v>Virtual Presentations 4</v>
      </c>
      <c r="K1795" s="7"/>
      <c r="L1795" s="8">
        <f>IFERROR(__xludf.DUMMYFUNCTION("""COMPUTED_VALUE"""),45868.0)</f>
        <v>45868</v>
      </c>
      <c r="M1795" s="7" t="str">
        <f>IFERROR(__xludf.DUMMYFUNCTION("""COMPUTED_VALUE"""),"11:00-12:30")</f>
        <v>11:00-12:30</v>
      </c>
      <c r="N1795" s="7"/>
    </row>
    <row r="1796">
      <c r="A1796" s="7" t="str">
        <f>IFERROR(__xludf.DUMMYFUNCTION("""COMPUTED_VALUE"""),"367-MAIN")</f>
        <v>367-MAIN</v>
      </c>
      <c r="B1796" s="7" t="str">
        <f>IFERROR(__xludf.DUMMYFUNCTION("""COMPUTED_VALUE"""),"Past Meets Present: Creating Historical Analogy with Large Language Models")</f>
        <v>Past Meets Present: Creating Historical Analogy with Large Language Models</v>
      </c>
      <c r="C1796" s="7" t="str">
        <f>IFERROR(__xludf.DUMMYFUNCTION("""COMPUTED_VALUE"""),"Historical analogies, which compare known past events with contemporary but unfamiliar events, are important abilities that help people make decisions and understand the world. However, research in applied history suggests that people have difficulty find"&amp;"ing appropriate analogies. And previous studies in the AI community have also overlooked historical analogies. To fill this gap, in this paper, we focus on the historical analogy acquisition task, which aims to acquire analogous historical events for a gi"&amp;"ven event. We explore retrieval and generation methods for acquiring historical analogies based on different large language models (LLMs). Furthermore, we propose a self-reflection method to mitigate hallucinations and stereotypes when LLMs generate histo"&amp;"rical analogies. Through human evaluations and our specially designed automatic multi-dimensional assessment, we find that LLMs generally have a good potential for historical analogies. And the performance of the models can be further improved by using ou"&amp;"r self-reflection method. Resources of this paper can be found at https://anonymous.4open.science/r/Historical-Analogy-of-LLMs-FC17")</f>
        <v>Historical analogies, which compare known past events with contemporary but unfamiliar events, are important abilities that help people make decisions and understand the world. However, research in applied history suggests that people have difficulty finding appropriate analogies. And previous studies in the AI community have also overlooked historical analogies. To fill this gap, in this paper, we focus on the historical analogy acquisition task, which aims to acquire analogous historical events for a given event. We explore retrieval and generation methods for acquiring historical analogies based on different large language models (LLMs). Furthermore, we propose a self-reflection method to mitigate hallucinations and stereotypes when LLMs generate historical analogies. Through human evaluations and our specially designed automatic multi-dimensional assessment, we find that LLMs generally have a good potential for historical analogies. And the performance of the models can be further improved by using our self-reflection method. Resources of this paper can be found at https://anonymous.4open.science/r/Historical-Analogy-of-LLMs-FC17</v>
      </c>
      <c r="D1796" s="7" t="str">
        <f>IFERROR(__xludf.DUMMYFUNCTION("""COMPUTED_VALUE"""),"Nianqi Li")</f>
        <v>Nianqi Li</v>
      </c>
      <c r="E1796" s="7" t="str">
        <f>IFERROR(__xludf.DUMMYFUNCTION("""COMPUTED_VALUE"""),"Yes")</f>
        <v>Yes</v>
      </c>
      <c r="F1796" s="7" t="str">
        <f>IFERROR(__xludf.DUMMYFUNCTION("""COMPUTED_VALUE"""),"IP-Oral")</f>
        <v>IP-Oral</v>
      </c>
      <c r="G1796" s="7" t="str">
        <f>IFERROR(__xludf.DUMMYFUNCTION("""COMPUTED_VALUE"""),"In-Person")</f>
        <v>In-Person</v>
      </c>
      <c r="H1796" s="7" t="str">
        <f>IFERROR(__xludf.DUMMYFUNCTION("""COMPUTED_VALUE"""),"Hall A ")</f>
        <v>Hall A </v>
      </c>
      <c r="I1796" s="7" t="str">
        <f>IFERROR(__xludf.DUMMYFUNCTION("""COMPUTED_VALUE"""),"Session 3: IP-Orals")</f>
        <v>Session 3: IP-Orals</v>
      </c>
      <c r="J1796" s="7" t="str">
        <f>IFERROR(__xludf.DUMMYFUNCTION("""COMPUTED_VALUE"""),"Resources and Evaluation 1")</f>
        <v>Resources and Evaluation 1</v>
      </c>
      <c r="K1796" s="7"/>
      <c r="L1796" s="8">
        <f>IFERROR(__xludf.DUMMYFUNCTION("""COMPUTED_VALUE"""),45866.0)</f>
        <v>45866</v>
      </c>
      <c r="M1796" s="7" t="str">
        <f>IFERROR(__xludf.DUMMYFUNCTION("""COMPUTED_VALUE"""),"14:00-15:30")</f>
        <v>14:00-15:30</v>
      </c>
      <c r="N1796" s="7">
        <f>IFERROR(__xludf.DUMMYFUNCTION("""COMPUTED_VALUE"""),3.0)</f>
        <v>3</v>
      </c>
    </row>
    <row r="1797">
      <c r="A1797" s="7" t="str">
        <f>IFERROR(__xludf.DUMMYFUNCTION("""COMPUTED_VALUE"""),"369-MAIN")</f>
        <v>369-MAIN</v>
      </c>
      <c r="B1797" s="7" t="str">
        <f>IFERROR(__xludf.DUMMYFUNCTION("""COMPUTED_VALUE"""),"Meta-Reflection: A Feedback-Free Reflection Learning Framework")</f>
        <v>Meta-Reflection: A Feedback-Free Reflection Learning Framework</v>
      </c>
      <c r="C1797" s="7" t="str">
        <f>IFERROR(__xludf.DUMMYFUNCTION("""COMPUTED_VALUE"""),"Despite the remarkable capabilities of large language models (LLMs) in natural language understanding and reasoning, they often display undesirable behaviors, such as generating hallucinations and unfaithful reasoning. A prevalent strategy to mitigate the"&amp;"se issues is the use of reflection, which refines responses through an iterative process. However, while promising, reflection heavily relies on high-quality external feedback and requires iterative multi-agent inference processes, thus hindering its prac"&amp;"tical application. In this paper, we propose Meta-Reflection, a novel feedback-free reflection mechanism that necessitates only a single inference pass without external feedback. Motivated by the human ability to remember and retrieve reflections from pas"&amp;"t experiences when encountering similar problems, Meta-Reflection integrates reflective insights into a codebook, allowing the historical insights to be stored, retrieved, and used to guide LLMs in problem-solving. To thoroughly investigate and evaluate t"&amp;"he practicality of Meta-Reflection in real-world scenarios, we introduce an industrial e-commerce benchmark named E-commerce Customer Intent Detection. Extensive experiments conducted on both public datasets and the ECID benchmark highlight the effectiven"&amp;"ess and efficiency of our proposed approach. Project is available at https://github.com/DCDmllm/Meta-Reflection")</f>
        <v>Despite the remarkable capabilities of large language models (LLMs) in natural language understanding and reasoning, they often display undesirable behaviors, such as generating hallucinations and unfaithful reasoning. A prevalent strategy to mitigate these issues is the use of reflection, which refines responses through an iterative process. However, while promising, reflection heavily relies on high-quality external feedback and requires iterative multi-agent inference processes, thus hindering its practical application. In this paper, we propose Meta-Reflection, a novel feedback-free reflection mechanism that necessitates only a single inference pass without external feedback. Motivated by the human ability to remember and retrieve reflections from past experiences when encountering similar problems, Meta-Reflection integrates reflective insights into a codebook, allowing the historical insights to be stored, retrieved, and used to guide LLMs in problem-solving. To thoroughly investigate and evaluate the practicality of Meta-Reflection in real-world scenarios, we introduce an industrial e-commerce benchmark named E-commerce Customer Intent Detection. Extensive experiments conducted on both public datasets and the ECID benchmark highlight the effectiveness and efficiency of our proposed approach. Project is available at https://github.com/DCDmllm/Meta-Reflection</v>
      </c>
      <c r="D1797" s="7" t="str">
        <f>IFERROR(__xludf.DUMMYFUNCTION("""COMPUTED_VALUE"""),"yaoke wang")</f>
        <v>yaoke wang</v>
      </c>
      <c r="E1797" s="7" t="str">
        <f>IFERROR(__xludf.DUMMYFUNCTION("""COMPUTED_VALUE"""),"Yes")</f>
        <v>Yes</v>
      </c>
      <c r="F1797" s="7" t="str">
        <f>IFERROR(__xludf.DUMMYFUNCTION("""COMPUTED_VALUE"""),"IP-Poster")</f>
        <v>IP-Poster</v>
      </c>
      <c r="G1797" s="7" t="str">
        <f>IFERROR(__xludf.DUMMYFUNCTION("""COMPUTED_VALUE"""),"In-Person")</f>
        <v>In-Person</v>
      </c>
      <c r="H1797" s="7" t="str">
        <f>IFERROR(__xludf.DUMMYFUNCTION("""COMPUTED_VALUE"""),"Hall 4/5")</f>
        <v>Hall 4/5</v>
      </c>
      <c r="I1797" s="7" t="str">
        <f>IFERROR(__xludf.DUMMYFUNCTION("""COMPUTED_VALUE"""),"Session 7: IP-Posters")</f>
        <v>Session 7: IP-Posters</v>
      </c>
      <c r="J1797" s="7" t="str">
        <f>IFERROR(__xludf.DUMMYFUNCTION("""COMPUTED_VALUE"""),"Poster Session 2")</f>
        <v>Poster Session 2</v>
      </c>
      <c r="K1797" s="7"/>
      <c r="L1797" s="8">
        <f>IFERROR(__xludf.DUMMYFUNCTION("""COMPUTED_VALUE"""),45867.0)</f>
        <v>45867</v>
      </c>
      <c r="M1797" s="7" t="str">
        <f>IFERROR(__xludf.DUMMYFUNCTION("""COMPUTED_VALUE"""),"10:30-12:00")</f>
        <v>10:30-12:00</v>
      </c>
      <c r="N1797" s="7"/>
    </row>
    <row r="1798">
      <c r="A1798" s="7" t="str">
        <f>IFERROR(__xludf.DUMMYFUNCTION("""COMPUTED_VALUE"""),"372-MAIN")</f>
        <v>372-MAIN</v>
      </c>
      <c r="B1798" s="7" t="str">
        <f>IFERROR(__xludf.DUMMYFUNCTION("""COMPUTED_VALUE"""),"Cross-Lingual Transfer of Cultural Knowledge: An Asymmetric Phenomenon")</f>
        <v>Cross-Lingual Transfer of Cultural Knowledge: An Asymmetric Phenomenon</v>
      </c>
      <c r="C1798" s="7" t="str">
        <f>IFERROR(__xludf.DUMMYFUNCTION("""COMPUTED_VALUE"""),"Despite substantial research efforts evaluating how well large language models (LLMs) handle global cultural diversity, the mechanisms behind their cultural knowledge acquisition, particularly in multilingual settings, remain unclear. We study this questi"&amp;"on by investigating how cultural knowledge transfers across languages during the language adaptation of LLMs, a process where an LLM is continually pre-trained to learn another language. We introduce an interpretable framework to study this transfer, ensu"&amp;"ring training data transparency and controlling transfer effects. Through a study of four non-Anglophonic cultures, we observe bidirectional cultural transfer between English and other high-resource languages, while low-resource languages primarily transf"&amp;"er knowledge to English with limited reverse flow. To explain this asymmetric phenomenon, we propose a frequency-based hypothesis: cultural knowledge appearing more frequently in the pretraining data transfers more easily, which is supported by empirical "&amp;"analysis of the training corpora. We hope our findings could inform future research on knowledge transfer and promote the development of culturally aware models, particularly for low-resource languages.")</f>
        <v>Despite substantial research efforts evaluating how well large language models (LLMs) handle global cultural diversity, the mechanisms behind their cultural knowledge acquisition, particularly in multilingual settings, remain unclear. We study this question by investigating how cultural knowledge transfers across languages during the language adaptation of LLMs, a process where an LLM is continually pre-trained to learn another language. We introduce an interpretable framework to study this transfer, ensuring training data transparency and controlling transfer effects. Through a study of four non-Anglophonic cultures, we observe bidirectional cultural transfer between English and other high-resource languages, while low-resource languages primarily transfer knowledge to English with limited reverse flow. To explain this asymmetric phenomenon, we propose a frequency-based hypothesis: cultural knowledge appearing more frequently in the pretraining data transfers more easily, which is supported by empirical analysis of the training corpora. We hope our findings could inform future research on knowledge transfer and promote the development of culturally aware models, particularly for low-resource languages.</v>
      </c>
      <c r="D1798" s="7" t="str">
        <f>IFERROR(__xludf.DUMMYFUNCTION("""COMPUTED_VALUE"""),"Chen Zhang")</f>
        <v>Chen Zhang</v>
      </c>
      <c r="E1798" s="7" t="str">
        <f>IFERROR(__xludf.DUMMYFUNCTION("""COMPUTED_VALUE"""),"Yes")</f>
        <v>Yes</v>
      </c>
      <c r="F1798" s="7" t="str">
        <f>IFERROR(__xludf.DUMMYFUNCTION("""COMPUTED_VALUE"""),"IP-Poster")</f>
        <v>IP-Poster</v>
      </c>
      <c r="G1798" s="7" t="str">
        <f>IFERROR(__xludf.DUMMYFUNCTION("""COMPUTED_VALUE"""),"In-Person")</f>
        <v>In-Person</v>
      </c>
      <c r="H1798" s="7" t="str">
        <f>IFERROR(__xludf.DUMMYFUNCTION("""COMPUTED_VALUE"""),"Hall 4/5")</f>
        <v>Hall 4/5</v>
      </c>
      <c r="I1798" s="7" t="str">
        <f>IFERROR(__xludf.DUMMYFUNCTION("""COMPUTED_VALUE"""),"Session 7: IP-Posters")</f>
        <v>Session 7: IP-Posters</v>
      </c>
      <c r="J1798" s="7" t="str">
        <f>IFERROR(__xludf.DUMMYFUNCTION("""COMPUTED_VALUE"""),"Poster Session 2")</f>
        <v>Poster Session 2</v>
      </c>
      <c r="K1798" s="7"/>
      <c r="L1798" s="8">
        <f>IFERROR(__xludf.DUMMYFUNCTION("""COMPUTED_VALUE"""),45867.0)</f>
        <v>45867</v>
      </c>
      <c r="M1798" s="7" t="str">
        <f>IFERROR(__xludf.DUMMYFUNCTION("""COMPUTED_VALUE"""),"10:30-12:00")</f>
        <v>10:30-12:00</v>
      </c>
      <c r="N1798" s="7"/>
    </row>
    <row r="1799">
      <c r="A1799" s="7" t="str">
        <f>IFERROR(__xludf.DUMMYFUNCTION("""COMPUTED_VALUE"""),"376-MAIN")</f>
        <v>376-MAIN</v>
      </c>
      <c r="B1799" s="7" t="str">
        <f>IFERROR(__xludf.DUMMYFUNCTION("""COMPUTED_VALUE"""),"Read it in Two Steps: Translating Extremely Low-Resource Languages with Code-Augmented Grammar Books")</f>
        <v>Read it in Two Steps: Translating Extremely Low-Resource Languages with Code-Augmented Grammar Books</v>
      </c>
      <c r="C1799" s="7" t="str">
        <f>IFERROR(__xludf.DUMMYFUNCTION("""COMPUTED_VALUE"""),"While large language models (LLMs) have shown promise in translating extremely low-resource languages using resources like dictionaries, the effectiveness of grammar books remains debated. This paper investigates the role of grammar books in translating e"&amp;"xtremely low-resource languages by decomposing it into two key steps: grammar rule retrieval and application. To facilitate the study, we introduce ZhuangRules, a modularized dataset of grammar rules and their corresponding test sentences. Our analysis re"&amp;"veals that rule retrieval constitutes a primary bottleneck in grammar-based translation. Moreover, although LLMs can apply simple rules for translation when explicitly provided, they encounter difficulties in handling more complex rules. To address these "&amp;"challenges, we propose representing grammar rules as code functions, considering their similarities in structure and the benefit of code in facilitating LLM reasoning. Our experiments show that using code rules significantly boosts 
both rule retrieval an"&amp;"d application, ultimately resulting in a 13.1% BLEU improvement in translation.")</f>
        <v>While large language models (LLMs) have shown promise in translating extremely low-resource languages using resources like dictionaries, the effectiveness of grammar books remains debated. This paper investigates the role of grammar books in translating extremely low-resource languages by decomposing it into two key steps: grammar rule retrieval and application. To facilitate the study, we introduce ZhuangRules, a modularized dataset of grammar rules and their corresponding test sentences. Our analysis reveals that rule retrieval constitutes a primary bottleneck in grammar-based translation. Moreover, although LLMs can apply simple rules for translation when explicitly provided, they encounter difficulties in handling more complex rules. To address these challenges, we propose representing grammar rules as code functions, considering their similarities in structure and the benefit of code in facilitating LLM reasoning. Our experiments show that using code rules significantly boosts 
both rule retrieval and application, ultimately resulting in a 13.1% BLEU improvement in translation.</v>
      </c>
      <c r="D1799" s="7" t="str">
        <f>IFERROR(__xludf.DUMMYFUNCTION("""COMPUTED_VALUE"""),"Chen Zhang")</f>
        <v>Chen Zhang</v>
      </c>
      <c r="E1799" s="7" t="str">
        <f>IFERROR(__xludf.DUMMYFUNCTION("""COMPUTED_VALUE"""),"Yes")</f>
        <v>Yes</v>
      </c>
      <c r="F1799" s="7" t="str">
        <f>IFERROR(__xludf.DUMMYFUNCTION("""COMPUTED_VALUE"""),"IP-Poster")</f>
        <v>IP-Poster</v>
      </c>
      <c r="G1799" s="7" t="str">
        <f>IFERROR(__xludf.DUMMYFUNCTION("""COMPUTED_VALUE"""),"In-Person")</f>
        <v>In-Person</v>
      </c>
      <c r="H1799" s="7" t="str">
        <f>IFERROR(__xludf.DUMMYFUNCTION("""COMPUTED_VALUE"""),"Hall 4/5")</f>
        <v>Hall 4/5</v>
      </c>
      <c r="I1799" s="7" t="str">
        <f>IFERROR(__xludf.DUMMYFUNCTION("""COMPUTED_VALUE"""),"Session 7: IP-Posters")</f>
        <v>Session 7: IP-Posters</v>
      </c>
      <c r="J1799" s="7" t="str">
        <f>IFERROR(__xludf.DUMMYFUNCTION("""COMPUTED_VALUE"""),"Poster Session 2")</f>
        <v>Poster Session 2</v>
      </c>
      <c r="K1799" s="7"/>
      <c r="L1799" s="8">
        <f>IFERROR(__xludf.DUMMYFUNCTION("""COMPUTED_VALUE"""),45867.0)</f>
        <v>45867</v>
      </c>
      <c r="M1799" s="7" t="str">
        <f>IFERROR(__xludf.DUMMYFUNCTION("""COMPUTED_VALUE"""),"10:30-12:00")</f>
        <v>10:30-12:00</v>
      </c>
      <c r="N1799" s="7"/>
    </row>
    <row r="1800">
      <c r="A1800" s="7" t="str">
        <f>IFERROR(__xludf.DUMMYFUNCTION("""COMPUTED_VALUE"""),"377-MAIN")</f>
        <v>377-MAIN</v>
      </c>
      <c r="B1800" s="7" t="str">
        <f>IFERROR(__xludf.DUMMYFUNCTION("""COMPUTED_VALUE"""),"Confidence v.s. Critique: A Decomposition of Self-Correction Capability for LLMs")</f>
        <v>Confidence v.s. Critique: A Decomposition of Self-Correction Capability for LLMs</v>
      </c>
      <c r="C1800" s="7" t="str">
        <f>IFERROR(__xludf.DUMMYFUNCTION("""COMPUTED_VALUE"""),"Large Language Models (LLMs) can correct their self-generated responses, but a decline in accuracy after self-correction is also witnessed. To have a deeper understanding of self-correction, we endeavor to decompose, evaluate, and analyze the self-correct"&amp;"ion behaviors of LLMs. By enumerating and analyzing answer correctness before and after self-correction, we decompose the self-correction capability into confidence (being confident to correct answers) and critique (turning wrong answers to correct) capab"&amp;"ilities, and propose two metrics from a probabilistic perspective to measure these 2 capabilities, along with another metric for overall self-correction capability evaluation. Based on our decomposition and evaluation metrics, we conduct extensive experim"&amp;"ents and draw some empirical conclusions. For example, we find different models can exhibit distinct behaviors: some models are confident while others are more critical. We also find the trade-off between the two capabilities (i.e. improving one can lead "&amp;"to a decline in the other) when manipulating model self-correction behavior by prompts or in-context learning. Further, we find a simple yet efficient strategy to improve self-correction capability by transforming Supervision Fine-Tuning (SFT) data format"&amp;", and our strategy outperforms vanilla SFT in both capabilities and achieves much higher accuracy after self-correction.")</f>
        <v>Large Language Models (LLMs) can correct their self-generated responses, but a decline in accuracy after self-correction is also witnessed. To have a deeper understanding of self-correction, we endeavor to decompose, evaluate, and analyze the self-correction behaviors of LLMs. By enumerating and analyzing answer correctness before and after self-correction, we decompose the self-correction capability into confidence (being confident to correct answers) and critique (turning wrong answers to correct) capabilities, and propose two metrics from a probabilistic perspective to measure these 2 capabilities, along with another metric for overall self-correction capability evaluation. Based on our decomposition and evaluation metrics, we conduct extensive experiments and draw some empirical conclusions. For example, we find different models can exhibit distinct behaviors: some models are confident while others are more critical. We also find the trade-off between the two capabilities (i.e. improving one can lead to a decline in the other) when manipulating model self-correction behavior by prompts or in-context learning. Further, we find a simple yet efficient strategy to improve self-correction capability by transforming Supervision Fine-Tuning (SFT) data format, and our strategy outperforms vanilla SFT in both capabilities and achieves much higher accuracy after self-correction.</v>
      </c>
      <c r="D1800" s="7" t="str">
        <f>IFERROR(__xludf.DUMMYFUNCTION("""COMPUTED_VALUE"""),"Zhe Yang")</f>
        <v>Zhe Yang</v>
      </c>
      <c r="E1800" s="7" t="str">
        <f>IFERROR(__xludf.DUMMYFUNCTION("""COMPUTED_VALUE"""),"Yes")</f>
        <v>Yes</v>
      </c>
      <c r="F1800" s="7" t="str">
        <f>IFERROR(__xludf.DUMMYFUNCTION("""COMPUTED_VALUE"""),"V-Presentation")</f>
        <v>V-Presentation</v>
      </c>
      <c r="G1800" s="7" t="str">
        <f>IFERROR(__xludf.DUMMYFUNCTION("""COMPUTED_VALUE"""),"Virtual/Gather")</f>
        <v>Virtual/Gather</v>
      </c>
      <c r="H1800" s="7" t="str">
        <f>IFERROR(__xludf.DUMMYFUNCTION("""COMPUTED_VALUE"""),"Zoom")</f>
        <v>Zoom</v>
      </c>
      <c r="I1800" s="7" t="str">
        <f>IFERROR(__xludf.DUMMYFUNCTION("""COMPUTED_VALUE"""),"Session 2: V-Presentations")</f>
        <v>Session 2: V-Presentations</v>
      </c>
      <c r="J1800" s="7" t="str">
        <f>IFERROR(__xludf.DUMMYFUNCTION("""COMPUTED_VALUE"""),"Virtual Presentations 1")</f>
        <v>Virtual Presentations 1</v>
      </c>
      <c r="K1800" s="7"/>
      <c r="L1800" s="8">
        <f>IFERROR(__xludf.DUMMYFUNCTION("""COMPUTED_VALUE"""),45866.0)</f>
        <v>45866</v>
      </c>
      <c r="M1800" s="7" t="str">
        <f>IFERROR(__xludf.DUMMYFUNCTION("""COMPUTED_VALUE"""),"11:00-12:30")</f>
        <v>11:00-12:30</v>
      </c>
      <c r="N1800" s="7"/>
    </row>
    <row r="1801">
      <c r="A1801" s="7" t="str">
        <f>IFERROR(__xludf.DUMMYFUNCTION("""COMPUTED_VALUE"""),"380-MAIN")</f>
        <v>380-MAIN</v>
      </c>
      <c r="B1801" s="7" t="str">
        <f>IFERROR(__xludf.DUMMYFUNCTION("""COMPUTED_VALUE"""),"Automating Legal Concept Interpretation with LLMs: Retrieval, Generation, and Evaluation")</f>
        <v>Automating Legal Concept Interpretation with LLMs: Retrieval, Generation, and Evaluation</v>
      </c>
      <c r="C1801" s="7" t="str">
        <f>IFERROR(__xludf.DUMMYFUNCTION("""COMPUTED_VALUE"""),"Interpreting the law is always essential for the law to adapt to the ever-changing society. It is a critical and challenging task even for legal practitioners, as it requires meticulous and professional annotations and summarizations by legal experts, whi"&amp;"ch are admittedly time-consuming and expensive to collect at scale. To alleviate the burden on legal experts, we propose a method for automated legal interpretation. Specifically, by emulating doctrinal legal research, we introduce a novel framework, **AT"&amp;"RIE**, to address Legal Concept Interpretation, a typical task in legal interpretation. **ATRIE** utilizes large language models (LLMs) to **A**u**T**omatically **R**etrieve concept-related information, **I**nterpret legal concepts, and **E**valuate gener"&amp;"ated interpretations, eliminating dependence on legal experts. ATRIE comprises a legal concept interpreter and a legal concept interpretation evaluator. The interpreter uses LLMs to retrieve relevant information from previous cases and interpret legal con"&amp;"cepts. The evaluator uses performance changes on Legal Concept Entailment, a downstream task we propose, as a proxy of interpretation quality. Automated and multifaceted human evaluations indicate that the quality of our interpretations is comparable to t"&amp;"hose written by legal experts, with superior comprehensiveness and readability. Although there remains a slight gap in accuracy, it can already assist legal practitioners in improving the efficiency of legal interpretation.")</f>
        <v>Interpreting the law is always essential for the law to adapt to the ever-changing society. It is a critical and challenging task even for legal practitioners, as it requires meticulous and professional annotations and summarizations by legal experts, which are admittedly time-consuming and expensive to collect at scale. To alleviate the burden on legal experts, we propose a method for automated legal interpretation. Specifically, by emulating doctrinal legal research, we introduce a novel framework, **ATRIE**, to address Legal Concept Interpretation, a typical task in legal interpretation. **ATRIE** utilizes large language models (LLMs) to **A**u**T**omatically **R**etrieve concept-related information, **I**nterpret legal concepts, and **E**valuate generated interpretations, eliminating dependence on legal experts. ATRIE comprises a legal concept interpreter and a legal concept interpretation evaluator. The interpreter uses LLMs to retrieve relevant information from previous cases and interpret legal concepts. The evaluator uses performance changes on Legal Concept Entailment, a downstream task we propose, as a proxy of interpretation quality. Automated and multifaceted human evaluations indicate that the quality of our interpretations is comparable to those written by legal experts, with superior comprehensiveness and readability. Although there remains a slight gap in accuracy, it can already assist legal practitioners in improving the efficiency of legal interpretation.</v>
      </c>
      <c r="D1801" s="7" t="str">
        <f>IFERROR(__xludf.DUMMYFUNCTION("""COMPUTED_VALUE"""),"Kangcheng Luo")</f>
        <v>Kangcheng Luo</v>
      </c>
      <c r="E1801" s="7" t="str">
        <f>IFERROR(__xludf.DUMMYFUNCTION("""COMPUTED_VALUE"""),"Yes")</f>
        <v>Yes</v>
      </c>
      <c r="F1801" s="7" t="str">
        <f>IFERROR(__xludf.DUMMYFUNCTION("""COMPUTED_VALUE"""),"IP-Poster")</f>
        <v>IP-Poster</v>
      </c>
      <c r="G1801" s="7" t="str">
        <f>IFERROR(__xludf.DUMMYFUNCTION("""COMPUTED_VALUE"""),"In-Person")</f>
        <v>In-Person</v>
      </c>
      <c r="H1801" s="7" t="str">
        <f>IFERROR(__xludf.DUMMYFUNCTION("""COMPUTED_VALUE"""),"Hall 4/5")</f>
        <v>Hall 4/5</v>
      </c>
      <c r="I1801" s="7" t="str">
        <f>IFERROR(__xludf.DUMMYFUNCTION("""COMPUTED_VALUE"""),"Session 12: IP-Posters")</f>
        <v>Session 12: IP-Posters</v>
      </c>
      <c r="J1801" s="7" t="str">
        <f>IFERROR(__xludf.DUMMYFUNCTION("""COMPUTED_VALUE"""),"Poster Session 4")</f>
        <v>Poster Session 4</v>
      </c>
      <c r="K1801" s="7"/>
      <c r="L1801" s="8">
        <f>IFERROR(__xludf.DUMMYFUNCTION("""COMPUTED_VALUE"""),45868.0)</f>
        <v>45868</v>
      </c>
      <c r="M1801" s="7" t="str">
        <f>IFERROR(__xludf.DUMMYFUNCTION("""COMPUTED_VALUE"""),"11:00-12:30")</f>
        <v>11:00-12:30</v>
      </c>
      <c r="N1801" s="7"/>
    </row>
    <row r="1802">
      <c r="A1802" s="7" t="str">
        <f>IFERROR(__xludf.DUMMYFUNCTION("""COMPUTED_VALUE"""),"382-MAIN")</f>
        <v>382-MAIN</v>
      </c>
      <c r="B1802" s="7" t="str">
        <f>IFERROR(__xludf.DUMMYFUNCTION("""COMPUTED_VALUE"""),"Visual Evidence Prompting Mitigates Hallucinations in Large Vision-Language Models")</f>
        <v>Visual Evidence Prompting Mitigates Hallucinations in Large Vision-Language Models</v>
      </c>
      <c r="C1802" s="7" t="str">
        <f>IFERROR(__xludf.DUMMYFUNCTION("""COMPUTED_VALUE"""),"Large Vision-Language Models (LVLMs) have shown impressive progress by integrating visual perception with linguistic understanding to produce contextually grounded outputs. Despite these advancements achieved, LVLMs still suffer from the hallucination pro"&amp;"blem, e.g., they tend to produce content that does not exist in the input images. Our investigation suggests that such hallucinations often stem from the deficiencies in fine-grained comprehension on the visual aspect, particularly when visual scenes exhi"&amp;"bit appearance or semantic similarities (e.g., bicycle vs. motorcycles, baseball bat vs. baseball). In this work, we show such hallucination is naturally mitigated via a novel method called visual evidence prompting,  utilizing small visual models to comp"&amp;"lement the LVLMs. While traditional visual models are not adept at interacting with humans, they excel at perceiving the fine-grained image contents. By symbolizing the professional outputs of domain-expert models as prompts, the LVLM generalists are able"&amp;" to refer to these evidences as visual knowledge to generate more precise answers. Detailed analysis shows that visual evidence enables models to adjust and rectify the attribution and attention on the images, reducing visual confusion by suppressing fals"&amp;"e activation while enhancing correct ones. Extensive experiments and in-depth analysis demonstrate the effectiveness of our method. We hope our straightforward but insightful work enhances the comprehension of hallucination in LVLMs and offers valuable pe"&amp;"rspectives on addressing such challenges.")</f>
        <v>Large Vision-Language Models (LVLMs) have shown impressive progress by integrating visual perception with linguistic understanding to produce contextually grounded outputs. Despite these advancements achieved, LVLMs still suffer from the hallucination problem, e.g., they tend to produce content that does not exist in the input images. Our investigation suggests that such hallucinations often stem from the deficiencies in fine-grained comprehension on the visual aspect, particularly when visual scenes exhibit appearance or semantic similarities (e.g., bicycle vs. motorcycles, baseball bat vs. baseball). In this work, we show such hallucination is naturally mitigated via a novel method called visual evidence prompting,  utilizing small visual models to complement the LVLMs. While traditional visual models are not adept at interacting with humans, they excel at perceiving the fine-grained image contents. By symbolizing the professional outputs of domain-expert models as prompts, the LVLM generalists are able to refer to these evidences as visual knowledge to generate more precise answers. Detailed analysis shows that visual evidence enables models to adjust and rectify the attribution and attention on the images, reducing visual confusion by suppressing false activation while enhancing correct ones. Extensive experiments and in-depth analysis demonstrate the effectiveness of our method. We hope our straightforward but insightful work enhances the comprehension of hallucination in LVLMs and offers valuable perspectives on addressing such challenges.</v>
      </c>
      <c r="D1802" s="7" t="str">
        <f>IFERROR(__xludf.DUMMYFUNCTION("""COMPUTED_VALUE"""),"Wei Li")</f>
        <v>Wei Li</v>
      </c>
      <c r="E1802" s="7" t="str">
        <f>IFERROR(__xludf.DUMMYFUNCTION("""COMPUTED_VALUE"""),"Yes")</f>
        <v>Yes</v>
      </c>
      <c r="F1802" s="7" t="str">
        <f>IFERROR(__xludf.DUMMYFUNCTION("""COMPUTED_VALUE"""),"IP-Poster")</f>
        <v>IP-Poster</v>
      </c>
      <c r="G1802" s="7" t="str">
        <f>IFERROR(__xludf.DUMMYFUNCTION("""COMPUTED_VALUE"""),"In-Person")</f>
        <v>In-Person</v>
      </c>
      <c r="H1802" s="7" t="str">
        <f>IFERROR(__xludf.DUMMYFUNCTION("""COMPUTED_VALUE"""),"Hall 4/5")</f>
        <v>Hall 4/5</v>
      </c>
      <c r="I1802" s="7" t="str">
        <f>IFERROR(__xludf.DUMMYFUNCTION("""COMPUTED_VALUE"""),"Session 10: IP-Posters")</f>
        <v>Session 10: IP-Posters</v>
      </c>
      <c r="J1802" s="7" t="str">
        <f>IFERROR(__xludf.DUMMYFUNCTION("""COMPUTED_VALUE"""),"Poster Session 3")</f>
        <v>Poster Session 3</v>
      </c>
      <c r="K1802" s="7"/>
      <c r="L1802" s="8">
        <f>IFERROR(__xludf.DUMMYFUNCTION("""COMPUTED_VALUE"""),45867.0)</f>
        <v>45867</v>
      </c>
      <c r="M1802" s="7" t="str">
        <f>IFERROR(__xludf.DUMMYFUNCTION("""COMPUTED_VALUE"""),"16:00-17:30")</f>
        <v>16:00-17:30</v>
      </c>
      <c r="N1802" s="7"/>
    </row>
    <row r="1803">
      <c r="A1803" s="7" t="str">
        <f>IFERROR(__xludf.DUMMYFUNCTION("""COMPUTED_VALUE"""),"386-MAIN")</f>
        <v>386-MAIN</v>
      </c>
      <c r="B1803" s="7" t="str">
        <f>IFERROR(__xludf.DUMMYFUNCTION("""COMPUTED_VALUE"""),"Leveraging Dual Process Theory in Language Agent Framework for Real-time Simultaneous Human-AI Collaboration")</f>
        <v>Leveraging Dual Process Theory in Language Agent Framework for Real-time Simultaneous Human-AI Collaboration</v>
      </c>
      <c r="C1803" s="7" t="str">
        <f>IFERROR(__xludf.DUMMYFUNCTION("""COMPUTED_VALUE"""),"Agents built on large language models (LLMs) have excelled in turn-by-turn human-AI collaboration but struggle with simultaneous tasks requiring real-time interaction. Latency issues and the challenge of inferring variable human strategies hinder their ab"&amp;"ility to make autonomous decisions without explicit instructions. Through experiments with current independent *System 1* and *System 2* methods, we validate the necessity of using Dual Process Theory (DPT) in real-time tasks. We propose DPT-Agent, a nove"&amp;"l language agent framework that integrates *System 1* and *System 2* for efficient real-time simultaneous human-AI collaboration. DPT-Agent's *System 1* uses a Finite-state Machine (FSM) and code-as-policy for fast, intuitive, and controllable decision-ma"&amp;"king. DPT-Agent's *System 2* integrates Theory of Mind (ToM) and asynchronous reflection to infer human intentions and perform reasoning-based autonomous decisions. We demonstrate the effectiveness of DPT-Agent through further experiments with rule-based "&amp;"agents and human collaborators, showing significant improvements over mainstream LLM-based frameworks. To the best of our knowledge, DPT-Agent is the first language agent framework that achieves successful real-time simultaneous human-AI collaboration aut"&amp;"onomously. Code of DPT-Agent can be found in https://github.com/sjtu-marl/DPT-Agent.")</f>
        <v>Agents built on large language models (LLMs) have excelled in turn-by-turn human-AI collaboration but struggle with simultaneous tasks requiring real-time interaction. Latency issues and the challenge of inferring variable human strategies hinder their ability to make autonomous decisions without explicit instructions. Through experiments with current independent *System 1* and *System 2* methods, we validate the necessity of using Dual Process Theory (DPT) in real-time tasks. We propose DPT-Agent, a novel language agent framework that integrates *System 1* and *System 2* for efficient real-time simultaneous human-AI collaboration. DPT-Agent's *System 1* uses a Finite-state Machine (FSM) and code-as-policy for fast, intuitive, and controllable decision-making. DPT-Agent's *System 2* integrates Theory of Mind (ToM) and asynchronous reflection to infer human intentions and perform reasoning-based autonomous decisions. We demonstrate the effectiveness of DPT-Agent through further experiments with rule-based agents and human collaborators, showing significant improvements over mainstream LLM-based frameworks. To the best of our knowledge, DPT-Agent is the first language agent framework that achieves successful real-time simultaneous human-AI collaboration autonomously. Code of DPT-Agent can be found in https://github.com/sjtu-marl/DPT-Agent.</v>
      </c>
      <c r="D1803" s="7" t="str">
        <f>IFERROR(__xludf.DUMMYFUNCTION("""COMPUTED_VALUE"""),"Shao Zhang")</f>
        <v>Shao Zhang</v>
      </c>
      <c r="E1803" s="7" t="str">
        <f>IFERROR(__xludf.DUMMYFUNCTION("""COMPUTED_VALUE"""),"Yes")</f>
        <v>Yes</v>
      </c>
      <c r="F1803" s="7" t="str">
        <f>IFERROR(__xludf.DUMMYFUNCTION("""COMPUTED_VALUE"""),"IP-Poster")</f>
        <v>IP-Poster</v>
      </c>
      <c r="G1803" s="7" t="str">
        <f>IFERROR(__xludf.DUMMYFUNCTION("""COMPUTED_VALUE"""),"In-Person")</f>
        <v>In-Person</v>
      </c>
      <c r="H1803" s="7" t="str">
        <f>IFERROR(__xludf.DUMMYFUNCTION("""COMPUTED_VALUE"""),"Hall 4/5")</f>
        <v>Hall 4/5</v>
      </c>
      <c r="I1803" s="7" t="str">
        <f>IFERROR(__xludf.DUMMYFUNCTION("""COMPUTED_VALUE"""),"Session 2: IP-Posters ")</f>
        <v>Session 2: IP-Posters </v>
      </c>
      <c r="J1803" s="7" t="str">
        <f>IFERROR(__xludf.DUMMYFUNCTION("""COMPUTED_VALUE"""),"Poster Session 1")</f>
        <v>Poster Session 1</v>
      </c>
      <c r="K1803" s="7"/>
      <c r="L1803" s="8">
        <f>IFERROR(__xludf.DUMMYFUNCTION("""COMPUTED_VALUE"""),45866.0)</f>
        <v>45866</v>
      </c>
      <c r="M1803" s="7" t="str">
        <f>IFERROR(__xludf.DUMMYFUNCTION("""COMPUTED_VALUE"""),"11:00-12:30")</f>
        <v>11:00-12:30</v>
      </c>
      <c r="N1803" s="7"/>
    </row>
    <row r="1804">
      <c r="A1804" s="7" t="str">
        <f>IFERROR(__xludf.DUMMYFUNCTION("""COMPUTED_VALUE"""),"387-MAIN")</f>
        <v>387-MAIN</v>
      </c>
      <c r="B1804" s="7" t="str">
        <f>IFERROR(__xludf.DUMMYFUNCTION("""COMPUTED_VALUE"""),"TokAlign: Efficient Vocabulary Adaptation via Token Alignment")</f>
        <v>TokAlign: Efficient Vocabulary Adaptation via Token Alignment</v>
      </c>
      <c r="C1804" s="7" t="str">
        <f>IFERROR(__xludf.DUMMYFUNCTION("""COMPUTED_VALUE"""),"Tokenization serves as a foundational step for Large Language Models (LLMs) to process text. In new domains or languages, the inefficiency of the tokenizer will slow down the training and generation of LLM. The mismatch in vocabulary also hinders deep kno"&amp;"wledge transfer between LLMs like token-level distillation. To mitigate this gap, we propose an efficient method named **TokAlign** to replace the vocabulary of LLM from the token co-occurrences view, and further transfer the token-level knowledge between"&amp;" models. It first aligns the source vocabulary to the target one by learning a one-to-one mapping matrix for token IDs. Model parameters, including embeddings, are rearranged and progressively fine-tuned for the new vocabulary. Our method significantly im"&amp;"proves multilingual text compression rates and vocabulary initialization for LLMs, decreasing the perplexity from ${3.4e}^{2}$ of strong baseline methods to ${1.2e}^{2}$ after initialization. Experimental results on models across multiple parameter scales"&amp;" demonstrate the effectiveness and generalization of TokAlign, which costs as few as 5k steps to restore the performance of the vanilla model. After unifying vocabularies between LLMs, token-level distillation can remarkably boost (+4.4% than sentence-lev"&amp;"el distillation) the base model, costing only 235M tokens.")</f>
        <v>Tokenization serves as a foundational step for Large Language Models (LLMs) to process text. In new domains or languages, the inefficiency of the tokenizer will slow down the training and generation of LLM. The mismatch in vocabulary also hinders deep knowledge transfer between LLMs like token-level distillation. To mitigate this gap, we propose an efficient method named **TokAlign** to replace the vocabulary of LLM from the token co-occurrences view, and further transfer the token-level knowledge between models. It first aligns the source vocabulary to the target one by learning a one-to-one mapping matrix for token IDs. Model parameters, including embeddings, are rearranged and progressively fine-tuned for the new vocabulary. Our method significantly improves multilingual text compression rates and vocabulary initialization for LLMs, decreasing the perplexity from ${3.4e}^{2}$ of strong baseline methods to ${1.2e}^{2}$ after initialization. Experimental results on models across multiple parameter scales demonstrate the effectiveness and generalization of TokAlign, which costs as few as 5k steps to restore the performance of the vanilla model. After unifying vocabularies between LLMs, token-level distillation can remarkably boost (+4.4% than sentence-level distillation) the base model, costing only 235M tokens.</v>
      </c>
      <c r="D1804" s="7" t="str">
        <f>IFERROR(__xludf.DUMMYFUNCTION("""COMPUTED_VALUE"""),"Chong Li")</f>
        <v>Chong Li</v>
      </c>
      <c r="E1804" s="7" t="str">
        <f>IFERROR(__xludf.DUMMYFUNCTION("""COMPUTED_VALUE"""),"Yes")</f>
        <v>Yes</v>
      </c>
      <c r="F1804" s="7" t="str">
        <f>IFERROR(__xludf.DUMMYFUNCTION("""COMPUTED_VALUE"""),"IP-Oral")</f>
        <v>IP-Oral</v>
      </c>
      <c r="G1804" s="7" t="str">
        <f>IFERROR(__xludf.DUMMYFUNCTION("""COMPUTED_VALUE"""),"In-Person")</f>
        <v>In-Person</v>
      </c>
      <c r="H1804" s="7" t="str">
        <f>IFERROR(__xludf.DUMMYFUNCTION("""COMPUTED_VALUE"""),"Hall C")</f>
        <v>Hall C</v>
      </c>
      <c r="I1804" s="7" t="str">
        <f>IFERROR(__xludf.DUMMYFUNCTION("""COMPUTED_VALUE"""),"Session 9: IP-Orals")</f>
        <v>Session 9: IP-Orals</v>
      </c>
      <c r="J1804" s="7" t="str">
        <f>IFERROR(__xludf.DUMMYFUNCTION("""COMPUTED_VALUE"""),"Language Modeling 1")</f>
        <v>Language Modeling 1</v>
      </c>
      <c r="K1804" s="7"/>
      <c r="L1804" s="8">
        <f>IFERROR(__xludf.DUMMYFUNCTION("""COMPUTED_VALUE"""),45867.0)</f>
        <v>45867</v>
      </c>
      <c r="M1804" s="7" t="str">
        <f>IFERROR(__xludf.DUMMYFUNCTION("""COMPUTED_VALUE"""),"14:00-15:30")</f>
        <v>14:00-15:30</v>
      </c>
      <c r="N1804" s="7">
        <f>IFERROR(__xludf.DUMMYFUNCTION("""COMPUTED_VALUE"""),2.0)</f>
        <v>2</v>
      </c>
    </row>
    <row r="1805">
      <c r="A1805" s="7" t="str">
        <f>IFERROR(__xludf.DUMMYFUNCTION("""COMPUTED_VALUE"""),"388-MAIN")</f>
        <v>388-MAIN</v>
      </c>
      <c r="B1805" s="7" t="str">
        <f>IFERROR(__xludf.DUMMYFUNCTION("""COMPUTED_VALUE"""),"AceEdit: Advancing Continuous Knowledge Editing For Large Language Models")</f>
        <v>AceEdit: Advancing Continuous Knowledge Editing For Large Language Models</v>
      </c>
      <c r="C1805" s="7" t="str">
        <f>IFERROR(__xludf.DUMMYFUNCTION("""COMPUTED_VALUE"""),"Knowledge editing (KE) has emerged as a prominent alternative that enables efficient and precise information modification inside language models. However, a critical challenge arises in continuous language models editing — a significant performance declin"&amp;"e both in knowledge update and retention when the number of edits increases. By dissecting the perturbation weight of language model in continuous KE, we uncover that disentangled and sparsified knowledge representation can significantly alleviate the per"&amp;"formance decline. 
Building on these insights, we introduce AdaEdit, a novel knowledge editing method. Extensive empirical evaluations on multiple LLMs demonstrate that our proposed methods can enhance the performance of edited LLMs in large-size continuo"&amp;"us editing regimes, outperforming existing ones without substantially compromising the general abilities of these models.")</f>
        <v>Knowledge editing (KE) has emerged as a prominent alternative that enables efficient and precise information modification inside language models. However, a critical challenge arises in continuous language models editing — a significant performance decline both in knowledge update and retention when the number of edits increases. By dissecting the perturbation weight of language model in continuous KE, we uncover that disentangled and sparsified knowledge representation can significantly alleviate the performance decline. 
Building on these insights, we introduce AdaEdit, a novel knowledge editing method. Extensive empirical evaluations on multiple LLMs demonstrate that our proposed methods can enhance the performance of edited LLMs in large-size continuous editing regimes, outperforming existing ones without substantially compromising the general abilities of these models.</v>
      </c>
      <c r="D1805" s="7" t="str">
        <f>IFERROR(__xludf.DUMMYFUNCTION("""COMPUTED_VALUE"""),"Qi Li")</f>
        <v>Qi Li</v>
      </c>
      <c r="E1805" s="7" t="str">
        <f>IFERROR(__xludf.DUMMYFUNCTION("""COMPUTED_VALUE"""),"Yes")</f>
        <v>Yes</v>
      </c>
      <c r="F1805" s="7" t="str">
        <f>IFERROR(__xludf.DUMMYFUNCTION("""COMPUTED_VALUE"""),"V-Presentation")</f>
        <v>V-Presentation</v>
      </c>
      <c r="G1805" s="7" t="str">
        <f>IFERROR(__xludf.DUMMYFUNCTION("""COMPUTED_VALUE"""),"Virtual/Gather")</f>
        <v>Virtual/Gather</v>
      </c>
      <c r="H1805" s="7" t="str">
        <f>IFERROR(__xludf.DUMMYFUNCTION("""COMPUTED_VALUE"""),"Zoom")</f>
        <v>Zoom</v>
      </c>
      <c r="I1805" s="7" t="str">
        <f>IFERROR(__xludf.DUMMYFUNCTION("""COMPUTED_VALUE"""),"Session 10: V-Presenations")</f>
        <v>Session 10: V-Presenations</v>
      </c>
      <c r="J1805" s="7" t="str">
        <f>IFERROR(__xludf.DUMMYFUNCTION("""COMPUTED_VALUE"""),"Virtual Presentations 3")</f>
        <v>Virtual Presentations 3</v>
      </c>
      <c r="K1805" s="7"/>
      <c r="L1805" s="8">
        <f>IFERROR(__xludf.DUMMYFUNCTION("""COMPUTED_VALUE"""),45867.0)</f>
        <v>45867</v>
      </c>
      <c r="M1805" s="7" t="str">
        <f>IFERROR(__xludf.DUMMYFUNCTION("""COMPUTED_VALUE"""),"16:00-17:30")</f>
        <v>16:00-17:30</v>
      </c>
      <c r="N1805" s="7"/>
    </row>
    <row r="1806">
      <c r="A1806" s="7" t="str">
        <f>IFERROR(__xludf.DUMMYFUNCTION("""COMPUTED_VALUE"""),"392-MAIN")</f>
        <v>392-MAIN</v>
      </c>
      <c r="B1806" s="7" t="str">
        <f>IFERROR(__xludf.DUMMYFUNCTION("""COMPUTED_VALUE"""),"The Impact of Token Granularity on the Predictive Power of Language Model Surprisal")</f>
        <v>The Impact of Token Granularity on the Predictive Power of Language Model Surprisal</v>
      </c>
      <c r="C1806" s="7" t="str">
        <f>IFERROR(__xludf.DUMMYFUNCTION("""COMPUTED_VALUE"""),"Word-by-word language model surprisal is often used to model the incremental processing of human readers, which raises questions about how various choices in language modeling influence its predictive power. One factor that has been overlooked in cognitiv"&amp;"e modeling is the granularity of subword tokens, which explicitly encodes information about word length and frequency, and ultimately influences the quality of vector representations that are learned. This paper presents experiments that manipulate the to"&amp;"ken granularity and evaluate its impact on the ability of surprisal to account for processing difficulty of naturalistic text and garden-path constructions. Experiments with naturalistic reading times reveal a substantial influence of token granularity on"&amp;" surprisal, with tokens defined by a vocabulary size of 8,000 resulting in surprisal that is most predictive. In contrast, on garden-path constructions, language models trained on coarser-grained tokens generally assigned higher surprisal to critical regi"&amp;"ons, suggesting a greater sensitivity to garden-path effects than previously reported. Taken together, these results suggest a large role of token granularity on the quality of language model surprisal for cognitive modeling.")</f>
        <v>Word-by-word language model surprisal is often used to model the incremental processing of human readers, which raises questions about how various choices in language modeling influence its predictive power. One factor that has been overlooked in cognitive modeling is the granularity of subword tokens, which explicitly encodes information about word length and frequency, and ultimately influences the quality of vector representations that are learned. This paper presents experiments that manipulate the token granularity and evaluate its impact on the ability of surprisal to account for processing difficulty of naturalistic text and garden-path constructions. Experiments with naturalistic reading times reveal a substantial influence of token granularity on surprisal, with tokens defined by a vocabulary size of 8,000 resulting in surprisal that is most predictive. In contrast, on garden-path constructions, language models trained on coarser-grained tokens generally assigned higher surprisal to critical regions, suggesting a greater sensitivity to garden-path effects than previously reported. Taken together, these results suggest a large role of token granularity on the quality of language model surprisal for cognitive modeling.</v>
      </c>
      <c r="D1806" s="7" t="str">
        <f>IFERROR(__xludf.DUMMYFUNCTION("""COMPUTED_VALUE"""),"Byung-Doh Oh")</f>
        <v>Byung-Doh Oh</v>
      </c>
      <c r="E1806" s="7" t="str">
        <f>IFERROR(__xludf.DUMMYFUNCTION("""COMPUTED_VALUE"""),"Yes")</f>
        <v>Yes</v>
      </c>
      <c r="F1806" s="7" t="str">
        <f>IFERROR(__xludf.DUMMYFUNCTION("""COMPUTED_VALUE"""),"IP-Oral")</f>
        <v>IP-Oral</v>
      </c>
      <c r="G1806" s="7" t="str">
        <f>IFERROR(__xludf.DUMMYFUNCTION("""COMPUTED_VALUE"""),"In-Person")</f>
        <v>In-Person</v>
      </c>
      <c r="H1806" s="7" t="str">
        <f>IFERROR(__xludf.DUMMYFUNCTION("""COMPUTED_VALUE"""),"Room 1.61")</f>
        <v>Room 1.61</v>
      </c>
      <c r="I1806" s="7" t="str">
        <f>IFERROR(__xludf.DUMMYFUNCTION("""COMPUTED_VALUE"""),"Session 3: IP-Orals")</f>
        <v>Session 3: IP-Orals</v>
      </c>
      <c r="J1806" s="7" t="str">
        <f>IFERROR(__xludf.DUMMYFUNCTION("""COMPUTED_VALUE"""),"Linguistic Theories and Cognitive Modeling")</f>
        <v>Linguistic Theories and Cognitive Modeling</v>
      </c>
      <c r="K1806" s="7"/>
      <c r="L1806" s="8">
        <f>IFERROR(__xludf.DUMMYFUNCTION("""COMPUTED_VALUE"""),45866.0)</f>
        <v>45866</v>
      </c>
      <c r="M1806" s="7" t="str">
        <f>IFERROR(__xludf.DUMMYFUNCTION("""COMPUTED_VALUE"""),"14:00-15:30")</f>
        <v>14:00-15:30</v>
      </c>
      <c r="N1806" s="7">
        <f>IFERROR(__xludf.DUMMYFUNCTION("""COMPUTED_VALUE"""),5.0)</f>
        <v>5</v>
      </c>
    </row>
    <row r="1807">
      <c r="A1807" s="7" t="str">
        <f>IFERROR(__xludf.DUMMYFUNCTION("""COMPUTED_VALUE"""),"396-MAIN")</f>
        <v>396-MAIN</v>
      </c>
      <c r="B1807" s="7" t="str">
        <f>IFERROR(__xludf.DUMMYFUNCTION("""COMPUTED_VALUE"""),"Segment-Level Diffusion: A Framework for Controllable Long-Form Generation with Diffusion Language Models")</f>
        <v>Segment-Level Diffusion: A Framework for Controllable Long-Form Generation with Diffusion Language Models</v>
      </c>
      <c r="C1807" s="7" t="str">
        <f>IFERROR(__xludf.DUMMYFUNCTION("""COMPUTED_VALUE"""),"Diffusion models have shown promise in text generation, but often struggle with generating long, coherent, and contextually accurate text. Token-level diffusion doesn't model word-order dependencies explicitly and operates on short, fixed output windows, "&amp;"while passage-level diffusion struggles with learning robust representations for long-form text. To address these challenges, we propose Segment-Level Diffusion (SLD), a framework that enhances diffusion-based text generation through text segmentation, ro"&amp;"bust representation training with adversarial and contrastive learning, and improved latent-space guidance. By segmenting long-form outputs into multiple latent representations and decoding them with an autoregressive decoder, SLD simplifies diffusion pre"&amp;"dictions and improves scalability. Experiments on four datasets demonstrate that, when compared to other diffusion and autoregressive baselines SLD achieves competitive or superior fluency, coherence, and contextual compatibility in automatic and human ev"&amp;"aluations.")</f>
        <v>Diffusion models have shown promise in text generation, but often struggle with generating long, coherent, and contextually accurate text. Token-level diffusion doesn't model word-order dependencies explicitly and operates on short, fixed output windows, while passage-level diffusion struggles with learning robust representations for long-form text. To address these challenges, we propose Segment-Level Diffusion (SLD), a framework that enhances diffusion-based text generation through text segmentation, robust representation training with adversarial and contrastive learning, and improved latent-space guidance. By segmenting long-form outputs into multiple latent representations and decoding them with an autoregressive decoder, SLD simplifies diffusion predictions and improves scalability. Experiments on four datasets demonstrate that, when compared to other diffusion and autoregressive baselines SLD achieves competitive or superior fluency, coherence, and contextual compatibility in automatic and human evaluations.</v>
      </c>
      <c r="D1807" s="7" t="str">
        <f>IFERROR(__xludf.DUMMYFUNCTION("""COMPUTED_VALUE"""),"Xiaochen Zhu")</f>
        <v>Xiaochen Zhu</v>
      </c>
      <c r="E1807" s="7" t="str">
        <f>IFERROR(__xludf.DUMMYFUNCTION("""COMPUTED_VALUE"""),"Yes")</f>
        <v>Yes</v>
      </c>
      <c r="F1807" s="7" t="str">
        <f>IFERROR(__xludf.DUMMYFUNCTION("""COMPUTED_VALUE"""),"IP-Poster")</f>
        <v>IP-Poster</v>
      </c>
      <c r="G1807" s="7" t="str">
        <f>IFERROR(__xludf.DUMMYFUNCTION("""COMPUTED_VALUE"""),"In-Person")</f>
        <v>In-Person</v>
      </c>
      <c r="H1807" s="7" t="str">
        <f>IFERROR(__xludf.DUMMYFUNCTION("""COMPUTED_VALUE"""),"Hall 4/5")</f>
        <v>Hall 4/5</v>
      </c>
      <c r="I1807" s="7" t="str">
        <f>IFERROR(__xludf.DUMMYFUNCTION("""COMPUTED_VALUE"""),"Session 2: IP-Posters ")</f>
        <v>Session 2: IP-Posters </v>
      </c>
      <c r="J1807" s="7" t="str">
        <f>IFERROR(__xludf.DUMMYFUNCTION("""COMPUTED_VALUE"""),"Poster Session 1")</f>
        <v>Poster Session 1</v>
      </c>
      <c r="K1807" s="7"/>
      <c r="L1807" s="8">
        <f>IFERROR(__xludf.DUMMYFUNCTION("""COMPUTED_VALUE"""),45866.0)</f>
        <v>45866</v>
      </c>
      <c r="M1807" s="7" t="str">
        <f>IFERROR(__xludf.DUMMYFUNCTION("""COMPUTED_VALUE"""),"11:00-12:30")</f>
        <v>11:00-12:30</v>
      </c>
      <c r="N1807" s="7"/>
    </row>
    <row r="1808">
      <c r="A1808" s="7" t="str">
        <f>IFERROR(__xludf.DUMMYFUNCTION("""COMPUTED_VALUE"""),"404-MAIN")</f>
        <v>404-MAIN</v>
      </c>
      <c r="B1808" s="7" t="str">
        <f>IFERROR(__xludf.DUMMYFUNCTION("""COMPUTED_VALUE"""),"BELLE: A Bi-Level Multi-Agent Reasoning Framework for Multi-Hop Question Answering")</f>
        <v>BELLE: A Bi-Level Multi-Agent Reasoning Framework for Multi-Hop Question Answering</v>
      </c>
      <c r="C1808" s="7" t="str">
        <f>IFERROR(__xludf.DUMMYFUNCTION("""COMPUTED_VALUE"""),"Multi-hop question answering (QA) involves finding multiple relevant passages and performing step-by-step reasoning to answer complex questions. Previous works on multi-hop QA employ specific methods from different modeling perspectives based on large lan"&amp;"guage models (LLMs), regardless of the question types. In this paper, we first conduct an in-depth analysis of public multi-hop QA benchmarks, dividing the questions into four types and evaluating five types of cutting-edge methods for multi-hop QA: Chain"&amp;"-of-Thought (CoT), Single-step, Iterative-step, Sub-step, and Adaptive-step. We find that different types of multi-hop questions have varying degrees of sensitivity to different types of methods. Thus, we propose a Bi-levEL muLti-agEnt reasoning (BELLE) f"&amp;"ramework to address multi-hop QA by specifically focusing on the correspondence between question types and methods, where each type of method is regarded as an ''operator'' by prompting LLMs differently. The first level of BELLE includes multiple agents t"&amp;"hat debate to obtain an executive plan of combined ''operators'' to address the multi-hop QA task comprehensively. During the debate, in addition to the basic roles of affirmative debater, negative debater, and judge, at the second level, we further lever"&amp;"age fast and slow debaters to monitor whether changes in viewpoints are reasonable. Extensive experiments demonstrate that BELLE significantly outperforms strong baselines in various datasets. Additionally, the model consumption of BELLE is higher cost-ef"&amp;"fectiveness than that of single models in more complex multi-hop QA scenarios.")</f>
        <v>Multi-hop question answering (QA) involves finding multiple relevant passages and performing step-by-step reasoning to answer complex questions. Previous works on multi-hop QA employ specific methods from different modeling perspectives based on large language models (LLMs), regardless of the question types. In this paper, we first conduct an in-depth analysis of public multi-hop QA benchmarks, dividing the questions into four types and evaluating five types of cutting-edge methods for multi-hop QA: Chain-of-Thought (CoT), Single-step, Iterative-step, Sub-step, and Adaptive-step. We find that different types of multi-hop questions have varying degrees of sensitivity to different types of methods. Thus, we propose a Bi-levEL muLti-agEnt reasoning (BELLE) framework to address multi-hop QA by specifically focusing on the correspondence between question types and methods, where each type of method is regarded as an ''operator'' by prompting LLMs differently. The first level of BELLE includes multiple agents that debate to obtain an executive plan of combined ''operators'' to address the multi-hop QA task comprehensively. During the debate, in addition to the basic roles of affirmative debater, negative debater, and judge, at the second level, we further leverage fast and slow debaters to monitor whether changes in viewpoints are reasonable. Extensive experiments demonstrate that BELLE significantly outperforms strong baselines in various datasets. Additionally, the model consumption of BELLE is higher cost-effectiveness than that of single models in more complex multi-hop QA scenarios.</v>
      </c>
      <c r="D1808" s="7" t="str">
        <f>IFERROR(__xludf.DUMMYFUNCTION("""COMPUTED_VALUE"""),"Taolin Zhang")</f>
        <v>Taolin Zhang</v>
      </c>
      <c r="E1808" s="7" t="str">
        <f>IFERROR(__xludf.DUMMYFUNCTION("""COMPUTED_VALUE"""),"Yes")</f>
        <v>Yes</v>
      </c>
      <c r="F1808" s="7" t="str">
        <f>IFERROR(__xludf.DUMMYFUNCTION("""COMPUTED_VALUE"""),"V-Presentation")</f>
        <v>V-Presentation</v>
      </c>
      <c r="G1808" s="7" t="str">
        <f>IFERROR(__xludf.DUMMYFUNCTION("""COMPUTED_VALUE"""),"Virtual/Gather")</f>
        <v>Virtual/Gather</v>
      </c>
      <c r="H1808" s="7" t="str">
        <f>IFERROR(__xludf.DUMMYFUNCTION("""COMPUTED_VALUE"""),"Zoom")</f>
        <v>Zoom</v>
      </c>
      <c r="I1808" s="7" t="str">
        <f>IFERROR(__xludf.DUMMYFUNCTION("""COMPUTED_VALUE"""),"Session 12: V-Presentations")</f>
        <v>Session 12: V-Presentations</v>
      </c>
      <c r="J1808" s="7" t="str">
        <f>IFERROR(__xludf.DUMMYFUNCTION("""COMPUTED_VALUE"""),"Virtual Presentations 4")</f>
        <v>Virtual Presentations 4</v>
      </c>
      <c r="K1808" s="7"/>
      <c r="L1808" s="8">
        <f>IFERROR(__xludf.DUMMYFUNCTION("""COMPUTED_VALUE"""),45868.0)</f>
        <v>45868</v>
      </c>
      <c r="M1808" s="7" t="str">
        <f>IFERROR(__xludf.DUMMYFUNCTION("""COMPUTED_VALUE"""),"11:00-12:30")</f>
        <v>11:00-12:30</v>
      </c>
      <c r="N1808" s="7"/>
    </row>
    <row r="1809">
      <c r="A1809" s="7" t="str">
        <f>IFERROR(__xludf.DUMMYFUNCTION("""COMPUTED_VALUE"""),"405-MAIN")</f>
        <v>405-MAIN</v>
      </c>
      <c r="B1809" s="7" t="str">
        <f>IFERROR(__xludf.DUMMYFUNCTION("""COMPUTED_VALUE"""),"Dynamic and Generalizable Process Reward Modeling")</f>
        <v>Dynamic and Generalizable Process Reward Modeling</v>
      </c>
      <c r="C1809" s="7" t="str">
        <f>IFERROR(__xludf.DUMMYFUNCTION("""COMPUTED_VALUE"""),"Process Reward Models (PRMs) are crucial for guiding Large Language Models (LLMs) in complex scenarios by providing dense reward signals. However, existing PRMs primarily rely on heuristic approaches, which struggle with cross-domain generalization. While"&amp;" LLM-as-judge has been proposed to provide generalized rewards, current research has focused mainly on feedback results, overlooking the meaningful guidance embedded within the text. Additionally, static and coarse-grained evaluation criteria struggle to "&amp;"adapt to complex process supervision. To tackle these challenges, we propose Dynamic and Generalizable Process Reward Modeling (DG-PRM), which features a reward tree to capture and store fine-grained, multi-dimensional reward criteria. DG-PRM dynamically "&amp;"selects reward signals for step-wise reward scoring. To handle multifaceted reward signals, we pioneeringly adopt Pareto dominance estimation to identify discriminative positive and negative pairs. Experimental results show that DG-PRM achieves stunning p"&amp;"erformance on prevailing benchmarks, significantly boosting model performance across tasks with dense rewards. Further analysis reveals that DG-PRM adapts well to out-of-distribution scenarios, demonstrating exceptional generalizability.")</f>
        <v>Process Reward Models (PRMs) are crucial for guiding Large Language Models (LLMs) in complex scenarios by providing dense reward signals. However, existing PRMs primarily rely on heuristic approaches, which struggle with cross-domain generalization. While LLM-as-judge has been proposed to provide generalized rewards, current research has focused mainly on feedback results, overlooking the meaningful guidance embedded within the text. Additionally, static and coarse-grained evaluation criteria struggle to adapt to complex process supervision. To tackle these challenges, we propose Dynamic and Generalizable Process Reward Modeling (DG-PRM), which features a reward tree to capture and store fine-grained, multi-dimensional reward criteria. DG-PRM dynamically selects reward signals for step-wise reward scoring. To handle multifaceted reward signals, we pioneeringly adopt Pareto dominance estimation to identify discriminative positive and negative pairs. Experimental results show that DG-PRM achieves stunning performance on prevailing benchmarks, significantly boosting model performance across tasks with dense rewards. Further analysis reveals that DG-PRM adapts well to out-of-distribution scenarios, demonstrating exceptional generalizability.</v>
      </c>
      <c r="D1809" s="7" t="str">
        <f>IFERROR(__xludf.DUMMYFUNCTION("""COMPUTED_VALUE"""),"Zhangyue Yin")</f>
        <v>Zhangyue Yin</v>
      </c>
      <c r="E1809" s="7" t="str">
        <f>IFERROR(__xludf.DUMMYFUNCTION("""COMPUTED_VALUE"""),"Yes")</f>
        <v>Yes</v>
      </c>
      <c r="F1809" s="7" t="str">
        <f>IFERROR(__xludf.DUMMYFUNCTION("""COMPUTED_VALUE"""),"IP-Poster")</f>
        <v>IP-Poster</v>
      </c>
      <c r="G1809" s="7" t="str">
        <f>IFERROR(__xludf.DUMMYFUNCTION("""COMPUTED_VALUE"""),"In-Person")</f>
        <v>In-Person</v>
      </c>
      <c r="H1809" s="7" t="str">
        <f>IFERROR(__xludf.DUMMYFUNCTION("""COMPUTED_VALUE"""),"Hall 4/5")</f>
        <v>Hall 4/5</v>
      </c>
      <c r="I1809" s="7" t="str">
        <f>IFERROR(__xludf.DUMMYFUNCTION("""COMPUTED_VALUE"""),"Session 10: IP-Posters")</f>
        <v>Session 10: IP-Posters</v>
      </c>
      <c r="J1809" s="7" t="str">
        <f>IFERROR(__xludf.DUMMYFUNCTION("""COMPUTED_VALUE"""),"Poster Session 3")</f>
        <v>Poster Session 3</v>
      </c>
      <c r="K1809" s="7"/>
      <c r="L1809" s="8">
        <f>IFERROR(__xludf.DUMMYFUNCTION("""COMPUTED_VALUE"""),45867.0)</f>
        <v>45867</v>
      </c>
      <c r="M1809" s="7" t="str">
        <f>IFERROR(__xludf.DUMMYFUNCTION("""COMPUTED_VALUE"""),"16:00-17:30")</f>
        <v>16:00-17:30</v>
      </c>
      <c r="N1809" s="7"/>
    </row>
    <row r="1810">
      <c r="A1810" s="7" t="str">
        <f>IFERROR(__xludf.DUMMYFUNCTION("""COMPUTED_VALUE"""),"407-MAIN")</f>
        <v>407-MAIN</v>
      </c>
      <c r="B1810" s="7" t="str">
        <f>IFERROR(__xludf.DUMMYFUNCTION("""COMPUTED_VALUE"""),"AdamMeme: Adaptively Probe the Reasoning Capacity of Multimodal Large Language Models on Harmfulness")</f>
        <v>AdamMeme: Adaptively Probe the Reasoning Capacity of Multimodal Large Language Models on Harmfulness</v>
      </c>
      <c r="C1810" s="7" t="str">
        <f>IFERROR(__xludf.DUMMYFUNCTION("""COMPUTED_VALUE"""),"The proliferation of multimodal memes in the social media era demands that multimodal Large Language Models (mLLMs) effectively understand meme harmfulness. Existing benchmarks for assessing mLLMs on harmful meme understanding rely on accuracy-based, mode"&amp;"l-agnostic evaluations using static datasets. These benchmarks are limited in their ability to provide up-to-date and thorough assessments, as online memes evolve dynamically. To address this, we propose AdamMeme, a flexible, agent-based evaluation framew"&amp;"ork that adaptively probes the reasoning capabilities of mLLMs in deciphering meme harmfulness. Through multi-agent collaboration, AdamMeme provides comprehensive evaluations by iteratively updating the meme data with challenging samples, thereby exposing"&amp;" specific limitations in how mLLMs interpret harmfulness. Extensive experiments show that our framework systematically reveals the varying performance of different target mLLMs, offering in-depth, fine-grained analyses of model-specific weaknesses. Our co"&amp;"de is available at https://github.com/Lbotirx/AdamMeme.")</f>
        <v>The proliferation of multimodal memes in the social media era demands that multimodal Large Language Models (mLLMs) effectively understand meme harmfulness. Existing benchmarks for assessing mLLMs on harmful meme understanding rely on accuracy-based, model-agnostic evaluations using static datasets. These benchmarks are limited in their ability to provide up-to-date and thorough assessments, as online memes evolve dynamically. To address this, we propose AdamMeme, a flexible, agent-based evaluation framework that adaptively probes the reasoning capabilities of mLLMs in deciphering meme harmfulness. Through multi-agent collaboration, AdamMeme provides comprehensive evaluations by iteratively updating the meme data with challenging samples, thereby exposing specific limitations in how mLLMs interpret harmfulness. Extensive experiments show that our framework systematically reveals the varying performance of different target mLLMs, offering in-depth, fine-grained analyses of model-specific weaknesses. Our code is available at https://github.com/Lbotirx/AdamMeme.</v>
      </c>
      <c r="D1810" s="7" t="str">
        <f>IFERROR(__xludf.DUMMYFUNCTION("""COMPUTED_VALUE"""),"Hongzhan Lin")</f>
        <v>Hongzhan Lin</v>
      </c>
      <c r="E1810" s="7" t="str">
        <f>IFERROR(__xludf.DUMMYFUNCTION("""COMPUTED_VALUE"""),"Yes")</f>
        <v>Yes</v>
      </c>
      <c r="F1810" s="7" t="str">
        <f>IFERROR(__xludf.DUMMYFUNCTION("""COMPUTED_VALUE"""),"IP-Poster")</f>
        <v>IP-Poster</v>
      </c>
      <c r="G1810" s="7" t="str">
        <f>IFERROR(__xludf.DUMMYFUNCTION("""COMPUTED_VALUE"""),"In-Person")</f>
        <v>In-Person</v>
      </c>
      <c r="H1810" s="7" t="str">
        <f>IFERROR(__xludf.DUMMYFUNCTION("""COMPUTED_VALUE"""),"Hall 4/5")</f>
        <v>Hall 4/5</v>
      </c>
      <c r="I1810" s="7" t="str">
        <f>IFERROR(__xludf.DUMMYFUNCTION("""COMPUTED_VALUE"""),"Session 2: IP-Posters ")</f>
        <v>Session 2: IP-Posters </v>
      </c>
      <c r="J1810" s="7" t="str">
        <f>IFERROR(__xludf.DUMMYFUNCTION("""COMPUTED_VALUE"""),"Poster Session 1")</f>
        <v>Poster Session 1</v>
      </c>
      <c r="K1810" s="7"/>
      <c r="L1810" s="8">
        <f>IFERROR(__xludf.DUMMYFUNCTION("""COMPUTED_VALUE"""),45866.0)</f>
        <v>45866</v>
      </c>
      <c r="M1810" s="7" t="str">
        <f>IFERROR(__xludf.DUMMYFUNCTION("""COMPUTED_VALUE"""),"11:00-12:30")</f>
        <v>11:00-12:30</v>
      </c>
      <c r="N1810" s="7"/>
    </row>
    <row r="1811">
      <c r="A1811" s="7" t="str">
        <f>IFERROR(__xludf.DUMMYFUNCTION("""COMPUTED_VALUE"""),"408-MAIN")</f>
        <v>408-MAIN</v>
      </c>
      <c r="B1811" s="7" t="str">
        <f>IFERROR(__xludf.DUMMYFUNCTION("""COMPUTED_VALUE"""),"Towards Text-Image Interleaved Retrieval")</f>
        <v>Towards Text-Image Interleaved Retrieval</v>
      </c>
      <c r="C1811" s="7" t="str">
        <f>IFERROR(__xludf.DUMMYFUNCTION("""COMPUTED_VALUE"""),"Current multimodal information retrieval studies mainly focus on single-image inputs, which limits real-world applications involving multiple images and text-image interleaved content. In this work, we introduce the text-image interleaved retrieval (TIIR)"&amp;" task, where the query and document are interleaved text-image sequences, and the model is required to understand the semantics from the interleaved context for effective retrieval. We construct a TIIR benchmark based on naturally interleaved wikiHow tuto"&amp;"rials, where a specific pipeline is designed to generate interleaved queries. To explore the task, we adapt several off-the-shelf retrievers and build a dense baseline by interleaved multimodal large language model (MLLM). We then propose a novel Matryosh"&amp;"ka Multimodal Embedder (MME), which compresses the number of visual tokens at different granularity, to address the challenge of excessive visual tokens in MLLM-based TIIR models. Experiments demonstrate that simple adaption of existing models does not co"&amp;"nsistently yield effective results. Our MME achieves significant improvements over the baseline by substantially fewer visual tokens. We provide extensive analysis and will release the dataset and code to facilitate future research.")</f>
        <v>Current multimodal information retrieval studies mainly focus on single-image inputs, which limits real-world applications involving multiple images and text-image interleaved content. In this work, we introduce the text-image interleaved retrieval (TIIR) task, where the query and document are interleaved text-image sequences, and the model is required to understand the semantics from the interleaved context for effective retrieval. We construct a TIIR benchmark based on naturally interleaved wikiHow tutorials, where a specific pipeline is designed to generate interleaved queries. To explore the task, we adapt several off-the-shelf retrievers and build a dense baseline by interleaved multimodal large language model (MLLM). We then propose a novel Matryoshka Multimodal Embedder (MME), which compresses the number of visual tokens at different granularity, to address the challenge of excessive visual tokens in MLLM-based TIIR models. Experiments demonstrate that simple adaption of existing models does not consistently yield effective results. Our MME achieves significant improvements over the baseline by substantially fewer visual tokens. We provide extensive analysis and will release the dataset and code to facilitate future research.</v>
      </c>
      <c r="D1811" s="7" t="str">
        <f>IFERROR(__xludf.DUMMYFUNCTION("""COMPUTED_VALUE"""),"Xin Zhang")</f>
        <v>Xin Zhang</v>
      </c>
      <c r="E1811" s="7" t="str">
        <f>IFERROR(__xludf.DUMMYFUNCTION("""COMPUTED_VALUE"""),"Yes")</f>
        <v>Yes</v>
      </c>
      <c r="F1811" s="7" t="str">
        <f>IFERROR(__xludf.DUMMYFUNCTION("""COMPUTED_VALUE"""),"IP-Poster")</f>
        <v>IP-Poster</v>
      </c>
      <c r="G1811" s="7" t="str">
        <f>IFERROR(__xludf.DUMMYFUNCTION("""COMPUTED_VALUE"""),"In-Person")</f>
        <v>In-Person</v>
      </c>
      <c r="H1811" s="7" t="str">
        <f>IFERROR(__xludf.DUMMYFUNCTION("""COMPUTED_VALUE"""),"Hall 4/5")</f>
        <v>Hall 4/5</v>
      </c>
      <c r="I1811" s="7" t="str">
        <f>IFERROR(__xludf.DUMMYFUNCTION("""COMPUTED_VALUE"""),"Session 2: IP-Posters ")</f>
        <v>Session 2: IP-Posters </v>
      </c>
      <c r="J1811" s="7" t="str">
        <f>IFERROR(__xludf.DUMMYFUNCTION("""COMPUTED_VALUE"""),"Poster Session 1")</f>
        <v>Poster Session 1</v>
      </c>
      <c r="K1811" s="7"/>
      <c r="L1811" s="8">
        <f>IFERROR(__xludf.DUMMYFUNCTION("""COMPUTED_VALUE"""),45866.0)</f>
        <v>45866</v>
      </c>
      <c r="M1811" s="7" t="str">
        <f>IFERROR(__xludf.DUMMYFUNCTION("""COMPUTED_VALUE"""),"11:00-12:30")</f>
        <v>11:00-12:30</v>
      </c>
      <c r="N1811" s="7"/>
    </row>
    <row r="1812">
      <c r="A1812" s="7" t="str">
        <f>IFERROR(__xludf.DUMMYFUNCTION("""COMPUTED_VALUE"""),"410-MAIN")</f>
        <v>410-MAIN</v>
      </c>
      <c r="B1812" s="7" t="str">
        <f>IFERROR(__xludf.DUMMYFUNCTION("""COMPUTED_VALUE"""),"Large Margin Representation Learning for Robust Cross-lingual Named Entity Recognition")</f>
        <v>Large Margin Representation Learning for Robust Cross-lingual Named Entity Recognition</v>
      </c>
      <c r="C1812" s="7" t="str">
        <f>IFERROR(__xludf.DUMMYFUNCTION("""COMPUTED_VALUE"""),"Cross-lingual named entity recognition (NER) aims to build an NER model that generalizes to the low-resource target language with labeled data from the high-resource source language. Current state-of-the-art methods typically combine self-training mechani"&amp;"sm with contrastive learning paradigm, in order to develop discriminative entity clusters for cross-lingual adaptation. Despite the promise, we identify that these methods neglect two key problems: distribution skewness and pseudo-label bias, leading to i"&amp;"ndistinguishable entity clusters with small margins. To this end, we propose a novel framework, MARAL, which optimizes an adaptively reweighted contrastive loss to handle the class skewness and theoretically guarantees the optimal feature arrangement with"&amp;" maximum margin. To further mitigate the adverse effects of unreliable pseudo-labels, MARAL integrates a progressive cross-lingual adaptation strategy, which first selects reliable samples as anchors and then refines the remaining unreliable ones. Extensi"&amp;"ve experiments demonstrate that MARAL significantly outperforms the current state-of-the-art methods on multiple benchmarks, e.g., +2.04% on the challenging MultiCoNER dataset.")</f>
        <v>Cross-lingual named entity recognition (NER) aims to build an NER model that generalizes to the low-resource target language with labeled data from the high-resource source language. Current state-of-the-art methods typically combine self-training mechanism with contrastive learning paradigm, in order to develop discriminative entity clusters for cross-lingual adaptation. Despite the promise, we identify that these methods neglect two key problems: distribution skewness and pseudo-label bias, leading to indistinguishable entity clusters with small margins. To this end, we propose a novel framework, MARAL, which optimizes an adaptively reweighted contrastive loss to handle the class skewness and theoretically guarantees the optimal feature arrangement with maximum margin. To further mitigate the adverse effects of unreliable pseudo-labels, MARAL integrates a progressive cross-lingual adaptation strategy, which first selects reliable samples as anchors and then refines the remaining unreliable ones. Extensive experiments demonstrate that MARAL significantly outperforms the current state-of-the-art methods on multiple benchmarks, e.g., +2.04% on the challenging MultiCoNER dataset.</v>
      </c>
      <c r="D1812" s="7" t="str">
        <f>IFERROR(__xludf.DUMMYFUNCTION("""COMPUTED_VALUE"""),"Guangcheng Zhu")</f>
        <v>Guangcheng Zhu</v>
      </c>
      <c r="E1812" s="7" t="str">
        <f>IFERROR(__xludf.DUMMYFUNCTION("""COMPUTED_VALUE"""),"Yes")</f>
        <v>Yes</v>
      </c>
      <c r="F1812" s="7" t="str">
        <f>IFERROR(__xludf.DUMMYFUNCTION("""COMPUTED_VALUE"""),"IP-Poster")</f>
        <v>IP-Poster</v>
      </c>
      <c r="G1812" s="7" t="str">
        <f>IFERROR(__xludf.DUMMYFUNCTION("""COMPUTED_VALUE"""),"In-Person")</f>
        <v>In-Person</v>
      </c>
      <c r="H1812" s="7" t="str">
        <f>IFERROR(__xludf.DUMMYFUNCTION("""COMPUTED_VALUE"""),"Hall 4/5")</f>
        <v>Hall 4/5</v>
      </c>
      <c r="I1812" s="7" t="str">
        <f>IFERROR(__xludf.DUMMYFUNCTION("""COMPUTED_VALUE"""),"Session 7: IP-Posters")</f>
        <v>Session 7: IP-Posters</v>
      </c>
      <c r="J1812" s="7" t="str">
        <f>IFERROR(__xludf.DUMMYFUNCTION("""COMPUTED_VALUE"""),"Poster Session 2")</f>
        <v>Poster Session 2</v>
      </c>
      <c r="K1812" s="7"/>
      <c r="L1812" s="8">
        <f>IFERROR(__xludf.DUMMYFUNCTION("""COMPUTED_VALUE"""),45867.0)</f>
        <v>45867</v>
      </c>
      <c r="M1812" s="7" t="str">
        <f>IFERROR(__xludf.DUMMYFUNCTION("""COMPUTED_VALUE"""),"10:30-12:00")</f>
        <v>10:30-12:00</v>
      </c>
      <c r="N1812" s="7"/>
    </row>
    <row r="1813">
      <c r="A1813" s="7" t="str">
        <f>IFERROR(__xludf.DUMMYFUNCTION("""COMPUTED_VALUE"""),"413-MAIN")</f>
        <v>413-MAIN</v>
      </c>
      <c r="B1813" s="7" t="str">
        <f>IFERROR(__xludf.DUMMYFUNCTION("""COMPUTED_VALUE"""),"An Efficient and Precise Training Data Construction Framework for Process-supervised Reward Model in Mathematical Reasoning")</f>
        <v>An Efficient and Precise Training Data Construction Framework for Process-supervised Reward Model in Mathematical Reasoning</v>
      </c>
      <c r="C1813" s="7" t="str">
        <f>IFERROR(__xludf.DUMMYFUNCTION("""COMPUTED_VALUE"""),"Enhancing the mathematical reasoning capabilities of Large Language Models (LLMs) is of great scientific and practical significance. Researchers typically employ process-supervised reward models (PRMs) to guide the reasoning process, effectively improving"&amp;" the models' reasoning abilities. However, existing methods for constructing process supervision training data, such as manual annotation and per-step Monte Carlo estimation, are often costly or suffer from poor quality. To address these challenges, this "&amp;"paper introduces a framework called EpicPRM (Efficient, Precise, Cheap), which annotates each intermediate reasoning step based on its quantified contribution and uses an adaptive binary search algorithm to enhance both annotation precision and efficiency"&amp;". Using this approach, we efficiently construct a high-quality process supervision training dataset named Epic50k, consisting of 50k annotated intermediate steps. Compared to other publicly available datasets, the PRM trained on Epic50k demonstrates signi"&amp;"ficantly superior performance.")</f>
        <v>Enhancing the mathematical reasoning capabilities of Large Language Models (LLMs) is of great scientific and practical significance. Researchers typically employ process-supervised reward models (PRMs) to guide the reasoning process, effectively improving the models' reasoning abilities. However, existing methods for constructing process supervision training data, such as manual annotation and per-step Monte Carlo estimation, are often costly or suffer from poor quality. To address these challenges, this paper introduces a framework called EpicPRM (Efficient, Precise, Cheap), which annotates each intermediate reasoning step based on its quantified contribution and uses an adaptive binary search algorithm to enhance both annotation precision and efficiency. Using this approach, we efficiently construct a high-quality process supervision training dataset named Epic50k, consisting of 50k annotated intermediate steps. Compared to other publicly available datasets, the PRM trained on Epic50k demonstrates significantly superior performance.</v>
      </c>
      <c r="D1813" s="7" t="str">
        <f>IFERROR(__xludf.DUMMYFUNCTION("""COMPUTED_VALUE"""),"Wei Sun")</f>
        <v>Wei Sun</v>
      </c>
      <c r="E1813" s="7" t="str">
        <f>IFERROR(__xludf.DUMMYFUNCTION("""COMPUTED_VALUE"""),"Yes")</f>
        <v>Yes</v>
      </c>
      <c r="F1813" s="7" t="str">
        <f>IFERROR(__xludf.DUMMYFUNCTION("""COMPUTED_VALUE"""),"IP-Poster")</f>
        <v>IP-Poster</v>
      </c>
      <c r="G1813" s="7" t="str">
        <f>IFERROR(__xludf.DUMMYFUNCTION("""COMPUTED_VALUE"""),"In-Person")</f>
        <v>In-Person</v>
      </c>
      <c r="H1813" s="7" t="str">
        <f>IFERROR(__xludf.DUMMYFUNCTION("""COMPUTED_VALUE"""),"Hall 4/5")</f>
        <v>Hall 4/5</v>
      </c>
      <c r="I1813" s="7" t="str">
        <f>IFERROR(__xludf.DUMMYFUNCTION("""COMPUTED_VALUE"""),"Session 2: IP-Posters ")</f>
        <v>Session 2: IP-Posters </v>
      </c>
      <c r="J1813" s="7" t="str">
        <f>IFERROR(__xludf.DUMMYFUNCTION("""COMPUTED_VALUE"""),"Poster Session 1")</f>
        <v>Poster Session 1</v>
      </c>
      <c r="K1813" s="7"/>
      <c r="L1813" s="8">
        <f>IFERROR(__xludf.DUMMYFUNCTION("""COMPUTED_VALUE"""),45866.0)</f>
        <v>45866</v>
      </c>
      <c r="M1813" s="7" t="str">
        <f>IFERROR(__xludf.DUMMYFUNCTION("""COMPUTED_VALUE"""),"11:00-12:30")</f>
        <v>11:00-12:30</v>
      </c>
      <c r="N1813" s="7"/>
    </row>
    <row r="1814">
      <c r="A1814" s="7" t="str">
        <f>IFERROR(__xludf.DUMMYFUNCTION("""COMPUTED_VALUE"""),"415-MAIN")</f>
        <v>415-MAIN</v>
      </c>
      <c r="B1814" s="7" t="str">
        <f>IFERROR(__xludf.DUMMYFUNCTION("""COMPUTED_VALUE"""),"QAEncoder: Towards Aligned Representation Learning in Question Answering Systems")</f>
        <v>QAEncoder: Towards Aligned Representation Learning in Question Answering Systems</v>
      </c>
      <c r="C1814" s="7" t="str">
        <f>IFERROR(__xludf.DUMMYFUNCTION("""COMPUTED_VALUE"""),"Modern QA systems entail retrieval-augmented generation (RAG) for accurate and trustworthy responses. However, the inherent gap between user queries and relevant documents hinders precise matching. We introduce QAEncoder, a training-free approach to bridg"&amp;"e this gap. Specifically, QAEncoder estimates the expectation of potential queries in the embedding space as a robust surrogate for the document embedding, and attaches document fingerprints to effectively distinguish these embeddings. 
Extensive experime"&amp;"nts across diverse datasets, languages, and embedding models confirmed QAEncoder's alignment capability, which offers a simple-yet-effective solution with zero additional index storage, retrieval latency, training costs, or catastrophic forgetting and hal"&amp;"lucination issues. The repository is publicly available at https://github.com/IAAR-Shanghai/QAEncoder.")</f>
        <v>Modern QA systems entail retrieval-augmented generation (RAG) for accurate and trustworthy responses. However, the inherent gap between user queries and relevant documents hinders precise matching. We introduce QAEncoder, a training-free approach to bridge this gap. Specifically, QAEncoder estimates the expectation of potential queries in the embedding space as a robust surrogate for the document embedding, and attaches document fingerprints to effectively distinguish these embeddings. 
Extensive experiments across diverse datasets, languages, and embedding models confirmed QAEncoder's alignment capability, which offers a simple-yet-effective solution with zero additional index storage, retrieval latency, training costs, or catastrophic forgetting and hallucination issues. The repository is publicly available at https://github.com/IAAR-Shanghai/QAEncoder.</v>
      </c>
      <c r="D1814" s="7" t="str">
        <f>IFERROR(__xludf.DUMMYFUNCTION("""COMPUTED_VALUE"""),"Zhengren Wang")</f>
        <v>Zhengren Wang</v>
      </c>
      <c r="E1814" s="7" t="str">
        <f>IFERROR(__xludf.DUMMYFUNCTION("""COMPUTED_VALUE"""),"Yes")</f>
        <v>Yes</v>
      </c>
      <c r="F1814" s="7" t="str">
        <f>IFERROR(__xludf.DUMMYFUNCTION("""COMPUTED_VALUE"""),"IP-Oral")</f>
        <v>IP-Oral</v>
      </c>
      <c r="G1814" s="7" t="str">
        <f>IFERROR(__xludf.DUMMYFUNCTION("""COMPUTED_VALUE"""),"In-Person")</f>
        <v>In-Person</v>
      </c>
      <c r="H1814" s="7" t="str">
        <f>IFERROR(__xludf.DUMMYFUNCTION("""COMPUTED_VALUE"""),"Hall N.1")</f>
        <v>Hall N.1</v>
      </c>
      <c r="I1814" s="7" t="str">
        <f>IFERROR(__xludf.DUMMYFUNCTION("""COMPUTED_VALUE"""),"Session 3: IP-Orals")</f>
        <v>Session 3: IP-Orals</v>
      </c>
      <c r="J1814" s="7" t="str">
        <f>IFERROR(__xludf.DUMMYFUNCTION("""COMPUTED_VALUE"""),"Information Retrieval and Text Mining")</f>
        <v>Information Retrieval and Text Mining</v>
      </c>
      <c r="K1814" s="7"/>
      <c r="L1814" s="8">
        <f>IFERROR(__xludf.DUMMYFUNCTION("""COMPUTED_VALUE"""),45866.0)</f>
        <v>45866</v>
      </c>
      <c r="M1814" s="7" t="str">
        <f>IFERROR(__xludf.DUMMYFUNCTION("""COMPUTED_VALUE"""),"14:00-15:30")</f>
        <v>14:00-15:30</v>
      </c>
      <c r="N1814" s="7">
        <f>IFERROR(__xludf.DUMMYFUNCTION("""COMPUTED_VALUE"""),1.0)</f>
        <v>1</v>
      </c>
    </row>
    <row r="1815">
      <c r="A1815" s="7" t="str">
        <f>IFERROR(__xludf.DUMMYFUNCTION("""COMPUTED_VALUE"""),"419-MAIN")</f>
        <v>419-MAIN</v>
      </c>
      <c r="B1815" s="7" t="str">
        <f>IFERROR(__xludf.DUMMYFUNCTION("""COMPUTED_VALUE"""),"Game Development as Human-LLM Interaction")</f>
        <v>Game Development as Human-LLM Interaction</v>
      </c>
      <c r="C1815" s="7" t="str">
        <f>IFERROR(__xludf.DUMMYFUNCTION("""COMPUTED_VALUE"""),"Game development is a highly specialized task that relies on a complex game engine powered by complex programming languages, preventing many gaming enthusiasts from handling it. This paper introduces the $\textit{Chat Game Engine (ChatGE)}$ powered by LLM"&amp;", which allows everyone to develop a custom game using natural language through Human-LLM interaction. To enable an LLM to function as a ChatGE, we instruct it to perform the following processes in each turn: (1) $P_{script}$: configure the game script se"&amp;"gment based on the user’s input; (2) $P_{code}$: generate the corresponding code snippet based on the game script segment; (3) $P_{utter}$: interact with the user, including guidance and feedback. We propose a data synthesis pipeline based on LLM to gener"&amp;"ate game script-code pairs and interactions from a few manually crafted seed data. We propose a three-stage training strategy following curriculum learning principles to transfer the dialogue-based LLM to our ChatGE smoothly. We construct a ChatGE for pok"&amp;"er games as a case study and comprehensively evaluate it from two perspectives: interaction quality and code correctness.")</f>
        <v>Game development is a highly specialized task that relies on a complex game engine powered by complex programming languages, preventing many gaming enthusiasts from handling it. This paper introduces the $\textit{Chat Game Engine (ChatGE)}$ powered by LLM, which allows everyone to develop a custom game using natural language through Human-LLM interaction. To enable an LLM to function as a ChatGE, we instruct it to perform the following processes in each turn: (1) $P_{script}$: configure the game script segment based on the user’s input; (2) $P_{code}$: generate the corresponding code snippet based on the game script segment; (3) $P_{utter}$: interact with the user, including guidance and feedback. We propose a data synthesis pipeline based on LLM to generate game script-code pairs and interactions from a few manually crafted seed data. We propose a three-stage training strategy following curriculum learning principles to transfer the dialogue-based LLM to our ChatGE smoothly. We construct a ChatGE for poker games as a case study and comprehensively evaluate it from two perspectives: interaction quality and code correctness.</v>
      </c>
      <c r="D1815" s="7" t="str">
        <f>IFERROR(__xludf.DUMMYFUNCTION("""COMPUTED_VALUE"""),"Jiale Hong")</f>
        <v>Jiale Hong</v>
      </c>
      <c r="E1815" s="7" t="str">
        <f>IFERROR(__xludf.DUMMYFUNCTION("""COMPUTED_VALUE"""),"Yes")</f>
        <v>Yes</v>
      </c>
      <c r="F1815" s="7" t="str">
        <f>IFERROR(__xludf.DUMMYFUNCTION("""COMPUTED_VALUE"""),"IP-Poster")</f>
        <v>IP-Poster</v>
      </c>
      <c r="G1815" s="7" t="str">
        <f>IFERROR(__xludf.DUMMYFUNCTION("""COMPUTED_VALUE"""),"In-Person")</f>
        <v>In-Person</v>
      </c>
      <c r="H1815" s="7" t="str">
        <f>IFERROR(__xludf.DUMMYFUNCTION("""COMPUTED_VALUE"""),"Hall 4/5")</f>
        <v>Hall 4/5</v>
      </c>
      <c r="I1815" s="7" t="str">
        <f>IFERROR(__xludf.DUMMYFUNCTION("""COMPUTED_VALUE"""),"Session 2: IP-Posters ")</f>
        <v>Session 2: IP-Posters </v>
      </c>
      <c r="J1815" s="7" t="str">
        <f>IFERROR(__xludf.DUMMYFUNCTION("""COMPUTED_VALUE"""),"Poster Session 1")</f>
        <v>Poster Session 1</v>
      </c>
      <c r="K1815" s="7"/>
      <c r="L1815" s="8">
        <f>IFERROR(__xludf.DUMMYFUNCTION("""COMPUTED_VALUE"""),45866.0)</f>
        <v>45866</v>
      </c>
      <c r="M1815" s="7" t="str">
        <f>IFERROR(__xludf.DUMMYFUNCTION("""COMPUTED_VALUE"""),"11:00-12:30")</f>
        <v>11:00-12:30</v>
      </c>
      <c r="N1815" s="7"/>
    </row>
    <row r="1816">
      <c r="A1816" s="7" t="str">
        <f>IFERROR(__xludf.DUMMYFUNCTION("""COMPUTED_VALUE"""),"422-MAIN")</f>
        <v>422-MAIN</v>
      </c>
      <c r="B1816" s="7" t="str">
        <f>IFERROR(__xludf.DUMMYFUNCTION("""COMPUTED_VALUE"""),"Can LLMs Simulate L2-English Dialogue? An Information-Theoretic Analysis of L1-Dependent Biases")</f>
        <v>Can LLMs Simulate L2-English Dialogue? An Information-Theoretic Analysis of L1-Dependent Biases</v>
      </c>
      <c r="C1816" s="7" t="str">
        <f>IFERROR(__xludf.DUMMYFUNCTION("""COMPUTED_VALUE"""),"This study evaluates Large Language Models' (LLMs) ability to simulate non-native-like English use observed in human second language (L2) learners interfered with by their native first language (L1). In dialogue-based interviews, we prompt LLMs to mimic L"&amp;"2 English learners with specific L1s (e.g., Japanese, Thai, Urdu) across seven languages, comparing their outputs to real L2 learner data. Our analysis examines L1-driven linguistic biases, such as reference word usage and avoidance behaviors, using infor"&amp;"mation-theoretic and distributional density measures. Results show that modern LLMs (e.g., Qwen2.5, LLAMA3, DeepseekV3, GPT 4o) replicate L1-dependent patterns observed in human L2 data, with distinct influences from various languages (e.g., Japanese, Kor"&amp;"ean, and Mandarin significantly affect tense agreement, and Urdu influences noun-verb collocations). Our results reveal LLMs’ potential for L2 dialogue generation and evaluation for future educational applications.")</f>
        <v>This study evaluates Large Language Models' (LLMs) ability to simulate non-native-like English use observed in human second language (L2) learners interfered with by their native first language (L1). In dialogue-based interviews, we prompt LLMs to mimic L2 English learners with specific L1s (e.g., Japanese, Thai, Urdu) across seven languages, comparing their outputs to real L2 learner data. Our analysis examines L1-driven linguistic biases, such as reference word usage and avoidance behaviors, using information-theoretic and distributional density measures. Results show that modern LLMs (e.g., Qwen2.5, LLAMA3, DeepseekV3, GPT 4o) replicate L1-dependent patterns observed in human L2 data, with distinct influences from various languages (e.g., Japanese, Korean, and Mandarin significantly affect tense agreement, and Urdu influences noun-verb collocations). Our results reveal LLMs’ potential for L2 dialogue generation and evaluation for future educational applications.</v>
      </c>
      <c r="D1816" s="7" t="str">
        <f>IFERROR(__xludf.DUMMYFUNCTION("""COMPUTED_VALUE"""),"Rena Wei Gao")</f>
        <v>Rena Wei Gao</v>
      </c>
      <c r="E1816" s="7" t="str">
        <f>IFERROR(__xludf.DUMMYFUNCTION("""COMPUTED_VALUE"""),"Yes")</f>
        <v>Yes</v>
      </c>
      <c r="F1816" s="7" t="str">
        <f>IFERROR(__xludf.DUMMYFUNCTION("""COMPUTED_VALUE"""),"IP-Poster")</f>
        <v>IP-Poster</v>
      </c>
      <c r="G1816" s="7" t="str">
        <f>IFERROR(__xludf.DUMMYFUNCTION("""COMPUTED_VALUE"""),"In-Person")</f>
        <v>In-Person</v>
      </c>
      <c r="H1816" s="7" t="str">
        <f>IFERROR(__xludf.DUMMYFUNCTION("""COMPUTED_VALUE"""),"Hall 4/5")</f>
        <v>Hall 4/5</v>
      </c>
      <c r="I1816" s="7" t="str">
        <f>IFERROR(__xludf.DUMMYFUNCTION("""COMPUTED_VALUE"""),"Session 2: IP-Posters ")</f>
        <v>Session 2: IP-Posters </v>
      </c>
      <c r="J1816" s="7" t="str">
        <f>IFERROR(__xludf.DUMMYFUNCTION("""COMPUTED_VALUE"""),"Poster Session 1")</f>
        <v>Poster Session 1</v>
      </c>
      <c r="K1816" s="7"/>
      <c r="L1816" s="8">
        <f>IFERROR(__xludf.DUMMYFUNCTION("""COMPUTED_VALUE"""),45866.0)</f>
        <v>45866</v>
      </c>
      <c r="M1816" s="7" t="str">
        <f>IFERROR(__xludf.DUMMYFUNCTION("""COMPUTED_VALUE"""),"11:00-12:30")</f>
        <v>11:00-12:30</v>
      </c>
      <c r="N1816" s="7"/>
    </row>
    <row r="1817">
      <c r="A1817" s="7" t="str">
        <f>IFERROR(__xludf.DUMMYFUNCTION("""COMPUTED_VALUE"""),"436-MAIN")</f>
        <v>436-MAIN</v>
      </c>
      <c r="B1817" s="7" t="str">
        <f>IFERROR(__xludf.DUMMYFUNCTION("""COMPUTED_VALUE"""),"DeepSolution: Boosting Complex Engineering Solution Design via Tree-based Exploration and Bi-point Thinking")</f>
        <v>DeepSolution: Boosting Complex Engineering Solution Design via Tree-based Exploration and Bi-point Thinking</v>
      </c>
      <c r="C1817" s="7" t="str">
        <f>IFERROR(__xludf.DUMMYFUNCTION("""COMPUTED_VALUE"""),"Designing solutions for complex engineering challenges is crucial in human production activities. However, previous research in the retrieval-augmented generation (RAG) field has not sufficiently addressed tasks related to the design of complex engineerin"&amp;"g solutions. To fill this gap, we introduce a new benchmark, SolutionBench, to evaluate a system’s ability to generate complete and feasible solutions for engineering problems with multiple complex constraints. To further advance the design of complex eng"&amp;"ineering solutions, we propose a novel system, SolutionRAG, that leverages the tree-based exploration and bi-point thinking mechanism to generate reliable solutions. Extensive experimental results demonstrate that SolutionRAG achieves state-of-the-art (SO"&amp;"TA) performance on the SolutionBench, highlighting its potential to enhance the automation and reliability of complex engineering solution design in real-world applications.")</f>
        <v>Designing solutions for complex engineering challenges is crucial in human production activities. However, previous research in the retrieval-augmented generation (RAG) field has not sufficiently addressed tasks related to the design of complex engineering solutions. To fill this gap, we introduce a new benchmark, SolutionBench, to evaluate a system’s ability to generate complete and feasible solutions for engineering problems with multiple complex constraints. To further advance the design of complex engineering solutions, we propose a novel system, SolutionRAG, that leverages the tree-based exploration and bi-point thinking mechanism to generate reliable solutions. Extensive experimental results demonstrate that SolutionRAG achieves state-of-the-art (SOTA) performance on the SolutionBench, highlighting its potential to enhance the automation and reliability of complex engineering solution design in real-world applications.</v>
      </c>
      <c r="D1817" s="7" t="str">
        <f>IFERROR(__xludf.DUMMYFUNCTION("""COMPUTED_VALUE"""),"Xuanang Chen")</f>
        <v>Xuanang Chen</v>
      </c>
      <c r="E1817" s="7" t="str">
        <f>IFERROR(__xludf.DUMMYFUNCTION("""COMPUTED_VALUE"""),"Yes")</f>
        <v>Yes</v>
      </c>
      <c r="F1817" s="7" t="str">
        <f>IFERROR(__xludf.DUMMYFUNCTION("""COMPUTED_VALUE"""),"IP-Poster")</f>
        <v>IP-Poster</v>
      </c>
      <c r="G1817" s="7" t="str">
        <f>IFERROR(__xludf.DUMMYFUNCTION("""COMPUTED_VALUE"""),"In-Person")</f>
        <v>In-Person</v>
      </c>
      <c r="H1817" s="7" t="str">
        <f>IFERROR(__xludf.DUMMYFUNCTION("""COMPUTED_VALUE"""),"Hall 4/5")</f>
        <v>Hall 4/5</v>
      </c>
      <c r="I1817" s="7" t="str">
        <f>IFERROR(__xludf.DUMMYFUNCTION("""COMPUTED_VALUE"""),"Session 12: IP-Posters")</f>
        <v>Session 12: IP-Posters</v>
      </c>
      <c r="J1817" s="7" t="str">
        <f>IFERROR(__xludf.DUMMYFUNCTION("""COMPUTED_VALUE"""),"Poster Session 4")</f>
        <v>Poster Session 4</v>
      </c>
      <c r="K1817" s="7"/>
      <c r="L1817" s="8">
        <f>IFERROR(__xludf.DUMMYFUNCTION("""COMPUTED_VALUE"""),45868.0)</f>
        <v>45868</v>
      </c>
      <c r="M1817" s="7" t="str">
        <f>IFERROR(__xludf.DUMMYFUNCTION("""COMPUTED_VALUE"""),"11:00-12:30")</f>
        <v>11:00-12:30</v>
      </c>
      <c r="N1817" s="7"/>
    </row>
    <row r="1818">
      <c r="A1818" s="7" t="str">
        <f>IFERROR(__xludf.DUMMYFUNCTION("""COMPUTED_VALUE"""),"443-MAIN")</f>
        <v>443-MAIN</v>
      </c>
      <c r="B1818" s="7" t="str">
        <f>IFERROR(__xludf.DUMMYFUNCTION("""COMPUTED_VALUE"""),"Leveraging Human Production-Interpretation Asymmetries to Test LLM Cognitive Plausibility")</f>
        <v>Leveraging Human Production-Interpretation Asymmetries to Test LLM Cognitive Plausibility</v>
      </c>
      <c r="C1818" s="7" t="str">
        <f>IFERROR(__xludf.DUMMYFUNCTION("""COMPUTED_VALUE"""),"Whether large language models (LLMs) process language similarly to humans has been the subject of much theoretical and practical debate. We examine this question through the lens of the production-interpretation distinction found in human sentence process"&amp;"ing and evaluate the extent to which instruction-tuned LLMs replicate this distinction. Using an empirically documented asymmetry between pronoun production and interpretation in humans for implicit causality verbs as a testbed, we find that some LLMs do "&amp;"quantitatively and qualitatively reflect human-like asymmetries between production and interpretation. We demonstrate that whether this behavior holds depends upon both model size-with larger models more likely to reflect human-like patterns and the choic"&amp;"e of meta-linguistic prompts used to elicit the behavior. Our codes and results are available \href{https://github.com/LingMechLab/Production-Interpretation_Asymmetries_ACL2025}{here}.")</f>
        <v>Whether large language models (LLMs) process language similarly to humans has been the subject of much theoretical and practical debate. We examine this question through the lens of the production-interpretation distinction found in human sentence processing and evaluate the extent to which instruction-tuned LLMs replicate this distinction. Using an empirically documented asymmetry between pronoun production and interpretation in humans for implicit causality verbs as a testbed, we find that some LLMs do quantitatively and qualitatively reflect human-like asymmetries between production and interpretation. We demonstrate that whether this behavior holds depends upon both model size-with larger models more likely to reflect human-like patterns and the choice of meta-linguistic prompts used to elicit the behavior. Our codes and results are available \href{https://github.com/LingMechLab/Production-Interpretation_Asymmetries_ACL2025}{here}.</v>
      </c>
      <c r="D1818" s="7" t="str">
        <f>IFERROR(__xludf.DUMMYFUNCTION("""COMPUTED_VALUE"""),"Qingcheng Zeng")</f>
        <v>Qingcheng Zeng</v>
      </c>
      <c r="E1818" s="7" t="str">
        <f>IFERROR(__xludf.DUMMYFUNCTION("""COMPUTED_VALUE"""),"Yes")</f>
        <v>Yes</v>
      </c>
      <c r="F1818" s="7" t="str">
        <f>IFERROR(__xludf.DUMMYFUNCTION("""COMPUTED_VALUE"""),"V-Presentation")</f>
        <v>V-Presentation</v>
      </c>
      <c r="G1818" s="7" t="str">
        <f>IFERROR(__xludf.DUMMYFUNCTION("""COMPUTED_VALUE"""),"Virtual/Gather")</f>
        <v>Virtual/Gather</v>
      </c>
      <c r="H1818" s="7" t="str">
        <f>IFERROR(__xludf.DUMMYFUNCTION("""COMPUTED_VALUE"""),"Zoom")</f>
        <v>Zoom</v>
      </c>
      <c r="I1818" s="7" t="str">
        <f>IFERROR(__xludf.DUMMYFUNCTION("""COMPUTED_VALUE"""),"Session 10: V-Presenations")</f>
        <v>Session 10: V-Presenations</v>
      </c>
      <c r="J1818" s="7" t="str">
        <f>IFERROR(__xludf.DUMMYFUNCTION("""COMPUTED_VALUE"""),"Virtual Presentations 3")</f>
        <v>Virtual Presentations 3</v>
      </c>
      <c r="K1818" s="7"/>
      <c r="L1818" s="8">
        <f>IFERROR(__xludf.DUMMYFUNCTION("""COMPUTED_VALUE"""),45867.0)</f>
        <v>45867</v>
      </c>
      <c r="M1818" s="7" t="str">
        <f>IFERROR(__xludf.DUMMYFUNCTION("""COMPUTED_VALUE"""),"16:00-17:30")</f>
        <v>16:00-17:30</v>
      </c>
      <c r="N1818" s="7"/>
    </row>
    <row r="1819">
      <c r="A1819" s="7" t="str">
        <f>IFERROR(__xludf.DUMMYFUNCTION("""COMPUTED_VALUE"""),"444-MAIN")</f>
        <v>444-MAIN</v>
      </c>
      <c r="B1819" s="7" t="str">
        <f>IFERROR(__xludf.DUMMYFUNCTION("""COMPUTED_VALUE"""),"SurveyPilot: an Agentic Framework for Automated Human Opinion Collection from Social Media")</f>
        <v>SurveyPilot: an Agentic Framework for Automated Human Opinion Collection from Social Media</v>
      </c>
      <c r="C1819" s="7" t="str">
        <f>IFERROR(__xludf.DUMMYFUNCTION("""COMPUTED_VALUE"""),"Opinion survey research is a crucial method used by social scientists for understanding societal beliefs and behaviors. Traditional methodologies often entail high costs and limited scalability, while current automated methods such as opinion synthesis ex"&amp;"hibit severe biases and lack traceability. In this paper, we introduce SurveyPilot, a novel finite‐state orchestrated agentic framework that automates the collection and analysis of human opinions from social media platforms. SurveyPilot addresses the lim"&amp;"itations of pioneering approaches by (i) providing transparency and traceability in each state of opinion collection and (ii) incorporating several techniques for mitigating biases, notably with a novel genetic algorithm for improving result diversity. Ou"&amp;"r extensive experiments reveal that SurveyPilot achieves a close alignment with authentic survey results across multiple domains, observing average relative improvements of 68,98% and 51,37% when comparing to opinion synthesis and agent-based approaches. "&amp;"Implementation of SurveyPilot is available on https://github.com/thanhpv2102/SurveyPilot.")</f>
        <v>Opinion survey research is a crucial method used by social scientists for understanding societal beliefs and behaviors. Traditional methodologies often entail high costs and limited scalability, while current automated methods such as opinion synthesis exhibit severe biases and lack traceability. In this paper, we introduce SurveyPilot, a novel finite‐state orchestrated agentic framework that automates the collection and analysis of human opinions from social media platforms. SurveyPilot addresses the limitations of pioneering approaches by (i) providing transparency and traceability in each state of opinion collection and (ii) incorporating several techniques for mitigating biases, notably with a novel genetic algorithm for improving result diversity. Our extensive experiments reveal that SurveyPilot achieves a close alignment with authentic survey results across multiple domains, observing average relative improvements of 68,98% and 51,37% when comparing to opinion synthesis and agent-based approaches. Implementation of SurveyPilot is available on https://github.com/thanhpv2102/SurveyPilot.</v>
      </c>
      <c r="D1819" s="7" t="str">
        <f>IFERROR(__xludf.DUMMYFUNCTION("""COMPUTED_VALUE"""),"Viet-Thanh Pham")</f>
        <v>Viet-Thanh Pham</v>
      </c>
      <c r="E1819" s="7" t="str">
        <f>IFERROR(__xludf.DUMMYFUNCTION("""COMPUTED_VALUE"""),"Yes")</f>
        <v>Yes</v>
      </c>
      <c r="F1819" s="7" t="str">
        <f>IFERROR(__xludf.DUMMYFUNCTION("""COMPUTED_VALUE"""),"IP-Oral")</f>
        <v>IP-Oral</v>
      </c>
      <c r="G1819" s="7" t="str">
        <f>IFERROR(__xludf.DUMMYFUNCTION("""COMPUTED_VALUE"""),"In-Person")</f>
        <v>In-Person</v>
      </c>
      <c r="H1819" s="7" t="str">
        <f>IFERROR(__xludf.DUMMYFUNCTION("""COMPUTED_VALUE"""),"Room 1.85")</f>
        <v>Room 1.85</v>
      </c>
      <c r="I1819" s="7" t="str">
        <f>IFERROR(__xludf.DUMMYFUNCTION("""COMPUTED_VALUE"""),"Session 9: IP-Orals")</f>
        <v>Session 9: IP-Orals</v>
      </c>
      <c r="J1819" s="7" t="str">
        <f>IFERROR(__xludf.DUMMYFUNCTION("""COMPUTED_VALUE"""),"Computational Social Science and Cultural Analytics")</f>
        <v>Computational Social Science and Cultural Analytics</v>
      </c>
      <c r="K1819" s="7"/>
      <c r="L1819" s="8">
        <f>IFERROR(__xludf.DUMMYFUNCTION("""COMPUTED_VALUE"""),45867.0)</f>
        <v>45867</v>
      </c>
      <c r="M1819" s="7" t="str">
        <f>IFERROR(__xludf.DUMMYFUNCTION("""COMPUTED_VALUE"""),"14:00-15:30")</f>
        <v>14:00-15:30</v>
      </c>
      <c r="N1819" s="7">
        <f>IFERROR(__xludf.DUMMYFUNCTION("""COMPUTED_VALUE"""),1.0)</f>
        <v>1</v>
      </c>
    </row>
    <row r="1820">
      <c r="A1820" s="7" t="str">
        <f>IFERROR(__xludf.DUMMYFUNCTION("""COMPUTED_VALUE"""),"447-MAIN")</f>
        <v>447-MAIN</v>
      </c>
      <c r="B1820" s="7" t="str">
        <f>IFERROR(__xludf.DUMMYFUNCTION("""COMPUTED_VALUE"""),"Sharper and Faster mean Better: Towards More Efficient Vision-Language Model for Hour-scale Long Video Understanding")</f>
        <v>Sharper and Faster mean Better: Towards More Efficient Vision-Language Model for Hour-scale Long Video Understanding</v>
      </c>
      <c r="C1820" s="7" t="str">
        <f>IFERROR(__xludf.DUMMYFUNCTION("""COMPUTED_VALUE"""),"Despite existing multimodal language models showing impressive performance on the video understanding task, extremely long videos still pose significant challenges to language model's context length, memory consumption, and computational complexity. To ad"&amp;"dress these issues, we propose a vision-language model named Sophia for long video understanding, which can efficiently handle hour-scale long videos. First, we employ a Shot-adaptive Frame Pruning technique, which naturally segments long videos into mult"&amp;"iple camera shots, to more sharply identify and focus on the frames relevant to the query. Additionally, we introduce a Hierarchical Attention mechanism to effectively model the long-term temporal dependencies between video frames, which achieves a time a"&amp;"nd space complexity of O(N) w.r.t. the input sequence length N while theoretically maintaining the global modeling efficiency. Experimentally, our Sophia exhibits competitive performance compared to existing video understanding baselines across various be"&amp;"nchmarks for long video understanding with reduced time and memory consumption. The model code and weights are available at https://huggingface.co/Tao-tse/Sophia.")</f>
        <v>Despite existing multimodal language models showing impressive performance on the video understanding task, extremely long videos still pose significant challenges to language model's context length, memory consumption, and computational complexity. To address these issues, we propose a vision-language model named Sophia for long video understanding, which can efficiently handle hour-scale long videos. First, we employ a Shot-adaptive Frame Pruning technique, which naturally segments long videos into multiple camera shots, to more sharply identify and focus on the frames relevant to the query. Additionally, we introduce a Hierarchical Attention mechanism to effectively model the long-term temporal dependencies between video frames, which achieves a time and space complexity of O(N) w.r.t. the input sequence length N while theoretically maintaining the global modeling efficiency. Experimentally, our Sophia exhibits competitive performance compared to existing video understanding baselines across various benchmarks for long video understanding with reduced time and memory consumption. The model code and weights are available at https://huggingface.co/Tao-tse/Sophia.</v>
      </c>
      <c r="D1820" s="7" t="str">
        <f>IFERROR(__xludf.DUMMYFUNCTION("""COMPUTED_VALUE"""),"Daoze Zhang")</f>
        <v>Daoze Zhang</v>
      </c>
      <c r="E1820" s="7" t="str">
        <f>IFERROR(__xludf.DUMMYFUNCTION("""COMPUTED_VALUE"""),"Yes")</f>
        <v>Yes</v>
      </c>
      <c r="F1820" s="7" t="str">
        <f>IFERROR(__xludf.DUMMYFUNCTION("""COMPUTED_VALUE"""),"V-Presentation")</f>
        <v>V-Presentation</v>
      </c>
      <c r="G1820" s="7" t="str">
        <f>IFERROR(__xludf.DUMMYFUNCTION("""COMPUTED_VALUE"""),"Virtual/Gather")</f>
        <v>Virtual/Gather</v>
      </c>
      <c r="H1820" s="7" t="str">
        <f>IFERROR(__xludf.DUMMYFUNCTION("""COMPUTED_VALUE"""),"Zoom")</f>
        <v>Zoom</v>
      </c>
      <c r="I1820" s="7" t="str">
        <f>IFERROR(__xludf.DUMMYFUNCTION("""COMPUTED_VALUE"""),"Session 10: V-Presentations")</f>
        <v>Session 10: V-Presentations</v>
      </c>
      <c r="J1820" s="7" t="str">
        <f>IFERROR(__xludf.DUMMYFUNCTION("""COMPUTED_VALUE"""),"Virtual Presentations 3")</f>
        <v>Virtual Presentations 3</v>
      </c>
      <c r="K1820" s="7"/>
      <c r="L1820" s="8">
        <f>IFERROR(__xludf.DUMMYFUNCTION("""COMPUTED_VALUE"""),45867.0)</f>
        <v>45867</v>
      </c>
      <c r="M1820" s="7" t="str">
        <f>IFERROR(__xludf.DUMMYFUNCTION("""COMPUTED_VALUE"""),"16:00-17:30")</f>
        <v>16:00-17:30</v>
      </c>
      <c r="N1820" s="7"/>
    </row>
    <row r="1821">
      <c r="A1821" s="7" t="str">
        <f>IFERROR(__xludf.DUMMYFUNCTION("""COMPUTED_VALUE"""),"448-MAIN")</f>
        <v>448-MAIN</v>
      </c>
      <c r="B1821" s="7" t="str">
        <f>IFERROR(__xludf.DUMMYFUNCTION("""COMPUTED_VALUE"""),"Auto-Arena: Automating LLM Evaluations with Agent Peer Battles and Committee Discussions")</f>
        <v>Auto-Arena: Automating LLM Evaluations with Agent Peer Battles and Committee Discussions</v>
      </c>
      <c r="C1821" s="7" t="str">
        <f>IFERROR(__xludf.DUMMYFUNCTION("""COMPUTED_VALUE"""),"As LLMs continuously evolve, there is an urgent need for a reliable evaluation method that delivers trustworthy results promptly. Currently, static benchmarks suffer from inflexibility and unreliability, leading users to prefer human voting platforms like"&amp;" Chatbot Arena. However, human evaluations require significant manual effort. Therefore, we propose Auto-Arena, an innovative framework that automates the entire evaluation process using LLM-powered agents. Firstly, an LLM examiner generates questions. Th"&amp;"en, two LLM candidates engage in a multi-round peer battle based on the questions, aiming at revealing their true performance differences. Finally, a committee of LLM judges collaboratively discusses and decides the winner, reducing bias and enhancing fai"&amp;"rness. During the peer battles, we observe intriguing scenarios where the LLM candidates display competitive behaviors and learn from the opponents. In our extensive experiments involving 15 recent LLMs, Auto-Arena shows a 92.14% correlation with human pr"&amp;"eferences, surpassing all previous expert-annotated benchmarks without any manual efforts. Auto-Arena offers a promising alternative to current human evaluation platforms for evaluating LLMs automatically.")</f>
        <v>As LLMs continuously evolve, there is an urgent need for a reliable evaluation method that delivers trustworthy results promptly. Currently, static benchmarks suffer from inflexibility and unreliability, leading users to prefer human voting platforms like Chatbot Arena. However, human evaluations require significant manual effort. Therefore, we propose Auto-Arena, an innovative framework that automates the entire evaluation process using LLM-powered agents. Firstly, an LLM examiner generates questions. Then, two LLM candidates engage in a multi-round peer battle based on the questions, aiming at revealing their true performance differences. Finally, a committee of LLM judges collaboratively discusses and decides the winner, reducing bias and enhancing fairness. During the peer battles, we observe intriguing scenarios where the LLM candidates display competitive behaviors and learn from the opponents. In our extensive experiments involving 15 recent LLMs, Auto-Arena shows a 92.14% correlation with human preferences, surpassing all previous expert-annotated benchmarks without any manual efforts. Auto-Arena offers a promising alternative to current human evaluation platforms for evaluating LLMs automatically.</v>
      </c>
      <c r="D1821" s="7" t="str">
        <f>IFERROR(__xludf.DUMMYFUNCTION("""COMPUTED_VALUE"""),"Wenxuan Zhang")</f>
        <v>Wenxuan Zhang</v>
      </c>
      <c r="E1821" s="7" t="str">
        <f>IFERROR(__xludf.DUMMYFUNCTION("""COMPUTED_VALUE"""),"Yes")</f>
        <v>Yes</v>
      </c>
      <c r="F1821" s="7" t="str">
        <f>IFERROR(__xludf.DUMMYFUNCTION("""COMPUTED_VALUE"""),"IP-Poster")</f>
        <v>IP-Poster</v>
      </c>
      <c r="G1821" s="7" t="str">
        <f>IFERROR(__xludf.DUMMYFUNCTION("""COMPUTED_VALUE"""),"In-Person")</f>
        <v>In-Person</v>
      </c>
      <c r="H1821" s="7" t="str">
        <f>IFERROR(__xludf.DUMMYFUNCTION("""COMPUTED_VALUE"""),"Hall 4/5")</f>
        <v>Hall 4/5</v>
      </c>
      <c r="I1821" s="7" t="str">
        <f>IFERROR(__xludf.DUMMYFUNCTION("""COMPUTED_VALUE"""),"Session 2: IP-Posters ")</f>
        <v>Session 2: IP-Posters </v>
      </c>
      <c r="J1821" s="7" t="str">
        <f>IFERROR(__xludf.DUMMYFUNCTION("""COMPUTED_VALUE"""),"Poster Session 1")</f>
        <v>Poster Session 1</v>
      </c>
      <c r="K1821" s="7"/>
      <c r="L1821" s="8">
        <f>IFERROR(__xludf.DUMMYFUNCTION("""COMPUTED_VALUE"""),45866.0)</f>
        <v>45866</v>
      </c>
      <c r="M1821" s="7" t="str">
        <f>IFERROR(__xludf.DUMMYFUNCTION("""COMPUTED_VALUE"""),"11:00-12:30")</f>
        <v>11:00-12:30</v>
      </c>
      <c r="N1821" s="7"/>
    </row>
    <row r="1822">
      <c r="A1822" s="7" t="str">
        <f>IFERROR(__xludf.DUMMYFUNCTION("""COMPUTED_VALUE"""),"453-MAIN")</f>
        <v>453-MAIN</v>
      </c>
      <c r="B1822" s="7" t="str">
        <f>IFERROR(__xludf.DUMMYFUNCTION("""COMPUTED_VALUE"""),"How Humans and LLMs Organize Conceptual Knowledge: Exploring Subordinate Categories in Italian")</f>
        <v>How Humans and LLMs Organize Conceptual Knowledge: Exploring Subordinate Categories in Italian</v>
      </c>
      <c r="C1822" s="7" t="str">
        <f>IFERROR(__xludf.DUMMYFUNCTION("""COMPUTED_VALUE"""),"People can categorize the same entity at multiple taxonomic levels, such as basic (bear), superordinate (animal), and subordinate (grizzly bear). While prior research has focused on basic-level categories, this study is the first attempt to examine the or"&amp;"ganization of categories by analyzing exemplars produced at the subordinate level. We present a new Italian psycholinguistic dataset of human-generated exemplars for 187 concrete words. We then leverage these data to evaluate whether textual and vision LL"&amp;"Ms produce meaningful exemplars that align with human category organization across three key tasks: exemplar generation, category induction, and typicality judgment. Our findings show a low alignment between humans and LLMs, consistent with previous studi"&amp;"es. However, their performance varies notably across different semantic domains. Ultimately, this study highlights both the promises and the constraints of using AI-generated exemplars to support psychological and linguistic research.")</f>
        <v>People can categorize the same entity at multiple taxonomic levels, such as basic (bear), superordinate (animal), and subordinate (grizzly bear). While prior research has focused on basic-level categories, this study is the first attempt to examine the organization of categories by analyzing exemplars produced at the subordinate level. We present a new Italian psycholinguistic dataset of human-generated exemplars for 187 concrete words. We then leverage these data to evaluate whether textual and vision LLMs produce meaningful exemplars that align with human category organization across three key tasks: exemplar generation, category induction, and typicality judgment. Our findings show a low alignment between humans and LLMs, consistent with previous studies. However, their performance varies notably across different semantic domains. Ultimately, this study highlights both the promises and the constraints of using AI-generated exemplars to support psychological and linguistic research.</v>
      </c>
      <c r="D1822" s="7" t="str">
        <f>IFERROR(__xludf.DUMMYFUNCTION("""COMPUTED_VALUE"""),"Andrea Pedrotti")</f>
        <v>Andrea Pedrotti</v>
      </c>
      <c r="E1822" s="7" t="str">
        <f>IFERROR(__xludf.DUMMYFUNCTION("""COMPUTED_VALUE"""),"Yes")</f>
        <v>Yes</v>
      </c>
      <c r="F1822" s="7" t="str">
        <f>IFERROR(__xludf.DUMMYFUNCTION("""COMPUTED_VALUE"""),"IP-Poster")</f>
        <v>IP-Poster</v>
      </c>
      <c r="G1822" s="7" t="str">
        <f>IFERROR(__xludf.DUMMYFUNCTION("""COMPUTED_VALUE"""),"In-Person")</f>
        <v>In-Person</v>
      </c>
      <c r="H1822" s="7" t="str">
        <f>IFERROR(__xludf.DUMMYFUNCTION("""COMPUTED_VALUE"""),"Hall 4/5")</f>
        <v>Hall 4/5</v>
      </c>
      <c r="I1822" s="7" t="str">
        <f>IFERROR(__xludf.DUMMYFUNCTION("""COMPUTED_VALUE"""),"Session 2: IP-Posters ")</f>
        <v>Session 2: IP-Posters </v>
      </c>
      <c r="J1822" s="7" t="str">
        <f>IFERROR(__xludf.DUMMYFUNCTION("""COMPUTED_VALUE"""),"Poster Session 1")</f>
        <v>Poster Session 1</v>
      </c>
      <c r="K1822" s="7"/>
      <c r="L1822" s="8">
        <f>IFERROR(__xludf.DUMMYFUNCTION("""COMPUTED_VALUE"""),45866.0)</f>
        <v>45866</v>
      </c>
      <c r="M1822" s="7" t="str">
        <f>IFERROR(__xludf.DUMMYFUNCTION("""COMPUTED_VALUE"""),"11:00-12:30")</f>
        <v>11:00-12:30</v>
      </c>
      <c r="N1822" s="7"/>
    </row>
    <row r="1823">
      <c r="A1823" s="7" t="str">
        <f>IFERROR(__xludf.DUMMYFUNCTION("""COMPUTED_VALUE"""),"454-MAIN")</f>
        <v>454-MAIN</v>
      </c>
      <c r="B1823" s="7" t="str">
        <f>IFERROR(__xludf.DUMMYFUNCTION("""COMPUTED_VALUE"""),"PTQ1.61: Push the Real Limit of Extremely Low-Bit Post-Training Quantization Methods for Large Language Models")</f>
        <v>PTQ1.61: Push the Real Limit of Extremely Low-Bit Post-Training Quantization Methods for Large Language Models</v>
      </c>
      <c r="C1823" s="7" t="str">
        <f>IFERROR(__xludf.DUMMYFUNCTION("""COMPUTED_VALUE"""),"Large Language Models (LLMs) suffer severe performance degradation when facing extremely low-bit (sub 2-bit) quantization. Several existing sub 2-bit post-training quantization (PTQ) methods utilize a mix-precision scheme by leveraging an unstructured fin"&amp;"e-grained mask to explicitly distinguish salient weights, while which introduces an extra 1-bit or more per weight. To explore the real limit of PTQ, we propose an extremely low-bit PTQ method called PTQ1.61, which enables weight quantization to 1.61-bit "&amp;"for the first time. Specifically, we first introduce a one-dimensional structured mask with negligibly additional 0.0002-bit per weight based on input activations from the perspective of reducing the upper bound of quantization error to allocate correspon"&amp;"ding salient weight channels to 4-bit. For non-salient channels binarization, an efficient block-wise scaling factors optimization framework is then presented to take implicit row-wise correlations and angular biases into account. Different from prior wor"&amp;"ks that concentrate on adjusting quantization methodologies, we further propose a novel paradigm called quantization preprocessing, where we argue that transforming the weight distribution of the pretrained model before quantization can alleviate the diff"&amp;"iculty in per-channel extremely low-bit PTQ. Extensive experiments indicate our PTQ1.61 achieves state-of-the-art performance in extremely low-bit quantization. Codes are available at https://github.com/zjq0455/PTQ1.61.")</f>
        <v>Large Language Models (LLMs) suffer severe performance degradation when facing extremely low-bit (sub 2-bit) quantization. Several existing sub 2-bit post-training quantization (PTQ) methods utilize a mix-precision scheme by leveraging an unstructured fine-grained mask to explicitly distinguish salient weights, while which introduces an extra 1-bit or more per weight. To explore the real limit of PTQ, we propose an extremely low-bit PTQ method called PTQ1.61, which enables weight quantization to 1.61-bit for the first time. Specifically, we first introduce a one-dimensional structured mask with negligibly additional 0.0002-bit per weight based on input activations from the perspective of reducing the upper bound of quantization error to allocate corresponding salient weight channels to 4-bit. For non-salient channels binarization, an efficient block-wise scaling factors optimization framework is then presented to take implicit row-wise correlations and angular biases into account. Different from prior works that concentrate on adjusting quantization methodologies, we further propose a novel paradigm called quantization preprocessing, where we argue that transforming the weight distribution of the pretrained model before quantization can alleviate the difficulty in per-channel extremely low-bit PTQ. Extensive experiments indicate our PTQ1.61 achieves state-of-the-art performance in extremely low-bit quantization. Codes are available at https://github.com/zjq0455/PTQ1.61.</v>
      </c>
      <c r="D1823" s="7" t="str">
        <f>IFERROR(__xludf.DUMMYFUNCTION("""COMPUTED_VALUE"""),"Jiaqi Zhao")</f>
        <v>Jiaqi Zhao</v>
      </c>
      <c r="E1823" s="7" t="str">
        <f>IFERROR(__xludf.DUMMYFUNCTION("""COMPUTED_VALUE"""),"Yes")</f>
        <v>Yes</v>
      </c>
      <c r="F1823" s="7" t="str">
        <f>IFERROR(__xludf.DUMMYFUNCTION("""COMPUTED_VALUE"""),"IP-Poster")</f>
        <v>IP-Poster</v>
      </c>
      <c r="G1823" s="7" t="str">
        <f>IFERROR(__xludf.DUMMYFUNCTION("""COMPUTED_VALUE"""),"In-Person")</f>
        <v>In-Person</v>
      </c>
      <c r="H1823" s="7" t="str">
        <f>IFERROR(__xludf.DUMMYFUNCTION("""COMPUTED_VALUE"""),"Hall 4/5")</f>
        <v>Hall 4/5</v>
      </c>
      <c r="I1823" s="7" t="str">
        <f>IFERROR(__xludf.DUMMYFUNCTION("""COMPUTED_VALUE"""),"Session 7: IP-Posters")</f>
        <v>Session 7: IP-Posters</v>
      </c>
      <c r="J1823" s="7" t="str">
        <f>IFERROR(__xludf.DUMMYFUNCTION("""COMPUTED_VALUE"""),"Poster Session 2")</f>
        <v>Poster Session 2</v>
      </c>
      <c r="K1823" s="7"/>
      <c r="L1823" s="8">
        <f>IFERROR(__xludf.DUMMYFUNCTION("""COMPUTED_VALUE"""),45867.0)</f>
        <v>45867</v>
      </c>
      <c r="M1823" s="7" t="str">
        <f>IFERROR(__xludf.DUMMYFUNCTION("""COMPUTED_VALUE"""),"10:30-12:00")</f>
        <v>10:30-12:00</v>
      </c>
      <c r="N1823" s="7"/>
    </row>
    <row r="1824">
      <c r="A1824" s="7" t="str">
        <f>IFERROR(__xludf.DUMMYFUNCTION("""COMPUTED_VALUE"""),"457-MAIN")</f>
        <v>457-MAIN</v>
      </c>
      <c r="B1824" s="7" t="str">
        <f>IFERROR(__xludf.DUMMYFUNCTION("""COMPUTED_VALUE"""),"ProtoLens: Advancing Prototype Learning for Fine-Grained Interpretability in Text Classification")</f>
        <v>ProtoLens: Advancing Prototype Learning for Fine-Grained Interpretability in Text Classification</v>
      </c>
      <c r="C1824" s="7" t="str">
        <f>IFERROR(__xludf.DUMMYFUNCTION("""COMPUTED_VALUE"""),"In this work, we propose ProtoLens, a novel prototype-based model that provides fine-grained, sub-sentence level interpretability for text classification. ProtoLens uses a Prototype-aware Span Extraction module to identify relevant text spans associated w"&amp;"ith learned prototypes and a Prototype Alignment mechanism to ensure prototypes are semantically meaningful throughout training. By aligning the prototype embeddings with human-understandable examples, ProtoLens provides interpretable predictions while ma"&amp;"intaining competitive accuracy. Extensive experiments demonstrate that ProtoLens outperforms both prototype-based and non-interpretable baselines on multiple text classification benchmarks. Code and data are available at \url{https://github.com/weibowen55"&amp;"5/ProtoLens}.")</f>
        <v>In this work, we propose ProtoLens, a novel prototype-based model that provides fine-grained, sub-sentence level interpretability for text classification. ProtoLens uses a Prototype-aware Span Extraction module to identify relevant text spans associated with learned prototypes and a Prototype Alignment mechanism to ensure prototypes are semantically meaningful throughout training. By aligning the prototype embeddings with human-understandable examples, ProtoLens provides interpretable predictions while maintaining competitive accuracy. Extensive experiments demonstrate that ProtoLens outperforms both prototype-based and non-interpretable baselines on multiple text classification benchmarks. Code and data are available at \url{https://github.com/weibowen555/ProtoLens}.</v>
      </c>
      <c r="D1824" s="7" t="str">
        <f>IFERROR(__xludf.DUMMYFUNCTION("""COMPUTED_VALUE"""),"Bowen Wei")</f>
        <v>Bowen Wei</v>
      </c>
      <c r="E1824" s="7" t="str">
        <f>IFERROR(__xludf.DUMMYFUNCTION("""COMPUTED_VALUE"""),"Yes")</f>
        <v>Yes</v>
      </c>
      <c r="F1824" s="7" t="str">
        <f>IFERROR(__xludf.DUMMYFUNCTION("""COMPUTED_VALUE"""),"V-Presentation")</f>
        <v>V-Presentation</v>
      </c>
      <c r="G1824" s="7" t="str">
        <f>IFERROR(__xludf.DUMMYFUNCTION("""COMPUTED_VALUE"""),"Virtual/Gather")</f>
        <v>Virtual/Gather</v>
      </c>
      <c r="H1824" s="7" t="str">
        <f>IFERROR(__xludf.DUMMYFUNCTION("""COMPUTED_VALUE"""),"Zoom")</f>
        <v>Zoom</v>
      </c>
      <c r="I1824" s="7" t="str">
        <f>IFERROR(__xludf.DUMMYFUNCTION("""COMPUTED_VALUE"""),"Session 2: V-Presentations")</f>
        <v>Session 2: V-Presentations</v>
      </c>
      <c r="J1824" s="7" t="str">
        <f>IFERROR(__xludf.DUMMYFUNCTION("""COMPUTED_VALUE"""),"Virtual Presentations 1")</f>
        <v>Virtual Presentations 1</v>
      </c>
      <c r="K1824" s="7"/>
      <c r="L1824" s="8">
        <f>IFERROR(__xludf.DUMMYFUNCTION("""COMPUTED_VALUE"""),45866.0)</f>
        <v>45866</v>
      </c>
      <c r="M1824" s="7" t="str">
        <f>IFERROR(__xludf.DUMMYFUNCTION("""COMPUTED_VALUE"""),"11:00-12:30")</f>
        <v>11:00-12:30</v>
      </c>
      <c r="N1824" s="7"/>
    </row>
    <row r="1825">
      <c r="A1825" s="7" t="str">
        <f>IFERROR(__xludf.DUMMYFUNCTION("""COMPUTED_VALUE"""),"459-MAIN")</f>
        <v>459-MAIN</v>
      </c>
      <c r="B1825" s="7" t="str">
        <f>IFERROR(__xludf.DUMMYFUNCTION("""COMPUTED_VALUE"""),"Fine-grained Video Dubbing Duration Alignment with Segment Supervised Preference Optimization")</f>
        <v>Fine-grained Video Dubbing Duration Alignment with Segment Supervised Preference Optimization</v>
      </c>
      <c r="C1825" s="7" t="str">
        <f>IFERROR(__xludf.DUMMYFUNCTION("""COMPUTED_VALUE"""),"Video dubbing aims to translate original speech in visual media programs from the source language to the target language, relying on neural machine translation and text-to-speech technologies. Due to varying information densities across languages, target "&amp;"speech often mismatches the source speech duration, causing audio-video synchronization issues that significantly impact viewer experience. In this study, we approach duration alignment in LLM-based video dubbing machine translation as a preference optimi"&amp;"zation problem. We propose the Segment Supervised Preference Optimization (SSPO) method, which employs a segment-wise sampling strategy and fine-grained loss to mitigate duration mismatches between source and target lines. Experimental results demonstrate"&amp;" that SSPO achieves superior performance in duration alignment tasks.")</f>
        <v>Video dubbing aims to translate original speech in visual media programs from the source language to the target language, relying on neural machine translation and text-to-speech technologies. Due to varying information densities across languages, target speech often mismatches the source speech duration, causing audio-video synchronization issues that significantly impact viewer experience. In this study, we approach duration alignment in LLM-based video dubbing machine translation as a preference optimization problem. We propose the Segment Supervised Preference Optimization (SSPO) method, which employs a segment-wise sampling strategy and fine-grained loss to mitigate duration mismatches between source and target lines. Experimental results demonstrate that SSPO achieves superior performance in duration alignment tasks.</v>
      </c>
      <c r="D1825" s="7" t="str">
        <f>IFERROR(__xludf.DUMMYFUNCTION("""COMPUTED_VALUE"""),"Chaoqun Cui")</f>
        <v>Chaoqun Cui</v>
      </c>
      <c r="E1825" s="7" t="str">
        <f>IFERROR(__xludf.DUMMYFUNCTION("""COMPUTED_VALUE"""),"Yes")</f>
        <v>Yes</v>
      </c>
      <c r="F1825" s="7" t="str">
        <f>IFERROR(__xludf.DUMMYFUNCTION("""COMPUTED_VALUE"""),"IP-Poster")</f>
        <v>IP-Poster</v>
      </c>
      <c r="G1825" s="7" t="str">
        <f>IFERROR(__xludf.DUMMYFUNCTION("""COMPUTED_VALUE"""),"In-Person")</f>
        <v>In-Person</v>
      </c>
      <c r="H1825" s="7" t="str">
        <f>IFERROR(__xludf.DUMMYFUNCTION("""COMPUTED_VALUE"""),"Hall 4/5")</f>
        <v>Hall 4/5</v>
      </c>
      <c r="I1825" s="7" t="str">
        <f>IFERROR(__xludf.DUMMYFUNCTION("""COMPUTED_VALUE"""),"Session 10: IP-Posters")</f>
        <v>Session 10: IP-Posters</v>
      </c>
      <c r="J1825" s="7" t="str">
        <f>IFERROR(__xludf.DUMMYFUNCTION("""COMPUTED_VALUE"""),"Poster Session 3")</f>
        <v>Poster Session 3</v>
      </c>
      <c r="K1825" s="7"/>
      <c r="L1825" s="8">
        <f>IFERROR(__xludf.DUMMYFUNCTION("""COMPUTED_VALUE"""),45867.0)</f>
        <v>45867</v>
      </c>
      <c r="M1825" s="7" t="str">
        <f>IFERROR(__xludf.DUMMYFUNCTION("""COMPUTED_VALUE"""),"16:00-17:30")</f>
        <v>16:00-17:30</v>
      </c>
      <c r="N1825" s="7"/>
    </row>
    <row r="1826">
      <c r="A1826" s="7" t="str">
        <f>IFERROR(__xludf.DUMMYFUNCTION("""COMPUTED_VALUE"""),"461-MAIN")</f>
        <v>461-MAIN</v>
      </c>
      <c r="B1826" s="7" t="str">
        <f>IFERROR(__xludf.DUMMYFUNCTION("""COMPUTED_VALUE"""),"Sparse Latents Steer Retrieval-Augmented Generation")</f>
        <v>Sparse Latents Steer Retrieval-Augmented Generation</v>
      </c>
      <c r="C1826" s="7" t="str">
        <f>IFERROR(__xludf.DUMMYFUNCTION("""COMPUTED_VALUE"""),"Understanding the mechanisms underlying Large Language Model (LLM) behavior in Retrieval-Augmented Generation (RAG) systems is critical for enhancing reliability. In this paper, we leverage Sparse Autoencoders (SAEs) within the LLaMA Scope to uncover spar"&amp;"se, interpretable latents that govern RAG behaviors. Through systematic analysis of SAE activations, we identify specific latents associated with two fundamental RAG decisions: (1) context versus memory prioritization, and (2) response generation versus q"&amp;"uery rejection. Intervention experiments demonstrate that these latents enable precise control over model behavior and maintain generalizability across various experimental settings. Mechanistic analysis reveals that manipulating these latents influences "&amp;"model behavior by reconfiguring attention patterns of retrieval heads. Our findings establish SAEs as a principled tool for understanding and controlling RAG behaviors, demonstrating capabilities in precise behavior steering without architectural modifica"&amp;"tions.")</f>
        <v>Understanding the mechanisms underlying Large Language Model (LLM) behavior in Retrieval-Augmented Generation (RAG) systems is critical for enhancing reliability. In this paper, we leverage Sparse Autoencoders (SAEs) within the LLaMA Scope to uncover sparse, interpretable latents that govern RAG behaviors. Through systematic analysis of SAE activations, we identify specific latents associated with two fundamental RAG decisions: (1) context versus memory prioritization, and (2) response generation versus query rejection. Intervention experiments demonstrate that these latents enable precise control over model behavior and maintain generalizability across various experimental settings. Mechanistic analysis reveals that manipulating these latents influences model behavior by reconfiguring attention patterns of retrieval heads. Our findings establish SAEs as a principled tool for understanding and controlling RAG behaviors, demonstrating capabilities in precise behavior steering without architectural modifications.</v>
      </c>
      <c r="D1826" s="7" t="str">
        <f>IFERROR(__xludf.DUMMYFUNCTION("""COMPUTED_VALUE"""),"Chunlei Xin")</f>
        <v>Chunlei Xin</v>
      </c>
      <c r="E1826" s="7" t="str">
        <f>IFERROR(__xludf.DUMMYFUNCTION("""COMPUTED_VALUE"""),"Yes")</f>
        <v>Yes</v>
      </c>
      <c r="F1826" s="7" t="str">
        <f>IFERROR(__xludf.DUMMYFUNCTION("""COMPUTED_VALUE"""),"IP-Oral")</f>
        <v>IP-Oral</v>
      </c>
      <c r="G1826" s="7" t="str">
        <f>IFERROR(__xludf.DUMMYFUNCTION("""COMPUTED_VALUE"""),"In-Person")</f>
        <v>In-Person</v>
      </c>
      <c r="H1826" s="7" t="str">
        <f>IFERROR(__xludf.DUMMYFUNCTION("""COMPUTED_VALUE"""),"Room 1.85")</f>
        <v>Room 1.85</v>
      </c>
      <c r="I1826" s="7" t="str">
        <f>IFERROR(__xludf.DUMMYFUNCTION("""COMPUTED_VALUE"""),"Session 11: IP-Orals ")</f>
        <v>Session 11: IP-Orals </v>
      </c>
      <c r="J1826" s="7" t="str">
        <f>IFERROR(__xludf.DUMMYFUNCTION("""COMPUTED_VALUE"""),"Interpretability and Model Analysis 2")</f>
        <v>Interpretability and Model Analysis 2</v>
      </c>
      <c r="K1826" s="7"/>
      <c r="L1826" s="8">
        <f>IFERROR(__xludf.DUMMYFUNCTION("""COMPUTED_VALUE"""),45868.0)</f>
        <v>45868</v>
      </c>
      <c r="M1826" s="7" t="str">
        <f>IFERROR(__xludf.DUMMYFUNCTION("""COMPUTED_VALUE"""),"09:00-10:30")</f>
        <v>09:00-10:30</v>
      </c>
      <c r="N1826" s="7">
        <f>IFERROR(__xludf.DUMMYFUNCTION("""COMPUTED_VALUE"""),2.0)</f>
        <v>2</v>
      </c>
    </row>
    <row r="1827">
      <c r="A1827" s="7" t="str">
        <f>IFERROR(__xludf.DUMMYFUNCTION("""COMPUTED_VALUE"""),"465-MAIN")</f>
        <v>465-MAIN</v>
      </c>
      <c r="B1827" s="7" t="str">
        <f>IFERROR(__xludf.DUMMYFUNCTION("""COMPUTED_VALUE"""),"Improving the Calibration of Confidence Scores in Text Generation Using the Output Distribution's Characteristics")</f>
        <v>Improving the Calibration of Confidence Scores in Text Generation Using the Output Distribution's Characteristics</v>
      </c>
      <c r="C1827" s="7" t="str">
        <f>IFERROR(__xludf.DUMMYFUNCTION("""COMPUTED_VALUE"""),"Well-calibrated model confidence scores can improve the usefulness of text generation models. For example, users can be prompted to review predictions with low confidence scores, to prevent models from returning bad or potentially dangerous predictions. H"&amp;"owever, confidence metrics are not always well calibrated in text generation. One reason is that in generation, there can be many valid answers, which previous methods do not always account for. Hence, a confident model could assign probability to many se"&amp;"quences because they are all valid, and not because it is unsure about how to perform the task. We propose task-agnostic confidence metrics suited to generation, which rely solely on model probabilities without the need for further fine-tuning or heuristi"&amp;"cs. Using these, we are able to improve the calibration of BART and Flan-T5 on summarization, translation, and question answering datasets.")</f>
        <v>Well-calibrated model confidence scores can improve the usefulness of text generation models. For example, users can be prompted to review predictions with low confidence scores, to prevent models from returning bad or potentially dangerous predictions. However, confidence metrics are not always well calibrated in text generation. One reason is that in generation, there can be many valid answers, which previous methods do not always account for. Hence, a confident model could assign probability to many sequences because they are all valid, and not because it is unsure about how to perform the task. We propose task-agnostic confidence metrics suited to generation, which rely solely on model probabilities without the need for further fine-tuning or heuristics. Using these, we are able to improve the calibration of BART and Flan-T5 on summarization, translation, and question answering datasets.</v>
      </c>
      <c r="D1827" s="7" t="str">
        <f>IFERROR(__xludf.DUMMYFUNCTION("""COMPUTED_VALUE"""),"Lorenzo Jaime Yu Flores")</f>
        <v>Lorenzo Jaime Yu Flores</v>
      </c>
      <c r="E1827" s="7" t="str">
        <f>IFERROR(__xludf.DUMMYFUNCTION("""COMPUTED_VALUE"""),"Yes")</f>
        <v>Yes</v>
      </c>
      <c r="F1827" s="7" t="str">
        <f>IFERROR(__xludf.DUMMYFUNCTION("""COMPUTED_VALUE"""),"V-Presentation")</f>
        <v>V-Presentation</v>
      </c>
      <c r="G1827" s="7" t="str">
        <f>IFERROR(__xludf.DUMMYFUNCTION("""COMPUTED_VALUE"""),"Virtual/Gather")</f>
        <v>Virtual/Gather</v>
      </c>
      <c r="H1827" s="7" t="str">
        <f>IFERROR(__xludf.DUMMYFUNCTION("""COMPUTED_VALUE"""),"Zoom")</f>
        <v>Zoom</v>
      </c>
      <c r="I1827" s="7" t="str">
        <f>IFERROR(__xludf.DUMMYFUNCTION("""COMPUTED_VALUE"""),"Session 10: V-Presenations")</f>
        <v>Session 10: V-Presenations</v>
      </c>
      <c r="J1827" s="7" t="str">
        <f>IFERROR(__xludf.DUMMYFUNCTION("""COMPUTED_VALUE"""),"Virtual Presentations 3")</f>
        <v>Virtual Presentations 3</v>
      </c>
      <c r="K1827" s="7"/>
      <c r="L1827" s="8">
        <f>IFERROR(__xludf.DUMMYFUNCTION("""COMPUTED_VALUE"""),45867.0)</f>
        <v>45867</v>
      </c>
      <c r="M1827" s="7" t="str">
        <f>IFERROR(__xludf.DUMMYFUNCTION("""COMPUTED_VALUE"""),"16:00-17:30")</f>
        <v>16:00-17:30</v>
      </c>
      <c r="N1827" s="7"/>
    </row>
    <row r="1828">
      <c r="A1828" s="7" t="str">
        <f>IFERROR(__xludf.DUMMYFUNCTION("""COMPUTED_VALUE"""),"467-MAIN")</f>
        <v>467-MAIN</v>
      </c>
      <c r="B1828" s="7" t="str">
        <f>IFERROR(__xludf.DUMMYFUNCTION("""COMPUTED_VALUE"""),"Unveiling Language-Specific Features in Large Language Models via Sparse Autoencoders")</f>
        <v>Unveiling Language-Specific Features in Large Language Models via Sparse Autoencoders</v>
      </c>
      <c r="C1828" s="7" t="str">
        <f>IFERROR(__xludf.DUMMYFUNCTION("""COMPUTED_VALUE"""),"The mechanisms behind multilingual capabilities in Large Language Models (LLMs) have been examined using neuron-based or internal-activation-based methods. However, these methods often face challenges such as superposition and layer-wise activation varian"&amp;"ce, which limit their reliability. Sparse Autoencoders (SAEs) offer a more nuanced analysis by decomposing the activations of LLMs into a sparse linear combination of SAE features. We introduce a novel metric to assess the monolinguality of features obtai"&amp;"ned from SAEs, discovering that some features are strongly related to specific languages. Additionally, we show that ablating these SAE features only significantly reduces abilities in one language of LLMs, leaving others almost unaffected. Interestingly,"&amp;" we find some languages have multiple synergistic SAE features, and ablating them together yields greater improvement than ablating individually. Moreover, we leverage these SAE-derived language-specific features to enhance steering vectors, achieving con"&amp;"trol over the language generated by LLMs. The code is publicly available at~\url{https://github.com/Aatrox103/multilingual-llm-features}.")</f>
        <v>The mechanisms behind multilingual capabilities in Large Language Models (LLMs) have been examined using neuron-based or internal-activation-based methods. However, these methods often face challenges such as superposition and layer-wise activation variance, which limit their reliability. Sparse Autoencoders (SAEs) offer a more nuanced analysis by decomposing the activations of LLMs into a sparse linear combination of SAE features. We introduce a novel metric to assess the monolinguality of features obtained from SAEs, discovering that some features are strongly related to specific languages. Additionally, we show that ablating these SAE features only significantly reduces abilities in one language of LLMs, leaving others almost unaffected. Interestingly, we find some languages have multiple synergistic SAE features, and ablating them together yields greater improvement than ablating individually. Moreover, we leverage these SAE-derived language-specific features to enhance steering vectors, achieving control over the language generated by LLMs. The code is publicly available at~\url{https://github.com/Aatrox103/multilingual-llm-features}.</v>
      </c>
      <c r="D1828" s="7" t="str">
        <f>IFERROR(__xludf.DUMMYFUNCTION("""COMPUTED_VALUE"""),"Boyi Deng")</f>
        <v>Boyi Deng</v>
      </c>
      <c r="E1828" s="7" t="str">
        <f>IFERROR(__xludf.DUMMYFUNCTION("""COMPUTED_VALUE"""),"Yes")</f>
        <v>Yes</v>
      </c>
      <c r="F1828" s="7" t="str">
        <f>IFERROR(__xludf.DUMMYFUNCTION("""COMPUTED_VALUE"""),"IP-Poster")</f>
        <v>IP-Poster</v>
      </c>
      <c r="G1828" s="7" t="str">
        <f>IFERROR(__xludf.DUMMYFUNCTION("""COMPUTED_VALUE"""),"In-Person")</f>
        <v>In-Person</v>
      </c>
      <c r="H1828" s="7" t="str">
        <f>IFERROR(__xludf.DUMMYFUNCTION("""COMPUTED_VALUE"""),"Hall 4/5")</f>
        <v>Hall 4/5</v>
      </c>
      <c r="I1828" s="7" t="str">
        <f>IFERROR(__xludf.DUMMYFUNCTION("""COMPUTED_VALUE"""),"Session 12: IP-Posters")</f>
        <v>Session 12: IP-Posters</v>
      </c>
      <c r="J1828" s="7" t="str">
        <f>IFERROR(__xludf.DUMMYFUNCTION("""COMPUTED_VALUE"""),"Poster Session 4")</f>
        <v>Poster Session 4</v>
      </c>
      <c r="K1828" s="7"/>
      <c r="L1828" s="8">
        <f>IFERROR(__xludf.DUMMYFUNCTION("""COMPUTED_VALUE"""),45868.0)</f>
        <v>45868</v>
      </c>
      <c r="M1828" s="7" t="str">
        <f>IFERROR(__xludf.DUMMYFUNCTION("""COMPUTED_VALUE"""),"11:00-12:30")</f>
        <v>11:00-12:30</v>
      </c>
      <c r="N1828" s="7"/>
    </row>
    <row r="1829">
      <c r="A1829" s="7" t="str">
        <f>IFERROR(__xludf.DUMMYFUNCTION("""COMPUTED_VALUE"""),"468-MAIN")</f>
        <v>468-MAIN</v>
      </c>
      <c r="B1829" s="7" t="str">
        <f>IFERROR(__xludf.DUMMYFUNCTION("""COMPUTED_VALUE"""),"SafeRAG: Benchmarking Security in Retrieval-Augmented Generation of Large Language Model")</f>
        <v>SafeRAG: Benchmarking Security in Retrieval-Augmented Generation of Large Language Model</v>
      </c>
      <c r="C1829" s="7" t="str">
        <f>IFERROR(__xludf.DUMMYFUNCTION("""COMPUTED_VALUE"""),"The indexing-retrieval-generation paradigm of retrieval-augmented generation (RAG) has been highly successful in solving knowledge-intensive tasks by integrating external knowledge into large language models (LLMs). However, the incorporation of external "&amp;"and unverified knowledge increases the vulnerability of LLMs because attackers can perform attack tasks by manipulating knowledge. In this paper, we introduce a benchmark named SafeRAG designed to evaluate the RAG security. First, we classify attack tasks"&amp;" into silver noise, inter-context conflict, soft ad, and white Denial-of-Service. Next, we construct RAG security evaluation dataset (i.e., SafeRAG dataset) primarily manually for each task. We then utilize the SafeRAG dataset to simulate various attack s"&amp;"cenarios that RAG may encounter. Experiments conducted on 14 representative RAG components demonstrate that RAG exhibits significant vulnerability to all attack tasks and even the most apparent attack task can easily bypass existing retrievers, filters, o"&amp;"r advanced LLMs, resulting in the degradation of RAG service quality. Code is available at: https://github.com/IAAR-Shanghai/SafeRAG.")</f>
        <v>The indexing-retrieval-generation paradigm of retrieval-augmented generation (RAG) has been highly successful in solving knowledge-intensive tasks by integrating external knowledge into large language models (LLMs). However, the incorporation of external and unverified knowledge increases the vulnerability of LLMs because attackers can perform attack tasks by manipulating knowledge. In this paper, we introduce a benchmark named SafeRAG designed to evaluate the RAG security. First, we classify attack tasks into silver noise, inter-context conflict, soft ad, and white Denial-of-Service. Next, we construct RAG security evaluation dataset (i.e., SafeRAG dataset) primarily manually for each task. We then utilize the SafeRAG dataset to simulate various attack scenarios that RAG may encounter. Experiments conducted on 14 representative RAG components demonstrate that RAG exhibits significant vulnerability to all attack tasks and even the most apparent attack task can easily bypass existing retrievers, filters, or advanced LLMs, resulting in the degradation of RAG service quality. Code is available at: https://github.com/IAAR-Shanghai/SafeRAG.</v>
      </c>
      <c r="D1829" s="7" t="str">
        <f>IFERROR(__xludf.DUMMYFUNCTION("""COMPUTED_VALUE"""),"Simin Niu")</f>
        <v>Simin Niu</v>
      </c>
      <c r="E1829" s="7" t="str">
        <f>IFERROR(__xludf.DUMMYFUNCTION("""COMPUTED_VALUE"""),"Yes")</f>
        <v>Yes</v>
      </c>
      <c r="F1829" s="7" t="str">
        <f>IFERROR(__xludf.DUMMYFUNCTION("""COMPUTED_VALUE"""),"V-Presentation")</f>
        <v>V-Presentation</v>
      </c>
      <c r="G1829" s="7" t="str">
        <f>IFERROR(__xludf.DUMMYFUNCTION("""COMPUTED_VALUE"""),"Virtual/Gather")</f>
        <v>Virtual/Gather</v>
      </c>
      <c r="H1829" s="7" t="str">
        <f>IFERROR(__xludf.DUMMYFUNCTION("""COMPUTED_VALUE"""),"Zoom")</f>
        <v>Zoom</v>
      </c>
      <c r="I1829" s="7" t="str">
        <f>IFERROR(__xludf.DUMMYFUNCTION("""COMPUTED_VALUE"""),"Session 10: V-Presenations")</f>
        <v>Session 10: V-Presenations</v>
      </c>
      <c r="J1829" s="7" t="str">
        <f>IFERROR(__xludf.DUMMYFUNCTION("""COMPUTED_VALUE"""),"Virtual Presentations 3")</f>
        <v>Virtual Presentations 3</v>
      </c>
      <c r="K1829" s="7"/>
      <c r="L1829" s="8">
        <f>IFERROR(__xludf.DUMMYFUNCTION("""COMPUTED_VALUE"""),45867.0)</f>
        <v>45867</v>
      </c>
      <c r="M1829" s="7" t="str">
        <f>IFERROR(__xludf.DUMMYFUNCTION("""COMPUTED_VALUE"""),"16:00-17:30")</f>
        <v>16:00-17:30</v>
      </c>
      <c r="N1829" s="7"/>
    </row>
    <row r="1830">
      <c r="A1830" s="7" t="str">
        <f>IFERROR(__xludf.DUMMYFUNCTION("""COMPUTED_VALUE"""),"470-MAIN")</f>
        <v>470-MAIN</v>
      </c>
      <c r="B1830" s="7" t="str">
        <f>IFERROR(__xludf.DUMMYFUNCTION("""COMPUTED_VALUE"""),"AnRe: Analogical Replay for Temporal Knowledge Graph Forecasting")</f>
        <v>AnRe: Analogical Replay for Temporal Knowledge Graph Forecasting</v>
      </c>
      <c r="C1830" s="7" t="str">
        <f>IFERROR(__xludf.DUMMYFUNCTION("""COMPUTED_VALUE"""),"Temporal Knowledge Graphs (TKGs) are vital for event prediction, yet current methods face limitations. Graph neural networks mainly depend on structural information, often overlooking semantic understanding and requiring high computational costs. Meanwhil"&amp;"e, Large Language Models (LLMs) support zero-shot reasoning but lack sufficient capabilities to grasp the laws of historical event development. To tackle these challenges, we introduce a training-free Analogical Replay (AnRe) reasoning framework. Our appr"&amp;"oach retrieves similar events for queries through semantic-driven clustering and builds comprehensive historical contexts using a dual history extraction module that integrates long-term and short-term history. It then uses LLMs to generate analogical rea"&amp;"soning examples as contextual inputs, enabling the model to deeply understand historical patterns of similar events and improve its ability to predict unknown ones. Our experiments on four benchmarks show that AnRe significantly exceeds traditional traini"&amp;"ng and existing LLM-based methods. Further ablation studies also confirm the effectiveness of the dual history extraction and analogical replay mechanisms.")</f>
        <v>Temporal Knowledge Graphs (TKGs) are vital for event prediction, yet current methods face limitations. Graph neural networks mainly depend on structural information, often overlooking semantic understanding and requiring high computational costs. Meanwhile, Large Language Models (LLMs) support zero-shot reasoning but lack sufficient capabilities to grasp the laws of historical event development. To tackle these challenges, we introduce a training-free Analogical Replay (AnRe) reasoning framework. Our approach retrieves similar events for queries through semantic-driven clustering and builds comprehensive historical contexts using a dual history extraction module that integrates long-term and short-term history. It then uses LLMs to generate analogical reasoning examples as contextual inputs, enabling the model to deeply understand historical patterns of similar events and improve its ability to predict unknown ones. Our experiments on four benchmarks show that AnRe significantly exceeds traditional training and existing LLM-based methods. Further ablation studies also confirm the effectiveness of the dual history extraction and analogical replay mechanisms.</v>
      </c>
      <c r="D1830" s="7" t="str">
        <f>IFERROR(__xludf.DUMMYFUNCTION("""COMPUTED_VALUE"""),"Zheng Chu")</f>
        <v>Zheng Chu</v>
      </c>
      <c r="E1830" s="7" t="str">
        <f>IFERROR(__xludf.DUMMYFUNCTION("""COMPUTED_VALUE"""),"Yes")</f>
        <v>Yes</v>
      </c>
      <c r="F1830" s="7" t="str">
        <f>IFERROR(__xludf.DUMMYFUNCTION("""COMPUTED_VALUE"""),"V-Presentation")</f>
        <v>V-Presentation</v>
      </c>
      <c r="G1830" s="7" t="str">
        <f>IFERROR(__xludf.DUMMYFUNCTION("""COMPUTED_VALUE"""),"Virtual/Gather")</f>
        <v>Virtual/Gather</v>
      </c>
      <c r="H1830" s="7" t="str">
        <f>IFERROR(__xludf.DUMMYFUNCTION("""COMPUTED_VALUE"""),"Zoom")</f>
        <v>Zoom</v>
      </c>
      <c r="I1830" s="7" t="str">
        <f>IFERROR(__xludf.DUMMYFUNCTION("""COMPUTED_VALUE"""),"Session 2: V-Presentations")</f>
        <v>Session 2: V-Presentations</v>
      </c>
      <c r="J1830" s="7" t="str">
        <f>IFERROR(__xludf.DUMMYFUNCTION("""COMPUTED_VALUE"""),"Virtual Presentations 1")</f>
        <v>Virtual Presentations 1</v>
      </c>
      <c r="K1830" s="7"/>
      <c r="L1830" s="8">
        <f>IFERROR(__xludf.DUMMYFUNCTION("""COMPUTED_VALUE"""),45866.0)</f>
        <v>45866</v>
      </c>
      <c r="M1830" s="7" t="str">
        <f>IFERROR(__xludf.DUMMYFUNCTION("""COMPUTED_VALUE"""),"11:00-12:30")</f>
        <v>11:00-12:30</v>
      </c>
      <c r="N1830" s="7"/>
    </row>
    <row r="1831">
      <c r="A1831" s="7" t="str">
        <f>IFERROR(__xludf.DUMMYFUNCTION("""COMPUTED_VALUE"""),"471-MAIN")</f>
        <v>471-MAIN</v>
      </c>
      <c r="B1831" s="7" t="str">
        <f>IFERROR(__xludf.DUMMYFUNCTION("""COMPUTED_VALUE"""),"Revisiting the Test-Time Scaling of o1-like Models: Do they Truly Possess Test-Time Scaling Capabilities?")</f>
        <v>Revisiting the Test-Time Scaling of o1-like Models: Do they Truly Possess Test-Time Scaling Capabilities?</v>
      </c>
      <c r="C1831" s="7" t="str">
        <f>IFERROR(__xludf.DUMMYFUNCTION("""COMPUTED_VALUE"""),"The advent of test-time scaling in large language models (LLMs), exemplified by OpenAI’s o1 series, has advanced reasoning capabilities by scaling computational resource allocation during inference. While successors like QwQ, Deepseek-R1 (R1) and LIMO rep"&amp;"licate these advancements, whether these models truly possess test-time scaling capabilities remains underexplored. This study found that longer CoTs of these o1-like models do not consistently enhance accuracy; in fact, correct solutions are often shorte"&amp;"r than incorrect ones for the same questions. Further investigation shows this phenomenon is closely related to models' self-revision capabilities - longer CoTs contain more self-revisions, which often lead to performance degradation. We then compare sequ"&amp;"ential and parallel scaling strategies on QwQ, R1 and LIMO, finding that parallel scaling achieves better coverage and scalability. Based on these insights, we propose ``Shortest Majority Vote'', a method that combines parallel scaling strategies with CoT"&amp;" length characteristics, significantly improving models' test-time scalability compared to conventional majority voting approaches.")</f>
        <v>The advent of test-time scaling in large language models (LLMs), exemplified by OpenAI’s o1 series, has advanced reasoning capabilities by scaling computational resource allocation during inference. While successors like QwQ, Deepseek-R1 (R1) and LIMO replicate these advancements, whether these models truly possess test-time scaling capabilities remains underexplored. This study found that longer CoTs of these o1-like models do not consistently enhance accuracy; in fact, correct solutions are often shorter than incorrect ones for the same questions. Further investigation shows this phenomenon is closely related to models' self-revision capabilities - longer CoTs contain more self-revisions, which often lead to performance degradation. We then compare sequential and parallel scaling strategies on QwQ, R1 and LIMO, finding that parallel scaling achieves better coverage and scalability. Based on these insights, we propose ``Shortest Majority Vote'', a method that combines parallel scaling strategies with CoT length characteristics, significantly improving models' test-time scalability compared to conventional majority voting approaches.</v>
      </c>
      <c r="D1831" s="7" t="str">
        <f>IFERROR(__xludf.DUMMYFUNCTION("""COMPUTED_VALUE"""),"Zhiyuan Zeng")</f>
        <v>Zhiyuan Zeng</v>
      </c>
      <c r="E1831" s="7" t="str">
        <f>IFERROR(__xludf.DUMMYFUNCTION("""COMPUTED_VALUE"""),"Yes")</f>
        <v>Yes</v>
      </c>
      <c r="F1831" s="7" t="str">
        <f>IFERROR(__xludf.DUMMYFUNCTION("""COMPUTED_VALUE"""),"IP-Poster")</f>
        <v>IP-Poster</v>
      </c>
      <c r="G1831" s="7" t="str">
        <f>IFERROR(__xludf.DUMMYFUNCTION("""COMPUTED_VALUE"""),"In-Person")</f>
        <v>In-Person</v>
      </c>
      <c r="H1831" s="7" t="str">
        <f>IFERROR(__xludf.DUMMYFUNCTION("""COMPUTED_VALUE"""),"Hall 4/5")</f>
        <v>Hall 4/5</v>
      </c>
      <c r="I1831" s="7" t="str">
        <f>IFERROR(__xludf.DUMMYFUNCTION("""COMPUTED_VALUE"""),"Session 10: IP-Posters")</f>
        <v>Session 10: IP-Posters</v>
      </c>
      <c r="J1831" s="7" t="str">
        <f>IFERROR(__xludf.DUMMYFUNCTION("""COMPUTED_VALUE"""),"Poster Session 3")</f>
        <v>Poster Session 3</v>
      </c>
      <c r="K1831" s="7"/>
      <c r="L1831" s="8">
        <f>IFERROR(__xludf.DUMMYFUNCTION("""COMPUTED_VALUE"""),45867.0)</f>
        <v>45867</v>
      </c>
      <c r="M1831" s="7" t="str">
        <f>IFERROR(__xludf.DUMMYFUNCTION("""COMPUTED_VALUE"""),"16:00-17:30")</f>
        <v>16:00-17:30</v>
      </c>
      <c r="N1831" s="7"/>
    </row>
    <row r="1832">
      <c r="A1832" s="7" t="str">
        <f>IFERROR(__xludf.DUMMYFUNCTION("""COMPUTED_VALUE"""),"476-MAIN")</f>
        <v>476-MAIN</v>
      </c>
      <c r="B1832" s="7" t="str">
        <f>IFERROR(__xludf.DUMMYFUNCTION("""COMPUTED_VALUE"""),"Text is All You Need: LLM-enhanced Incremental Social Event Detection")</f>
        <v>Text is All You Need: LLM-enhanced Incremental Social Event Detection</v>
      </c>
      <c r="C1832" s="7" t="str">
        <f>IFERROR(__xludf.DUMMYFUNCTION("""COMPUTED_VALUE"""),"Social event detection (SED) is the task of identifying, categorizing, and tracking events from social data sources such as social media posts, news articles, and online discussions. Existing state-of-the-art (SOTA) SED models predominantly rely on graph "&amp;"neural networks (GNNs), which involve complex graph construction and time-consuming training processes, limiting their practicality in real-world scenarios. In this paper, we rethink the key challenge in SED: the informal and noisy nature of short texts o"&amp;"n social media platforms, which impacts clustering accuracy. We propose a novel framework, LLM-enhanced Social Event Detection (LSED), which leverages the rich background knowledge of large language models (LLMs) to address this challenge. Specifically, L"&amp;"SED utilizes LLMs to formalize and disambiguate short texts by completing abbreviations and summarizing informal expressions. Furthermore, we introduce hyperbolic space embeddings, which are more suitable for natural language sentence representations, to "&amp;"enhance clustering performance. Extensive experiments on two challenging real-world datasets demonstrate that LSED outperforms existing SOTA models, achieving improvements in effectiveness, efficiency, and stability. Our work highlights the potential of L"&amp;"LMs in SED and provides a practical solution for real-world applications.")</f>
        <v>Social event detection (SED) is the task of identifying, categorizing, and tracking events from social data sources such as social media posts, news articles, and online discussions. Existing state-of-the-art (SOTA) SED models predominantly rely on graph neural networks (GNNs), which involve complex graph construction and time-consuming training processes, limiting their practicality in real-world scenarios. In this paper, we rethink the key challenge in SED: the informal and noisy nature of short texts on social media platforms, which impacts clustering accuracy. We propose a novel framework, LLM-enhanced Social Event Detection (LSED), which leverages the rich background knowledge of large language models (LLMs) to address this challenge. Specifically, LSED utilizes LLMs to formalize and disambiguate short texts by completing abbreviations and summarizing informal expressions. Furthermore, we introduce hyperbolic space embeddings, which are more suitable for natural language sentence representations, to enhance clustering performance. Extensive experiments on two challenging real-world datasets demonstrate that LSED outperforms existing SOTA models, achieving improvements in effectiveness, efficiency, and stability. Our work highlights the potential of LLMs in SED and provides a practical solution for real-world applications.</v>
      </c>
      <c r="D1832" s="7" t="str">
        <f>IFERROR(__xludf.DUMMYFUNCTION("""COMPUTED_VALUE"""),"Zitai Qiu")</f>
        <v>Zitai Qiu</v>
      </c>
      <c r="E1832" s="7" t="str">
        <f>IFERROR(__xludf.DUMMYFUNCTION("""COMPUTED_VALUE"""),"Yes")</f>
        <v>Yes</v>
      </c>
      <c r="F1832" s="7" t="str">
        <f>IFERROR(__xludf.DUMMYFUNCTION("""COMPUTED_VALUE"""),"IP-Poster")</f>
        <v>IP-Poster</v>
      </c>
      <c r="G1832" s="7" t="str">
        <f>IFERROR(__xludf.DUMMYFUNCTION("""COMPUTED_VALUE"""),"In-Person")</f>
        <v>In-Person</v>
      </c>
      <c r="H1832" s="7" t="str">
        <f>IFERROR(__xludf.DUMMYFUNCTION("""COMPUTED_VALUE"""),"Hall 4/5")</f>
        <v>Hall 4/5</v>
      </c>
      <c r="I1832" s="7" t="str">
        <f>IFERROR(__xludf.DUMMYFUNCTION("""COMPUTED_VALUE"""),"Session 2: IP-Posters ")</f>
        <v>Session 2: IP-Posters </v>
      </c>
      <c r="J1832" s="7" t="str">
        <f>IFERROR(__xludf.DUMMYFUNCTION("""COMPUTED_VALUE"""),"Poster Session 1")</f>
        <v>Poster Session 1</v>
      </c>
      <c r="K1832" s="7"/>
      <c r="L1832" s="8">
        <f>IFERROR(__xludf.DUMMYFUNCTION("""COMPUTED_VALUE"""),45866.0)</f>
        <v>45866</v>
      </c>
      <c r="M1832" s="7" t="str">
        <f>IFERROR(__xludf.DUMMYFUNCTION("""COMPUTED_VALUE"""),"11:00-12:30")</f>
        <v>11:00-12:30</v>
      </c>
      <c r="N1832" s="7"/>
    </row>
    <row r="1833">
      <c r="A1833" s="7" t="str">
        <f>IFERROR(__xludf.DUMMYFUNCTION("""COMPUTED_VALUE"""),"477-MAIN")</f>
        <v>477-MAIN</v>
      </c>
      <c r="B1833" s="7" t="str">
        <f>IFERROR(__xludf.DUMMYFUNCTION("""COMPUTED_VALUE"""),"Multimodal Pragmatic Jailbreak on Text-to-image Models")</f>
        <v>Multimodal Pragmatic Jailbreak on Text-to-image Models</v>
      </c>
      <c r="C1833" s="7" t="str">
        <f>IFERROR(__xludf.DUMMYFUNCTION("""COMPUTED_VALUE"""),"Diffusion models have recently achieved remarkable advancements in terms of image quality and fidelity to textual prompts. Concurrently, the safety of such generative models has become an area of growing concern. This work introduces a novel type of jailb"&amp;"reak, which triggers T2I models to generate the image with visual text, where the image and the text, although considered to be safe in isolation, combine to form unsafe content. To systematically explore this phenomenon, we propose a dataset to evaluate "&amp;"the current diffusion-based text-to-image (T2I) models under such jailbreak. We benchmark nine representative T2I models, including two closed-source commercial models. Experimental results reveal a concerning tendency to produce unsafe content: all teste"&amp;"d models suffer from such type of jailbreak, with rates of unsafe generation ranging from around 10% to 70% where DALL·E 3 demonstrates almost the highest unsafety. In real-world scenarios, various filters such as keyword blocklists, customized prompt fil"&amp;"ters, and NSFW image filters, are commonly employed to mitigate these risks. We evaluate the effectiveness of such filters against our jailbreak and found that, while these filters may be effective for single modality detection, they fail to work against "&amp;"our jailbreak. We also investigate the underlying reason for such jailbreaks, from the perspective of text rendering capability and training data. Our work provides a foundation for further development towards more secure and reliable T2I models.")</f>
        <v>Diffusion models have recently achieved remarkable advancements in terms of image quality and fidelity to textual prompts. Concurrently, the safety of such generative models has become an area of growing concern. This work introduces a novel type of jailbreak, which triggers T2I models to generate the image with visual text, where the image and the text, although considered to be safe in isolation, combine to form unsafe content. To systematically explore this phenomenon, we propose a dataset to evaluate the current diffusion-based text-to-image (T2I) models under such jailbreak. We benchmark nine representative T2I models, including two closed-source commercial models. Experimental results reveal a concerning tendency to produce unsafe content: all tested models suffer from such type of jailbreak, with rates of unsafe generation ranging from around 10% to 70% where DALL·E 3 demonstrates almost the highest unsafety. In real-world scenarios, various filters such as keyword blocklists, customized prompt filters, and NSFW image filters, are commonly employed to mitigate these risks. We evaluate the effectiveness of such filters against our jailbreak and found that, while these filters may be effective for single modality detection, they fail to work against our jailbreak. We also investigate the underlying reason for such jailbreaks, from the perspective of text rendering capability and training data. Our work provides a foundation for further development towards more secure and reliable T2I models.</v>
      </c>
      <c r="D1833" s="7" t="str">
        <f>IFERROR(__xludf.DUMMYFUNCTION("""COMPUTED_VALUE"""),"Tong Liu")</f>
        <v>Tong Liu</v>
      </c>
      <c r="E1833" s="7" t="str">
        <f>IFERROR(__xludf.DUMMYFUNCTION("""COMPUTED_VALUE"""),"Yes")</f>
        <v>Yes</v>
      </c>
      <c r="F1833" s="7" t="str">
        <f>IFERROR(__xludf.DUMMYFUNCTION("""COMPUTED_VALUE"""),"IP-Poster")</f>
        <v>IP-Poster</v>
      </c>
      <c r="G1833" s="7" t="str">
        <f>IFERROR(__xludf.DUMMYFUNCTION("""COMPUTED_VALUE"""),"In-Person")</f>
        <v>In-Person</v>
      </c>
      <c r="H1833" s="7" t="str">
        <f>IFERROR(__xludf.DUMMYFUNCTION("""COMPUTED_VALUE"""),"Hall 4/5")</f>
        <v>Hall 4/5</v>
      </c>
      <c r="I1833" s="7" t="str">
        <f>IFERROR(__xludf.DUMMYFUNCTION("""COMPUTED_VALUE"""),"Session 10: IP-Posters")</f>
        <v>Session 10: IP-Posters</v>
      </c>
      <c r="J1833" s="7" t="str">
        <f>IFERROR(__xludf.DUMMYFUNCTION("""COMPUTED_VALUE"""),"Poster Session 3")</f>
        <v>Poster Session 3</v>
      </c>
      <c r="K1833" s="7"/>
      <c r="L1833" s="8">
        <f>IFERROR(__xludf.DUMMYFUNCTION("""COMPUTED_VALUE"""),45867.0)</f>
        <v>45867</v>
      </c>
      <c r="M1833" s="7" t="str">
        <f>IFERROR(__xludf.DUMMYFUNCTION("""COMPUTED_VALUE"""),"16:00-17:30")</f>
        <v>16:00-17:30</v>
      </c>
      <c r="N1833" s="7"/>
    </row>
    <row r="1834">
      <c r="A1834" s="7" t="str">
        <f>IFERROR(__xludf.DUMMYFUNCTION("""COMPUTED_VALUE"""),"479-MAIN")</f>
        <v>479-MAIN</v>
      </c>
      <c r="B1834" s="7" t="str">
        <f>IFERROR(__xludf.DUMMYFUNCTION("""COMPUTED_VALUE"""),"Principled Understanding of Generalization for Generative Transformer Models in Arithmetic Reasoning Tasks")</f>
        <v>Principled Understanding of Generalization for Generative Transformer Models in Arithmetic Reasoning Tasks</v>
      </c>
      <c r="C1834" s="7" t="str">
        <f>IFERROR(__xludf.DUMMYFUNCTION("""COMPUTED_VALUE"""),"Transformer-based models excel in various tasks but their generalization capabilities, especially in arithmetic reasoning, remain incompletely understood. Arithmetic tasks provide a controlled framework to explore these capabilities, yet performance anoma"&amp;"lies persist, such as inconsistent effectiveness in multiplication and erratic generalization in modular addition (e.g., modulo 100 vs. 101). This paper develops a unified theoretical framework for understanding the generalization behaviors of transformer"&amp;"s in arithmetic tasks, focusing on length generalization. Through detailed analysis of addition, multiplication, and modular operations, we reveal that translation invariance in addition aligns with relative positional encoding for robust generalization, "&amp;"while base mismatch in modular operations disrupts this alignment. Experiments across GPT-family models validate our framework, confirming its ability to predict generalization behaviors. Our work highlights the importance of task structure and training d"&amp;"ata distribution for achieving data-efficient and structure-aware training, providing a systematic approach to understanding of length generalization in transformers.")</f>
        <v>Transformer-based models excel in various tasks but their generalization capabilities, especially in arithmetic reasoning, remain incompletely understood. Arithmetic tasks provide a controlled framework to explore these capabilities, yet performance anomalies persist, such as inconsistent effectiveness in multiplication and erratic generalization in modular addition (e.g., modulo 100 vs. 101). This paper develops a unified theoretical framework for understanding the generalization behaviors of transformers in arithmetic tasks, focusing on length generalization. Through detailed analysis of addition, multiplication, and modular operations, we reveal that translation invariance in addition aligns with relative positional encoding for robust generalization, while base mismatch in modular operations disrupts this alignment. Experiments across GPT-family models validate our framework, confirming its ability to predict generalization behaviors. Our work highlights the importance of task structure and training data distribution for achieving data-efficient and structure-aware training, providing a systematic approach to understanding of length generalization in transformers.</v>
      </c>
      <c r="D1834" s="7" t="str">
        <f>IFERROR(__xludf.DUMMYFUNCTION("""COMPUTED_VALUE"""),"Xingcheng Xu")</f>
        <v>Xingcheng Xu</v>
      </c>
      <c r="E1834" s="7" t="str">
        <f>IFERROR(__xludf.DUMMYFUNCTION("""COMPUTED_VALUE"""),"Yes")</f>
        <v>Yes</v>
      </c>
      <c r="F1834" s="7" t="str">
        <f>IFERROR(__xludf.DUMMYFUNCTION("""COMPUTED_VALUE"""),"IP-Poster")</f>
        <v>IP-Poster</v>
      </c>
      <c r="G1834" s="7" t="str">
        <f>IFERROR(__xludf.DUMMYFUNCTION("""COMPUTED_VALUE"""),"In-Person")</f>
        <v>In-Person</v>
      </c>
      <c r="H1834" s="7" t="str">
        <f>IFERROR(__xludf.DUMMYFUNCTION("""COMPUTED_VALUE"""),"Hall 4/5")</f>
        <v>Hall 4/5</v>
      </c>
      <c r="I1834" s="7" t="str">
        <f>IFERROR(__xludf.DUMMYFUNCTION("""COMPUTED_VALUE"""),"Session 10: IP-Posters")</f>
        <v>Session 10: IP-Posters</v>
      </c>
      <c r="J1834" s="7" t="str">
        <f>IFERROR(__xludf.DUMMYFUNCTION("""COMPUTED_VALUE"""),"Poster Session 3")</f>
        <v>Poster Session 3</v>
      </c>
      <c r="K1834" s="7"/>
      <c r="L1834" s="8">
        <f>IFERROR(__xludf.DUMMYFUNCTION("""COMPUTED_VALUE"""),45867.0)</f>
        <v>45867</v>
      </c>
      <c r="M1834" s="7" t="str">
        <f>IFERROR(__xludf.DUMMYFUNCTION("""COMPUTED_VALUE"""),"16:00-17:30")</f>
        <v>16:00-17:30</v>
      </c>
      <c r="N1834" s="7"/>
    </row>
    <row r="1835">
      <c r="A1835" s="7" t="str">
        <f>IFERROR(__xludf.DUMMYFUNCTION("""COMPUTED_VALUE"""),"483-MAIN")</f>
        <v>483-MAIN</v>
      </c>
      <c r="B1835" s="7" t="str">
        <f>IFERROR(__xludf.DUMMYFUNCTION("""COMPUTED_VALUE"""),"Discourse Relation-Enhanced Neural Coherence Modeling")</f>
        <v>Discourse Relation-Enhanced Neural Coherence Modeling</v>
      </c>
      <c r="C1835" s="7" t="str">
        <f>IFERROR(__xludf.DUMMYFUNCTION("""COMPUTED_VALUE"""),"Discourse coherence theories posit relations between text spans as a key feature of coherent texts. However, existing work on coherence modeling has paid little attention to discourse relations. In this paper, we provide empirical evidence to demonstrate "&amp;"that relation features are correlated with text coherence. Then, we investigate a novel fusion model that uses position-aware attention and a visible matrix to combine text- and relation-based features for coherence assessment. Experimental results on two"&amp;" benchmarks show that our approaches can significantly improve baselines, demonstrating the importance of relation features for coherence modeling.")</f>
        <v>Discourse coherence theories posit relations between text spans as a key feature of coherent texts. However, existing work on coherence modeling has paid little attention to discourse relations. In this paper, we provide empirical evidence to demonstrate that relation features are correlated with text coherence. Then, we investigate a novel fusion model that uses position-aware attention and a visible matrix to combine text- and relation-based features for coherence assessment. Experimental results on two benchmarks show that our approaches can significantly improve baselines, demonstrating the importance of relation features for coherence modeling.</v>
      </c>
      <c r="D1835" s="7" t="str">
        <f>IFERROR(__xludf.DUMMYFUNCTION("""COMPUTED_VALUE"""),"Wei Liu")</f>
        <v>Wei Liu</v>
      </c>
      <c r="E1835" s="7" t="str">
        <f>IFERROR(__xludf.DUMMYFUNCTION("""COMPUTED_VALUE"""),"Yes")</f>
        <v>Yes</v>
      </c>
      <c r="F1835" s="7" t="str">
        <f>IFERROR(__xludf.DUMMYFUNCTION("""COMPUTED_VALUE"""),"IP-Poster")</f>
        <v>IP-Poster</v>
      </c>
      <c r="G1835" s="7" t="str">
        <f>IFERROR(__xludf.DUMMYFUNCTION("""COMPUTED_VALUE"""),"In-Person")</f>
        <v>In-Person</v>
      </c>
      <c r="H1835" s="7" t="str">
        <f>IFERROR(__xludf.DUMMYFUNCTION("""COMPUTED_VALUE"""),"Hall 4/5")</f>
        <v>Hall 4/5</v>
      </c>
      <c r="I1835" s="7" t="str">
        <f>IFERROR(__xludf.DUMMYFUNCTION("""COMPUTED_VALUE"""),"Session 12: IP-Posters")</f>
        <v>Session 12: IP-Posters</v>
      </c>
      <c r="J1835" s="7" t="str">
        <f>IFERROR(__xludf.DUMMYFUNCTION("""COMPUTED_VALUE"""),"Poster Session 4")</f>
        <v>Poster Session 4</v>
      </c>
      <c r="K1835" s="7"/>
      <c r="L1835" s="8">
        <f>IFERROR(__xludf.DUMMYFUNCTION("""COMPUTED_VALUE"""),45868.0)</f>
        <v>45868</v>
      </c>
      <c r="M1835" s="7" t="str">
        <f>IFERROR(__xludf.DUMMYFUNCTION("""COMPUTED_VALUE"""),"11:00-12:30")</f>
        <v>11:00-12:30</v>
      </c>
      <c r="N1835" s="7"/>
    </row>
    <row r="1836">
      <c r="A1836" s="7" t="str">
        <f>IFERROR(__xludf.DUMMYFUNCTION("""COMPUTED_VALUE"""),"485-MAIN")</f>
        <v>485-MAIN</v>
      </c>
      <c r="B1836" s="7" t="str">
        <f>IFERROR(__xludf.DUMMYFUNCTION("""COMPUTED_VALUE"""),"Benchmarking Open-ended Audio Dialogue Understanding for Large Audio-Language Models")</f>
        <v>Benchmarking Open-ended Audio Dialogue Understanding for Large Audio-Language Models</v>
      </c>
      <c r="C1836" s="7" t="str">
        <f>IFERROR(__xludf.DUMMYFUNCTION("""COMPUTED_VALUE"""),"Large Audio-Language Models (LALMs), such as GPT-4o, have recently unlocked audio dialogue capabilities, enabling direct spoken exchanges with humans. The potential of LALMs broadens their applicability across a wide range of practical scenarios supported"&amp;" by audio dialogues. However, given these advancements, a comprehensive benchmark to evaluate the performance of LALMs in the open-ended audio dialogue understanding remains absent currently. To address this gap, we propose an **A**udio **D**ialogue **U**"&amp;"nderstanding **Bench**mark **(ADU-Bench),** which consists of 4 benchmark datasets. They assess the open-ended audio dialogue ability for LALMs in 3 general scenarios, 12 skills, 9 multilingual languages, and 4 categories of ambiguity handling. Notably, *"&amp;"we firstly propose the evaluation of ambiguity handling* in audio dialogues that expresses different intentions beyond the same literal meaning of sentences, *e.g.,* `""Really!?""` with different intonations. In summary, ADU-Bench includes over 20,000 ope"&amp;"n-ended audio dialogues for the assessment of LALMs. Through extensive experiments conducted on 16 LALMs, our analysis reveals that existing LALMs struggle with mathematical symbols and formulas, understanding human behavior such as roleplay, comprehendin"&amp;"g multiple languages, and handling audio dialogue ambiguities from different phonetic elements, such as intonations, pause positions, and homophones. The benchmark is available at https://adu-bench.github.io/.")</f>
        <v>Large Audio-Language Models (LALMs), such as GPT-4o, have recently unlocked audio dialogue capabilities, enabling direct spoken exchanges with humans. The potential of LALMs broadens their applicability across a wide range of practical scenarios supported by audio dialogues. However, given these advancements, a comprehensive benchmark to evaluate the performance of LALMs in the open-ended audio dialogue understanding remains absent currently. To address this gap, we propose an **A**udio **D**ialogue **U**nderstanding **Bench**mark **(ADU-Bench),** which consists of 4 benchmark datasets. They assess the open-ended audio dialogue ability for LALMs in 3 general scenarios, 12 skills, 9 multilingual languages, and 4 categories of ambiguity handling. Notably, *we firstly propose the evaluation of ambiguity handling* in audio dialogues that expresses different intentions beyond the same literal meaning of sentences, *e.g.,* `"Really!?"` with different intonations. In summary, ADU-Bench includes over 20,000 open-ended audio dialogues for the assessment of LALMs. Through extensive experiments conducted on 16 LALMs, our analysis reveals that existing LALMs struggle with mathematical symbols and formulas, understanding human behavior such as roleplay, comprehending multiple languages, and handling audio dialogue ambiguities from different phonetic elements, such as intonations, pause positions, and homophones. The benchmark is available at https://adu-bench.github.io/.</v>
      </c>
      <c r="D1836" s="7" t="str">
        <f>IFERROR(__xludf.DUMMYFUNCTION("""COMPUTED_VALUE"""),"Kuofeng Gao")</f>
        <v>Kuofeng Gao</v>
      </c>
      <c r="E1836" s="7" t="str">
        <f>IFERROR(__xludf.DUMMYFUNCTION("""COMPUTED_VALUE"""),"Yes")</f>
        <v>Yes</v>
      </c>
      <c r="F1836" s="7" t="str">
        <f>IFERROR(__xludf.DUMMYFUNCTION("""COMPUTED_VALUE"""),"V-Presentation")</f>
        <v>V-Presentation</v>
      </c>
      <c r="G1836" s="7" t="str">
        <f>IFERROR(__xludf.DUMMYFUNCTION("""COMPUTED_VALUE"""),"Virtual/Gather")</f>
        <v>Virtual/Gather</v>
      </c>
      <c r="H1836" s="7" t="str">
        <f>IFERROR(__xludf.DUMMYFUNCTION("""COMPUTED_VALUE"""),"Zoom")</f>
        <v>Zoom</v>
      </c>
      <c r="I1836" s="7" t="str">
        <f>IFERROR(__xludf.DUMMYFUNCTION("""COMPUTED_VALUE"""),"Session 10: V-Presenations")</f>
        <v>Session 10: V-Presenations</v>
      </c>
      <c r="J1836" s="7" t="str">
        <f>IFERROR(__xludf.DUMMYFUNCTION("""COMPUTED_VALUE"""),"Virtual Presentations 3")</f>
        <v>Virtual Presentations 3</v>
      </c>
      <c r="K1836" s="7"/>
      <c r="L1836" s="8">
        <f>IFERROR(__xludf.DUMMYFUNCTION("""COMPUTED_VALUE"""),45867.0)</f>
        <v>45867</v>
      </c>
      <c r="M1836" s="7" t="str">
        <f>IFERROR(__xludf.DUMMYFUNCTION("""COMPUTED_VALUE"""),"16:00-17:30")</f>
        <v>16:00-17:30</v>
      </c>
      <c r="N1836" s="7"/>
    </row>
    <row r="1837">
      <c r="A1837" s="7" t="str">
        <f>IFERROR(__xludf.DUMMYFUNCTION("""COMPUTED_VALUE"""),"488-MAIN")</f>
        <v>488-MAIN</v>
      </c>
      <c r="B1837" s="7" t="str">
        <f>IFERROR(__xludf.DUMMYFUNCTION("""COMPUTED_VALUE"""),"from Benign import Toxic: Jailbreaking the Language Model via Adversarial Metaphors")</f>
        <v>from Benign import Toxic: Jailbreaking the Language Model via Adversarial Metaphors</v>
      </c>
      <c r="C1837" s="7" t="str">
        <f>IFERROR(__xludf.DUMMYFUNCTION("""COMPUTED_VALUE"""),"Current studies have exposed the risk of Large Language Models (LLMs) generating harmful content by jailbreak attacks. 
However, they overlook that the direct generation of harmful content from scratch is more difficult than inducing LLM to calibrate beni"&amp;"gn content into harmful forms.
In our study, we introduce a novel attack framework that exploits \textbf{\underline{A}}d\textbf{\underline{V}}ers\textbf{\underline{A}}rial me\textbf{\underline{TA}}pho\textbf{\underline{R}} (\textbf{AVATAR}) to induce the "&amp;"LLM to calibrate malicious metaphors for jailbreaking.
Specifically, to answer harmful queries, AVATAR adaptively identifies a set of benign but logically related metaphors as the initial seed.
Then, driven by these metaphors, the target LLM is induced to"&amp;" reason and calibrate about the metaphorical content, thus jailbroken by either directly outputting harmful responses or calibrating residuals between metaphorical and professional harmful content.
Experimental results demonstrate that AVATAR can effectiv"&amp;"ely and transferably jailbreak LLMs and achieve a state-of-the-art attack success rate across multiple advanced LLMs.")</f>
        <v>Current studies have exposed the risk of Large Language Models (LLMs) generating harmful content by jailbreak attacks. 
However, they overlook that the direct generation of harmful content from scratch is more difficult than inducing LLM to calibrate benign content into harmful forms.
In our study, we introduce a novel attack framework that exploits \textbf{\underline{A}}d\textbf{\underline{V}}ers\textbf{\underline{A}}rial me\textbf{\underline{TA}}pho\textbf{\underline{R}} (\textbf{AVATAR}) to induce the LLM to calibrate malicious metaphors for jailbreaking.
Specifically, to answer harmful queries, AVATAR adaptively identifies a set of benign but logically related metaphors as the initial seed.
Then, driven by these metaphors, the target LLM is induced to reason and calibrate about the metaphorical content, thus jailbroken by either directly outputting harmful responses or calibrating residuals between metaphorical and professional harmful content.
Experimental results demonstrate that AVATAR can effectively and transferably jailbreak LLMs and achieve a state-of-the-art attack success rate across multiple advanced LLMs.</v>
      </c>
      <c r="D1837" s="7" t="str">
        <f>IFERROR(__xludf.DUMMYFUNCTION("""COMPUTED_VALUE"""),"Yu Yan")</f>
        <v>Yu Yan</v>
      </c>
      <c r="E1837" s="7" t="str">
        <f>IFERROR(__xludf.DUMMYFUNCTION("""COMPUTED_VALUE"""),"Yes")</f>
        <v>Yes</v>
      </c>
      <c r="F1837" s="7" t="str">
        <f>IFERROR(__xludf.DUMMYFUNCTION("""COMPUTED_VALUE"""),"IP-Poster")</f>
        <v>IP-Poster</v>
      </c>
      <c r="G1837" s="7" t="str">
        <f>IFERROR(__xludf.DUMMYFUNCTION("""COMPUTED_VALUE"""),"In-Person")</f>
        <v>In-Person</v>
      </c>
      <c r="H1837" s="7" t="str">
        <f>IFERROR(__xludf.DUMMYFUNCTION("""COMPUTED_VALUE"""),"Hall 4/5")</f>
        <v>Hall 4/5</v>
      </c>
      <c r="I1837" s="7" t="str">
        <f>IFERROR(__xludf.DUMMYFUNCTION("""COMPUTED_VALUE"""),"Session 2: IP-Posters ")</f>
        <v>Session 2: IP-Posters </v>
      </c>
      <c r="J1837" s="7" t="str">
        <f>IFERROR(__xludf.DUMMYFUNCTION("""COMPUTED_VALUE"""),"Poster Session 1")</f>
        <v>Poster Session 1</v>
      </c>
      <c r="K1837" s="7"/>
      <c r="L1837" s="8">
        <f>IFERROR(__xludf.DUMMYFUNCTION("""COMPUTED_VALUE"""),45866.0)</f>
        <v>45866</v>
      </c>
      <c r="M1837" s="7" t="str">
        <f>IFERROR(__xludf.DUMMYFUNCTION("""COMPUTED_VALUE"""),"11:00-12:30")</f>
        <v>11:00-12:30</v>
      </c>
      <c r="N1837" s="7"/>
    </row>
    <row r="1838">
      <c r="A1838" s="7" t="str">
        <f>IFERROR(__xludf.DUMMYFUNCTION("""COMPUTED_VALUE"""),"489-MAIN")</f>
        <v>489-MAIN</v>
      </c>
      <c r="B1838" s="7" t="str">
        <f>IFERROR(__xludf.DUMMYFUNCTION("""COMPUTED_VALUE"""),"ShifCon: Enhancing Non-Dominant Language Capabilities with a Shift-based Contrastive Framework")</f>
        <v>ShifCon: Enhancing Non-Dominant Language Capabilities with a Shift-based Contrastive Framework</v>
      </c>
      <c r="C1838" s="7" t="str">
        <f>IFERROR(__xludf.DUMMYFUNCTION("""COMPUTED_VALUE"""),"Although fine-tuning Large Language Models (LLMs) with multilingual data can rapidly enhance the multilingual capabilities of LLMs, they still exhibit a performance gap between the dominant language (e.g., English) and non-dominant ones due to the imbalan"&amp;"ce of training data across languages. To further enhance the performance of non-dominant languages, we propose ShifCon, a Shift-based multilingual Contrastive framework that aligns the internal forward process of other languages toward that of the dominan"&amp;"t one. Specifically, it shifts the representations of non-dominant languages into the dominant language subspace, allowing them to access relatively rich information encoded in the model parameters. The enriched representations are then shifted back into "&amp;"their original language subspace before generation. Moreover, we introduce a subspace distance metric to pinpoint the optimal layer area for shifting representations and employ multilingual contrastive learning to further enhance the alignment of represen"&amp;"tations within this area. Experiments demonstrate that our ShifCon framework significantly enhances the performance of non-dominant languages, particularly for low-resource ones. Further analysis offers extra insights to verify the effectiveness of ShifCo"&amp;"n and propel future research.")</f>
        <v>Although fine-tuning Large Language Models (LLMs) with multilingual data can rapidly enhance the multilingual capabilities of LLMs, they still exhibit a performance gap between the dominant language (e.g., English) and non-dominant ones due to the imbalance of training data across languages. To further enhance the performance of non-dominant languages, we propose ShifCon, a Shift-based multilingual Contrastive framework that aligns the internal forward process of other languages toward that of the dominant one. Specifically, it shifts the representations of non-dominant languages into the dominant language subspace, allowing them to access relatively rich information encoded in the model parameters. The enriched representations are then shifted back into their original language subspace before generation. Moreover, we introduce a subspace distance metric to pinpoint the optimal layer area for shifting representations and employ multilingual contrastive learning to further enhance the alignment of representations within this area. Experiments demonstrate that our ShifCon framework significantly enhances the performance of non-dominant languages, particularly for low-resource ones. Further analysis offers extra insights to verify the effectiveness of ShifCon and propel future research.</v>
      </c>
      <c r="D1838" s="7" t="str">
        <f>IFERROR(__xludf.DUMMYFUNCTION("""COMPUTED_VALUE"""),"Yiyao Yu")</f>
        <v>Yiyao Yu</v>
      </c>
      <c r="E1838" s="7" t="str">
        <f>IFERROR(__xludf.DUMMYFUNCTION("""COMPUTED_VALUE"""),"Yes")</f>
        <v>Yes</v>
      </c>
      <c r="F1838" s="7" t="str">
        <f>IFERROR(__xludf.DUMMYFUNCTION("""COMPUTED_VALUE"""),"IP-Poster")</f>
        <v>IP-Poster</v>
      </c>
      <c r="G1838" s="7" t="str">
        <f>IFERROR(__xludf.DUMMYFUNCTION("""COMPUTED_VALUE"""),"In-Person")</f>
        <v>In-Person</v>
      </c>
      <c r="H1838" s="7" t="str">
        <f>IFERROR(__xludf.DUMMYFUNCTION("""COMPUTED_VALUE"""),"Hall 4/5")</f>
        <v>Hall 4/5</v>
      </c>
      <c r="I1838" s="7" t="str">
        <f>IFERROR(__xludf.DUMMYFUNCTION("""COMPUTED_VALUE"""),"Session 7: IP-Posters")</f>
        <v>Session 7: IP-Posters</v>
      </c>
      <c r="J1838" s="7" t="str">
        <f>IFERROR(__xludf.DUMMYFUNCTION("""COMPUTED_VALUE"""),"Poster Session 2")</f>
        <v>Poster Session 2</v>
      </c>
      <c r="K1838" s="7"/>
      <c r="L1838" s="8">
        <f>IFERROR(__xludf.DUMMYFUNCTION("""COMPUTED_VALUE"""),45867.0)</f>
        <v>45867</v>
      </c>
      <c r="M1838" s="7" t="str">
        <f>IFERROR(__xludf.DUMMYFUNCTION("""COMPUTED_VALUE"""),"10:30-12:00")</f>
        <v>10:30-12:00</v>
      </c>
      <c r="N1838" s="7"/>
    </row>
    <row r="1839">
      <c r="A1839" s="7" t="str">
        <f>IFERROR(__xludf.DUMMYFUNCTION("""COMPUTED_VALUE"""),"490-MAIN")</f>
        <v>490-MAIN</v>
      </c>
      <c r="B1839" s="7" t="str">
        <f>IFERROR(__xludf.DUMMYFUNCTION("""COMPUTED_VALUE"""),"MorphMark: Flexible Adaptive Watermarking for Large Language Models")</f>
        <v>MorphMark: Flexible Adaptive Watermarking for Large Language Models</v>
      </c>
      <c r="C1839" s="7" t="str">
        <f>IFERROR(__xludf.DUMMYFUNCTION("""COMPUTED_VALUE"""),"Watermarking by altering token sampling probabilities based on red-green list is a promising method for tracing the origin of text generated by large language models (LLMs). However, existing watermark methods often struggle with a fundamental dilemma: im"&amp;"proving watermark effectiveness (the detectability of the watermark) often comes at the cost of reduced text quality. This trade-off limits their practical application. To address this challenge, we first formalize the problem within a multi-objective tra"&amp;"de-off analysis framework. Within this framework, we identify a key factor that influences the dilemma. Unlike existing methods, where watermark strength is typically treated as a fixed hyperparameter, our theoretical insights lead to the development of M"&amp;"orphMark—a method that adaptively adjusts the watermark strength in response to changes in the identified factor, thereby achieving an effective resolution of the dilemma. In addition, MorphMark also prioritizes flexibility since it is an model-agnostic a"&amp;"nd model-free watermark method, thereby offering a practical solution for real-world deployment, particularly in light of the rapid evolution of AI models. Extensive experiments demonstrate that MorphMark achieves a superior resolution of the effectivenes"&amp;"s-quality dilemma, while also offering greater flexibility and time and space efficiency.")</f>
        <v>Watermarking by altering token sampling probabilities based on red-green list is a promising method for tracing the origin of text generated by large language models (LLMs). However, existing watermark methods often struggle with a fundamental dilemma: improving watermark effectiveness (the detectability of the watermark) often comes at the cost of reduced text quality. This trade-off limits their practical application. To address this challenge, we first formalize the problem within a multi-objective trade-off analysis framework. Within this framework, we identify a key factor that influences the dilemma. Unlike existing methods, where watermark strength is typically treated as a fixed hyperparameter, our theoretical insights lead to the development of MorphMark—a method that adaptively adjusts the watermark strength in response to changes in the identified factor, thereby achieving an effective resolution of the dilemma. In addition, MorphMark also prioritizes flexibility since it is an model-agnostic and model-free watermark method, thereby offering a practical solution for real-world deployment, particularly in light of the rapid evolution of AI models. Extensive experiments demonstrate that MorphMark achieves a superior resolution of the effectiveness-quality dilemma, while also offering greater flexibility and time and space efficiency.</v>
      </c>
      <c r="D1839" s="7" t="str">
        <f>IFERROR(__xludf.DUMMYFUNCTION("""COMPUTED_VALUE"""),"Zongqi Wang")</f>
        <v>Zongqi Wang</v>
      </c>
      <c r="E1839" s="7" t="str">
        <f>IFERROR(__xludf.DUMMYFUNCTION("""COMPUTED_VALUE"""),"Yes")</f>
        <v>Yes</v>
      </c>
      <c r="F1839" s="7" t="str">
        <f>IFERROR(__xludf.DUMMYFUNCTION("""COMPUTED_VALUE"""),"IP-Poster")</f>
        <v>IP-Poster</v>
      </c>
      <c r="G1839" s="7" t="str">
        <f>IFERROR(__xludf.DUMMYFUNCTION("""COMPUTED_VALUE"""),"In-Person")</f>
        <v>In-Person</v>
      </c>
      <c r="H1839" s="7" t="str">
        <f>IFERROR(__xludf.DUMMYFUNCTION("""COMPUTED_VALUE"""),"Hall 4/5")</f>
        <v>Hall 4/5</v>
      </c>
      <c r="I1839" s="7" t="str">
        <f>IFERROR(__xludf.DUMMYFUNCTION("""COMPUTED_VALUE"""),"Session 2: IP-Posters ")</f>
        <v>Session 2: IP-Posters </v>
      </c>
      <c r="J1839" s="7" t="str">
        <f>IFERROR(__xludf.DUMMYFUNCTION("""COMPUTED_VALUE"""),"Poster Session 1")</f>
        <v>Poster Session 1</v>
      </c>
      <c r="K1839" s="7"/>
      <c r="L1839" s="8">
        <f>IFERROR(__xludf.DUMMYFUNCTION("""COMPUTED_VALUE"""),45866.0)</f>
        <v>45866</v>
      </c>
      <c r="M1839" s="7" t="str">
        <f>IFERROR(__xludf.DUMMYFUNCTION("""COMPUTED_VALUE"""),"11:00-12:30")</f>
        <v>11:00-12:30</v>
      </c>
      <c r="N1839" s="7"/>
    </row>
    <row r="1840">
      <c r="A1840" s="7" t="str">
        <f>IFERROR(__xludf.DUMMYFUNCTION("""COMPUTED_VALUE"""),"492-MAIN")</f>
        <v>492-MAIN</v>
      </c>
      <c r="B1840" s="7" t="str">
        <f>IFERROR(__xludf.DUMMYFUNCTION("""COMPUTED_VALUE"""),"A Silver Bullet or a Compromise for Full Attention? A Comprehensive Study of Gist Token-based Context Compression")</f>
        <v>A Silver Bullet or a Compromise for Full Attention? A Comprehensive Study of Gist Token-based Context Compression</v>
      </c>
      <c r="C1840" s="7" t="str">
        <f>IFERROR(__xludf.DUMMYFUNCTION("""COMPUTED_VALUE"""),"In this work, we provide an empirical investigation of gist-based context compression methods to improve context processing in large language models. We focus on two key questions: (1) How well can these methods replace full attention models? and (2) What"&amp;" potential failure patterns arise due to compression? Through extensive experiments, we show that while gist-based compression can achieve only slight performance loss on tasks like retrieval-augmented generation and long-document QA, it faces challenges "&amp;"in tasks like synthetic recall. Furthermore, we identify three key failure patterns: lost by the boundary, lost if surprise, and lost along the way. To mitigate these issues, we propose two effective strategies: fine-grained autoencoding, which enhances t"&amp;"he reconstruction of original token information, and segment-wise token importance estimation, which adjusts optimization based on token dependencies. Our work provides valuable insights into the understanding of gist token-based context compression and o"&amp;"ffers practical strategies for improving compression capabilities.")</f>
        <v>In this work, we provide an empirical investigation of gist-based context compression methods to improve context processing in large language models. We focus on two key questions: (1) How well can these methods replace full attention models? and (2) What potential failure patterns arise due to compression? Through extensive experiments, we show that while gist-based compression can achieve only slight performance loss on tasks like retrieval-augmented generation and long-document QA, it faces challenges in tasks like synthetic recall. Furthermore, we identify three key failure patterns: lost by the boundary, lost if surprise, and lost along the way. To mitigate these issues, we propose two effective strategies: fine-grained autoencoding, which enhances the reconstruction of original token information, and segment-wise token importance estimation, which adjusts optimization based on token dependencies. Our work provides valuable insights into the understanding of gist token-based context compression and offers practical strategies for improving compression capabilities.</v>
      </c>
      <c r="D1840" s="7" t="str">
        <f>IFERROR(__xludf.DUMMYFUNCTION("""COMPUTED_VALUE"""),"Chenlong Deng")</f>
        <v>Chenlong Deng</v>
      </c>
      <c r="E1840" s="7" t="str">
        <f>IFERROR(__xludf.DUMMYFUNCTION("""COMPUTED_VALUE"""),"Yes")</f>
        <v>Yes</v>
      </c>
      <c r="F1840" s="7" t="str">
        <f>IFERROR(__xludf.DUMMYFUNCTION("""COMPUTED_VALUE"""),"IP-Poster")</f>
        <v>IP-Poster</v>
      </c>
      <c r="G1840" s="7" t="str">
        <f>IFERROR(__xludf.DUMMYFUNCTION("""COMPUTED_VALUE"""),"In-Person")</f>
        <v>In-Person</v>
      </c>
      <c r="H1840" s="7" t="str">
        <f>IFERROR(__xludf.DUMMYFUNCTION("""COMPUTED_VALUE"""),"Hall 4/5")</f>
        <v>Hall 4/5</v>
      </c>
      <c r="I1840" s="7" t="str">
        <f>IFERROR(__xludf.DUMMYFUNCTION("""COMPUTED_VALUE"""),"Session 7: IP-Posters")</f>
        <v>Session 7: IP-Posters</v>
      </c>
      <c r="J1840" s="7" t="str">
        <f>IFERROR(__xludf.DUMMYFUNCTION("""COMPUTED_VALUE"""),"Poster Session 2")</f>
        <v>Poster Session 2</v>
      </c>
      <c r="K1840" s="7"/>
      <c r="L1840" s="8">
        <f>IFERROR(__xludf.DUMMYFUNCTION("""COMPUTED_VALUE"""),45867.0)</f>
        <v>45867</v>
      </c>
      <c r="M1840" s="7" t="str">
        <f>IFERROR(__xludf.DUMMYFUNCTION("""COMPUTED_VALUE"""),"10:30-12:00")</f>
        <v>10:30-12:00</v>
      </c>
      <c r="N1840" s="7"/>
    </row>
    <row r="1841">
      <c r="A1841" s="7" t="str">
        <f>IFERROR(__xludf.DUMMYFUNCTION("""COMPUTED_VALUE"""),"493-MAIN")</f>
        <v>493-MAIN</v>
      </c>
      <c r="B1841" s="7" t="str">
        <f>IFERROR(__xludf.DUMMYFUNCTION("""COMPUTED_VALUE"""),"On the Limit of Language Models as Planning Formalizers")</f>
        <v>On the Limit of Language Models as Planning Formalizers</v>
      </c>
      <c r="C1841" s="7" t="str">
        <f>IFERROR(__xludf.DUMMYFUNCTION("""COMPUTED_VALUE"""),"Large Language Models have been found to create plans that are neither executable nor verifiable in grounded environments. An emerging line of work demonstrates success in using the LLM as a formalizer to generate a formal representation of the planning d"&amp;"omain in some language, such as Planning Domain Definition Language (PDDL). This formal representation can be deterministically solved to find a plan. We systematically evaluate this methodology while bridging some major gaps. While previous work only gen"&amp;"erates a partial PDDL representation, given templated, and therefore unrealistic environment descriptions, we generate the complete representation given descriptions of various naturalness levels. Among an array of observations critical to improve LLMs' f"&amp;"ormal planning abilities, we note that most large enough models can effectively formalize descriptions as PDDL, outperforming those directly generating plans, while being robust to lexical perturbation. As the descriptions become more natural-sounding, we"&amp;" observe a decrease in performance and provide detailed error analysis.")</f>
        <v>Large Language Models have been found to create plans that are neither executable nor verifiable in grounded environments. An emerging line of work demonstrates success in using the LLM as a formalizer to generate a formal representation of the planning domain in some language, such as Planning Domain Definition Language (PDDL). This formal representation can be deterministically solved to find a plan. We systematically evaluate this methodology while bridging some major gaps. While previous work only generates a partial PDDL representation, given templated, and therefore unrealistic environment descriptions, we generate the complete representation given descriptions of various naturalness levels. Among an array of observations critical to improve LLMs' formal planning abilities, we note that most large enough models can effectively formalize descriptions as PDDL, outperforming those directly generating plans, while being robust to lexical perturbation. As the descriptions become more natural-sounding, we observe a decrease in performance and provide detailed error analysis.</v>
      </c>
      <c r="D1841" s="7" t="str">
        <f>IFERROR(__xludf.DUMMYFUNCTION("""COMPUTED_VALUE"""),"Cassie Huang")</f>
        <v>Cassie Huang</v>
      </c>
      <c r="E1841" s="7" t="str">
        <f>IFERROR(__xludf.DUMMYFUNCTION("""COMPUTED_VALUE"""),"Yes")</f>
        <v>Yes</v>
      </c>
      <c r="F1841" s="7" t="str">
        <f>IFERROR(__xludf.DUMMYFUNCTION("""COMPUTED_VALUE"""),"IP-Poster")</f>
        <v>IP-Poster</v>
      </c>
      <c r="G1841" s="7" t="str">
        <f>IFERROR(__xludf.DUMMYFUNCTION("""COMPUTED_VALUE"""),"In-Person")</f>
        <v>In-Person</v>
      </c>
      <c r="H1841" s="7" t="str">
        <f>IFERROR(__xludf.DUMMYFUNCTION("""COMPUTED_VALUE"""),"Hall 4/5")</f>
        <v>Hall 4/5</v>
      </c>
      <c r="I1841" s="7" t="str">
        <f>IFERROR(__xludf.DUMMYFUNCTION("""COMPUTED_VALUE"""),"Session 2: IP-Posters ")</f>
        <v>Session 2: IP-Posters </v>
      </c>
      <c r="J1841" s="7" t="str">
        <f>IFERROR(__xludf.DUMMYFUNCTION("""COMPUTED_VALUE"""),"Poster Session 1")</f>
        <v>Poster Session 1</v>
      </c>
      <c r="K1841" s="7"/>
      <c r="L1841" s="8">
        <f>IFERROR(__xludf.DUMMYFUNCTION("""COMPUTED_VALUE"""),45866.0)</f>
        <v>45866</v>
      </c>
      <c r="M1841" s="7" t="str">
        <f>IFERROR(__xludf.DUMMYFUNCTION("""COMPUTED_VALUE"""),"11:00-12:30")</f>
        <v>11:00-12:30</v>
      </c>
      <c r="N1841" s="7"/>
    </row>
    <row r="1842">
      <c r="A1842" s="7" t="str">
        <f>IFERROR(__xludf.DUMMYFUNCTION("""COMPUTED_VALUE"""),"494-MAIN")</f>
        <v>494-MAIN</v>
      </c>
      <c r="B1842" s="7" t="str">
        <f>IFERROR(__xludf.DUMMYFUNCTION("""COMPUTED_VALUE"""),"Learning to Generate Structured Output with Schema Reinforcement Learning")</f>
        <v>Learning to Generate Structured Output with Schema Reinforcement Learning</v>
      </c>
      <c r="C1842" s="7" t="str">
        <f>IFERROR(__xludf.DUMMYFUNCTION("""COMPUTED_VALUE"""),"This study investigates the structured generation capabilities of large language models (LLMs), focusing on producing valid JSON outputs against a given schema. Despite the widespread use of JSON in integrating language models with programs, there is a la"&amp;"ck of comprehensive analysis and benchmarking of these capabilities. We explore various aspects of JSON generation, such as structure understanding, escaping, and natural language description, to determine how to assess and enable LLMs to generate valid r"&amp;"esponses. Building upon this, we propose SchemaBench features around 40K different JSON schemas to obtain and assess models' abilities in generating valid JSON. We find that the latest LLMs are still struggling to generate a valid JSON string. Moreover, w"&amp;"e demonstrate that incorporating reinforcement learning with a Fine-grained Schema Validator can further enhance models' understanding of JSON schema, leading to improved performance. Our models demonstrate significant improvement in both generating JSON "&amp;"outputs and downstream tasks.")</f>
        <v>This study investigates the structured generation capabilities of large language models (LLMs), focusing on producing valid JSON outputs against a given schema. Despite the widespread use of JSON in integrating language models with programs, there is a lack of comprehensive analysis and benchmarking of these capabilities. We explore various aspects of JSON generation, such as structure understanding, escaping, and natural language description, to determine how to assess and enable LLMs to generate valid responses. Building upon this, we propose SchemaBench features around 40K different JSON schemas to obtain and assess models' abilities in generating valid JSON. We find that the latest LLMs are still struggling to generate a valid JSON string. Moreover, we demonstrate that incorporating reinforcement learning with a Fine-grained Schema Validator can further enhance models' understanding of JSON schema, leading to improved performance. Our models demonstrate significant improvement in both generating JSON outputs and downstream tasks.</v>
      </c>
      <c r="D1842" s="7" t="str">
        <f>IFERROR(__xludf.DUMMYFUNCTION("""COMPUTED_VALUE"""),"Haolun Li")</f>
        <v>Haolun Li</v>
      </c>
      <c r="E1842" s="7" t="str">
        <f>IFERROR(__xludf.DUMMYFUNCTION("""COMPUTED_VALUE"""),"Yes")</f>
        <v>Yes</v>
      </c>
      <c r="F1842" s="7" t="str">
        <f>IFERROR(__xludf.DUMMYFUNCTION("""COMPUTED_VALUE"""),"IP-Poster")</f>
        <v>IP-Poster</v>
      </c>
      <c r="G1842" s="7" t="str">
        <f>IFERROR(__xludf.DUMMYFUNCTION("""COMPUTED_VALUE"""),"In-Person")</f>
        <v>In-Person</v>
      </c>
      <c r="H1842" s="7" t="str">
        <f>IFERROR(__xludf.DUMMYFUNCTION("""COMPUTED_VALUE"""),"Hall 4/5")</f>
        <v>Hall 4/5</v>
      </c>
      <c r="I1842" s="7" t="str">
        <f>IFERROR(__xludf.DUMMYFUNCTION("""COMPUTED_VALUE"""),"Session 2: IP-Posters ")</f>
        <v>Session 2: IP-Posters </v>
      </c>
      <c r="J1842" s="7" t="str">
        <f>IFERROR(__xludf.DUMMYFUNCTION("""COMPUTED_VALUE"""),"Poster Session 1")</f>
        <v>Poster Session 1</v>
      </c>
      <c r="K1842" s="7"/>
      <c r="L1842" s="8">
        <f>IFERROR(__xludf.DUMMYFUNCTION("""COMPUTED_VALUE"""),45866.0)</f>
        <v>45866</v>
      </c>
      <c r="M1842" s="7" t="str">
        <f>IFERROR(__xludf.DUMMYFUNCTION("""COMPUTED_VALUE"""),"11:00-12:30")</f>
        <v>11:00-12:30</v>
      </c>
      <c r="N1842" s="7"/>
    </row>
    <row r="1843">
      <c r="A1843" s="7" t="str">
        <f>IFERROR(__xludf.DUMMYFUNCTION("""COMPUTED_VALUE"""),"495-MAIN")</f>
        <v>495-MAIN</v>
      </c>
      <c r="B1843" s="7" t="str">
        <f>IFERROR(__xludf.DUMMYFUNCTION("""COMPUTED_VALUE"""),"On the Robustness of RAG Systems in Educational Question Answering under Knowledge Discrepancies")</f>
        <v>On the Robustness of RAG Systems in Educational Question Answering under Knowledge Discrepancies</v>
      </c>
      <c r="C1843" s="7" t="str">
        <f>IFERROR(__xludf.DUMMYFUNCTION("""COMPUTED_VALUE"""),"Retrieval-Augmented Generation (RAG) systems show remarkable potential as question answering tools in the K-12 Education domain, where knowledge is typically queried within the restricted scope of authoritative textbooks. However, discrepancies between th"&amp;"ese textbooks and the parametric knowledge inherent in Large Language Models (LLMs) can undermine the effectiveness of RAG systems. To systematically investigate RAG system robustness against such knowledge discrepancies, we introduce KnowShiftQA. This no"&amp;"vel question answering dataset simulates these discrepancies by applying deliberate hypothetical knowledge updates to both answers and source documents, reflecting how textbook knowledge can shift. KnowShiftQA comprises 3,005 questions across five subject"&amp;"s, designed with a comprehensive question typology focusing on context utilization and knowledge integration. Our extensive experiments on retrieval and question answering performance reveal that most RAG systems suffer a substantial performance drop when"&amp;" faced with these knowledge discrepancies. Furthermore, questions requiring the integration of contextual (textbook) knowledge with parametric (LLM) knowledge pose a significant challenge to current LLMs.")</f>
        <v>Retrieval-Augmented Generation (RAG) systems show remarkable potential as question answering tools in the K-12 Education domain, where knowledge is typically queried within the restricted scope of authoritative textbooks. However, discrepancies between these textbooks and the parametric knowledge inherent in Large Language Models (LLMs) can undermine the effectiveness of RAG systems. To systematically investigate RAG system robustness against such knowledge discrepancies, we introduce KnowShiftQA. This novel question answering dataset simulates these discrepancies by applying deliberate hypothetical knowledge updates to both answers and source documents, reflecting how textbook knowledge can shift. KnowShiftQA comprises 3,005 questions across five subjects, designed with a comprehensive question typology focusing on context utilization and knowledge integration. Our extensive experiments on retrieval and question answering performance reveal that most RAG systems suffer a substantial performance drop when faced with these knowledge discrepancies. Furthermore, questions requiring the integration of contextual (textbook) knowledge with parametric (LLM) knowledge pose a significant challenge to current LLMs.</v>
      </c>
      <c r="D1843" s="7" t="str">
        <f>IFERROR(__xludf.DUMMYFUNCTION("""COMPUTED_VALUE"""),"Tianshi Zheng")</f>
        <v>Tianshi Zheng</v>
      </c>
      <c r="E1843" s="7" t="str">
        <f>IFERROR(__xludf.DUMMYFUNCTION("""COMPUTED_VALUE"""),"Yes")</f>
        <v>Yes</v>
      </c>
      <c r="F1843" s="7" t="str">
        <f>IFERROR(__xludf.DUMMYFUNCTION("""COMPUTED_VALUE"""),"IP-Poster")</f>
        <v>IP-Poster</v>
      </c>
      <c r="G1843" s="7" t="str">
        <f>IFERROR(__xludf.DUMMYFUNCTION("""COMPUTED_VALUE"""),"In-Person")</f>
        <v>In-Person</v>
      </c>
      <c r="H1843" s="7" t="str">
        <f>IFERROR(__xludf.DUMMYFUNCTION("""COMPUTED_VALUE"""),"Hall 4/5")</f>
        <v>Hall 4/5</v>
      </c>
      <c r="I1843" s="7" t="str">
        <f>IFERROR(__xludf.DUMMYFUNCTION("""COMPUTED_VALUE"""),"Session 2: IP-Posters ")</f>
        <v>Session 2: IP-Posters </v>
      </c>
      <c r="J1843" s="7" t="str">
        <f>IFERROR(__xludf.DUMMYFUNCTION("""COMPUTED_VALUE"""),"Poster Session 1")</f>
        <v>Poster Session 1</v>
      </c>
      <c r="K1843" s="7"/>
      <c r="L1843" s="8">
        <f>IFERROR(__xludf.DUMMYFUNCTION("""COMPUTED_VALUE"""),45866.0)</f>
        <v>45866</v>
      </c>
      <c r="M1843" s="7" t="str">
        <f>IFERROR(__xludf.DUMMYFUNCTION("""COMPUTED_VALUE"""),"11:00-12:30")</f>
        <v>11:00-12:30</v>
      </c>
      <c r="N1843" s="7"/>
    </row>
    <row r="1844">
      <c r="A1844" s="7" t="str">
        <f>IFERROR(__xludf.DUMMYFUNCTION("""COMPUTED_VALUE"""),"496-MAIN")</f>
        <v>496-MAIN</v>
      </c>
      <c r="B1844" s="7" t="str">
        <f>IFERROR(__xludf.DUMMYFUNCTION("""COMPUTED_VALUE"""),"Enhancing Unsupervised Sentence Embeddings via Knowledge-Driven Data Augmentation and Gaussian-Decayed Contrastive Learning")</f>
        <v>Enhancing Unsupervised Sentence Embeddings via Knowledge-Driven Data Augmentation and Gaussian-Decayed Contrastive Learning</v>
      </c>
      <c r="C1844" s="7" t="str">
        <f>IFERROR(__xludf.DUMMYFUNCTION("""COMPUTED_VALUE"""),"Recently, using large language models (LLMs) for data augmentation has led to considerable improvements in unsupervised sentence embedding models. However, existing methods encounter two primary challenges: limited data diversity and high data noise. Curr"&amp;"ent approaches often neglect fine-grained knowledge, such as entities and quantities, leading to insufficient diversity. Besides, unsupervised data frequently lacks discriminative information, and the generated synthetic samples may introduce noise. In th"&amp;"is paper, we propose a pipeline-based data augmentation method via LLMs and introduce the Gaussian-decayed gradient-assisted Contrastive Sentence Embedding (GCSE) model to enhance unsupervised sentence embeddings. To tackle the issue of low data diversity"&amp;", our pipeline utilizes knowledge graphs (KGs) to extract entities and quantities, enabling LLMs to generate more diverse samples. To address high data noise, the GCSE model uses a Gaussian-decayed function to limit the impact of false hard negative sampl"&amp;"es, enhancing the model's discriminative capability. Experimental results show that our approach achieves state-of-the-art performance in semantic textual similarity (STS) tasks, using fewer data samples and smaller LLMs, demonstrating its efficiency and "&amp;"robustness across various models.")</f>
        <v>Recently, using large language models (LLMs) for data augmentation has led to considerable improvements in unsupervised sentence embedding models. However, existing methods encounter two primary challenges: limited data diversity and high data noise. Current approaches often neglect fine-grained knowledge, such as entities and quantities, leading to insufficient diversity. Besides, unsupervised data frequently lacks discriminative information, and the generated synthetic samples may introduce noise. In this paper, we propose a pipeline-based data augmentation method via LLMs and introduce the Gaussian-decayed gradient-assisted Contrastive Sentence Embedding (GCSE) model to enhance unsupervised sentence embeddings. To tackle the issue of low data diversity, our pipeline utilizes knowledge graphs (KGs) to extract entities and quantities, enabling LLMs to generate more diverse samples. To address high data noise, the GCSE model uses a Gaussian-decayed function to limit the impact of false hard negative samples, enhancing the model's discriminative capability. Experimental results show that our approach achieves state-of-the-art performance in semantic textual similarity (STS) tasks, using fewer data samples and smaller LLMs, demonstrating its efficiency and robustness across various models.</v>
      </c>
      <c r="D1844" s="7" t="str">
        <f>IFERROR(__xludf.DUMMYFUNCTION("""COMPUTED_VALUE"""),"Peichao Lai")</f>
        <v>Peichao Lai</v>
      </c>
      <c r="E1844" s="7" t="str">
        <f>IFERROR(__xludf.DUMMYFUNCTION("""COMPUTED_VALUE"""),"Yes")</f>
        <v>Yes</v>
      </c>
      <c r="F1844" s="7" t="str">
        <f>IFERROR(__xludf.DUMMYFUNCTION("""COMPUTED_VALUE"""),"IP-Poster")</f>
        <v>IP-Poster</v>
      </c>
      <c r="G1844" s="7" t="str">
        <f>IFERROR(__xludf.DUMMYFUNCTION("""COMPUTED_VALUE"""),"In-Person")</f>
        <v>In-Person</v>
      </c>
      <c r="H1844" s="7" t="str">
        <f>IFERROR(__xludf.DUMMYFUNCTION("""COMPUTED_VALUE"""),"Hall 4/5")</f>
        <v>Hall 4/5</v>
      </c>
      <c r="I1844" s="7" t="str">
        <f>IFERROR(__xludf.DUMMYFUNCTION("""COMPUTED_VALUE"""),"Session 10: IP-Posters")</f>
        <v>Session 10: IP-Posters</v>
      </c>
      <c r="J1844" s="7" t="str">
        <f>IFERROR(__xludf.DUMMYFUNCTION("""COMPUTED_VALUE"""),"Poster Session 3")</f>
        <v>Poster Session 3</v>
      </c>
      <c r="K1844" s="7"/>
      <c r="L1844" s="8">
        <f>IFERROR(__xludf.DUMMYFUNCTION("""COMPUTED_VALUE"""),45867.0)</f>
        <v>45867</v>
      </c>
      <c r="M1844" s="7" t="str">
        <f>IFERROR(__xludf.DUMMYFUNCTION("""COMPUTED_VALUE"""),"16:00-17:30")</f>
        <v>16:00-17:30</v>
      </c>
      <c r="N1844" s="7"/>
    </row>
    <row r="1845">
      <c r="A1845" s="7" t="str">
        <f>IFERROR(__xludf.DUMMYFUNCTION("""COMPUTED_VALUE"""),"497-MAIN")</f>
        <v>497-MAIN</v>
      </c>
      <c r="B1845" s="7" t="str">
        <f>IFERROR(__xludf.DUMMYFUNCTION("""COMPUTED_VALUE"""),"Improve Safety Training of Large Language Models with Safety-Critical Singular Vectors Localization")</f>
        <v>Improve Safety Training of Large Language Models with Safety-Critical Singular Vectors Localization</v>
      </c>
      <c r="C1845" s="7" t="str">
        <f>IFERROR(__xludf.DUMMYFUNCTION("""COMPUTED_VALUE"""),"The rapid advancement of large language models (LLMs) has brought about increased concerns regarding their safety, especially as adversaries develop jailbreak techniques to bypass LLMs' safety mechanism. Although recent work on safety training with module"&amp;"s such as low-rank adaptation (LoRA) to resist jailbreaks shows promise, these approaches can inadvertently degrade a model’s general utility. In this paper, we propose a novel plug-and-play method that mitigates the impact of safety training on model uti"&amp;"lity by explicitly locating and leveraging safety-critical singular vectors, which only contribute to safety, within the model’s parameter space. We quantify the safety-criticality of each singular vector as the difference of their importance for safety a"&amp;"nd utility measured by a corresponding low-rank projection. The top scored singular vectors are located as safety-critical and are used to initialize the LoRA modules within existing safety training methods in a plug-and-play manner, thereby constraining "&amp;"the training updates within safety-critical parameters. Additionally, we propose a dynamic rank number determination strategy to further reduce parameter overhead. Experiments on HarmBench with multiple jailbreak methods validate the effectiveness of our "&amp;"approach in safety training, while evaluations on several utility benchmarks demonstrate that our method successfully mitigates the adverse impact of safety training on model utility, enhancing the utility performance of the evaluated safety training base"&amp;"lines.")</f>
        <v>The rapid advancement of large language models (LLMs) has brought about increased concerns regarding their safety, especially as adversaries develop jailbreak techniques to bypass LLMs' safety mechanism. Although recent work on safety training with modules such as low-rank adaptation (LoRA) to resist jailbreaks shows promise, these approaches can inadvertently degrade a model’s general utility. In this paper, we propose a novel plug-and-play method that mitigates the impact of safety training on model utility by explicitly locating and leveraging safety-critical singular vectors, which only contribute to safety, within the model’s parameter space. We quantify the safety-criticality of each singular vector as the difference of their importance for safety and utility measured by a corresponding low-rank projection. The top scored singular vectors are located as safety-critical and are used to initialize the LoRA modules within existing safety training methods in a plug-and-play manner, thereby constraining the training updates within safety-critical parameters. Additionally, we propose a dynamic rank number determination strategy to further reduce parameter overhead. Experiments on HarmBench with multiple jailbreak methods validate the effectiveness of our approach in safety training, while evaluations on several utility benchmarks demonstrate that our method successfully mitigates the adverse impact of safety training on model utility, enhancing the utility performance of the evaluated safety training baselines.</v>
      </c>
      <c r="D1845" s="7" t="str">
        <f>IFERROR(__xludf.DUMMYFUNCTION("""COMPUTED_VALUE"""),"Peijian Gu")</f>
        <v>Peijian Gu</v>
      </c>
      <c r="E1845" s="7" t="str">
        <f>IFERROR(__xludf.DUMMYFUNCTION("""COMPUTED_VALUE"""),"Yes")</f>
        <v>Yes</v>
      </c>
      <c r="F1845" s="7" t="str">
        <f>IFERROR(__xludf.DUMMYFUNCTION("""COMPUTED_VALUE"""),"IP-Poster")</f>
        <v>IP-Poster</v>
      </c>
      <c r="G1845" s="7" t="str">
        <f>IFERROR(__xludf.DUMMYFUNCTION("""COMPUTED_VALUE"""),"In-Person")</f>
        <v>In-Person</v>
      </c>
      <c r="H1845" s="7" t="str">
        <f>IFERROR(__xludf.DUMMYFUNCTION("""COMPUTED_VALUE"""),"Hall 4/5")</f>
        <v>Hall 4/5</v>
      </c>
      <c r="I1845" s="7" t="str">
        <f>IFERROR(__xludf.DUMMYFUNCTION("""COMPUTED_VALUE"""),"Session 12: IP-Posters")</f>
        <v>Session 12: IP-Posters</v>
      </c>
      <c r="J1845" s="7" t="str">
        <f>IFERROR(__xludf.DUMMYFUNCTION("""COMPUTED_VALUE"""),"Poster Session 4")</f>
        <v>Poster Session 4</v>
      </c>
      <c r="K1845" s="7"/>
      <c r="L1845" s="8">
        <f>IFERROR(__xludf.DUMMYFUNCTION("""COMPUTED_VALUE"""),45868.0)</f>
        <v>45868</v>
      </c>
      <c r="M1845" s="7" t="str">
        <f>IFERROR(__xludf.DUMMYFUNCTION("""COMPUTED_VALUE"""),"11:00-12:30")</f>
        <v>11:00-12:30</v>
      </c>
      <c r="N1845" s="7"/>
    </row>
    <row r="1846">
      <c r="A1846" s="7" t="str">
        <f>IFERROR(__xludf.DUMMYFUNCTION("""COMPUTED_VALUE"""),"501-MAIN")</f>
        <v>501-MAIN</v>
      </c>
      <c r="B1846" s="7" t="str">
        <f>IFERROR(__xludf.DUMMYFUNCTION("""COMPUTED_VALUE"""),"WarriorCoder: Learning from Expert Battles to Augment Code Large Language Models")</f>
        <v>WarriorCoder: Learning from Expert Battles to Augment Code Large Language Models</v>
      </c>
      <c r="C1846" s="7" t="str">
        <f>IFERROR(__xludf.DUMMYFUNCTION("""COMPUTED_VALUE"""),"Despite recent progress achieved by code large language models (LLMs), their remarkable abilities are largely dependent on fine-tuning on the high-quality data, posing challenges for data collection and annotation. To address this, current methods often d"&amp;"esign various data flywheels to collect complex code instructions, enabling models to handle more intricate tasks. However, these approaches typically rely on off-the-shelf datasets and data augmentation from a limited set of proprietary LLMs (e.g., Claud"&amp;"e, GPT4, and so on), which restricts the diversity of the constructed data and makes it prone to systemic biases. In this paper, we propose **WarriorCoder**, a novel paradigm learns from expert battles to address these limitations. Specifically, we create"&amp;" an arena where leading expert code LLMs challenge each other, with evaluations conducted by impartial judges. This competitive framework generates novel training data from scratch, leveraging the strengths of all participants. Experimental results show t"&amp;"hat **WarriorCoder** achieves state-of-the-art performance compared to previous models of the same size, even without relying on proprietary LLMs.")</f>
        <v>Despite recent progress achieved by code large language models (LLMs), their remarkable abilities are largely dependent on fine-tuning on the high-quality data, posing challenges for data collection and annotation. To address this, current methods often design various data flywheels to collect complex code instructions, enabling models to handle more intricate tasks. However, these approaches typically rely on off-the-shelf datasets and data augmentation from a limited set of proprietary LLMs (e.g., Claude, GPT4, and so on), which restricts the diversity of the constructed data and makes it prone to systemic biases. In this paper, we propose **WarriorCoder**, a novel paradigm learns from expert battles to address these limitations. Specifically, we create an arena where leading expert code LLMs challenge each other, with evaluations conducted by impartial judges. This competitive framework generates novel training data from scratch, leveraging the strengths of all participants. Experimental results show that **WarriorCoder** achieves state-of-the-art performance compared to previous models of the same size, even without relying on proprietary LLMs.</v>
      </c>
      <c r="D1846" s="7" t="str">
        <f>IFERROR(__xludf.DUMMYFUNCTION("""COMPUTED_VALUE"""),"Huawen Feng")</f>
        <v>Huawen Feng</v>
      </c>
      <c r="E1846" s="7" t="str">
        <f>IFERROR(__xludf.DUMMYFUNCTION("""COMPUTED_VALUE"""),"Yes")</f>
        <v>Yes</v>
      </c>
      <c r="F1846" s="7" t="str">
        <f>IFERROR(__xludf.DUMMYFUNCTION("""COMPUTED_VALUE"""),"IP-Poster")</f>
        <v>IP-Poster</v>
      </c>
      <c r="G1846" s="7" t="str">
        <f>IFERROR(__xludf.DUMMYFUNCTION("""COMPUTED_VALUE"""),"In-Person")</f>
        <v>In-Person</v>
      </c>
      <c r="H1846" s="7" t="str">
        <f>IFERROR(__xludf.DUMMYFUNCTION("""COMPUTED_VALUE"""),"Hall 4/5")</f>
        <v>Hall 4/5</v>
      </c>
      <c r="I1846" s="7" t="str">
        <f>IFERROR(__xludf.DUMMYFUNCTION("""COMPUTED_VALUE"""),"Session 2: IP-Posters ")</f>
        <v>Session 2: IP-Posters </v>
      </c>
      <c r="J1846" s="7" t="str">
        <f>IFERROR(__xludf.DUMMYFUNCTION("""COMPUTED_VALUE"""),"Poster Session 1")</f>
        <v>Poster Session 1</v>
      </c>
      <c r="K1846" s="7"/>
      <c r="L1846" s="8">
        <f>IFERROR(__xludf.DUMMYFUNCTION("""COMPUTED_VALUE"""),45866.0)</f>
        <v>45866</v>
      </c>
      <c r="M1846" s="7" t="str">
        <f>IFERROR(__xludf.DUMMYFUNCTION("""COMPUTED_VALUE"""),"11:00-12:30")</f>
        <v>11:00-12:30</v>
      </c>
      <c r="N1846" s="7"/>
    </row>
    <row r="1847">
      <c r="A1847" s="7" t="str">
        <f>IFERROR(__xludf.DUMMYFUNCTION("""COMPUTED_VALUE"""),"502-MAIN")</f>
        <v>502-MAIN</v>
      </c>
      <c r="B1847" s="7" t="str">
        <f>IFERROR(__xludf.DUMMYFUNCTION("""COMPUTED_VALUE"""),"A Triple-View Framework for Fine-Grained Emotion Classification with Clustering-Guided Contrastive Learning")</f>
        <v>A Triple-View Framework for Fine-Grained Emotion Classification with Clustering-Guided Contrastive Learning</v>
      </c>
      <c r="C1847" s="7" t="str">
        <f>IFERROR(__xludf.DUMMYFUNCTION("""COMPUTED_VALUE"""),"Fine-grained emotion classification (FEC) aims to analyze speakers' utterances and distinguish dozens of emotions with subtle differences, allowing for a more nuanced understanding of human emotional states. However, compared to traditional coarse-grained"&amp;" emotion classification, two difficulties arise as the granularity of emotions becomes finer, i.e., the presence of closely confusable emotions which are hard to distinguish, and the biased performance caused by long-tailed emotions. Although addressing b"&amp;"oth difficulties is vital to FEC, previous studies have predominantly focused on dealing with only one of them. In this paper, we propose TACO, a novel triple-view framework that treats FEC as an instance-label (i.e., utterance-emotion) joint embedding le"&amp;"arning problem to tackle both difficulties concurrently by considering three complementary views. Specifically, we design a clustering-guided contrastive loss, which incorporates clustering techniques to guide the contrastive learning process and facilita"&amp;"te more discriminative instance embeddings. Additionally, we introduce the emotion label description as a helpful resource to refine label embeddings and mitigate the poor performance towards under-represented (i.e., long-tailed) emotions. Extensive exper"&amp;"iments on two widely-used benchmark datasets demonstrate that our proposed TACO achieves substantial and consistent improvements compared to other competitive baseline methods.")</f>
        <v>Fine-grained emotion classification (FEC) aims to analyze speakers' utterances and distinguish dozens of emotions with subtle differences, allowing for a more nuanced understanding of human emotional states. However, compared to traditional coarse-grained emotion classification, two difficulties arise as the granularity of emotions becomes finer, i.e., the presence of closely confusable emotions which are hard to distinguish, and the biased performance caused by long-tailed emotions. Although addressing both difficulties is vital to FEC, previous studies have predominantly focused on dealing with only one of them. In this paper, we propose TACO, a novel triple-view framework that treats FEC as an instance-label (i.e., utterance-emotion) joint embedding learning problem to tackle both difficulties concurrently by considering three complementary views. Specifically, we design a clustering-guided contrastive loss, which incorporates clustering techniques to guide the contrastive learning process and facilitate more discriminative instance embeddings. Additionally, we introduce the emotion label description as a helpful resource to refine label embeddings and mitigate the poor performance towards under-represented (i.e., long-tailed) emotions. Extensive experiments on two widely-used benchmark datasets demonstrate that our proposed TACO achieves substantial and consistent improvements compared to other competitive baseline methods.</v>
      </c>
      <c r="D1847" s="7" t="str">
        <f>IFERROR(__xludf.DUMMYFUNCTION("""COMPUTED_VALUE"""),"Junqing Gong")</f>
        <v>Junqing Gong</v>
      </c>
      <c r="E1847" s="7" t="str">
        <f>IFERROR(__xludf.DUMMYFUNCTION("""COMPUTED_VALUE"""),"Yes")</f>
        <v>Yes</v>
      </c>
      <c r="F1847" s="7" t="str">
        <f>IFERROR(__xludf.DUMMYFUNCTION("""COMPUTED_VALUE"""),"V-Presentation")</f>
        <v>V-Presentation</v>
      </c>
      <c r="G1847" s="7" t="str">
        <f>IFERROR(__xludf.DUMMYFUNCTION("""COMPUTED_VALUE"""),"Virtual/Gather")</f>
        <v>Virtual/Gather</v>
      </c>
      <c r="H1847" s="7" t="str">
        <f>IFERROR(__xludf.DUMMYFUNCTION("""COMPUTED_VALUE"""),"Zoom")</f>
        <v>Zoom</v>
      </c>
      <c r="I1847" s="7" t="str">
        <f>IFERROR(__xludf.DUMMYFUNCTION("""COMPUTED_VALUE"""),"Session 12: V-Presentations")</f>
        <v>Session 12: V-Presentations</v>
      </c>
      <c r="J1847" s="7" t="str">
        <f>IFERROR(__xludf.DUMMYFUNCTION("""COMPUTED_VALUE"""),"Virtual Presentations 4")</f>
        <v>Virtual Presentations 4</v>
      </c>
      <c r="K1847" s="7"/>
      <c r="L1847" s="8">
        <f>IFERROR(__xludf.DUMMYFUNCTION("""COMPUTED_VALUE"""),45868.0)</f>
        <v>45868</v>
      </c>
      <c r="M1847" s="7" t="str">
        <f>IFERROR(__xludf.DUMMYFUNCTION("""COMPUTED_VALUE"""),"11:00-12:30")</f>
        <v>11:00-12:30</v>
      </c>
      <c r="N1847" s="7"/>
    </row>
    <row r="1848">
      <c r="A1848" s="7" t="str">
        <f>IFERROR(__xludf.DUMMYFUNCTION("""COMPUTED_VALUE"""),"503-MAIN")</f>
        <v>503-MAIN</v>
      </c>
      <c r="B1848" s="7" t="str">
        <f>IFERROR(__xludf.DUMMYFUNCTION("""COMPUTED_VALUE"""),"Quantification of Large Language Model Distillation")</f>
        <v>Quantification of Large Language Model Distillation</v>
      </c>
      <c r="C1848" s="7" t="str">
        <f>IFERROR(__xludf.DUMMYFUNCTION("""COMPUTED_VALUE"""),"Model distillation is a fundamental technique in building large language models (LLMs), transferring knowledge from a teacher model to a student model. However, distillation can lead to model homogenization, reducing diversity among models and impairing t"&amp;"heir ability to robustly handle complex or novel tasks. These limitations underscore the need to systematically quantify the distillation process and its impact. In this work, we propose a framework to evaluate and quantify model distillation. Our method "&amp;"addresses two key aspects: (1) Identifying identity cognition contradictions to assess discrepancies in how models perceive and represent identity-related information, and (2) Analyzing multi-granularity response similarities across models to measure the "&amp;"extent of homogenization. Experimental results demonstrate two key insights: (1) Well-known closed-source and open-source LLMs usually exhibit high distillation degrees, except for Claude, Doubao, and Gemini. (2) Base LLMs show higher distillation degrees"&amp;" compared to aligned LLMs. By offering a systematic approach to improve the transparency of LLM data distillation, we call for LLMs with more independent development and more transparent technical reports to improve LLMs' robustness and safety. The code a"&amp;"nd data are available at https://github.com/Aegis1863/LLMs-Distillation-Quantification.")</f>
        <v>Model distillation is a fundamental technique in building large language models (LLMs), transferring knowledge from a teacher model to a student model. However, distillation can lead to model homogenization, reducing diversity among models and impairing their ability to robustly handle complex or novel tasks. These limitations underscore the need to systematically quantify the distillation process and its impact. In this work, we propose a framework to evaluate and quantify model distillation. Our method addresses two key aspects: (1) Identifying identity cognition contradictions to assess discrepancies in how models perceive and represent identity-related information, and (2) Analyzing multi-granularity response similarities across models to measure the extent of homogenization. Experimental results demonstrate two key insights: (1) Well-known closed-source and open-source LLMs usually exhibit high distillation degrees, except for Claude, Doubao, and Gemini. (2) Base LLMs show higher distillation degrees compared to aligned LLMs. By offering a systematic approach to improve the transparency of LLM data distillation, we call for LLMs with more independent development and more transparent technical reports to improve LLMs' robustness and safety. The code and data are available at https://github.com/Aegis1863/LLMs-Distillation-Quantification.</v>
      </c>
      <c r="D1848" s="7" t="str">
        <f>IFERROR(__xludf.DUMMYFUNCTION("""COMPUTED_VALUE"""),"Junting Zhou, Sunbowen Lee")</f>
        <v>Junting Zhou, Sunbowen Lee</v>
      </c>
      <c r="E1848" s="7" t="str">
        <f>IFERROR(__xludf.DUMMYFUNCTION("""COMPUTED_VALUE"""),"Yes")</f>
        <v>Yes</v>
      </c>
      <c r="F1848" s="7" t="str">
        <f>IFERROR(__xludf.DUMMYFUNCTION("""COMPUTED_VALUE"""),"IP-Poster")</f>
        <v>IP-Poster</v>
      </c>
      <c r="G1848" s="7" t="str">
        <f>IFERROR(__xludf.DUMMYFUNCTION("""COMPUTED_VALUE"""),"In-Person")</f>
        <v>In-Person</v>
      </c>
      <c r="H1848" s="7" t="str">
        <f>IFERROR(__xludf.DUMMYFUNCTION("""COMPUTED_VALUE"""),"Hall 4/5")</f>
        <v>Hall 4/5</v>
      </c>
      <c r="I1848" s="7" t="str">
        <f>IFERROR(__xludf.DUMMYFUNCTION("""COMPUTED_VALUE"""),"Session 10: IP-Posters")</f>
        <v>Session 10: IP-Posters</v>
      </c>
      <c r="J1848" s="7" t="str">
        <f>IFERROR(__xludf.DUMMYFUNCTION("""COMPUTED_VALUE"""),"Poster Session 3")</f>
        <v>Poster Session 3</v>
      </c>
      <c r="K1848" s="7"/>
      <c r="L1848" s="8">
        <f>IFERROR(__xludf.DUMMYFUNCTION("""COMPUTED_VALUE"""),45867.0)</f>
        <v>45867</v>
      </c>
      <c r="M1848" s="7" t="str">
        <f>IFERROR(__xludf.DUMMYFUNCTION("""COMPUTED_VALUE"""),"16:00-17:30")</f>
        <v>16:00-17:30</v>
      </c>
      <c r="N1848" s="7"/>
    </row>
    <row r="1849">
      <c r="A1849" s="7" t="str">
        <f>IFERROR(__xludf.DUMMYFUNCTION("""COMPUTED_VALUE"""),"504-MAIN")</f>
        <v>504-MAIN</v>
      </c>
      <c r="B1849" s="7" t="str">
        <f>IFERROR(__xludf.DUMMYFUNCTION("""COMPUTED_VALUE"""),"Demons in the Detail: On Implementing Load Balancing Loss for Training Specialized Mixture-of-Expert Models")</f>
        <v>Demons in the Detail: On Implementing Load Balancing Loss for Training Specialized Mixture-of-Expert Models</v>
      </c>
      <c r="C1849" s="7" t="str">
        <f>IFERROR(__xludf.DUMMYFUNCTION("""COMPUTED_VALUE"""),"This paper revisits the implementation of $\textbf{L}$oad-$\textbf{B}$alancing-$\textbf{L}$oss (LBL) when training Mixture-of-Experts (MoEs) models. Specifically, LBL for MoEs is defined as $N_E \sum_{i=1}^{N_E} f_ip_i$, where $N_E$ is the total number of"&amp;" experts, $f_i$ represents the frequency of expert $i$ being selected, and $p_i$ denotes the average gating score of the expert $i$. 
Existing MoE training frameworks usually employ the parallel training strategy so that $f_i$ and the LBL are calculated w"&amp;"ithin a \textbf{micro-batch} and averaged across parallel groups.
However, a micro-batch for training billion-scale LLMs typically contains very few sequences, leading to the micro-batch LBL being almost at the sequence level, and the router is pushed to "&amp;"distribute the token evenly within each sequence.
Under this strict constraint, even tokens from a domain-specific sequence ($\textit{e.g.}$, code) are uniformly routed to all experts, 
thereby inhibiting expert specialization.
In this work, we propose ca"&amp;"lculating LBL using a $\textbf{global-batch}$ to loose this constraint. 
Because a global-batch contains much more diverse sequences than a micro-batch, which will encourage load balance at the corpus level. 
Specifically, we introduce an extra communicat"&amp;"ion step to synchronize $f_i$ across micro-batches and then use it to calculate the LBL.
Through experiments on training MoEs-based LLMs (up to $\textbf{42.8B}$ parameters and $\textbf{400B}$ tokens), we surprisingly find that the global-batch LBL strateg"&amp;"y yields excellent performance gains in both pre-training perplexity and downstream tasks.
Our analysis reveals that the global-batch LBL greatly improves the domain specialization of experts. $\textit{Global-batch LBL is also used in Qwen3-MoEs.}$")</f>
        <v>This paper revisits the implementation of $\textbf{L}$oad-$\textbf{B}$alancing-$\textbf{L}$oss (LBL) when training Mixture-of-Experts (MoEs) models. Specifically, LBL for MoEs is defined as $N_E \sum_{i=1}^{N_E} f_ip_i$, where $N_E$ is the total number of experts, $f_i$ represents the frequency of expert $i$ being selected, and $p_i$ denotes the average gating score of the expert $i$. 
Existing MoE training frameworks usually employ the parallel training strategy so that $f_i$ and the LBL are calculated within a \textbf{micro-batch} and averaged across parallel groups.
However, a micro-batch for training billion-scale LLMs typically contains very few sequences, leading to the micro-batch LBL being almost at the sequence level, and the router is pushed to distribute the token evenly within each sequence.
Under this strict constraint, even tokens from a domain-specific sequence ($\textit{e.g.}$, code) are uniformly routed to all experts, 
thereby inhibiting expert specialization.
In this work, we propose calculating LBL using a $\textbf{global-batch}$ to loose this constraint. 
Because a global-batch contains much more diverse sequences than a micro-batch, which will encourage load balance at the corpus level. 
Specifically, we introduce an extra communication step to synchronize $f_i$ across micro-batches and then use it to calculate the LBL.
Through experiments on training MoEs-based LLMs (up to $\textbf{42.8B}$ parameters and $\textbf{400B}$ tokens), we surprisingly find that the global-batch LBL strategy yields excellent performance gains in both pre-training perplexity and downstream tasks.
Our analysis reveals that the global-batch LBL greatly improves the domain specialization of experts. $\textit{Global-batch LBL is also used in Qwen3-MoEs.}$</v>
      </c>
      <c r="D1849" s="7" t="str">
        <f>IFERROR(__xludf.DUMMYFUNCTION("""COMPUTED_VALUE"""),"Zihan Qiu")</f>
        <v>Zihan Qiu</v>
      </c>
      <c r="E1849" s="7" t="str">
        <f>IFERROR(__xludf.DUMMYFUNCTION("""COMPUTED_VALUE"""),"Yes")</f>
        <v>Yes</v>
      </c>
      <c r="F1849" s="7" t="str">
        <f>IFERROR(__xludf.DUMMYFUNCTION("""COMPUTED_VALUE"""),"IP-Poster")</f>
        <v>IP-Poster</v>
      </c>
      <c r="G1849" s="7" t="str">
        <f>IFERROR(__xludf.DUMMYFUNCTION("""COMPUTED_VALUE"""),"In-Person")</f>
        <v>In-Person</v>
      </c>
      <c r="H1849" s="7" t="str">
        <f>IFERROR(__xludf.DUMMYFUNCTION("""COMPUTED_VALUE"""),"Hall 4/5")</f>
        <v>Hall 4/5</v>
      </c>
      <c r="I1849" s="7" t="str">
        <f>IFERROR(__xludf.DUMMYFUNCTION("""COMPUTED_VALUE"""),"Session 7: IP-Posters")</f>
        <v>Session 7: IP-Posters</v>
      </c>
      <c r="J1849" s="7" t="str">
        <f>IFERROR(__xludf.DUMMYFUNCTION("""COMPUTED_VALUE"""),"Poster Session 2")</f>
        <v>Poster Session 2</v>
      </c>
      <c r="K1849" s="7"/>
      <c r="L1849" s="8">
        <f>IFERROR(__xludf.DUMMYFUNCTION("""COMPUTED_VALUE"""),45867.0)</f>
        <v>45867</v>
      </c>
      <c r="M1849" s="7" t="str">
        <f>IFERROR(__xludf.DUMMYFUNCTION("""COMPUTED_VALUE"""),"10:30-12:00")</f>
        <v>10:30-12:00</v>
      </c>
      <c r="N1849" s="7"/>
    </row>
    <row r="1850">
      <c r="A1850" s="7" t="str">
        <f>IFERROR(__xludf.DUMMYFUNCTION("""COMPUTED_VALUE"""),"505-MAIN")</f>
        <v>505-MAIN</v>
      </c>
      <c r="B1850" s="7" t="str">
        <f>IFERROR(__xludf.DUMMYFUNCTION("""COMPUTED_VALUE"""),"Pandora's Box or Aladdin's Lamp: A Comprehensive Analysis Revealing the Role of RAG Noise in Large Language Models")</f>
        <v>Pandora's Box or Aladdin's Lamp: A Comprehensive Analysis Revealing the Role of RAG Noise in Large Language Models</v>
      </c>
      <c r="C1850" s="7" t="str">
        <f>IFERROR(__xludf.DUMMYFUNCTION("""COMPUTED_VALUE"""),"Retrieval-Augmented Generation (RAG) has emerged as a crucial method for addressing hallucinations in large language models (LLMs). While recent research has extended RAG models to complex noisy scenarios, these explorations often confine themselves to li"&amp;"mited noise types and presuppose that noise is inherently detrimental to LLMs, potentially deviating from real-world retrieval environments and restricting practical applicability. In this paper, we define seven distinct noise types from a linguistic pers"&amp;"pective and establish a Noise RAG Benchmark (NoiserBench), a comprehensive evaluation framework encompassing multiple datasets and reasoning tasks. Through empirical evaluation of eight representative LLMs with diverse architectures and scales, we reveal "&amp;"that these noises can be further categorized into two practical groups: noise that is beneficial to LLMs (aka beneficial noise) and noise that is harmful to LLMs (aka harmful noise). While harmful noise generally impairs performance, beneficial noise may "&amp;"enhance several aspects of model capabilities and overall performance. Our analysis offers insights for developing robust RAG solutions and mitigating hallucinations across diverse retrieval scenarios. Code is available at https://github.com/jinyangwu/Noi"&amp;"serBench.")</f>
        <v>Retrieval-Augmented Generation (RAG) has emerged as a crucial method for addressing hallucinations in large language models (LLMs). While recent research has extended RAG models to complex noisy scenarios, these explorations often confine themselves to limited noise types and presuppose that noise is inherently detrimental to LLMs, potentially deviating from real-world retrieval environments and restricting practical applicability. In this paper, we define seven distinct noise types from a linguistic perspective and establish a Noise RAG Benchmark (NoiserBench), a comprehensive evaluation framework encompassing multiple datasets and reasoning tasks. Through empirical evaluation of eight representative LLMs with diverse architectures and scales, we reveal that these noises can be further categorized into two practical groups: noise that is beneficial to LLMs (aka beneficial noise) and noise that is harmful to LLMs (aka harmful noise). While harmful noise generally impairs performance, beneficial noise may enhance several aspects of model capabilities and overall performance. Our analysis offers insights for developing robust RAG solutions and mitigating hallucinations across diverse retrieval scenarios. Code is available at https://github.com/jinyangwu/NoiserBench.</v>
      </c>
      <c r="D1850" s="7" t="str">
        <f>IFERROR(__xludf.DUMMYFUNCTION("""COMPUTED_VALUE"""),"Jinyang Wu")</f>
        <v>Jinyang Wu</v>
      </c>
      <c r="E1850" s="7" t="str">
        <f>IFERROR(__xludf.DUMMYFUNCTION("""COMPUTED_VALUE"""),"Yes")</f>
        <v>Yes</v>
      </c>
      <c r="F1850" s="7" t="str">
        <f>IFERROR(__xludf.DUMMYFUNCTION("""COMPUTED_VALUE"""),"V-Presentation")</f>
        <v>V-Presentation</v>
      </c>
      <c r="G1850" s="7" t="str">
        <f>IFERROR(__xludf.DUMMYFUNCTION("""COMPUTED_VALUE"""),"Virtual/Gather")</f>
        <v>Virtual/Gather</v>
      </c>
      <c r="H1850" s="7" t="str">
        <f>IFERROR(__xludf.DUMMYFUNCTION("""COMPUTED_VALUE"""),"Zoom")</f>
        <v>Zoom</v>
      </c>
      <c r="I1850" s="7" t="str">
        <f>IFERROR(__xludf.DUMMYFUNCTION("""COMPUTED_VALUE"""),"Session 10: V-Presenations")</f>
        <v>Session 10: V-Presenations</v>
      </c>
      <c r="J1850" s="7" t="str">
        <f>IFERROR(__xludf.DUMMYFUNCTION("""COMPUTED_VALUE"""),"Virtual Presentations 3")</f>
        <v>Virtual Presentations 3</v>
      </c>
      <c r="K1850" s="7"/>
      <c r="L1850" s="8">
        <f>IFERROR(__xludf.DUMMYFUNCTION("""COMPUTED_VALUE"""),45867.0)</f>
        <v>45867</v>
      </c>
      <c r="M1850" s="7" t="str">
        <f>IFERROR(__xludf.DUMMYFUNCTION("""COMPUTED_VALUE"""),"16:00-17:30")</f>
        <v>16:00-17:30</v>
      </c>
      <c r="N1850" s="7"/>
    </row>
    <row r="1851">
      <c r="A1851" s="7" t="str">
        <f>IFERROR(__xludf.DUMMYFUNCTION("""COMPUTED_VALUE"""),"506-MAIN")</f>
        <v>506-MAIN</v>
      </c>
      <c r="B1851" s="7" t="str">
        <f>IFERROR(__xludf.DUMMYFUNCTION("""COMPUTED_VALUE"""),"Stepwise Reasoning Disruption Attack of LLMs")</f>
        <v>Stepwise Reasoning Disruption Attack of LLMs</v>
      </c>
      <c r="C1851" s="7" t="str">
        <f>IFERROR(__xludf.DUMMYFUNCTION("""COMPUTED_VALUE"""),"Large language models (LLMs) have made remarkable strides in complex reasoning tasks, but their safety and robustness in reasoning processes remain unexplored, particularly in third-party platforms that facilitate user interactions via APIs. Existing atta"&amp;"cks on LLM reasoning are constrained by specific settings or lack of imperceptibility, limiting their feasibility and generalizability. To address these challenges, we propose the  Stepwise rEasoning Error Disruption (SEED) attack, which subtly injects er"&amp;"rors into prior reasoning steps to mislead the model into producing incorrect subsequent reasoning and final answers. Unlike previous methods, SEED is compatible with zero-shot and few-shot settings, maintains the natural reasoning flow, and ensures cover"&amp;"t execution without modifying the instruction. Extensive experiments on four datasets across four different models demonstrate SEED's effectiveness, revealing the vulnerabilities of LLMs to disruptions in reasoning processes. These findings underscore the"&amp;" need for greater attention to the robustness of LLM reasoning to ensure safety in practical applications. Our code is available at: https://github.com/Applied-Machine-Learning-Lab/SEED-Attack")</f>
        <v>Large language models (LLMs) have made remarkable strides in complex reasoning tasks, but their safety and robustness in reasoning processes remain unexplored, particularly in third-party platforms that facilitate user interactions via APIs. Existing attacks on LLM reasoning are constrained by specific settings or lack of imperceptibility, limiting their feasibility and generalizability. To address these challenges, we propose the  Stepwise rEasoning Error Disruption (SEED) attack, which subtly injects errors into prior reasoning steps to mislead the model into producing incorrect subsequent reasoning and final answers. Unlike previous methods, SEED is compatible with zero-shot and few-shot settings, maintains the natural reasoning flow, and ensures covert execution without modifying the instruction. Extensive experiments on four datasets across four different models demonstrate SEED's effectiveness, revealing the vulnerabilities of LLMs to disruptions in reasoning processes. These findings underscore the need for greater attention to the robustness of LLM reasoning to ensure safety in practical applications. Our code is available at: https://github.com/Applied-Machine-Learning-Lab/SEED-Attack</v>
      </c>
      <c r="D1851" s="7" t="str">
        <f>IFERROR(__xludf.DUMMYFUNCTION("""COMPUTED_VALUE"""),"Jingyu Peng")</f>
        <v>Jingyu Peng</v>
      </c>
      <c r="E1851" s="7" t="str">
        <f>IFERROR(__xludf.DUMMYFUNCTION("""COMPUTED_VALUE"""),"Yes")</f>
        <v>Yes</v>
      </c>
      <c r="F1851" s="7" t="str">
        <f>IFERROR(__xludf.DUMMYFUNCTION("""COMPUTED_VALUE"""),"IP-Poster")</f>
        <v>IP-Poster</v>
      </c>
      <c r="G1851" s="7" t="str">
        <f>IFERROR(__xludf.DUMMYFUNCTION("""COMPUTED_VALUE"""),"In-Person")</f>
        <v>In-Person</v>
      </c>
      <c r="H1851" s="7" t="str">
        <f>IFERROR(__xludf.DUMMYFUNCTION("""COMPUTED_VALUE"""),"Hall 4/5")</f>
        <v>Hall 4/5</v>
      </c>
      <c r="I1851" s="7" t="str">
        <f>IFERROR(__xludf.DUMMYFUNCTION("""COMPUTED_VALUE"""),"Session 12: IP-Posters")</f>
        <v>Session 12: IP-Posters</v>
      </c>
      <c r="J1851" s="7" t="str">
        <f>IFERROR(__xludf.DUMMYFUNCTION("""COMPUTED_VALUE"""),"Poster Session 4")</f>
        <v>Poster Session 4</v>
      </c>
      <c r="K1851" s="7"/>
      <c r="L1851" s="8">
        <f>IFERROR(__xludf.DUMMYFUNCTION("""COMPUTED_VALUE"""),45868.0)</f>
        <v>45868</v>
      </c>
      <c r="M1851" s="7" t="str">
        <f>IFERROR(__xludf.DUMMYFUNCTION("""COMPUTED_VALUE"""),"11:00-12:30")</f>
        <v>11:00-12:30</v>
      </c>
      <c r="N1851" s="7"/>
    </row>
    <row r="1852">
      <c r="A1852" s="7" t="str">
        <f>IFERROR(__xludf.DUMMYFUNCTION("""COMPUTED_VALUE"""),"507-MAIN")</f>
        <v>507-MAIN</v>
      </c>
      <c r="B1852" s="7" t="str">
        <f>IFERROR(__xludf.DUMMYFUNCTION("""COMPUTED_VALUE"""),"Crowd Comparative Reasoning: Unlocking Comprehensive Evaluations for LLM-as-a-Judge")</f>
        <v>Crowd Comparative Reasoning: Unlocking Comprehensive Evaluations for LLM-as-a-Judge</v>
      </c>
      <c r="C1852" s="7" t="str">
        <f>IFERROR(__xludf.DUMMYFUNCTION("""COMPUTED_VALUE"""),"LLM-as-a-Judge, which generates chain-of-thought (CoT) judgments, has become a widely adopted auto-evaluation method. However, its reliability is compromised by the CoT reasoning’s inability to capture comprehensive and deeper details, often leading to in"&amp;"complete outcomes. Existing methods mainly rely on majority voting or criteria expansion, which is insufficient to address the limitation in CoT. We propose Crowd-based Comparative Evaluation, which introduces additional crowd responses to compare with th"&amp;"e candidate responses, thereby exposing deeper and more comprehensive details within the candidate responses. This process effectively guides LLM-as-a-Judge to provide a more detailed CoT judgment. Extensive experiments demonstrate that our approach enhan"&amp;"ces evaluation reliability, achieving an average accuracy gain of 6.7% across five benchmarks. Moreover, our method produces higher-quality CoTs that facilitate judge distillation and exhibit superior performance in rejection sampling for supervised fine-"&amp;"tuning (SFT), referred to as crowd rejection sampling, thereby enabling more efficient SFT. Our analysis confirms that CoTs generated by ours are more comprehensive and of higher quality, and evaluation accuracy improves as inference scales.")</f>
        <v>LLM-as-a-Judge, which generates chain-of-thought (CoT) judgments, has become a widely adopted auto-evaluation method. However, its reliability is compromised by the CoT reasoning’s inability to capture comprehensive and deeper details, often leading to incomplete outcomes. Existing methods mainly rely on majority voting or criteria expansion, which is insufficient to address the limitation in CoT. We propose Crowd-based Comparative Evaluation, which introduces additional crowd responses to compare with the candidate responses, thereby exposing deeper and more comprehensive details within the candidate responses. This process effectively guides LLM-as-a-Judge to provide a more detailed CoT judgment. Extensive experiments demonstrate that our approach enhances evaluation reliability, achieving an average accuracy gain of 6.7% across five benchmarks. Moreover, our method produces higher-quality CoTs that facilitate judge distillation and exhibit superior performance in rejection sampling for supervised fine-tuning (SFT), referred to as crowd rejection sampling, thereby enabling more efficient SFT. Our analysis confirms that CoTs generated by ours are more comprehensive and of higher quality, and evaluation accuracy improves as inference scales.</v>
      </c>
      <c r="D1852" s="7" t="str">
        <f>IFERROR(__xludf.DUMMYFUNCTION("""COMPUTED_VALUE"""),"Qiyuan Zhang, Yufei Wang, Fuyuan Lyu")</f>
        <v>Qiyuan Zhang, Yufei Wang, Fuyuan Lyu</v>
      </c>
      <c r="E1852" s="7" t="str">
        <f>IFERROR(__xludf.DUMMYFUNCTION("""COMPUTED_VALUE"""),"Yes")</f>
        <v>Yes</v>
      </c>
      <c r="F1852" s="7" t="str">
        <f>IFERROR(__xludf.DUMMYFUNCTION("""COMPUTED_VALUE"""),"IP-Poster")</f>
        <v>IP-Poster</v>
      </c>
      <c r="G1852" s="7" t="str">
        <f>IFERROR(__xludf.DUMMYFUNCTION("""COMPUTED_VALUE"""),"In-Person")</f>
        <v>In-Person</v>
      </c>
      <c r="H1852" s="7" t="str">
        <f>IFERROR(__xludf.DUMMYFUNCTION("""COMPUTED_VALUE"""),"Hall 4/5")</f>
        <v>Hall 4/5</v>
      </c>
      <c r="I1852" s="7" t="str">
        <f>IFERROR(__xludf.DUMMYFUNCTION("""COMPUTED_VALUE"""),"Session 7: IP-Posters")</f>
        <v>Session 7: IP-Posters</v>
      </c>
      <c r="J1852" s="7" t="str">
        <f>IFERROR(__xludf.DUMMYFUNCTION("""COMPUTED_VALUE"""),"Poster Session 2")</f>
        <v>Poster Session 2</v>
      </c>
      <c r="K1852" s="7"/>
      <c r="L1852" s="8">
        <f>IFERROR(__xludf.DUMMYFUNCTION("""COMPUTED_VALUE"""),45867.0)</f>
        <v>45867</v>
      </c>
      <c r="M1852" s="7" t="str">
        <f>IFERROR(__xludf.DUMMYFUNCTION("""COMPUTED_VALUE"""),"10:30-12:00")</f>
        <v>10:30-12:00</v>
      </c>
      <c r="N1852" s="7"/>
    </row>
    <row r="1853">
      <c r="A1853" s="7" t="str">
        <f>IFERROR(__xludf.DUMMYFUNCTION("""COMPUTED_VALUE"""),"512-MAIN")</f>
        <v>512-MAIN</v>
      </c>
      <c r="B1853" s="7" t="str">
        <f>IFERROR(__xludf.DUMMYFUNCTION("""COMPUTED_VALUE"""),"Lost in Multilinguality: Dissecting Cross-lingual Factual Inconsistency in Transformer Language Models")</f>
        <v>Lost in Multilinguality: Dissecting Cross-lingual Factual Inconsistency in Transformer Language Models</v>
      </c>
      <c r="C1853" s="7" t="str">
        <f>IFERROR(__xludf.DUMMYFUNCTION("""COMPUTED_VALUE"""),"Multilingual language models (MLMs) store factual knowledge across languages but often struggle to provide consistent responses to semantically equivalent prompts in different languages. While previous studies point out this cross-lingual inconsistency is"&amp;"sue, the underlying causes remain unexplored. In this work, we use mechanistic interpretability methods to investigate cross-lingual inconsistencies in MLMs.  We find that MLMs encode knowledge in a language-independent concept space through most layers, "&amp;"and only transition to language-specific spaces in the final layers. Failures during the language transition often result in incorrect predictions in the target language, even when the answers are correct in other languages. To mitigate this inconsistency"&amp;" issue, we propose a linear shortcut method that bypasses computations in the final layers, enhancing both prediction accuracy and cross-lingual consistency.  Our findings shed light on the internal mechanisms of MLMs and provide a lightweight, effective "&amp;"strategy for producing more consistent factual outputs.")</f>
        <v>Multilingual language models (MLMs) store factual knowledge across languages but often struggle to provide consistent responses to semantically equivalent prompts in different languages. While previous studies point out this cross-lingual inconsistency issue, the underlying causes remain unexplored. In this work, we use mechanistic interpretability methods to investigate cross-lingual inconsistencies in MLMs.  We find that MLMs encode knowledge in a language-independent concept space through most layers, and only transition to language-specific spaces in the final layers. Failures during the language transition often result in incorrect predictions in the target language, even when the answers are correct in other languages. To mitigate this inconsistency issue, we propose a linear shortcut method that bypasses computations in the final layers, enhancing both prediction accuracy and cross-lingual consistency.  Our findings shed light on the internal mechanisms of MLMs and provide a lightweight, effective strategy for producing more consistent factual outputs.</v>
      </c>
      <c r="D1853" s="7" t="str">
        <f>IFERROR(__xludf.DUMMYFUNCTION("""COMPUTED_VALUE"""),"Mingyang Wang")</f>
        <v>Mingyang Wang</v>
      </c>
      <c r="E1853" s="7" t="str">
        <f>IFERROR(__xludf.DUMMYFUNCTION("""COMPUTED_VALUE"""),"Yes")</f>
        <v>Yes</v>
      </c>
      <c r="F1853" s="7" t="str">
        <f>IFERROR(__xludf.DUMMYFUNCTION("""COMPUTED_VALUE"""),"IP-Poster")</f>
        <v>IP-Poster</v>
      </c>
      <c r="G1853" s="7" t="str">
        <f>IFERROR(__xludf.DUMMYFUNCTION("""COMPUTED_VALUE"""),"In-Person")</f>
        <v>In-Person</v>
      </c>
      <c r="H1853" s="7" t="str">
        <f>IFERROR(__xludf.DUMMYFUNCTION("""COMPUTED_VALUE"""),"Hall 4/5")</f>
        <v>Hall 4/5</v>
      </c>
      <c r="I1853" s="7" t="str">
        <f>IFERROR(__xludf.DUMMYFUNCTION("""COMPUTED_VALUE"""),"Session 12: IP-Posters")</f>
        <v>Session 12: IP-Posters</v>
      </c>
      <c r="J1853" s="7" t="str">
        <f>IFERROR(__xludf.DUMMYFUNCTION("""COMPUTED_VALUE"""),"Poster Session 4")</f>
        <v>Poster Session 4</v>
      </c>
      <c r="K1853" s="7"/>
      <c r="L1853" s="8">
        <f>IFERROR(__xludf.DUMMYFUNCTION("""COMPUTED_VALUE"""),45868.0)</f>
        <v>45868</v>
      </c>
      <c r="M1853" s="7" t="str">
        <f>IFERROR(__xludf.DUMMYFUNCTION("""COMPUTED_VALUE"""),"11:00-12:30")</f>
        <v>11:00-12:30</v>
      </c>
      <c r="N1853" s="7"/>
    </row>
    <row r="1854">
      <c r="A1854" s="7" t="str">
        <f>IFERROR(__xludf.DUMMYFUNCTION("""COMPUTED_VALUE"""),"513-MAIN")</f>
        <v>513-MAIN</v>
      </c>
      <c r="B1854" s="7" t="str">
        <f>IFERROR(__xludf.DUMMYFUNCTION("""COMPUTED_VALUE"""),"Optimizing Decomposition for Optimal Claim Verification")</f>
        <v>Optimizing Decomposition for Optimal Claim Verification</v>
      </c>
      <c r="C1854" s="7" t="str">
        <f>IFERROR(__xludf.DUMMYFUNCTION("""COMPUTED_VALUE"""),"Current research on the Decompose-Then-Verify paradigm for evaluating the factuality of long-form text typically treats decomposition and verification in isolation, overlooking their interactions and potential misalignment. We find that existing decomposi"&amp;"tion policies, typically hand-crafted demonstrations, do not align well with downstream verifiers in terms of atomicity—a novel metric quantifying information density—leading to suboptimal verification results. We formulate finding the optimal decompositi"&amp;"on policy for optimal verification as a bilevel optimization problem. To approximate a solution for this strongly NP-hard problem, we propose dynamic decomposition, a reinforcement learning framework that leverages verifier feedback to learn a policy for "&amp;"dynamically decomposing claims to verifier-preferred atomicity. Experimental results show that dynamic decomposition outperforms existing decomposition policies, improving verification confidence by 0.07 and accuracy by 0.12 (on a 0-1 scale) on average ac"&amp;"ross varying verifiers, datasets, and atomcities of input claims.")</f>
        <v>Current research on the Decompose-Then-Verify paradigm for evaluating the factuality of long-form text typically treats decomposition and verification in isolation, overlooking their interactions and potential misalignment. We find that existing decomposition policies, typically hand-crafted demonstrations, do not align well with downstream verifiers in terms of atomicity—a novel metric quantifying information density—leading to suboptimal verification results. We formulate finding the optimal decomposition policy for optimal verification as a bilevel optimization problem. To approximate a solution for this strongly NP-hard problem, we propose dynamic decomposition, a reinforcement learning framework that leverages verifier feedback to learn a policy for dynamically decomposing claims to verifier-preferred atomicity. Experimental results show that dynamic decomposition outperforms existing decomposition policies, improving verification confidence by 0.07 and accuracy by 0.12 (on a 0-1 scale) on average across varying verifiers, datasets, and atomcities of input claims.</v>
      </c>
      <c r="D1854" s="7" t="str">
        <f>IFERROR(__xludf.DUMMYFUNCTION("""COMPUTED_VALUE"""),"Yining Lu")</f>
        <v>Yining Lu</v>
      </c>
      <c r="E1854" s="7" t="str">
        <f>IFERROR(__xludf.DUMMYFUNCTION("""COMPUTED_VALUE"""),"Yes")</f>
        <v>Yes</v>
      </c>
      <c r="F1854" s="7" t="str">
        <f>IFERROR(__xludf.DUMMYFUNCTION("""COMPUTED_VALUE"""),"V-Presentation")</f>
        <v>V-Presentation</v>
      </c>
      <c r="G1854" s="7" t="str">
        <f>IFERROR(__xludf.DUMMYFUNCTION("""COMPUTED_VALUE"""),"In-Person")</f>
        <v>In-Person</v>
      </c>
      <c r="H1854" s="7"/>
      <c r="I1854" s="7"/>
      <c r="J1854" s="7"/>
      <c r="K1854" s="7"/>
      <c r="L1854" s="8"/>
      <c r="M1854" s="7"/>
      <c r="N1854" s="7"/>
    </row>
    <row r="1855">
      <c r="A1855" s="7" t="str">
        <f>IFERROR(__xludf.DUMMYFUNCTION("""COMPUTED_VALUE"""),"514-MAIN")</f>
        <v>514-MAIN</v>
      </c>
      <c r="B1855" s="7" t="str">
        <f>IFERROR(__xludf.DUMMYFUNCTION("""COMPUTED_VALUE"""),"GradOT: Training-free Gradient-persevering Offsite-tuning for Large Language Models")</f>
        <v>GradOT: Training-free Gradient-persevering Offsite-tuning for Large Language Models</v>
      </c>
      <c r="C1855" s="7" t="str">
        <f>IFERROR(__xludf.DUMMYFUNCTION("""COMPUTED_VALUE"""),"The rapid growth of large language models (LLMs) with traditional centralized fine-tuning emerges as a key technique for adapting these models to domain-specific challenges, yielding privacy risks for both model and data owners. One promising solution, ca"&amp;"lled offsite-tuning (OT), is proposed to address these challenges, where a weaker emulator is compressed from the original model and further fine-tuned with adapter to enhance privacy. However, the existing OT-based methods require high computational cost"&amp;"s and lack theoretical analysis. This paper introduces a novel OT approach based on gradient-preserving compression. By analyzing the OT problem through the lens of optimization, we propose a method that selectively applies compression techniques such as "&amp;"rank compression and channel pruning, preserving the gradients of fine-tuned adapters while ensuring privacy. Extensive experiments demonstrate that our approach surpasses existing OT methods, both in terms of privacy protection and model performance. Our"&amp;" method provides a theoretical foundation for OT and offers a practical, training-free solution for offsite-tuning of large-scale LLMs.")</f>
        <v>The rapid growth of large language models (LLMs) with traditional centralized fine-tuning emerges as a key technique for adapting these models to domain-specific challenges, yielding privacy risks for both model and data owners. One promising solution, called offsite-tuning (OT), is proposed to address these challenges, where a weaker emulator is compressed from the original model and further fine-tuned with adapter to enhance privacy. However, the existing OT-based methods require high computational costs and lack theoretical analysis. This paper introduces a novel OT approach based on gradient-preserving compression. By analyzing the OT problem through the lens of optimization, we propose a method that selectively applies compression techniques such as rank compression and channel pruning, preserving the gradients of fine-tuned adapters while ensuring privacy. Extensive experiments demonstrate that our approach surpasses existing OT methods, both in terms of privacy protection and model performance. Our method provides a theoretical foundation for OT and offers a practical, training-free solution for offsite-tuning of large-scale LLMs.</v>
      </c>
      <c r="D1855" s="7" t="str">
        <f>IFERROR(__xludf.DUMMYFUNCTION("""COMPUTED_VALUE"""),"Jianke Zhu")</f>
        <v>Jianke Zhu</v>
      </c>
      <c r="E1855" s="7" t="str">
        <f>IFERROR(__xludf.DUMMYFUNCTION("""COMPUTED_VALUE"""),"Yes")</f>
        <v>Yes</v>
      </c>
      <c r="F1855" s="7" t="str">
        <f>IFERROR(__xludf.DUMMYFUNCTION("""COMPUTED_VALUE"""),"IP-Poster")</f>
        <v>IP-Poster</v>
      </c>
      <c r="G1855" s="7" t="str">
        <f>IFERROR(__xludf.DUMMYFUNCTION("""COMPUTED_VALUE"""),"In-Person")</f>
        <v>In-Person</v>
      </c>
      <c r="H1855" s="7" t="str">
        <f>IFERROR(__xludf.DUMMYFUNCTION("""COMPUTED_VALUE"""),"Hall 4/5")</f>
        <v>Hall 4/5</v>
      </c>
      <c r="I1855" s="7" t="str">
        <f>IFERROR(__xludf.DUMMYFUNCTION("""COMPUTED_VALUE"""),"Session 7: IP-Posters")</f>
        <v>Session 7: IP-Posters</v>
      </c>
      <c r="J1855" s="7" t="str">
        <f>IFERROR(__xludf.DUMMYFUNCTION("""COMPUTED_VALUE"""),"Poster Session 2")</f>
        <v>Poster Session 2</v>
      </c>
      <c r="K1855" s="7"/>
      <c r="L1855" s="8">
        <f>IFERROR(__xludf.DUMMYFUNCTION("""COMPUTED_VALUE"""),45867.0)</f>
        <v>45867</v>
      </c>
      <c r="M1855" s="7" t="str">
        <f>IFERROR(__xludf.DUMMYFUNCTION("""COMPUTED_VALUE"""),"10:30-12:00")</f>
        <v>10:30-12:00</v>
      </c>
      <c r="N1855" s="7"/>
    </row>
    <row r="1856">
      <c r="A1856" s="7" t="str">
        <f>IFERROR(__xludf.DUMMYFUNCTION("""COMPUTED_VALUE"""),"515-MAIN")</f>
        <v>515-MAIN</v>
      </c>
      <c r="B1856" s="7" t="str">
        <f>IFERROR(__xludf.DUMMYFUNCTION("""COMPUTED_VALUE"""),"Knowledge Boundary of Large Language Models: A Survey")</f>
        <v>Knowledge Boundary of Large Language Models: A Survey</v>
      </c>
      <c r="C1856" s="7" t="str">
        <f>IFERROR(__xludf.DUMMYFUNCTION("""COMPUTED_VALUE"""),"Although large language models (LLMs) store vast amount of knowledge in their parameters, they still have limitations in the memorization and utilization of certain knowledge, leading to undesired behaviors such as generating untruthful and inaccurate res"&amp;"ponses. This highlights the critical need to understand the knowledge boundary of LLMs, a concept that remains inadequately defined in existing research. In this survey, we propose a comprehensive definition of the LLM knowledge boundary and introduce a f"&amp;"ormalized taxonomy categorizing knowledge into four distinct types. Using this foundation, we systematically review the field through three key lenses: the motivation for studying LLM knowledge boundaries, methods for identifying these boundaries, and str"&amp;"ategies for mitigating the challenges they present. Finally, we discuss open challenges and potential research directions in this area. We aim for this survey to offer the community a comprehensive overview, facilitate access to key issues, and inspire fu"&amp;"rther advancements in LLM knowledge research.")</f>
        <v>Although large language models (LLMs) store vast amount of knowledge in their parameters, they still have limitations in the memorization and utilization of certain knowledge, leading to undesired behaviors such as generating untruthful and inaccurate responses. This highlights the critical need to understand the knowledge boundary of LLMs, a concept that remains inadequately defined in existing research. In this survey, we propose a comprehensive definition of the LLM knowledge boundary and introduce a formalized taxonomy categorizing knowledge into four distinct types. Using this foundation, we systematically review the field through three key lenses: the motivation for studying LLM knowledge boundaries, methods for identifying these boundaries, and strategies for mitigating the challenges they present. Finally, we discuss open challenges and potential research directions in this area. We aim for this survey to offer the community a comprehensive overview, facilitate access to key issues, and inspire further advancements in LLM knowledge research.</v>
      </c>
      <c r="D1856" s="7" t="str">
        <f>IFERROR(__xludf.DUMMYFUNCTION("""COMPUTED_VALUE"""),"Moxin Li")</f>
        <v>Moxin Li</v>
      </c>
      <c r="E1856" s="7" t="str">
        <f>IFERROR(__xludf.DUMMYFUNCTION("""COMPUTED_VALUE"""),"Yes")</f>
        <v>Yes</v>
      </c>
      <c r="F1856" s="7" t="str">
        <f>IFERROR(__xludf.DUMMYFUNCTION("""COMPUTED_VALUE"""),"IP-Oral")</f>
        <v>IP-Oral</v>
      </c>
      <c r="G1856" s="7" t="str">
        <f>IFERROR(__xludf.DUMMYFUNCTION("""COMPUTED_VALUE"""),"In-Person")</f>
        <v>In-Person</v>
      </c>
      <c r="H1856" s="7" t="str">
        <f>IFERROR(__xludf.DUMMYFUNCTION("""COMPUTED_VALUE"""),"Room 1.86")</f>
        <v>Room 1.86</v>
      </c>
      <c r="I1856" s="7" t="str">
        <f>IFERROR(__xludf.DUMMYFUNCTION("""COMPUTED_VALUE"""),"Session 11: IP-Orals ")</f>
        <v>Session 11: IP-Orals </v>
      </c>
      <c r="J1856" s="7" t="str">
        <f>IFERROR(__xludf.DUMMYFUNCTION("""COMPUTED_VALUE"""),"Question Answering ")</f>
        <v>Question Answering </v>
      </c>
      <c r="K1856" s="7"/>
      <c r="L1856" s="8">
        <f>IFERROR(__xludf.DUMMYFUNCTION("""COMPUTED_VALUE"""),45868.0)</f>
        <v>45868</v>
      </c>
      <c r="M1856" s="7" t="str">
        <f>IFERROR(__xludf.DUMMYFUNCTION("""COMPUTED_VALUE"""),"09:00-10:30")</f>
        <v>09:00-10:30</v>
      </c>
      <c r="N1856" s="7">
        <f>IFERROR(__xludf.DUMMYFUNCTION("""COMPUTED_VALUE"""),2.0)</f>
        <v>2</v>
      </c>
    </row>
    <row r="1857">
      <c r="A1857" s="7" t="str">
        <f>IFERROR(__xludf.DUMMYFUNCTION("""COMPUTED_VALUE"""),"516-MAIN")</f>
        <v>516-MAIN</v>
      </c>
      <c r="B1857" s="7" t="str">
        <f>IFERROR(__xludf.DUMMYFUNCTION("""COMPUTED_VALUE"""),"Mitigating Visual Forgetting via Take-along Visual Conditioning for Multi-modal Long CoT Reasoning")</f>
        <v>Mitigating Visual Forgetting via Take-along Visual Conditioning for Multi-modal Long CoT Reasoning</v>
      </c>
      <c r="C1857" s="7" t="str">
        <f>IFERROR(__xludf.DUMMYFUNCTION("""COMPUTED_VALUE"""),"Recent advancements in Large Language Models (LLMs) have demonstrated enhanced reasoning capabilities, evolving from Chain-of-Thought (CoT) prompting to advanced, product-oriented solutions like OpenAI o1. During our re-implementation of this model, we no"&amp;"ticed that in multimodal tasks requiring visual input (e.g., geometry problems), Multimodal LLMs (MLLMs) struggle to maintain focus on the visual information, in other words, MLLMs suffer from a gradual decline in attention to visual information as reason"&amp;"ing progresses, causing text-over-relied outputs. To investigate this, we ablate image inputs during long-chain reasoning. Concretely, we truncate the reasoning process midway, then re-complete the reasoning process with the input image removed. We observ"&amp;"e only a ~2 accuracy drop on MathVista’s test-hard subset, revealing the model's textual outputs dominate the following reasoning process. Motivated by this, we propose Take-along Visual Conditioning (TVC), a strategy that shifts image input to critical r"&amp;"easoning stages and compresses redundant visual tokens via dynamic pruning. This methodology helps the model retain attention to the visual components throughout the reasoning. Our approach achieves state-of-the-art performance on average across five math"&amp;"ematical reasoning benchmarks (+3.4% vs previous sota), demonstrating the effectiveness of TVC in enhancing multimodal reasoning systems. The project page is available at \url{https://sun-hailong.github.io/projects/TVC}.")</f>
        <v>Recent advancements in Large Language Models (LLMs) have demonstrated enhanced reasoning capabilities, evolving from Chain-of-Thought (CoT) prompting to advanced, product-oriented solutions like OpenAI o1. During our re-implementation of this model, we noticed that in multimodal tasks requiring visual input (e.g., geometry problems), Multimodal LLMs (MLLMs) struggle to maintain focus on the visual information, in other words, MLLMs suffer from a gradual decline in attention to visual information as reasoning progresses, causing text-over-relied outputs. To investigate this, we ablate image inputs during long-chain reasoning. Concretely, we truncate the reasoning process midway, then re-complete the reasoning process with the input image removed. We observe only a ~2 accuracy drop on MathVista’s test-hard subset, revealing the model's textual outputs dominate the following reasoning process. Motivated by this, we propose Take-along Visual Conditioning (TVC), a strategy that shifts image input to critical reasoning stages and compresses redundant visual tokens via dynamic pruning. This methodology helps the model retain attention to the visual components throughout the reasoning. Our approach achieves state-of-the-art performance on average across five mathematical reasoning benchmarks (+3.4% vs previous sota), demonstrating the effectiveness of TVC in enhancing multimodal reasoning systems. The project page is available at \url{https://sun-hailong.github.io/projects/TVC}.</v>
      </c>
      <c r="D1857" s="7" t="str">
        <f>IFERROR(__xludf.DUMMYFUNCTION("""COMPUTED_VALUE"""),"Hai-Long Sun")</f>
        <v>Hai-Long Sun</v>
      </c>
      <c r="E1857" s="7" t="str">
        <f>IFERROR(__xludf.DUMMYFUNCTION("""COMPUTED_VALUE"""),"Yes")</f>
        <v>Yes</v>
      </c>
      <c r="F1857" s="7" t="str">
        <f>IFERROR(__xludf.DUMMYFUNCTION("""COMPUTED_VALUE"""),"IP-Poster")</f>
        <v>IP-Poster</v>
      </c>
      <c r="G1857" s="7" t="str">
        <f>IFERROR(__xludf.DUMMYFUNCTION("""COMPUTED_VALUE"""),"In-Person")</f>
        <v>In-Person</v>
      </c>
      <c r="H1857" s="7" t="str">
        <f>IFERROR(__xludf.DUMMYFUNCTION("""COMPUTED_VALUE"""),"Hall 4/5")</f>
        <v>Hall 4/5</v>
      </c>
      <c r="I1857" s="7" t="str">
        <f>IFERROR(__xludf.DUMMYFUNCTION("""COMPUTED_VALUE"""),"Session 10: IP-Posters")</f>
        <v>Session 10: IP-Posters</v>
      </c>
      <c r="J1857" s="7" t="str">
        <f>IFERROR(__xludf.DUMMYFUNCTION("""COMPUTED_VALUE"""),"Poster Session 3")</f>
        <v>Poster Session 3</v>
      </c>
      <c r="K1857" s="7"/>
      <c r="L1857" s="8">
        <f>IFERROR(__xludf.DUMMYFUNCTION("""COMPUTED_VALUE"""),45867.0)</f>
        <v>45867</v>
      </c>
      <c r="M1857" s="7" t="str">
        <f>IFERROR(__xludf.DUMMYFUNCTION("""COMPUTED_VALUE"""),"16:00-17:30")</f>
        <v>16:00-17:30</v>
      </c>
      <c r="N1857" s="7"/>
    </row>
    <row r="1858">
      <c r="A1858" s="7" t="str">
        <f>IFERROR(__xludf.DUMMYFUNCTION("""COMPUTED_VALUE"""),"517-MAIN")</f>
        <v>517-MAIN</v>
      </c>
      <c r="B1858" s="7" t="str">
        <f>IFERROR(__xludf.DUMMYFUNCTION("""COMPUTED_VALUE"""),"MoC: Mixtures of Text Chunking Learners for Retrieval-Augmented Generation System")</f>
        <v>MoC: Mixtures of Text Chunking Learners for Retrieval-Augmented Generation System</v>
      </c>
      <c r="C1858" s="7" t="str">
        <f>IFERROR(__xludf.DUMMYFUNCTION("""COMPUTED_VALUE"""),"Retrieval-Augmented Generation (RAG), while serving as a viable complement to large language models (LLMs), often overlooks the crucial aspect of text chunking within its pipeline. This paper initially introduces a dual-metric evaluation method, comprisin"&amp;"g Boundary Clarity and Chunk Stickiness, to enable the direct quantification of chunking quality. Leveraging this assessment method, we highlight the inherent limitations of traditional and semantic chunking in handling complex contextual nuances, thereby"&amp;" substantiating the necessity of integrating LLMs into chunking process. To address the inherent trade-off between computational efficiency and chunking precision in LLM-based approaches, we devise the granularity-aware Mixture-of-Chunkers (MoC) framework"&amp;", which consists of a three-stage processing mechanism. Notably, our objective is to guide the chunker towards generating a structured list of chunking regular expressions, which are subsequently employed to extract chunks from the original text. Extensiv"&amp;"e experiments demonstrate that both our proposed metrics and the MoC framework effectively settle challenges of the chunking task, revealing the chunking kernel while enhancing the performance of the RAG system.")</f>
        <v>Retrieval-Augmented Generation (RAG), while serving as a viable complement to large language models (LLMs), often overlooks the crucial aspect of text chunking within its pipeline. This paper initially introduces a dual-metric evaluation method, comprising Boundary Clarity and Chunk Stickiness, to enable the direct quantification of chunking quality. Leveraging this assessment method, we highlight the inherent limitations of traditional and semantic chunking in handling complex contextual nuances, thereby substantiating the necessity of integrating LLMs into chunking process. To address the inherent trade-off between computational efficiency and chunking precision in LLM-based approaches, we devise the granularity-aware Mixture-of-Chunkers (MoC) framework, which consists of a three-stage processing mechanism. Notably, our objective is to guide the chunker towards generating a structured list of chunking regular expressions, which are subsequently employed to extract chunks from the original text. Extensive experiments demonstrate that both our proposed metrics and the MoC framework effectively settle challenges of the chunking task, revealing the chunking kernel while enhancing the performance of the RAG system.</v>
      </c>
      <c r="D1858" s="7" t="str">
        <f>IFERROR(__xludf.DUMMYFUNCTION("""COMPUTED_VALUE"""),"Jihao Zhao")</f>
        <v>Jihao Zhao</v>
      </c>
      <c r="E1858" s="7" t="str">
        <f>IFERROR(__xludf.DUMMYFUNCTION("""COMPUTED_VALUE"""),"Yes")</f>
        <v>Yes</v>
      </c>
      <c r="F1858" s="7" t="str">
        <f>IFERROR(__xludf.DUMMYFUNCTION("""COMPUTED_VALUE"""),"V-Presentation")</f>
        <v>V-Presentation</v>
      </c>
      <c r="G1858" s="7" t="str">
        <f>IFERROR(__xludf.DUMMYFUNCTION("""COMPUTED_VALUE"""),"Virtual/Gather")</f>
        <v>Virtual/Gather</v>
      </c>
      <c r="H1858" s="7" t="str">
        <f>IFERROR(__xludf.DUMMYFUNCTION("""COMPUTED_VALUE"""),"Zoom")</f>
        <v>Zoom</v>
      </c>
      <c r="I1858" s="7" t="str">
        <f>IFERROR(__xludf.DUMMYFUNCTION("""COMPUTED_VALUE"""),"Session 2: V-Presentations")</f>
        <v>Session 2: V-Presentations</v>
      </c>
      <c r="J1858" s="7" t="str">
        <f>IFERROR(__xludf.DUMMYFUNCTION("""COMPUTED_VALUE"""),"Virtual Presentations 1")</f>
        <v>Virtual Presentations 1</v>
      </c>
      <c r="K1858" s="7"/>
      <c r="L1858" s="8">
        <f>IFERROR(__xludf.DUMMYFUNCTION("""COMPUTED_VALUE"""),45866.0)</f>
        <v>45866</v>
      </c>
      <c r="M1858" s="7" t="str">
        <f>IFERROR(__xludf.DUMMYFUNCTION("""COMPUTED_VALUE"""),"11:00-12:30")</f>
        <v>11:00-12:30</v>
      </c>
      <c r="N1858" s="7"/>
    </row>
    <row r="1859">
      <c r="A1859" s="7" t="str">
        <f>IFERROR(__xludf.DUMMYFUNCTION("""COMPUTED_VALUE"""),"518-MAIN")</f>
        <v>518-MAIN</v>
      </c>
      <c r="B1859" s="7" t="str">
        <f>IFERROR(__xludf.DUMMYFUNCTION("""COMPUTED_VALUE"""),"Mitigating Selection Bias with Node Pruning and Auxiliary Options")</f>
        <v>Mitigating Selection Bias with Node Pruning and Auxiliary Options</v>
      </c>
      <c r="C1859" s="7" t="str">
        <f>IFERROR(__xludf.DUMMYFUNCTION("""COMPUTED_VALUE"""),"Large language models (LLMs) often exhibit systematic preferences for certain answer choices when responding to multiple-choice questions—a behavior known as selection bias. This bias reduces the accuracy and reliability of LLM outputs, limiting their use"&amp;"fulness in decision-critical applications. While prior work has focused on adjusting model inputs or outputs to mitigate this issue, our work takes a fundamentally different approach by identifying and removing the internal sources of bias. We introduce t"&amp;"wo methods: Bias Node Pruning (BNP), which prunes parameters that contribute to selection bias, and Auxiliary Option Injection (AOI), which introduces an additional answer choice to reduce bias in both white-box and black-box settings. To address the shor"&amp;"tcomings of existing evaluation metrics, we propose Choice Kullback-Leibler Divergence (CKLD), a new metric that captures distributional imbalances in model predictions. Experiments on three LLMs across multiple datasets demonstrate that our methods consi"&amp;"stently improve answer accuracy while reducing selection bias, providing a robust solution for both open- and closed-source models.")</f>
        <v>Large language models (LLMs) often exhibit systematic preferences for certain answer choices when responding to multiple-choice questions—a behavior known as selection bias. This bias reduces the accuracy and reliability of LLM outputs, limiting their usefulness in decision-critical applications. While prior work has focused on adjusting model inputs or outputs to mitigate this issue, our work takes a fundamentally different approach by identifying and removing the internal sources of bias. We introduce two methods: Bias Node Pruning (BNP), which prunes parameters that contribute to selection bias, and Auxiliary Option Injection (AOI), which introduces an additional answer choice to reduce bias in both white-box and black-box settings. To address the shortcomings of existing evaluation metrics, we propose Choice Kullback-Leibler Divergence (CKLD), a new metric that captures distributional imbalances in model predictions. Experiments on three LLMs across multiple datasets demonstrate that our methods consistently improve answer accuracy while reducing selection bias, providing a robust solution for both open- and closed-source models.</v>
      </c>
      <c r="D1859" s="7" t="str">
        <f>IFERROR(__xludf.DUMMYFUNCTION("""COMPUTED_VALUE"""),"Weijie Xu")</f>
        <v>Weijie Xu</v>
      </c>
      <c r="E1859" s="7" t="str">
        <f>IFERROR(__xludf.DUMMYFUNCTION("""COMPUTED_VALUE"""),"Yes")</f>
        <v>Yes</v>
      </c>
      <c r="F1859" s="7" t="str">
        <f>IFERROR(__xludf.DUMMYFUNCTION("""COMPUTED_VALUE"""),"V-Presentation")</f>
        <v>V-Presentation</v>
      </c>
      <c r="G1859" s="7" t="str">
        <f>IFERROR(__xludf.DUMMYFUNCTION("""COMPUTED_VALUE"""),"Virtual/Gather")</f>
        <v>Virtual/Gather</v>
      </c>
      <c r="H1859" s="7" t="str">
        <f>IFERROR(__xludf.DUMMYFUNCTION("""COMPUTED_VALUE"""),"Zoom")</f>
        <v>Zoom</v>
      </c>
      <c r="I1859" s="7" t="str">
        <f>IFERROR(__xludf.DUMMYFUNCTION("""COMPUTED_VALUE"""),"Session 10: V-Presenations")</f>
        <v>Session 10: V-Presenations</v>
      </c>
      <c r="J1859" s="7" t="str">
        <f>IFERROR(__xludf.DUMMYFUNCTION("""COMPUTED_VALUE"""),"Virtual Presentations 3")</f>
        <v>Virtual Presentations 3</v>
      </c>
      <c r="K1859" s="7"/>
      <c r="L1859" s="8">
        <f>IFERROR(__xludf.DUMMYFUNCTION("""COMPUTED_VALUE"""),45867.0)</f>
        <v>45867</v>
      </c>
      <c r="M1859" s="7" t="str">
        <f>IFERROR(__xludf.DUMMYFUNCTION("""COMPUTED_VALUE"""),"16:00-17:30")</f>
        <v>16:00-17:30</v>
      </c>
      <c r="N1859" s="7"/>
    </row>
    <row r="1860">
      <c r="A1860" s="7" t="str">
        <f>IFERROR(__xludf.DUMMYFUNCTION("""COMPUTED_VALUE"""),"520-MAIN")</f>
        <v>520-MAIN</v>
      </c>
      <c r="B1860" s="7" t="str">
        <f>IFERROR(__xludf.DUMMYFUNCTION("""COMPUTED_VALUE"""),"Dually Self-Improved Counterfactual Data Augmentation Using Large Language Model")</f>
        <v>Dually Self-Improved Counterfactual Data Augmentation Using Large Language Model</v>
      </c>
      <c r="C1860" s="7" t="str">
        <f>IFERROR(__xludf.DUMMYFUNCTION("""COMPUTED_VALUE"""),"Counterfactual data augmentation, which generates minimally edited tokens to alter labels, has become a key approach to improving model robustness in natural language processing (NLP). It is usually implemented by first identifying the causal terms and th"&amp;"en modifying these terms to create counterfactual candidates. The emergence of large language models (LLMs) has effectively facilitated the task of counterfactual data augmentation. However, existing LLM-based approaches still face some challenges in 1) a"&amp;"ccurately extracting the task-specific causal terms, and 2) the quality of LLM-generated counterfacts. To address the issues, we propose a dually self-improved counterfactual data augmentation method using LLM for the Natural Language Inference (NLI) task"&amp;". On the one hand, we design a self-improved strategy employing the attention distribution of the task model to identify the task-specific causal terms, which is lightweight and task-specific. On the other hand, a second self-improved strategy based on di"&amp;"rect preference optimization is utilized to refine LLM-generated counterfacts, achieving high-quality counterfacts. Finally, a balanced loss preventing over-emphasis on augmented data is proposed to retrain the task model on the fusion of existing data an"&amp;"d generated counterfacts. Extensive experiments on NLI benchmarks demonstrate the effectiveness of our proposed method in generating high-quality counterfacts for improving task performance.")</f>
        <v>Counterfactual data augmentation, which generates minimally edited tokens to alter labels, has become a key approach to improving model robustness in natural language processing (NLP). It is usually implemented by first identifying the causal terms and then modifying these terms to create counterfactual candidates. The emergence of large language models (LLMs) has effectively facilitated the task of counterfactual data augmentation. However, existing LLM-based approaches still face some challenges in 1) accurately extracting the task-specific causal terms, and 2) the quality of LLM-generated counterfacts. To address the issues, we propose a dually self-improved counterfactual data augmentation method using LLM for the Natural Language Inference (NLI) task. On the one hand, we design a self-improved strategy employing the attention distribution of the task model to identify the task-specific causal terms, which is lightweight and task-specific. On the other hand, a second self-improved strategy based on direct preference optimization is utilized to refine LLM-generated counterfacts, achieving high-quality counterfacts. Finally, a balanced loss preventing over-emphasis on augmented data is proposed to retrain the task model on the fusion of existing data and generated counterfacts. Extensive experiments on NLI benchmarks demonstrate the effectiveness of our proposed method in generating high-quality counterfacts for improving task performance.</v>
      </c>
      <c r="D1860" s="7" t="str">
        <f>IFERROR(__xludf.DUMMYFUNCTION("""COMPUTED_VALUE"""),"Luhao Zhang")</f>
        <v>Luhao Zhang</v>
      </c>
      <c r="E1860" s="7" t="str">
        <f>IFERROR(__xludf.DUMMYFUNCTION("""COMPUTED_VALUE"""),"Yes")</f>
        <v>Yes</v>
      </c>
      <c r="F1860" s="7" t="str">
        <f>IFERROR(__xludf.DUMMYFUNCTION("""COMPUTED_VALUE"""),"IP-Oral")</f>
        <v>IP-Oral</v>
      </c>
      <c r="G1860" s="7" t="str">
        <f>IFERROR(__xludf.DUMMYFUNCTION("""COMPUTED_VALUE"""),"In-Person")</f>
        <v>In-Person</v>
      </c>
      <c r="H1860" s="7" t="str">
        <f>IFERROR(__xludf.DUMMYFUNCTION("""COMPUTED_VALUE"""),"Hall M.1")</f>
        <v>Hall M.1</v>
      </c>
      <c r="I1860" s="7" t="str">
        <f>IFERROR(__xludf.DUMMYFUNCTION("""COMPUTED_VALUE"""),"Session 9: IP-Orals")</f>
        <v>Session 9: IP-Orals</v>
      </c>
      <c r="J1860" s="7" t="str">
        <f>IFERROR(__xludf.DUMMYFUNCTION("""COMPUTED_VALUE"""),"Efficient Methods for NLP 1")</f>
        <v>Efficient Methods for NLP 1</v>
      </c>
      <c r="K1860" s="7"/>
      <c r="L1860" s="8">
        <f>IFERROR(__xludf.DUMMYFUNCTION("""COMPUTED_VALUE"""),45867.0)</f>
        <v>45867</v>
      </c>
      <c r="M1860" s="7" t="str">
        <f>IFERROR(__xludf.DUMMYFUNCTION("""COMPUTED_VALUE"""),"14:00-15:30")</f>
        <v>14:00-15:30</v>
      </c>
      <c r="N1860" s="7">
        <f>IFERROR(__xludf.DUMMYFUNCTION("""COMPUTED_VALUE"""),4.0)</f>
        <v>4</v>
      </c>
    </row>
    <row r="1861">
      <c r="A1861" s="7" t="str">
        <f>IFERROR(__xludf.DUMMYFUNCTION("""COMPUTED_VALUE"""),"522-MAIN")</f>
        <v>522-MAIN</v>
      </c>
      <c r="B1861" s="7" t="str">
        <f>IFERROR(__xludf.DUMMYFUNCTION("""COMPUTED_VALUE"""),"RPO: Retrieval Preference Optimization for Robust Retrieval-Augmented Generation")</f>
        <v>RPO: Retrieval Preference Optimization for Robust Retrieval-Augmented Generation</v>
      </c>
      <c r="C1861" s="7" t="str">
        <f>IFERROR(__xludf.DUMMYFUNCTION("""COMPUTED_VALUE"""),"While Retrieval-Augmented Generation (RAG) has exhibited promise in utilizing external knowledge, its generation process heavily depends on the quality and accuracy of the retrieved context. Large language models (LLMs) struggle to evaluate the correctnes"&amp;"s of non-parametric knowledge retrieved externally when it differs from internal memorization, leading to knowledge conflicts during response generation. To this end, we introduce the **R**etrieval **P**reference **O**ptimization (RPO), a lightweight and "&amp;"effective alignment method to adaptively leverage multi-source knowledge based on retrieval relevance. An implicit representation of retrieval relevance is derived and incorporated into the reward model to integrate retrieval evaluation and response gener"&amp;"ation into a single model, solving the problem that previous methods necessitate the additional procedure to assess the retrieval quality. Notably, RPO is a RAG-dedicated alignment approach that quantifies the awareness of retrieval relevance in training,"&amp;" first overcoming mathematical obstacles. Experiments on four datasets demonstrate that RPO outperforms RAG by 4-10% in accuracy without any extra component, exhibiting its robust generalization.")</f>
        <v>While Retrieval-Augmented Generation (RAG) has exhibited promise in utilizing external knowledge, its generation process heavily depends on the quality and accuracy of the retrieved context. Large language models (LLMs) struggle to evaluate the correctness of non-parametric knowledge retrieved externally when it differs from internal memorization, leading to knowledge conflicts during response generation. To this end, we introduce the **R**etrieval **P**reference **O**ptimization (RPO), a lightweight and effective alignment method to adaptively leverage multi-source knowledge based on retrieval relevance. An implicit representation of retrieval relevance is derived and incorporated into the reward model to integrate retrieval evaluation and response generation into a single model, solving the problem that previous methods necessitate the additional procedure to assess the retrieval quality. Notably, RPO is a RAG-dedicated alignment approach that quantifies the awareness of retrieval relevance in training, first overcoming mathematical obstacles. Experiments on four datasets demonstrate that RPO outperforms RAG by 4-10% in accuracy without any extra component, exhibiting its robust generalization.</v>
      </c>
      <c r="D1861" s="7" t="str">
        <f>IFERROR(__xludf.DUMMYFUNCTION("""COMPUTED_VALUE"""),"Shi-Qi Yan")</f>
        <v>Shi-Qi Yan</v>
      </c>
      <c r="E1861" s="7" t="str">
        <f>IFERROR(__xludf.DUMMYFUNCTION("""COMPUTED_VALUE"""),"Yes")</f>
        <v>Yes</v>
      </c>
      <c r="F1861" s="7" t="str">
        <f>IFERROR(__xludf.DUMMYFUNCTION("""COMPUTED_VALUE"""),"IP-Poster")</f>
        <v>IP-Poster</v>
      </c>
      <c r="G1861" s="7" t="str">
        <f>IFERROR(__xludf.DUMMYFUNCTION("""COMPUTED_VALUE"""),"In-Person")</f>
        <v>In-Person</v>
      </c>
      <c r="H1861" s="7" t="str">
        <f>IFERROR(__xludf.DUMMYFUNCTION("""COMPUTED_VALUE"""),"Hall 4/5")</f>
        <v>Hall 4/5</v>
      </c>
      <c r="I1861" s="7" t="str">
        <f>IFERROR(__xludf.DUMMYFUNCTION("""COMPUTED_VALUE"""),"Session 10: IP-Posters")</f>
        <v>Session 10: IP-Posters</v>
      </c>
      <c r="J1861" s="7" t="str">
        <f>IFERROR(__xludf.DUMMYFUNCTION("""COMPUTED_VALUE"""),"Poster Session 3")</f>
        <v>Poster Session 3</v>
      </c>
      <c r="K1861" s="7"/>
      <c r="L1861" s="8">
        <f>IFERROR(__xludf.DUMMYFUNCTION("""COMPUTED_VALUE"""),45867.0)</f>
        <v>45867</v>
      </c>
      <c r="M1861" s="7" t="str">
        <f>IFERROR(__xludf.DUMMYFUNCTION("""COMPUTED_VALUE"""),"16:00-17:30")</f>
        <v>16:00-17:30</v>
      </c>
      <c r="N1861" s="7"/>
    </row>
    <row r="1862">
      <c r="A1862" s="7" t="str">
        <f>IFERROR(__xludf.DUMMYFUNCTION("""COMPUTED_VALUE"""),"525-MAIN")</f>
        <v>525-MAIN</v>
      </c>
      <c r="B1862" s="7" t="str">
        <f>IFERROR(__xludf.DUMMYFUNCTION("""COMPUTED_VALUE"""),"Improving Parallel Sentence Mining for Low-Resource and Endangered Languages")</f>
        <v>Improving Parallel Sentence Mining for Low-Resource and Endangered Languages</v>
      </c>
      <c r="C1862" s="7" t="str">
        <f>IFERROR(__xludf.DUMMYFUNCTION("""COMPUTED_VALUE"""),"While parallel sentence mining has been extensively covered for fairly well-resourced languages, pairs involving low-resource languages have received comparatively little attention.
To address this gap, we present Belopsem, a benchmark of new datasets for"&amp;" parallel sentence mining on three language pairs where the source side is low-resource and endangered: Occitan-Spanish, Upper Sorbian-German, and Chuvash-Russian. These combinations also reflect varying linguistic similarity within each pair. We compare "&amp;"three language models in an established parallel sentence mining pipeline and apply two types of improvements to one of them, Glot500. We observe better mining quality overall by both applying alignment post-processing with an unsupervised aligner and usi"&amp;"ng a cluster-based isotropy enhancement technique. These findings are crucial for optimising parallel data extraction for low-resource languages in a realistic way.")</f>
        <v>While parallel sentence mining has been extensively covered for fairly well-resourced languages, pairs involving low-resource languages have received comparatively little attention.
To address this gap, we present Belopsem, a benchmark of new datasets for parallel sentence mining on three language pairs where the source side is low-resource and endangered: Occitan-Spanish, Upper Sorbian-German, and Chuvash-Russian. These combinations also reflect varying linguistic similarity within each pair. We compare three language models in an established parallel sentence mining pipeline and apply two types of improvements to one of them, Glot500. We observe better mining quality overall by both applying alignment post-processing with an unsupervised aligner and using a cluster-based isotropy enhancement technique. These findings are crucial for optimising parallel data extraction for low-resource languages in a realistic way.</v>
      </c>
      <c r="D1862" s="7" t="str">
        <f>IFERROR(__xludf.DUMMYFUNCTION("""COMPUTED_VALUE"""),"Shu Okabe")</f>
        <v>Shu Okabe</v>
      </c>
      <c r="E1862" s="7" t="str">
        <f>IFERROR(__xludf.DUMMYFUNCTION("""COMPUTED_VALUE"""),"Yes")</f>
        <v>Yes</v>
      </c>
      <c r="F1862" s="7" t="str">
        <f>IFERROR(__xludf.DUMMYFUNCTION("""COMPUTED_VALUE"""),"IP-Poster")</f>
        <v>IP-Poster</v>
      </c>
      <c r="G1862" s="7" t="str">
        <f>IFERROR(__xludf.DUMMYFUNCTION("""COMPUTED_VALUE"""),"In-Person")</f>
        <v>In-Person</v>
      </c>
      <c r="H1862" s="7" t="str">
        <f>IFERROR(__xludf.DUMMYFUNCTION("""COMPUTED_VALUE"""),"Hall 4/5")</f>
        <v>Hall 4/5</v>
      </c>
      <c r="I1862" s="7" t="str">
        <f>IFERROR(__xludf.DUMMYFUNCTION("""COMPUTED_VALUE"""),"Session 7: IP-Posters")</f>
        <v>Session 7: IP-Posters</v>
      </c>
      <c r="J1862" s="7" t="str">
        <f>IFERROR(__xludf.DUMMYFUNCTION("""COMPUTED_VALUE"""),"Poster Session 2")</f>
        <v>Poster Session 2</v>
      </c>
      <c r="K1862" s="7"/>
      <c r="L1862" s="8">
        <f>IFERROR(__xludf.DUMMYFUNCTION("""COMPUTED_VALUE"""),45867.0)</f>
        <v>45867</v>
      </c>
      <c r="M1862" s="7" t="str">
        <f>IFERROR(__xludf.DUMMYFUNCTION("""COMPUTED_VALUE"""),"10:30-12:00")</f>
        <v>10:30-12:00</v>
      </c>
      <c r="N1862" s="7"/>
    </row>
    <row r="1863">
      <c r="A1863" s="7" t="str">
        <f>IFERROR(__xludf.DUMMYFUNCTION("""COMPUTED_VALUE"""),"526-MAIN")</f>
        <v>526-MAIN</v>
      </c>
      <c r="B1863" s="7" t="str">
        <f>IFERROR(__xludf.DUMMYFUNCTION("""COMPUTED_VALUE"""),"Learning to Reason from Feedback at Test-Time")</f>
        <v>Learning to Reason from Feedback at Test-Time</v>
      </c>
      <c r="C1863" s="7" t="str">
        <f>IFERROR(__xludf.DUMMYFUNCTION("""COMPUTED_VALUE"""),"Solving complex tasks in a single attempt is challenging for large language models (LLMs). Iterative interaction with the environment and feedback is often required to achieve success, making effective feedback utilization a critical topic. Existing appro"&amp;"aches either struggle with length generalization or rely on naive retries without leveraging prior information. In this paper, we introduce FTTT, a novel paradigm that formulates feedback utilization as an optimization problem at test time. Additionally, "&amp;"we propose a learnable test-time optimizer, OpTune, to effectively exploit feedback. Experiments on two LLMs across four reasoning datasets demonstrate that FTTT and OpTune achieve superior scalability and performance.")</f>
        <v>Solving complex tasks in a single attempt is challenging for large language models (LLMs). Iterative interaction with the environment and feedback is often required to achieve success, making effective feedback utilization a critical topic. Existing approaches either struggle with length generalization or rely on naive retries without leveraging prior information. In this paper, we introduce FTTT, a novel paradigm that formulates feedback utilization as an optimization problem at test time. Additionally, we propose a learnable test-time optimizer, OpTune, to effectively exploit feedback. Experiments on two LLMs across four reasoning datasets demonstrate that FTTT and OpTune achieve superior scalability and performance.</v>
      </c>
      <c r="D1863" s="7" t="str">
        <f>IFERROR(__xludf.DUMMYFUNCTION("""COMPUTED_VALUE"""),"Yanyang Li")</f>
        <v>Yanyang Li</v>
      </c>
      <c r="E1863" s="7" t="str">
        <f>IFERROR(__xludf.DUMMYFUNCTION("""COMPUTED_VALUE"""),"Yes")</f>
        <v>Yes</v>
      </c>
      <c r="F1863" s="7" t="str">
        <f>IFERROR(__xludf.DUMMYFUNCTION("""COMPUTED_VALUE"""),"IP-Poster")</f>
        <v>IP-Poster</v>
      </c>
      <c r="G1863" s="7" t="str">
        <f>IFERROR(__xludf.DUMMYFUNCTION("""COMPUTED_VALUE"""),"In-Person")</f>
        <v>In-Person</v>
      </c>
      <c r="H1863" s="7" t="str">
        <f>IFERROR(__xludf.DUMMYFUNCTION("""COMPUTED_VALUE"""),"Hall 4/5")</f>
        <v>Hall 4/5</v>
      </c>
      <c r="I1863" s="7" t="str">
        <f>IFERROR(__xludf.DUMMYFUNCTION("""COMPUTED_VALUE"""),"Session 7: IP-Posters")</f>
        <v>Session 7: IP-Posters</v>
      </c>
      <c r="J1863" s="7" t="str">
        <f>IFERROR(__xludf.DUMMYFUNCTION("""COMPUTED_VALUE"""),"Poster Session 2")</f>
        <v>Poster Session 2</v>
      </c>
      <c r="K1863" s="7"/>
      <c r="L1863" s="8">
        <f>IFERROR(__xludf.DUMMYFUNCTION("""COMPUTED_VALUE"""),45867.0)</f>
        <v>45867</v>
      </c>
      <c r="M1863" s="7" t="str">
        <f>IFERROR(__xludf.DUMMYFUNCTION("""COMPUTED_VALUE"""),"10:30-12:00")</f>
        <v>10:30-12:00</v>
      </c>
      <c r="N1863" s="7"/>
    </row>
    <row r="1864">
      <c r="A1864" s="7" t="str">
        <f>IFERROR(__xludf.DUMMYFUNCTION("""COMPUTED_VALUE"""),"528-MAIN")</f>
        <v>528-MAIN</v>
      </c>
      <c r="B1864" s="7" t="str">
        <f>IFERROR(__xludf.DUMMYFUNCTION("""COMPUTED_VALUE"""),"L-CiteEval: A Suite for Evaluating Fidelity of Long-context Models")</f>
        <v>L-CiteEval: A Suite for Evaluating Fidelity of Long-context Models</v>
      </c>
      <c r="C1864" s="7" t="str">
        <f>IFERROR(__xludf.DUMMYFUNCTION("""COMPUTED_VALUE"""),"Long-context models(LCMs) have witnessed remarkable advancements in recent years, facilitating real-world tasks like long-document QA. The success of LCMs is founded on the hypothesis that the model demonstrates strong $\textbf{fidelity}$, enabling it to "&amp;"respond based on the provided long context rather than relying solely on the intrinsic knowledge acquired during pre-training. Yet, in this paper, we find that open-sourced LCMs are not as faithful as expected. We introduce $\textit{L-CiteEval}$, an out-o"&amp;"f-the-box suite that can assess both generation quality and fidelity in long-context understanding tasks. It covers 11 tasks with context lengths ranging from 8K to 48K and a corresponding automatic evaluation pipeline. Evaluation of 11 cutting-edge close"&amp;"d-source and open-source LCMs indicates that, while there are minor differences in their generation, open-source models significantly lag behind closed-source counterparts in terms of fidelity. Furthermore, we analyze the benefits of citation generation f"&amp;"or LCMs from both the perspective of explicit model output and the internal attention mechanism.")</f>
        <v>Long-context models(LCMs) have witnessed remarkable advancements in recent years, facilitating real-world tasks like long-document QA. The success of LCMs is founded on the hypothesis that the model demonstrates strong $\textbf{fidelity}$, enabling it to respond based on the provided long context rather than relying solely on the intrinsic knowledge acquired during pre-training. Yet, in this paper, we find that open-sourced LCMs are not as faithful as expected. We introduce $\textit{L-CiteEval}$, an out-of-the-box suite that can assess both generation quality and fidelity in long-context understanding tasks. It covers 11 tasks with context lengths ranging from 8K to 48K and a corresponding automatic evaluation pipeline. Evaluation of 11 cutting-edge closed-source and open-source LCMs indicates that, while there are minor differences in their generation, open-source models significantly lag behind closed-source counterparts in terms of fidelity. Furthermore, we analyze the benefits of citation generation for LCMs from both the perspective of explicit model output and the internal attention mechanism.</v>
      </c>
      <c r="D1864" s="7" t="str">
        <f>IFERROR(__xludf.DUMMYFUNCTION("""COMPUTED_VALUE"""),"Zecheng Tang")</f>
        <v>Zecheng Tang</v>
      </c>
      <c r="E1864" s="7" t="str">
        <f>IFERROR(__xludf.DUMMYFUNCTION("""COMPUTED_VALUE"""),"Yes")</f>
        <v>Yes</v>
      </c>
      <c r="F1864" s="7" t="str">
        <f>IFERROR(__xludf.DUMMYFUNCTION("""COMPUTED_VALUE"""),"IP-Poster")</f>
        <v>IP-Poster</v>
      </c>
      <c r="G1864" s="7" t="str">
        <f>IFERROR(__xludf.DUMMYFUNCTION("""COMPUTED_VALUE"""),"In-Person")</f>
        <v>In-Person</v>
      </c>
      <c r="H1864" s="7" t="str">
        <f>IFERROR(__xludf.DUMMYFUNCTION("""COMPUTED_VALUE"""),"Hall 4/5")</f>
        <v>Hall 4/5</v>
      </c>
      <c r="I1864" s="7" t="str">
        <f>IFERROR(__xludf.DUMMYFUNCTION("""COMPUTED_VALUE"""),"Session 7: IP-Posters")</f>
        <v>Session 7: IP-Posters</v>
      </c>
      <c r="J1864" s="7" t="str">
        <f>IFERROR(__xludf.DUMMYFUNCTION("""COMPUTED_VALUE"""),"Poster Session 2")</f>
        <v>Poster Session 2</v>
      </c>
      <c r="K1864" s="7"/>
      <c r="L1864" s="8">
        <f>IFERROR(__xludf.DUMMYFUNCTION("""COMPUTED_VALUE"""),45867.0)</f>
        <v>45867</v>
      </c>
      <c r="M1864" s="7" t="str">
        <f>IFERROR(__xludf.DUMMYFUNCTION("""COMPUTED_VALUE"""),"10:30-12:00")</f>
        <v>10:30-12:00</v>
      </c>
      <c r="N1864" s="7"/>
    </row>
    <row r="1865">
      <c r="A1865" s="7" t="str">
        <f>IFERROR(__xludf.DUMMYFUNCTION("""COMPUTED_VALUE"""),"532-MAIN")</f>
        <v>532-MAIN</v>
      </c>
      <c r="B1865" s="7" t="str">
        <f>IFERROR(__xludf.DUMMYFUNCTION("""COMPUTED_VALUE"""),"SECRET: Semi-supervised Clinical Trial Document Similarity Search")</f>
        <v>SECRET: Semi-supervised Clinical Trial Document Similarity Search</v>
      </c>
      <c r="C1865" s="7" t="str">
        <f>IFERROR(__xludf.DUMMYFUNCTION("""COMPUTED_VALUE"""),"Clinical trials are vital for evaluation of safety and efficacy of new treatments. However, clinical trials are resource-intensive, time-consuming and expensive to conduct, where errors in trial design, reduced efficacy, and safety events can result in si"&amp;"gnificant delays, financial losses, and damage to reputation. These risks underline the importance of informed and strategic decisions in trial design to mitigate these risks and improve the chances of a successful trial. Identifying similar historical tr"&amp;"ials is critical as these trials can provide an important reference for potential pitfalls and challenges including serious adverse events, dosage inaccuracies, recruitment difficulties, patient adherence issues, etc. Addressing these challenges in trial "&amp;"design can lead to development of more effective study protocols with optimized patient safety and trial efficiency. In this paper, we present a novel method to identify similar historical trials by summarizing clinical trial protocols and searching for s"&amp;"imilar trials based on a query trial's protocol. Our approach significantly outperforms all baselines, achieving up to a 78% improvement in recall@1 and a 53% improvement in precision@1 over the best baseline. We also show that our method outperforms all "&amp;"other baselines in partial trial similarity search and zero-shot patient-trial matching, highlighting its superior utility in these tasks.")</f>
        <v>Clinical trials are vital for evaluation of safety and efficacy of new treatments. However, clinical trials are resource-intensive, time-consuming and expensive to conduct, where errors in trial design, reduced efficacy, and safety events can result in significant delays, financial losses, and damage to reputation. These risks underline the importance of informed and strategic decisions in trial design to mitigate these risks and improve the chances of a successful trial. Identifying similar historical trials is critical as these trials can provide an important reference for potential pitfalls and challenges including serious adverse events, dosage inaccuracies, recruitment difficulties, patient adherence issues, etc. Addressing these challenges in trial design can lead to development of more effective study protocols with optimized patient safety and trial efficiency. In this paper, we present a novel method to identify similar historical trials by summarizing clinical trial protocols and searching for similar trials based on a query trial's protocol. Our approach significantly outperforms all baselines, achieving up to a 78% improvement in recall@1 and a 53% improvement in precision@1 over the best baseline. We also show that our method outperforms all other baselines in partial trial similarity search and zero-shot patient-trial matching, highlighting its superior utility in these tasks.</v>
      </c>
      <c r="D1865" s="7" t="str">
        <f>IFERROR(__xludf.DUMMYFUNCTION("""COMPUTED_VALUE"""),"Trisha Das")</f>
        <v>Trisha Das</v>
      </c>
      <c r="E1865" s="7" t="str">
        <f>IFERROR(__xludf.DUMMYFUNCTION("""COMPUTED_VALUE"""),"Yes")</f>
        <v>Yes</v>
      </c>
      <c r="F1865" s="7" t="str">
        <f>IFERROR(__xludf.DUMMYFUNCTION("""COMPUTED_VALUE"""),"V-Presentation")</f>
        <v>V-Presentation</v>
      </c>
      <c r="G1865" s="7" t="str">
        <f>IFERROR(__xludf.DUMMYFUNCTION("""COMPUTED_VALUE"""),"Virtual/Gather")</f>
        <v>Virtual/Gather</v>
      </c>
      <c r="H1865" s="7" t="str">
        <f>IFERROR(__xludf.DUMMYFUNCTION("""COMPUTED_VALUE"""),"Zoom")</f>
        <v>Zoom</v>
      </c>
      <c r="I1865" s="7" t="str">
        <f>IFERROR(__xludf.DUMMYFUNCTION("""COMPUTED_VALUE"""),"Session 10: V-Presenations")</f>
        <v>Session 10: V-Presenations</v>
      </c>
      <c r="J1865" s="7" t="str">
        <f>IFERROR(__xludf.DUMMYFUNCTION("""COMPUTED_VALUE"""),"Virtual Presentations 3")</f>
        <v>Virtual Presentations 3</v>
      </c>
      <c r="K1865" s="7"/>
      <c r="L1865" s="8">
        <f>IFERROR(__xludf.DUMMYFUNCTION("""COMPUTED_VALUE"""),45867.0)</f>
        <v>45867</v>
      </c>
      <c r="M1865" s="7" t="str">
        <f>IFERROR(__xludf.DUMMYFUNCTION("""COMPUTED_VALUE"""),"16:00-17:30")</f>
        <v>16:00-17:30</v>
      </c>
      <c r="N1865" s="7"/>
    </row>
    <row r="1866">
      <c r="A1866" s="7" t="str">
        <f>IFERROR(__xludf.DUMMYFUNCTION("""COMPUTED_VALUE"""),"533-MAIN")</f>
        <v>533-MAIN</v>
      </c>
      <c r="B1866" s="7" t="str">
        <f>IFERROR(__xludf.DUMMYFUNCTION("""COMPUTED_VALUE"""),"Revisiting Epistemic Markers in Confidence Estimation: Can Markers Accurately Reflect Large Language Models' Uncertainty?")</f>
        <v>Revisiting Epistemic Markers in Confidence Estimation: Can Markers Accurately Reflect Large Language Models' Uncertainty?</v>
      </c>
      <c r="C1866" s="7" t="str">
        <f>IFERROR(__xludf.DUMMYFUNCTION("""COMPUTED_VALUE"""),"As large language models (LLMs) are increasingly used in high-stakes domains, accurately assessing their confidence is crucial. Humans typically express confidence through epistemic markers (e.g., ""fairly confident"") instead of numerical values. However"&amp;", it remains unclear whether LLMs consistently use these markers to reflect their intrinsic confidence due to the difficulty of quantifying uncertainty associated with various markers. To address this gap, we first define ***marker confidence*** as the ob"&amp;"served accuracy when a model employs an epistemic marker. We evaluate its stability across multiple question-answering datasets in both in-distribution and out-of-distribution settings for open-source and proprietary LLMs. Our results show that while mark"&amp;"ers generalize well within the same distribution, their confidence is inconsistent in out-of-distribution scenarios. These findings raise significant concerns about the reliability of epistemic markers for confidence estimation, underscoring the need for "&amp;"improved alignment between marker based confidence and actual model uncertainty. Our code is available at https://github.com/HKUST-KnowComp/MarCon.")</f>
        <v>As large language models (LLMs) are increasingly used in high-stakes domains, accurately assessing their confidence is crucial. Humans typically express confidence through epistemic markers (e.g., "fairly confident") instead of numerical values. However, it remains unclear whether LLMs consistently use these markers to reflect their intrinsic confidence due to the difficulty of quantifying uncertainty associated with various markers. To address this gap, we first define ***marker confidence*** as the observed accuracy when a model employs an epistemic marker. We evaluate its stability across multiple question-answering datasets in both in-distribution and out-of-distribution settings for open-source and proprietary LLMs. Our results show that while markers generalize well within the same distribution, their confidence is inconsistent in out-of-distribution scenarios. These findings raise significant concerns about the reliability of epistemic markers for confidence estimation, underscoring the need for improved alignment between marker based confidence and actual model uncertainty. Our code is available at https://github.com/HKUST-KnowComp/MarCon.</v>
      </c>
      <c r="D1866" s="7" t="str">
        <f>IFERROR(__xludf.DUMMYFUNCTION("""COMPUTED_VALUE"""),"Qing Zong")</f>
        <v>Qing Zong</v>
      </c>
      <c r="E1866" s="7" t="str">
        <f>IFERROR(__xludf.DUMMYFUNCTION("""COMPUTED_VALUE"""),"Yes")</f>
        <v>Yes</v>
      </c>
      <c r="F1866" s="7" t="str">
        <f>IFERROR(__xludf.DUMMYFUNCTION("""COMPUTED_VALUE"""),"IP-Poster")</f>
        <v>IP-Poster</v>
      </c>
      <c r="G1866" s="7" t="str">
        <f>IFERROR(__xludf.DUMMYFUNCTION("""COMPUTED_VALUE"""),"In-Person")</f>
        <v>In-Person</v>
      </c>
      <c r="H1866" s="7" t="str">
        <f>IFERROR(__xludf.DUMMYFUNCTION("""COMPUTED_VALUE"""),"Hall 4/5")</f>
        <v>Hall 4/5</v>
      </c>
      <c r="I1866" s="7" t="str">
        <f>IFERROR(__xludf.DUMMYFUNCTION("""COMPUTED_VALUE"""),"Session 7: IP-Posters")</f>
        <v>Session 7: IP-Posters</v>
      </c>
      <c r="J1866" s="7" t="str">
        <f>IFERROR(__xludf.DUMMYFUNCTION("""COMPUTED_VALUE"""),"Poster Session 2")</f>
        <v>Poster Session 2</v>
      </c>
      <c r="K1866" s="7"/>
      <c r="L1866" s="8">
        <f>IFERROR(__xludf.DUMMYFUNCTION("""COMPUTED_VALUE"""),45867.0)</f>
        <v>45867</v>
      </c>
      <c r="M1866" s="7" t="str">
        <f>IFERROR(__xludf.DUMMYFUNCTION("""COMPUTED_VALUE"""),"10:30-12:00")</f>
        <v>10:30-12:00</v>
      </c>
      <c r="N1866" s="7"/>
    </row>
    <row r="1867">
      <c r="A1867" s="7" t="str">
        <f>IFERROR(__xludf.DUMMYFUNCTION("""COMPUTED_VALUE"""),"534-MAIN")</f>
        <v>534-MAIN</v>
      </c>
      <c r="B1867" s="7" t="str">
        <f>IFERROR(__xludf.DUMMYFUNCTION("""COMPUTED_VALUE"""),"Geometric Signatures of Compositionality Across a Language Model's Lifetime")</f>
        <v>Geometric Signatures of Compositionality Across a Language Model's Lifetime</v>
      </c>
      <c r="C1867" s="7" t="str">
        <f>IFERROR(__xludf.DUMMYFUNCTION("""COMPUTED_VALUE"""),"By virtue of linguistic compositionality, few syntactic rules and a finite lexicon can generate an unbounded number of sentences. That is, language, though seemingly high-dimensional, can be explained using relatively few degrees of freedom. An open quest"&amp;"ion is whether contemporary language models (LMs) reflect the intrinsic simplicity of language that is enabled by compositionality. We take a geometric view of this problem by relating the degree of compositionality in a dataset to the intrinsic dimension"&amp;" (ID) of its representations under an LM, a measure of feature complexity. We find not only that the degree of dataset compositionality is reflected in representations' ID, but that the relationship between compositionality and geometric complexity arises"&amp;" due to learned linguistic features over training. Finally, our analyses reveal a striking contrast between nonlinear and linear dimensionality, showing they respectively encode semantic and superficial aspects of linguistic composition.")</f>
        <v>By virtue of linguistic compositionality, few syntactic rules and a finite lexicon can generate an unbounded number of sentences. That is, language, though seemingly high-dimensional, can be explained using relatively few degrees of freedom. An open question is whether contemporary language models (LMs) reflect the intrinsic simplicity of language that is enabled by compositionality. We take a geometric view of this problem by relating the degree of compositionality in a dataset to the intrinsic dimension (ID) of its representations under an LM, a measure of feature complexity. We find not only that the degree of dataset compositionality is reflected in representations' ID, but that the relationship between compositionality and geometric complexity arises due to learned linguistic features over training. Finally, our analyses reveal a striking contrast between nonlinear and linear dimensionality, showing they respectively encode semantic and superficial aspects of linguistic composition.</v>
      </c>
      <c r="D1867" s="7" t="str">
        <f>IFERROR(__xludf.DUMMYFUNCTION("""COMPUTED_VALUE""")," Emily Cheng")</f>
        <v> Emily Cheng</v>
      </c>
      <c r="E1867" s="7" t="str">
        <f>IFERROR(__xludf.DUMMYFUNCTION("""COMPUTED_VALUE"""),"Yes")</f>
        <v>Yes</v>
      </c>
      <c r="F1867" s="7" t="str">
        <f>IFERROR(__xludf.DUMMYFUNCTION("""COMPUTED_VALUE"""),"IP-Oral")</f>
        <v>IP-Oral</v>
      </c>
      <c r="G1867" s="7" t="str">
        <f>IFERROR(__xludf.DUMMYFUNCTION("""COMPUTED_VALUE"""),"In-Person")</f>
        <v>In-Person</v>
      </c>
      <c r="H1867" s="7" t="str">
        <f>IFERROR(__xludf.DUMMYFUNCTION("""COMPUTED_VALUE"""),"Room 1.85")</f>
        <v>Room 1.85</v>
      </c>
      <c r="I1867" s="7" t="str">
        <f>IFERROR(__xludf.DUMMYFUNCTION("""COMPUTED_VALUE"""),"Session 11: IP-Orals ")</f>
        <v>Session 11: IP-Orals </v>
      </c>
      <c r="J1867" s="7" t="str">
        <f>IFERROR(__xludf.DUMMYFUNCTION("""COMPUTED_VALUE"""),"Interpretability and Model Analysis 2")</f>
        <v>Interpretability and Model Analysis 2</v>
      </c>
      <c r="K1867" s="7"/>
      <c r="L1867" s="8">
        <f>IFERROR(__xludf.DUMMYFUNCTION("""COMPUTED_VALUE"""),45868.0)</f>
        <v>45868</v>
      </c>
      <c r="M1867" s="7" t="str">
        <f>IFERROR(__xludf.DUMMYFUNCTION("""COMPUTED_VALUE"""),"09:00-10:30")</f>
        <v>09:00-10:30</v>
      </c>
      <c r="N1867" s="7">
        <f>IFERROR(__xludf.DUMMYFUNCTION("""COMPUTED_VALUE"""),3.0)</f>
        <v>3</v>
      </c>
    </row>
    <row r="1868">
      <c r="A1868" s="7" t="str">
        <f>IFERROR(__xludf.DUMMYFUNCTION("""COMPUTED_VALUE"""),"536-MAIN")</f>
        <v>536-MAIN</v>
      </c>
      <c r="B1868" s="7" t="str">
        <f>IFERROR(__xludf.DUMMYFUNCTION("""COMPUTED_VALUE"""),"Pattern Recognition or Medical Knowledge? The Problem with Multiple-Choice Questions in Medicine")</f>
        <v>Pattern Recognition or Medical Knowledge? The Problem with Multiple-Choice Questions in Medicine</v>
      </c>
      <c r="C1868" s="7" t="str">
        <f>IFERROR(__xludf.DUMMYFUNCTION("""COMPUTED_VALUE"""),"Large Language Models (LLMs) such as ChatGPT demonstrate significant potential in the medical domain and are often evaluated using multiple-choice questions (MCQs) modeled on exams like the USMLE. However, such benchmarks may overestimate true clinical un"&amp;"derstanding by rewarding pattern recognition and test-taking heuristics. To investigate this, we created a fictional medical benchmark centered on an imaginary organ, the Glianorex, allowing us to separate memorized knowledge from reasoning ability. We ge"&amp;"nerated textbooks and MCQs in English and French using leading LLMs, then evaluated proprietary, open-source, and domain-specific models in a zero-shot setting. Despite the fictional content, models achieved an average score of 64%, while physicians score"&amp;"d only 27%. Fine-tuned medical models outperformed base models in English but not in French. Ablation and interpretability analyses revealed that models frequently relied on shallow cues, test-taking strategies, and hallucinated reasoning to identify the "&amp;"correct choice. These results suggest that standard MCQ-based evaluations may not effectively measure clinical reasoning and highlight the need for more robust, clinically meaningful assessment methods for LLMs.")</f>
        <v>Large Language Models (LLMs) such as ChatGPT demonstrate significant potential in the medical domain and are often evaluated using multiple-choice questions (MCQs) modeled on exams like the USMLE. However, such benchmarks may overestimate true clinical understanding by rewarding pattern recognition and test-taking heuristics. To investigate this, we created a fictional medical benchmark centered on an imaginary organ, the Glianorex, allowing us to separate memorized knowledge from reasoning ability. We generated textbooks and MCQs in English and French using leading LLMs, then evaluated proprietary, open-source, and domain-specific models in a zero-shot setting. Despite the fictional content, models achieved an average score of 64%, while physicians scored only 27%. Fine-tuned medical models outperformed base models in English but not in French. Ablation and interpretability analyses revealed that models frequently relied on shallow cues, test-taking strategies, and hallucinated reasoning to identify the correct choice. These results suggest that standard MCQ-based evaluations may not effectively measure clinical reasoning and highlight the need for more robust, clinically meaningful assessment methods for LLMs.</v>
      </c>
      <c r="D1868" s="7" t="str">
        <f>IFERROR(__xludf.DUMMYFUNCTION("""COMPUTED_VALUE"""),"Maxime Griot")</f>
        <v>Maxime Griot</v>
      </c>
      <c r="E1868" s="7" t="str">
        <f>IFERROR(__xludf.DUMMYFUNCTION("""COMPUTED_VALUE"""),"Yes")</f>
        <v>Yes</v>
      </c>
      <c r="F1868" s="7" t="str">
        <f>IFERROR(__xludf.DUMMYFUNCTION("""COMPUTED_VALUE"""),"IP-Poster")</f>
        <v>IP-Poster</v>
      </c>
      <c r="G1868" s="7" t="str">
        <f>IFERROR(__xludf.DUMMYFUNCTION("""COMPUTED_VALUE"""),"In-Person")</f>
        <v>In-Person</v>
      </c>
      <c r="H1868" s="7" t="str">
        <f>IFERROR(__xludf.DUMMYFUNCTION("""COMPUTED_VALUE"""),"Hall 4/5")</f>
        <v>Hall 4/5</v>
      </c>
      <c r="I1868" s="7" t="str">
        <f>IFERROR(__xludf.DUMMYFUNCTION("""COMPUTED_VALUE"""),"Session 7: IP-Posters")</f>
        <v>Session 7: IP-Posters</v>
      </c>
      <c r="J1868" s="7" t="str">
        <f>IFERROR(__xludf.DUMMYFUNCTION("""COMPUTED_VALUE"""),"Poster Session 2")</f>
        <v>Poster Session 2</v>
      </c>
      <c r="K1868" s="7"/>
      <c r="L1868" s="8">
        <f>IFERROR(__xludf.DUMMYFUNCTION("""COMPUTED_VALUE"""),45867.0)</f>
        <v>45867</v>
      </c>
      <c r="M1868" s="7" t="str">
        <f>IFERROR(__xludf.DUMMYFUNCTION("""COMPUTED_VALUE"""),"10:30-12:00")</f>
        <v>10:30-12:00</v>
      </c>
      <c r="N1868" s="7"/>
    </row>
    <row r="1869">
      <c r="A1869" s="7" t="str">
        <f>IFERROR(__xludf.DUMMYFUNCTION("""COMPUTED_VALUE"""),"538-MAIN")</f>
        <v>538-MAIN</v>
      </c>
      <c r="B1869" s="7" t="str">
        <f>IFERROR(__xludf.DUMMYFUNCTION("""COMPUTED_VALUE"""),"People who frequently use ChatGPT for writing tasks are accurate and robust detectors of AI-generated text")</f>
        <v>People who frequently use ChatGPT for writing tasks are accurate and robust detectors of AI-generated text</v>
      </c>
      <c r="C1869" s="7" t="str">
        <f>IFERROR(__xludf.DUMMYFUNCTION("""COMPUTED_VALUE"""),"In this paper, we study how well humans can detect text generated by commercial LLMs (GPT-4o, Claude, o1). We hire annotators to read 300 non-fiction English articles, label them as either human-written or AI-generated, and provide paragraph-length explan"&amp;"ations for their decisions. Our experiments show that annotators who frequently use LLMs for writing tasks excel at detecting AI-generated text, even without any specialized training or feedback. In fact, the majority vote among five such ""expert"" annot"&amp;"ators misclassifies only 1 of 300 articles, significantly outperforming most commercial and open-source detectors we evaluated even in the presence of evasion tactics like paraphrasing and humanization. Qualitative analysis of the experts' free-form expla"&amp;"nations shows that while they rely heavily on specific lexical clues ('AI vocabulary'), they also pick up on more complex phenomena within the text (e.g., formality, originality, clarity) that are challenging to assess for automatic detectors. We release "&amp;"our annotated dataset and code to spur future research into both human and automated detection of AI-generated text.")</f>
        <v>In this paper, we study how well humans can detect text generated by commercial LLMs (GPT-4o, Claude, o1). We hire annotators to read 300 non-fiction English articles, label them as either human-written or AI-generated, and provide paragraph-length explanations for their decisions. Our experiments show that annotators who frequently use LLMs for writing tasks excel at detecting AI-generated text, even without any specialized training or feedback. In fact, the majority vote among five such "expert" annotators misclassifies only 1 of 300 articles, significantly outperforming most commercial and open-source detectors we evaluated even in the presence of evasion tactics like paraphrasing and humanization. Qualitative analysis of the experts' free-form explanations shows that while they rely heavily on specific lexical clues ('AI vocabulary'), they also pick up on more complex phenomena within the text (e.g., formality, originality, clarity) that are challenging to assess for automatic detectors. We release our annotated dataset and code to spur future research into both human and automated detection of AI-generated text.</v>
      </c>
      <c r="D1869" s="7" t="str">
        <f>IFERROR(__xludf.DUMMYFUNCTION("""COMPUTED_VALUE"""),"Jenna Russell")</f>
        <v>Jenna Russell</v>
      </c>
      <c r="E1869" s="7" t="str">
        <f>IFERROR(__xludf.DUMMYFUNCTION("""COMPUTED_VALUE"""),"Yes")</f>
        <v>Yes</v>
      </c>
      <c r="F1869" s="7" t="str">
        <f>IFERROR(__xludf.DUMMYFUNCTION("""COMPUTED_VALUE"""),"IP-Poster")</f>
        <v>IP-Poster</v>
      </c>
      <c r="G1869" s="7" t="str">
        <f>IFERROR(__xludf.DUMMYFUNCTION("""COMPUTED_VALUE"""),"In-Person")</f>
        <v>In-Person</v>
      </c>
      <c r="H1869" s="7" t="str">
        <f>IFERROR(__xludf.DUMMYFUNCTION("""COMPUTED_VALUE"""),"Hall 4/5")</f>
        <v>Hall 4/5</v>
      </c>
      <c r="I1869" s="7" t="str">
        <f>IFERROR(__xludf.DUMMYFUNCTION("""COMPUTED_VALUE"""),"Session 2: IP-Posters ")</f>
        <v>Session 2: IP-Posters </v>
      </c>
      <c r="J1869" s="7" t="str">
        <f>IFERROR(__xludf.DUMMYFUNCTION("""COMPUTED_VALUE"""),"Poster Session 1")</f>
        <v>Poster Session 1</v>
      </c>
      <c r="K1869" s="7"/>
      <c r="L1869" s="8">
        <f>IFERROR(__xludf.DUMMYFUNCTION("""COMPUTED_VALUE"""),45866.0)</f>
        <v>45866</v>
      </c>
      <c r="M1869" s="7" t="str">
        <f>IFERROR(__xludf.DUMMYFUNCTION("""COMPUTED_VALUE"""),"11:00-12:30")</f>
        <v>11:00-12:30</v>
      </c>
      <c r="N1869" s="7"/>
    </row>
    <row r="1870">
      <c r="A1870" s="7" t="str">
        <f>IFERROR(__xludf.DUMMYFUNCTION("""COMPUTED_VALUE"""),"540-MAIN")</f>
        <v>540-MAIN</v>
      </c>
      <c r="B1870" s="7" t="str">
        <f>IFERROR(__xludf.DUMMYFUNCTION("""COMPUTED_VALUE"""),"YuLan-Mini: Pushing the Limits of Open Data-efficient Language Model")</f>
        <v>YuLan-Mini: Pushing the Limits of Open Data-efficient Language Model</v>
      </c>
      <c r="C1870" s="7" t="str">
        <f>IFERROR(__xludf.DUMMYFUNCTION("""COMPUTED_VALUE"""),"Due to the immense resource demands and the involved complex techniques, it is still challenging for successfully pre-training a large language models (LLMs) with state-of-the-art performance. In this paper, we explore the key bottlenecks and designs duri"&amp;"ng pre-training, and make the following contributions: (1) a comprehensive investigation into the factors contributing to training instability; (2) a robust optimization approach designed to mitigate training instability effectively; (3) an elaborate data"&amp;" pipeline that integrates data synthesis, data curriculum, and data selection. By integrating the above techniques, we create a rather low-cost training recipe and use it to pre-train YuLan-Mini, a fully-open base model with 2.4B parameters on 1.08T token"&amp;"s. Remarkably, YuLan-Mini achieves top-tier performance among models of similar parameter scale, with comparable performance to industry-leading models that require significantly more data. To facilitate reproduction, we release the full details of traini"&amp;"ng recipe and data composition. Project details can be accessed at the following link: https://anonymous.4open.science/r/YuLan-Mini/README.md.")</f>
        <v>Due to the immense resource demands and the involved complex techniques, it is still challenging for successfully pre-training a large language models (LLMs) with state-of-the-art performance. In this paper, we explore the key bottlenecks and designs during pre-training, and make the following contributions: (1) a comprehensive investigation into the factors contributing to training instability; (2) a robust optimization approach designed to mitigate training instability effectively; (3) an elaborate data pipeline that integrates data synthesis, data curriculum, and data selection. By integrating the above techniques, we create a rather low-cost training recipe and use it to pre-train YuLan-Mini, a fully-open base model with 2.4B parameters on 1.08T tokens. Remarkably, YuLan-Mini achieves top-tier performance among models of similar parameter scale, with comparable performance to industry-leading models that require significantly more data. To facilitate reproduction, we release the full details of training recipe and data composition. Project details can be accessed at the following link: https://anonymous.4open.science/r/YuLan-Mini/README.md.</v>
      </c>
      <c r="D1870" s="7" t="str">
        <f>IFERROR(__xludf.DUMMYFUNCTION("""COMPUTED_VALUE"""),"Yiwen Hu")</f>
        <v>Yiwen Hu</v>
      </c>
      <c r="E1870" s="7" t="str">
        <f>IFERROR(__xludf.DUMMYFUNCTION("""COMPUTED_VALUE"""),"Yes")</f>
        <v>Yes</v>
      </c>
      <c r="F1870" s="7" t="str">
        <f>IFERROR(__xludf.DUMMYFUNCTION("""COMPUTED_VALUE"""),"IP-Oral")</f>
        <v>IP-Oral</v>
      </c>
      <c r="G1870" s="7" t="str">
        <f>IFERROR(__xludf.DUMMYFUNCTION("""COMPUTED_VALUE"""),"In-Person")</f>
        <v>In-Person</v>
      </c>
      <c r="H1870" s="7" t="str">
        <f>IFERROR(__xludf.DUMMYFUNCTION("""COMPUTED_VALUE"""),"Room 1.15-16")</f>
        <v>Room 1.15-16</v>
      </c>
      <c r="I1870" s="7" t="str">
        <f>IFERROR(__xludf.DUMMYFUNCTION("""COMPUTED_VALUE"""),"Session 11: IP-Orals ")</f>
        <v>Session 11: IP-Orals </v>
      </c>
      <c r="J1870" s="7" t="str">
        <f>IFERROR(__xludf.DUMMYFUNCTION("""COMPUTED_VALUE"""),"Language Modeling 2")</f>
        <v>Language Modeling 2</v>
      </c>
      <c r="K1870" s="7"/>
      <c r="L1870" s="8">
        <f>IFERROR(__xludf.DUMMYFUNCTION("""COMPUTED_VALUE"""),45868.0)</f>
        <v>45868</v>
      </c>
      <c r="M1870" s="7" t="str">
        <f>IFERROR(__xludf.DUMMYFUNCTION("""COMPUTED_VALUE"""),"09:00-10:30")</f>
        <v>09:00-10:30</v>
      </c>
      <c r="N1870" s="7">
        <f>IFERROR(__xludf.DUMMYFUNCTION("""COMPUTED_VALUE"""),3.0)</f>
        <v>3</v>
      </c>
    </row>
    <row r="1871">
      <c r="A1871" s="7" t="str">
        <f>IFERROR(__xludf.DUMMYFUNCTION("""COMPUTED_VALUE"""),"541-MAIN")</f>
        <v>541-MAIN</v>
      </c>
      <c r="B1871" s="7" t="str">
        <f>IFERROR(__xludf.DUMMYFUNCTION("""COMPUTED_VALUE"""),"Your Model is Overconfident, and Other Lies We Tell Ourselves")</f>
        <v>Your Model is Overconfident, and Other Lies We Tell Ourselves</v>
      </c>
      <c r="C1871" s="7" t="str">
        <f>IFERROR(__xludf.DUMMYFUNCTION("""COMPUTED_VALUE"""),"The difficulty intrinsic to a given example, rooted in its inherent ambiguity, is a key yet often overlooked factor in evaluating neural NLP models. We investigate the interplay and divergence among various metrics for assessing intrinsic difficulty, incl"&amp;"uding annotator dissensus, training dynamics, and model confidence. Through a comprehensive analysis using 29 models on three datasets, we reveal that while correlations exist among these metrics, their relationships are neither linear nor monotonic. By d"&amp;"isentangling these dimensions of uncertainty, we aim to refine our understanding of data complexity and its implications for evaluating and improving NLP models.")</f>
        <v>The difficulty intrinsic to a given example, rooted in its inherent ambiguity, is a key yet often overlooked factor in evaluating neural NLP models. We investigate the interplay and divergence among various metrics for assessing intrinsic difficulty, including annotator dissensus, training dynamics, and model confidence. Through a comprehensive analysis using 29 models on three datasets, we reveal that while correlations exist among these metrics, their relationships are neither linear nor monotonic. By disentangling these dimensions of uncertainty, we aim to refine our understanding of data complexity and its implications for evaluating and improving NLP models.</v>
      </c>
      <c r="D1871" s="7" t="str">
        <f>IFERROR(__xludf.DUMMYFUNCTION("""COMPUTED_VALUE"""),"Timothee  Mickus")</f>
        <v>Timothee  Mickus</v>
      </c>
      <c r="E1871" s="7" t="str">
        <f>IFERROR(__xludf.DUMMYFUNCTION("""COMPUTED_VALUE"""),"Yes")</f>
        <v>Yes</v>
      </c>
      <c r="F1871" s="7" t="str">
        <f>IFERROR(__xludf.DUMMYFUNCTION("""COMPUTED_VALUE"""),"IP-Oral")</f>
        <v>IP-Oral</v>
      </c>
      <c r="G1871" s="7" t="str">
        <f>IFERROR(__xludf.DUMMYFUNCTION("""COMPUTED_VALUE"""),"In-Person")</f>
        <v>In-Person</v>
      </c>
      <c r="H1871" s="7" t="str">
        <f>IFERROR(__xludf.DUMMYFUNCTION("""COMPUTED_VALUE"""),"Hall M.2")</f>
        <v>Hall M.2</v>
      </c>
      <c r="I1871" s="7" t="str">
        <f>IFERROR(__xludf.DUMMYFUNCTION("""COMPUTED_VALUE"""),"Session 9: IP-Orals")</f>
        <v>Session 9: IP-Orals</v>
      </c>
      <c r="J1871" s="7" t="str">
        <f>IFERROR(__xludf.DUMMYFUNCTION("""COMPUTED_VALUE"""),"Interpretability and Model Analysis 1")</f>
        <v>Interpretability and Model Analysis 1</v>
      </c>
      <c r="K1871" s="7"/>
      <c r="L1871" s="8">
        <f>IFERROR(__xludf.DUMMYFUNCTION("""COMPUTED_VALUE"""),45867.0)</f>
        <v>45867</v>
      </c>
      <c r="M1871" s="7" t="str">
        <f>IFERROR(__xludf.DUMMYFUNCTION("""COMPUTED_VALUE"""),"14:00-15:30")</f>
        <v>14:00-15:30</v>
      </c>
      <c r="N1871" s="7">
        <f>IFERROR(__xludf.DUMMYFUNCTION("""COMPUTED_VALUE"""),3.0)</f>
        <v>3</v>
      </c>
    </row>
    <row r="1872">
      <c r="A1872" s="7" t="str">
        <f>IFERROR(__xludf.DUMMYFUNCTION("""COMPUTED_VALUE"""),"544-MAIN")</f>
        <v>544-MAIN</v>
      </c>
      <c r="B1872" s="7" t="str">
        <f>IFERROR(__xludf.DUMMYFUNCTION("""COMPUTED_VALUE"""),"Bridging the Language Gaps in Large Language Models with Inference-Time Cross-Lingual Intervention")</f>
        <v>Bridging the Language Gaps in Large Language Models with Inference-Time Cross-Lingual Intervention</v>
      </c>
      <c r="C1872" s="7" t="str">
        <f>IFERROR(__xludf.DUMMYFUNCTION("""COMPUTED_VALUE"""),"Large Language Models (LLMs) have shown remarkable capabilities in natural language processing but exhibit significant performance gaps among different languages. Most existing approaches to address these disparities rely on pretraining or fine-tuning, wh"&amp;"ich are resource-intensive. To overcome these limitations without incurring significant costs, we propose Inference-Time Cross-Lingual Intervention (INCLINE), a novel framework that enhances LLM performance on low-performing (source) languages by aligning"&amp;" their internal representations with those of high-performing (target) languages during inference. INCLINE initially learns alignment matrices using parallel sentences from source and target languages through a Least-Squares optimization, and then applies"&amp;" these matrices during inference to transform the low-performing language representations toward the high-performing language space. Extensive experiments on nine benchmarks with five LLMs demonstrate that INCLINE significantly improves performance across"&amp;" diverse tasks and languages, compared to recent strong baselines. Our analysis demonstrates that INCLINE is highly cost-effective and applicable to a wide range of applications. In addition, we release the code to foster research along this line.")</f>
        <v>Large Language Models (LLMs) have shown remarkable capabilities in natural language processing but exhibit significant performance gaps among different languages. Most existing approaches to address these disparities rely on pretraining or fine-tuning, which are resource-intensive. To overcome these limitations without incurring significant costs, we propose Inference-Time Cross-Lingual Intervention (INCLINE), a novel framework that enhances LLM performance on low-performing (source) languages by aligning their internal representations with those of high-performing (target) languages during inference. INCLINE initially learns alignment matrices using parallel sentences from source and target languages through a Least-Squares optimization, and then applies these matrices during inference to transform the low-performing language representations toward the high-performing language space. Extensive experiments on nine benchmarks with five LLMs demonstrate that INCLINE significantly improves performance across diverse tasks and languages, compared to recent strong baselines. Our analysis demonstrates that INCLINE is highly cost-effective and applicable to a wide range of applications. In addition, we release the code to foster research along this line.</v>
      </c>
      <c r="D1872" s="7" t="str">
        <f>IFERROR(__xludf.DUMMYFUNCTION("""COMPUTED_VALUE"""),"Weixuan Wang")</f>
        <v>Weixuan Wang</v>
      </c>
      <c r="E1872" s="7" t="str">
        <f>IFERROR(__xludf.DUMMYFUNCTION("""COMPUTED_VALUE"""),"Yes")</f>
        <v>Yes</v>
      </c>
      <c r="F1872" s="7" t="str">
        <f>IFERROR(__xludf.DUMMYFUNCTION("""COMPUTED_VALUE"""),"IP-Oral")</f>
        <v>IP-Oral</v>
      </c>
      <c r="G1872" s="7" t="str">
        <f>IFERROR(__xludf.DUMMYFUNCTION("""COMPUTED_VALUE"""),"In-Person")</f>
        <v>In-Person</v>
      </c>
      <c r="H1872" s="7" t="str">
        <f>IFERROR(__xludf.DUMMYFUNCTION("""COMPUTED_VALUE"""),"Hall N.2")</f>
        <v>Hall N.2</v>
      </c>
      <c r="I1872" s="7" t="str">
        <f>IFERROR(__xludf.DUMMYFUNCTION("""COMPUTED_VALUE"""),"Session 11: IP-Orals ")</f>
        <v>Session 11: IP-Orals </v>
      </c>
      <c r="J1872" s="7" t="str">
        <f>IFERROR(__xludf.DUMMYFUNCTION("""COMPUTED_VALUE"""),"Panel 5: Multilinguality and language diversity")</f>
        <v>Panel 5: Multilinguality and language diversity</v>
      </c>
      <c r="K1872" s="7"/>
      <c r="L1872" s="8">
        <f>IFERROR(__xludf.DUMMYFUNCTION("""COMPUTED_VALUE"""),45868.0)</f>
        <v>45868</v>
      </c>
      <c r="M1872" s="7" t="str">
        <f>IFERROR(__xludf.DUMMYFUNCTION("""COMPUTED_VALUE"""),"09:00-10:30")</f>
        <v>09:00-10:30</v>
      </c>
      <c r="N1872" s="7">
        <f>IFERROR(__xludf.DUMMYFUNCTION("""COMPUTED_VALUE"""),3.0)</f>
        <v>3</v>
      </c>
    </row>
    <row r="1873">
      <c r="A1873" s="7" t="str">
        <f>IFERROR(__xludf.DUMMYFUNCTION("""COMPUTED_VALUE"""),"547-MAIN")</f>
        <v>547-MAIN</v>
      </c>
      <c r="B1873" s="7" t="str">
        <f>IFERROR(__xludf.DUMMYFUNCTION("""COMPUTED_VALUE"""),"Plug-in and Fine-tuning: Bridging the Gap between Small Language Models and Large Language Models")</f>
        <v>Plug-in and Fine-tuning: Bridging the Gap between Small Language Models and Large Language Models</v>
      </c>
      <c r="C1873" s="7" t="str">
        <f>IFERROR(__xludf.DUMMYFUNCTION("""COMPUTED_VALUE"""),"Large language models (LLMs) are renowned for their extensive linguistic knowledge and strong generalization capabilities, but their high computational demands make them unsuitable for resource-constrained environments. In contrast, small language models "&amp;"(SLMs) are computationally efficient but often lack the broad generalization capacity of LLMs. To bridge this gap, we propose PiFi, a novel framework that combines the strengths of both LLMs and SLMs to achieve high performance while maintaining efficienc"&amp;"y. PiFi integrates a single frozen layer from an LLM into a SLM and fine-tunes the combined model for specific tasks, boosting performance without a significant increase in computational cost. We show that PiFi delivers consistent performance improvements"&amp;" across a range of natural language processing tasks, including both natural language understanding and generation. Moreover, our findings demonstrate PiFi’s ability to effectively leverage LLM knowledge, enhancing generalization to unseen domains and fac"&amp;"ilitating the transfer of linguistic abilities.")</f>
        <v>Large language models (LLMs) are renowned for their extensive linguistic knowledge and strong generalization capabilities, but their high computational demands make them unsuitable for resource-constrained environments. In contrast, small language models (SLMs) are computationally efficient but often lack the broad generalization capacity of LLMs. To bridge this gap, we propose PiFi, a novel framework that combines the strengths of both LLMs and SLMs to achieve high performance while maintaining efficiency. PiFi integrates a single frozen layer from an LLM into a SLM and fine-tunes the combined model for specific tasks, boosting performance without a significant increase in computational cost. We show that PiFi delivers consistent performance improvements across a range of natural language processing tasks, including both natural language understanding and generation. Moreover, our findings demonstrate PiFi’s ability to effectively leverage LLM knowledge, enhancing generalization to unseen domains and facilitating the transfer of linguistic abilities.</v>
      </c>
      <c r="D1873" s="7" t="str">
        <f>IFERROR(__xludf.DUMMYFUNCTION("""COMPUTED_VALUE"""),"Kyeonghyun Kim")</f>
        <v>Kyeonghyun Kim</v>
      </c>
      <c r="E1873" s="7" t="str">
        <f>IFERROR(__xludf.DUMMYFUNCTION("""COMPUTED_VALUE"""),"Yes")</f>
        <v>Yes</v>
      </c>
      <c r="F1873" s="7" t="str">
        <f>IFERROR(__xludf.DUMMYFUNCTION("""COMPUTED_VALUE"""),"IP-Poster")</f>
        <v>IP-Poster</v>
      </c>
      <c r="G1873" s="7" t="str">
        <f>IFERROR(__xludf.DUMMYFUNCTION("""COMPUTED_VALUE"""),"In-Person")</f>
        <v>In-Person</v>
      </c>
      <c r="H1873" s="7" t="str">
        <f>IFERROR(__xludf.DUMMYFUNCTION("""COMPUTED_VALUE"""),"Hall 4/5")</f>
        <v>Hall 4/5</v>
      </c>
      <c r="I1873" s="7" t="str">
        <f>IFERROR(__xludf.DUMMYFUNCTION("""COMPUTED_VALUE"""),"Session 10: IP-Posters")</f>
        <v>Session 10: IP-Posters</v>
      </c>
      <c r="J1873" s="7" t="str">
        <f>IFERROR(__xludf.DUMMYFUNCTION("""COMPUTED_VALUE"""),"Poster Session 3")</f>
        <v>Poster Session 3</v>
      </c>
      <c r="K1873" s="7"/>
      <c r="L1873" s="8">
        <f>IFERROR(__xludf.DUMMYFUNCTION("""COMPUTED_VALUE"""),45867.0)</f>
        <v>45867</v>
      </c>
      <c r="M1873" s="7" t="str">
        <f>IFERROR(__xludf.DUMMYFUNCTION("""COMPUTED_VALUE"""),"16:00-17:30")</f>
        <v>16:00-17:30</v>
      </c>
      <c r="N1873" s="7"/>
    </row>
    <row r="1874">
      <c r="A1874" s="7" t="str">
        <f>IFERROR(__xludf.DUMMYFUNCTION("""COMPUTED_VALUE"""),"548-MAIN")</f>
        <v>548-MAIN</v>
      </c>
      <c r="B1874" s="7" t="str">
        <f>IFERROR(__xludf.DUMMYFUNCTION("""COMPUTED_VALUE"""),"What is Stigma Attributed to? A Theory-Grounded, Expert-Annotated Interview Corpus for Demystifying Mental-Health Stigma")</f>
        <v>What is Stigma Attributed to? A Theory-Grounded, Expert-Annotated Interview Corpus for Demystifying Mental-Health Stigma</v>
      </c>
      <c r="C1874" s="7" t="str">
        <f>IFERROR(__xludf.DUMMYFUNCTION("""COMPUTED_VALUE"""),"Mental-health stigma remains a pervasive social problem that hampers treatment-seeking and recovery. 
Existing resources for training neural models to finely classify such stigma are limited, relying primarily on social-media or synthetic data without the"&amp;"oretical underpinnings. 
To remedy this gap, we present an expert-annotated, theory-informed corpus of human-chatbot interviews, comprising 4,141 snippets from 684 participants with documented socio-cultural backgrounds. 
Our experiments benchmark state-o"&amp;"f-the-art neural models and empirically unpack the challenges of stigma detection. 
This dataset can facilitate research on computationally detecting, neutralizing, and counteracting mental-health stigma. 
Our corpus is openly available at https://github."&amp;"com/HanMeng2004/Mental-Health-Stigma-Interview-Corpus.")</f>
        <v>Mental-health stigma remains a pervasive social problem that hampers treatment-seeking and recovery. 
Existing resources for training neural models to finely classify such stigma are limited, relying primarily on social-media or synthetic data without theoretical underpinnings. 
To remedy this gap, we present an expert-annotated, theory-informed corpus of human-chatbot interviews, comprising 4,141 snippets from 684 participants with documented socio-cultural backgrounds. 
Our experiments benchmark state-of-the-art neural models and empirically unpack the challenges of stigma detection. 
This dataset can facilitate research on computationally detecting, neutralizing, and counteracting mental-health stigma. 
Our corpus is openly available at https://github.com/HanMeng2004/Mental-Health-Stigma-Interview-Corpus.</v>
      </c>
      <c r="D1874" s="7" t="str">
        <f>IFERROR(__xludf.DUMMYFUNCTION("""COMPUTED_VALUE"""),"Han Meng")</f>
        <v>Han Meng</v>
      </c>
      <c r="E1874" s="7" t="str">
        <f>IFERROR(__xludf.DUMMYFUNCTION("""COMPUTED_VALUE"""),"Yes")</f>
        <v>Yes</v>
      </c>
      <c r="F1874" s="7" t="str">
        <f>IFERROR(__xludf.DUMMYFUNCTION("""COMPUTED_VALUE"""),"IP-Oral")</f>
        <v>IP-Oral</v>
      </c>
      <c r="G1874" s="7" t="str">
        <f>IFERROR(__xludf.DUMMYFUNCTION("""COMPUTED_VALUE"""),"In-Person")</f>
        <v>In-Person</v>
      </c>
      <c r="H1874" s="7" t="str">
        <f>IFERROR(__xludf.DUMMYFUNCTION("""COMPUTED_VALUE"""),"Hall A ")</f>
        <v>Hall A </v>
      </c>
      <c r="I1874" s="7" t="str">
        <f>IFERROR(__xludf.DUMMYFUNCTION("""COMPUTED_VALUE"""),"Session 3: IP-Orals")</f>
        <v>Session 3: IP-Orals</v>
      </c>
      <c r="J1874" s="7" t="str">
        <f>IFERROR(__xludf.DUMMYFUNCTION("""COMPUTED_VALUE"""),"Resources and Evaluation 1")</f>
        <v>Resources and Evaluation 1</v>
      </c>
      <c r="K1874" s="7"/>
      <c r="L1874" s="8">
        <f>IFERROR(__xludf.DUMMYFUNCTION("""COMPUTED_VALUE"""),45866.0)</f>
        <v>45866</v>
      </c>
      <c r="M1874" s="7" t="str">
        <f>IFERROR(__xludf.DUMMYFUNCTION("""COMPUTED_VALUE"""),"14:00-15:30")</f>
        <v>14:00-15:30</v>
      </c>
      <c r="N1874" s="7">
        <f>IFERROR(__xludf.DUMMYFUNCTION("""COMPUTED_VALUE"""),4.0)</f>
        <v>4</v>
      </c>
    </row>
    <row r="1875">
      <c r="A1875" s="7" t="str">
        <f>IFERROR(__xludf.DUMMYFUNCTION("""COMPUTED_VALUE"""),"551-MAIN")</f>
        <v>551-MAIN</v>
      </c>
      <c r="B1875" s="7" t="str">
        <f>IFERROR(__xludf.DUMMYFUNCTION("""COMPUTED_VALUE"""),"ATRI: Mitigating Multilingual Audio Text Retrieval Inconsistencies by Reducing Data Distribution Errors")</f>
        <v>ATRI: Mitigating Multilingual Audio Text Retrieval Inconsistencies by Reducing Data Distribution Errors</v>
      </c>
      <c r="C1875" s="7" t="str">
        <f>IFERROR(__xludf.DUMMYFUNCTION("""COMPUTED_VALUE"""),"Multilingual audio-text retrieval (ML-ATR) is a challenging task that aims to retrieve audio clips or multilingual texts from databases. However, existing ML-ATR schemes suffer from inconsistencies for instance similarity matching across languages. 
To ad"&amp;"dress the inconsistency issue in multilingual audio-text retrieval, we first identify two intuitive factors that contribute to inconsistency: misalignment between audio and multilingual text embeddings, and error propagation in model optimization. By syst"&amp;"ematically analyzing these factors, we derive theoretical weight error upper bounds for quantifying their effects and find that the main source of inconsistency is the data distribution error during training. This finding motivates our solution to reduce "&amp;"data distribution errors.
We propose a consistent ML-ATR scheme using 1-to-k contrastive learning and audio-English co-anchor contrastive learning, aiming to mitigate the negative impact of data distribution error on recall and consistency in ML-ATR. Expe"&amp;"rimental results on the translated AudioCaps and Clotho datasets show that our scheme achieves state-of-the-art performance on recall and consistency metrics for eight mainstream languages, including English. 
Our code will be available at https://github."&amp;"com/ATRI-ACL/ATRI-ACL.")</f>
        <v>Multilingual audio-text retrieval (ML-ATR) is a challenging task that aims to retrieve audio clips or multilingual texts from databases. However, existing ML-ATR schemes suffer from inconsistencies for instance similarity matching across languages. 
To address the inconsistency issue in multilingual audio-text retrieval, we first identify two intuitive factors that contribute to inconsistency: misalignment between audio and multilingual text embeddings, and error propagation in model optimization. By systematically analyzing these factors, we derive theoretical weight error upper bounds for quantifying their effects and find that the main source of inconsistency is the data distribution error during training. This finding motivates our solution to reduce data distribution errors.
We propose a consistent ML-ATR scheme using 1-to-k contrastive learning and audio-English co-anchor contrastive learning, aiming to mitigate the negative impact of data distribution error on recall and consistency in ML-ATR. Experimental results on the translated AudioCaps and Clotho datasets show that our scheme achieves state-of-the-art performance on recall and consistency metrics for eight mainstream languages, including English. 
Our code will be available at https://github.com/ATRI-ACL/ATRI-ACL.</v>
      </c>
      <c r="D1875" s="7" t="str">
        <f>IFERROR(__xludf.DUMMYFUNCTION("""COMPUTED_VALUE"""),"Yuguo Yin")</f>
        <v>Yuguo Yin</v>
      </c>
      <c r="E1875" s="7" t="str">
        <f>IFERROR(__xludf.DUMMYFUNCTION("""COMPUTED_VALUE"""),"Yes")</f>
        <v>Yes</v>
      </c>
      <c r="F1875" s="7" t="str">
        <f>IFERROR(__xludf.DUMMYFUNCTION("""COMPUTED_VALUE"""),"IP-Poster")</f>
        <v>IP-Poster</v>
      </c>
      <c r="G1875" s="7" t="str">
        <f>IFERROR(__xludf.DUMMYFUNCTION("""COMPUTED_VALUE"""),"In-Person")</f>
        <v>In-Person</v>
      </c>
      <c r="H1875" s="7" t="str">
        <f>IFERROR(__xludf.DUMMYFUNCTION("""COMPUTED_VALUE"""),"Hall 4/5")</f>
        <v>Hall 4/5</v>
      </c>
      <c r="I1875" s="7" t="str">
        <f>IFERROR(__xludf.DUMMYFUNCTION("""COMPUTED_VALUE"""),"Session 2: IP-Posters ")</f>
        <v>Session 2: IP-Posters </v>
      </c>
      <c r="J1875" s="7" t="str">
        <f>IFERROR(__xludf.DUMMYFUNCTION("""COMPUTED_VALUE"""),"Poster Session 1")</f>
        <v>Poster Session 1</v>
      </c>
      <c r="K1875" s="7"/>
      <c r="L1875" s="8">
        <f>IFERROR(__xludf.DUMMYFUNCTION("""COMPUTED_VALUE"""),45866.0)</f>
        <v>45866</v>
      </c>
      <c r="M1875" s="7" t="str">
        <f>IFERROR(__xludf.DUMMYFUNCTION("""COMPUTED_VALUE"""),"11:00-12:30")</f>
        <v>11:00-12:30</v>
      </c>
      <c r="N1875" s="7"/>
    </row>
    <row r="1876">
      <c r="A1876" s="7" t="str">
        <f>IFERROR(__xludf.DUMMYFUNCTION("""COMPUTED_VALUE"""),"553-MAIN")</f>
        <v>553-MAIN</v>
      </c>
      <c r="B1876" s="7" t="str">
        <f>IFERROR(__xludf.DUMMYFUNCTION("""COMPUTED_VALUE"""),"Enhancing Transformers for Generalizable First-Order Logical Entailment")</f>
        <v>Enhancing Transformers for Generalizable First-Order Logical Entailment</v>
      </c>
      <c r="C1876" s="7" t="str">
        <f>IFERROR(__xludf.DUMMYFUNCTION("""COMPUTED_VALUE"""),"Transformers, as the fundamental deep learning architecture, have demonstrated great capability in reasoning. This paper studies the generalizable first-order logical reasoning ability of transformers with their *parameterized* knowledge and how to improv"&amp;"e it. Transformers' capability of first-order reasoning is further captured by whether they can conduct first-order logical entailment, which is quantitatively measured by their performance in answering knowledge graph queries. We establish the connection"&amp;"s between (1) two types of distribution shifts studied in out-of-distribution generalization and (2) unseen knowledge and query settings discussed in the task of knowledge graph query answering, which makes it possible to characterize the fine-grained gen"&amp;"eralizability. Results on our comprehensive dataset showed that transformers **outperform** previous methods designed particularly for this task and provided detailed empirical evidence about the impact of the input query syntax, token embedding, and tran"&amp;"sformer architectures on the reasoning capability of transformers. Interestingly, our results revealed the mismatch of positional encoding and other design choices of transformer architectures in previous practices. Motivated by this, we propose **TEGA**,"&amp;" a logic-aware architecture that significantly improves the performance in generalizable first-order logical entailment.")</f>
        <v>Transformers, as the fundamental deep learning architecture, have demonstrated great capability in reasoning. This paper studies the generalizable first-order logical reasoning ability of transformers with their *parameterized* knowledge and how to improve it. Transformers' capability of first-order reasoning is further captured by whether they can conduct first-order logical entailment, which is quantitatively measured by their performance in answering knowledge graph queries. We establish the connections between (1) two types of distribution shifts studied in out-of-distribution generalization and (2) unseen knowledge and query settings discussed in the task of knowledge graph query answering, which makes it possible to characterize the fine-grained generalizability. Results on our comprehensive dataset showed that transformers **outperform** previous methods designed particularly for this task and provided detailed empirical evidence about the impact of the input query syntax, token embedding, and transformer architectures on the reasoning capability of transformers. Interestingly, our results revealed the mismatch of positional encoding and other design choices of transformer architectures in previous practices. Motivated by this, we propose **TEGA**, a logic-aware architecture that significantly improves the performance in generalizable first-order logical entailment.</v>
      </c>
      <c r="D1876" s="7" t="str">
        <f>IFERROR(__xludf.DUMMYFUNCTION("""COMPUTED_VALUE"""),"Tianshi Zheng")</f>
        <v>Tianshi Zheng</v>
      </c>
      <c r="E1876" s="7" t="str">
        <f>IFERROR(__xludf.DUMMYFUNCTION("""COMPUTED_VALUE"""),"Yes")</f>
        <v>Yes</v>
      </c>
      <c r="F1876" s="7" t="str">
        <f>IFERROR(__xludf.DUMMYFUNCTION("""COMPUTED_VALUE"""),"IP-Poster")</f>
        <v>IP-Poster</v>
      </c>
      <c r="G1876" s="7" t="str">
        <f>IFERROR(__xludf.DUMMYFUNCTION("""COMPUTED_VALUE"""),"In-Person")</f>
        <v>In-Person</v>
      </c>
      <c r="H1876" s="7" t="str">
        <f>IFERROR(__xludf.DUMMYFUNCTION("""COMPUTED_VALUE"""),"Hall 4/5")</f>
        <v>Hall 4/5</v>
      </c>
      <c r="I1876" s="7" t="str">
        <f>IFERROR(__xludf.DUMMYFUNCTION("""COMPUTED_VALUE"""),"Session 7: IP-Posters")</f>
        <v>Session 7: IP-Posters</v>
      </c>
      <c r="J1876" s="7" t="str">
        <f>IFERROR(__xludf.DUMMYFUNCTION("""COMPUTED_VALUE"""),"Poster Session 2")</f>
        <v>Poster Session 2</v>
      </c>
      <c r="K1876" s="7"/>
      <c r="L1876" s="8">
        <f>IFERROR(__xludf.DUMMYFUNCTION("""COMPUTED_VALUE"""),45867.0)</f>
        <v>45867</v>
      </c>
      <c r="M1876" s="7" t="str">
        <f>IFERROR(__xludf.DUMMYFUNCTION("""COMPUTED_VALUE"""),"10:30-12:00")</f>
        <v>10:30-12:00</v>
      </c>
      <c r="N1876" s="7"/>
    </row>
    <row r="1877">
      <c r="A1877" s="7" t="str">
        <f>IFERROR(__xludf.DUMMYFUNCTION("""COMPUTED_VALUE"""),"555-MAIN")</f>
        <v>555-MAIN</v>
      </c>
      <c r="B1877" s="7" t="str">
        <f>IFERROR(__xludf.DUMMYFUNCTION("""COMPUTED_VALUE"""),"Self-Taught Agentic Long Context Understanding")</f>
        <v>Self-Taught Agentic Long Context Understanding</v>
      </c>
      <c r="C1877" s="7" t="str">
        <f>IFERROR(__xludf.DUMMYFUNCTION("""COMPUTED_VALUE"""),"Answering complex, long-context questions remains a major challenge for large language models (LLMs) as it requires effective question clarifications and context retrieval. We propose Agentic Long-Context Understanding (AgenticLU), a framework designed to"&amp;" enhance an LLM’s understanding of such queries by integrating targeted self-clarification with contextual grounding within an agentic workflow. At the core of AgenticLU is Chain-of-Clarifications (CoC), where models refine their understanding through sel"&amp;"f-generated clarification questions and corresponding contextual groundings. By scaling inference as a tree search where each node represents a CoC step, we achieve 97.8% answer recall on NarrativeQA with a search depth of up to three and a branching fact"&amp;"or of eight. To amortize the high cost of this search process to training, we leverage the preference pairs for each step obtained by the CoC workflow and perform two-stage model finetuning: (1) supervised finetuning to learn effective decomposition strat"&amp;"egies, and (2) direct preference optimization to enhance reasoning quality. This enables AgenticLU models to generate clarifications and retrieve relevant context effectively and efficiently in a single inference pass. Extensive experiments across seven l"&amp;"ong-context tasks demonstrate that AgenticLU significantly outperforms state-of-the-art prompting methods and specialized long-context LLMs, achieving robust multi-hop reasoning while sustaining consistent performance as context length grows.")</f>
        <v>Answering complex, long-context questions remains a major challenge for large language models (LLMs) as it requires effective question clarifications and context retrieval. We propose Agentic Long-Context Understanding (AgenticLU), a framework designed to enhance an LLM’s understanding of such queries by integrating targeted self-clarification with contextual grounding within an agentic workflow. At the core of AgenticLU is Chain-of-Clarifications (CoC), where models refine their understanding through self-generated clarification questions and corresponding contextual groundings. By scaling inference as a tree search where each node represents a CoC step, we achieve 97.8% answer recall on NarrativeQA with a search depth of up to three and a branching factor of eight. To amortize the high cost of this search process to training, we leverage the preference pairs for each step obtained by the CoC workflow and perform two-stage model finetuning: (1) supervised finetuning to learn effective decomposition strategies, and (2) direct preference optimization to enhance reasoning quality. This enables AgenticLU models to generate clarifications and retrieve relevant context effectively and efficiently in a single inference pass. Extensive experiments across seven long-context tasks demonstrate that AgenticLU significantly outperforms state-of-the-art prompting methods and specialized long-context LLMs, achieving robust multi-hop reasoning while sustaining consistent performance as context length grows.</v>
      </c>
      <c r="D1877" s="7" t="str">
        <f>IFERROR(__xludf.DUMMYFUNCTION("""COMPUTED_VALUE"""),"Yufan Zhuang")</f>
        <v>Yufan Zhuang</v>
      </c>
      <c r="E1877" s="7" t="str">
        <f>IFERROR(__xludf.DUMMYFUNCTION("""COMPUTED_VALUE"""),"Yes")</f>
        <v>Yes</v>
      </c>
      <c r="F1877" s="7" t="str">
        <f>IFERROR(__xludf.DUMMYFUNCTION("""COMPUTED_VALUE"""),"V-Presentation")</f>
        <v>V-Presentation</v>
      </c>
      <c r="G1877" s="7" t="str">
        <f>IFERROR(__xludf.DUMMYFUNCTION("""COMPUTED_VALUE"""),"Virtual/Gather")</f>
        <v>Virtual/Gather</v>
      </c>
      <c r="H1877" s="7" t="str">
        <f>IFERROR(__xludf.DUMMYFUNCTION("""COMPUTED_VALUE"""),"Zoom")</f>
        <v>Zoom</v>
      </c>
      <c r="I1877" s="7" t="str">
        <f>IFERROR(__xludf.DUMMYFUNCTION("""COMPUTED_VALUE"""),"Session 10: V-Presenations")</f>
        <v>Session 10: V-Presenations</v>
      </c>
      <c r="J1877" s="7" t="str">
        <f>IFERROR(__xludf.DUMMYFUNCTION("""COMPUTED_VALUE"""),"Virtual Presentations 3")</f>
        <v>Virtual Presentations 3</v>
      </c>
      <c r="K1877" s="7"/>
      <c r="L1877" s="8">
        <f>IFERROR(__xludf.DUMMYFUNCTION("""COMPUTED_VALUE"""),45867.0)</f>
        <v>45867</v>
      </c>
      <c r="M1877" s="7" t="str">
        <f>IFERROR(__xludf.DUMMYFUNCTION("""COMPUTED_VALUE"""),"16:00-17:30")</f>
        <v>16:00-17:30</v>
      </c>
      <c r="N1877" s="7"/>
    </row>
    <row r="1878">
      <c r="A1878" s="7" t="str">
        <f>IFERROR(__xludf.DUMMYFUNCTION("""COMPUTED_VALUE"""),"557-MAIN")</f>
        <v>557-MAIN</v>
      </c>
      <c r="B1878" s="7" t="str">
        <f>IFERROR(__xludf.DUMMYFUNCTION("""COMPUTED_VALUE"""),"Hallucination Detox: Sensitivity Dropout (SenD) for Large Language Model Training")</f>
        <v>Hallucination Detox: Sensitivity Dropout (SenD) for Large Language Model Training</v>
      </c>
      <c r="C1878" s="7" t="str">
        <f>IFERROR(__xludf.DUMMYFUNCTION("""COMPUTED_VALUE"""),"As large language models (LLMs) become increasingly prevalent, concerns about their reliability, particularly due to hallucinations - factually inaccurate or irrelevant outputs - have grown. Our research investigates the relationship between the uncertain"&amp;"ty in training dynamics and the emergence of hallucinations. Using models from the Pythia suite and several hallucination detection metrics, we analyze hallucination trends and identify significant variance during training. To address this, we propose Sen"&amp;"sitivity Dropout (SenD), a novel training protocol designed to reduce hallucination variance during training by deterministically dropping embedding indices with significant variability. In addition, we develop an unsupervised hallucination detection metr"&amp;"ic, Efficient EigenScore (EES), which approximates the traditional EigenScore in 2x speed. This metric is integrated into our training protocol, allowing SenD to be both computationally scalable and effective at reducing hallucination variance. SenD impro"&amp;"ves test-time reliability of Pythia and Meta's Llama models by up to 17% and enhances factual accuracy in Wikipedia, Medical, Legal, and Coding domains without affecting downstream task performance.")</f>
        <v>As large language models (LLMs) become increasingly prevalent, concerns about their reliability, particularly due to hallucinations - factually inaccurate or irrelevant outputs - have grown. Our research investigates the relationship between the uncertainty in training dynamics and the emergence of hallucinations. Using models from the Pythia suite and several hallucination detection metrics, we analyze hallucination trends and identify significant variance during training. To address this, we propose Sensitivity Dropout (SenD), a novel training protocol designed to reduce hallucination variance during training by deterministically dropping embedding indices with significant variability. In addition, we develop an unsupervised hallucination detection metric, Efficient EigenScore (EES), which approximates the traditional EigenScore in 2x speed. This metric is integrated into our training protocol, allowing SenD to be both computationally scalable and effective at reducing hallucination variance. SenD improves test-time reliability of Pythia and Meta's Llama models by up to 17% and enhances factual accuracy in Wikipedia, Medical, Legal, and Coding domains without affecting downstream task performance.</v>
      </c>
      <c r="D1878" s="7" t="str">
        <f>IFERROR(__xludf.DUMMYFUNCTION("""COMPUTED_VALUE"""),"Shahrad Mohammadzadeh")</f>
        <v>Shahrad Mohammadzadeh</v>
      </c>
      <c r="E1878" s="7" t="str">
        <f>IFERROR(__xludf.DUMMYFUNCTION("""COMPUTED_VALUE"""),"Yes")</f>
        <v>Yes</v>
      </c>
      <c r="F1878" s="7" t="str">
        <f>IFERROR(__xludf.DUMMYFUNCTION("""COMPUTED_VALUE"""),"IP-Poster")</f>
        <v>IP-Poster</v>
      </c>
      <c r="G1878" s="7" t="str">
        <f>IFERROR(__xludf.DUMMYFUNCTION("""COMPUTED_VALUE"""),"In-Person")</f>
        <v>In-Person</v>
      </c>
      <c r="H1878" s="7" t="str">
        <f>IFERROR(__xludf.DUMMYFUNCTION("""COMPUTED_VALUE"""),"Hall 4/5")</f>
        <v>Hall 4/5</v>
      </c>
      <c r="I1878" s="7" t="str">
        <f>IFERROR(__xludf.DUMMYFUNCTION("""COMPUTED_VALUE"""),"Session 7: IP-Posters")</f>
        <v>Session 7: IP-Posters</v>
      </c>
      <c r="J1878" s="7" t="str">
        <f>IFERROR(__xludf.DUMMYFUNCTION("""COMPUTED_VALUE"""),"Poster Session 2")</f>
        <v>Poster Session 2</v>
      </c>
      <c r="K1878" s="7"/>
      <c r="L1878" s="8">
        <f>IFERROR(__xludf.DUMMYFUNCTION("""COMPUTED_VALUE"""),45867.0)</f>
        <v>45867</v>
      </c>
      <c r="M1878" s="7" t="str">
        <f>IFERROR(__xludf.DUMMYFUNCTION("""COMPUTED_VALUE"""),"10:30-12:00")</f>
        <v>10:30-12:00</v>
      </c>
      <c r="N1878" s="7"/>
    </row>
    <row r="1879">
      <c r="A1879" s="7" t="str">
        <f>IFERROR(__xludf.DUMMYFUNCTION("""COMPUTED_VALUE"""),"558-MAIN")</f>
        <v>558-MAIN</v>
      </c>
      <c r="B1879" s="7" t="str">
        <f>IFERROR(__xludf.DUMMYFUNCTION("""COMPUTED_VALUE"""),"OS-Genesis: Automating GUI Agent Trajectory Construction via Reverse Task Synthesis")</f>
        <v>OS-Genesis: Automating GUI Agent Trajectory Construction via Reverse Task Synthesis</v>
      </c>
      <c r="C1879" s="7" t="str">
        <f>IFERROR(__xludf.DUMMYFUNCTION("""COMPUTED_VALUE"""),"Graphical User Interface (GUI) agents powered by Vision-Language Models (VLMs) have demonstrated human-like computer control capability. Despite their utility in advancing digital automation, the development of such agents faces a critical bottleneck: col"&amp;"lecting high-quality trajectory data for training. Common practices for collecting such data rely on human supervision or synthetic data generation through executing pre-defined tasks, which are either resource-intensive or unable to guarantee data qualit"&amp;"y. Further, these approaches exhibit significant gaps between the generated data and online environments, alongside limited data diversity. To address this issue, we introduce OS-Genesis, a novel GUI data synthesis pipeline that overcomes the challenges a"&amp;"bove. Unlike prior methods that rely on preset tasks, OS-Genesis reverse engineers the GUI trajectory construction process. Agents first perceive environments and perform step-level interactions, then retrospectively derive high-quality tasks to enable tr"&amp;"ajectory-level exploration. A trajectory reward model is then employed to ensure the quality of the generated trajectories. We demonstrate that training GUI agents with OS-Genesis significantly improves their performance on highly challenging online bench"&amp;"marks. In-depth analysis further validates OS-Genesis's cost-effectiveness and its superior data quality and diversity compared to existing synthesis methods.")</f>
        <v>Graphical User Interface (GUI) agents powered by Vision-Language Models (VLMs) have demonstrated human-like computer control capability. Despite their utility in advancing digital automation, the development of such agents faces a critical bottleneck: collecting high-quality trajectory data for training. Common practices for collecting such data rely on human supervision or synthetic data generation through executing pre-defined tasks, which are either resource-intensive or unable to guarantee data quality. Further, these approaches exhibit significant gaps between the generated data and online environments, alongside limited data diversity. To address this issue, we introduce OS-Genesis, a novel GUI data synthesis pipeline that overcomes the challenges above. Unlike prior methods that rely on preset tasks, OS-Genesis reverse engineers the GUI trajectory construction process. Agents first perceive environments and perform step-level interactions, then retrospectively derive high-quality tasks to enable trajectory-level exploration. A trajectory reward model is then employed to ensure the quality of the generated trajectories. We demonstrate that training GUI agents with OS-Genesis significantly improves their performance on highly challenging online benchmarks. In-depth analysis further validates OS-Genesis's cost-effectiveness and its superior data quality and diversity compared to existing synthesis methods.</v>
      </c>
      <c r="D1879" s="7" t="str">
        <f>IFERROR(__xludf.DUMMYFUNCTION("""COMPUTED_VALUE"""),"Qiushi Sun")</f>
        <v>Qiushi Sun</v>
      </c>
      <c r="E1879" s="7" t="str">
        <f>IFERROR(__xludf.DUMMYFUNCTION("""COMPUTED_VALUE"""),"Yes")</f>
        <v>Yes</v>
      </c>
      <c r="F1879" s="7" t="str">
        <f>IFERROR(__xludf.DUMMYFUNCTION("""COMPUTED_VALUE"""),"IP-Poster")</f>
        <v>IP-Poster</v>
      </c>
      <c r="G1879" s="7" t="str">
        <f>IFERROR(__xludf.DUMMYFUNCTION("""COMPUTED_VALUE"""),"In-Person")</f>
        <v>In-Person</v>
      </c>
      <c r="H1879" s="7" t="str">
        <f>IFERROR(__xludf.DUMMYFUNCTION("""COMPUTED_VALUE"""),"Hall 4/5")</f>
        <v>Hall 4/5</v>
      </c>
      <c r="I1879" s="7" t="str">
        <f>IFERROR(__xludf.DUMMYFUNCTION("""COMPUTED_VALUE"""),"Session 2: IP-Posters ")</f>
        <v>Session 2: IP-Posters </v>
      </c>
      <c r="J1879" s="7" t="str">
        <f>IFERROR(__xludf.DUMMYFUNCTION("""COMPUTED_VALUE"""),"Poster Session 1")</f>
        <v>Poster Session 1</v>
      </c>
      <c r="K1879" s="7"/>
      <c r="L1879" s="8">
        <f>IFERROR(__xludf.DUMMYFUNCTION("""COMPUTED_VALUE"""),45866.0)</f>
        <v>45866</v>
      </c>
      <c r="M1879" s="7" t="str">
        <f>IFERROR(__xludf.DUMMYFUNCTION("""COMPUTED_VALUE"""),"11:00-12:30")</f>
        <v>11:00-12:30</v>
      </c>
      <c r="N1879" s="7"/>
    </row>
    <row r="1880">
      <c r="A1880" s="7" t="str">
        <f>IFERROR(__xludf.DUMMYFUNCTION("""COMPUTED_VALUE"""),"563-MAIN")</f>
        <v>563-MAIN</v>
      </c>
      <c r="B1880" s="7" t="str">
        <f>IFERROR(__xludf.DUMMYFUNCTION("""COMPUTED_VALUE"""),"CORAL: Learning Consistent Representations across Multi-step Training with Lighter Speculative Drafter")</f>
        <v>CORAL: Learning Consistent Representations across Multi-step Training with Lighter Speculative Drafter</v>
      </c>
      <c r="C1880" s="7" t="str">
        <f>IFERROR(__xludf.DUMMYFUNCTION("""COMPUTED_VALUE"""),"Speculative decoding is a powerful technique that accelerates Large Language Model (LLM) inference by leveraging a lightweight speculative draft model. However, existing designs suffers in performance due to misalignment between training and inference. Re"&amp;"cent methods have tried to solve this issue by adopting a multi-step training strategy, but the complex inputs of different training steps make it harder for the draft model to converge. To address this, we propose CORAL, a novel framework that improves b"&amp;"oth accuracy and efficiency in speculative drafting. CORAL introduces Cross-Step Representation Alignment, a method that enhances consistency across multiple training steps, significantly improving speculative drafting performance. Additionally, we identi"&amp;"fy the LM head as a major bottleneck in the inference speed of the draft model. We introduce a weight-grouping mechanism that selectively activates a subset of LM head parameters during inference, substantially reducing the latency of the draft model. We "&amp;"evaluate CORAL on three LLM families and three benchmark datasets, achieving speedup ratios of 2.50x-4.07x, outperforming state-of-the-art methods such as EAGLE-2 and HASS. Our results demonstrate that CORAL effectively mitigates training-inference misali"&amp;"gnment and delivers significant speedup for modern LLMs with large vocabularies.")</f>
        <v>Speculative decoding is a powerful technique that accelerates Large Language Model (LLM) inference by leveraging a lightweight speculative draft model. However, existing designs suffers in performance due to misalignment between training and inference. Recent methods have tried to solve this issue by adopting a multi-step training strategy, but the complex inputs of different training steps make it harder for the draft model to converge. To address this, we propose CORAL, a novel framework that improves both accuracy and efficiency in speculative drafting. CORAL introduces Cross-Step Representation Alignment, a method that enhances consistency across multiple training steps, significantly improving speculative drafting performance. Additionally, we identify the LM head as a major bottleneck in the inference speed of the draft model. We introduce a weight-grouping mechanism that selectively activates a subset of LM head parameters during inference, substantially reducing the latency of the draft model. We evaluate CORAL on three LLM families and three benchmark datasets, achieving speedup ratios of 2.50x-4.07x, outperforming state-of-the-art methods such as EAGLE-2 and HASS. Our results demonstrate that CORAL effectively mitigates training-inference misalignment and delivers significant speedup for modern LLMs with large vocabularies.</v>
      </c>
      <c r="D1880" s="7" t="str">
        <f>IFERROR(__xludf.DUMMYFUNCTION("""COMPUTED_VALUE"""),"Yepeng Weng")</f>
        <v>Yepeng Weng</v>
      </c>
      <c r="E1880" s="7" t="str">
        <f>IFERROR(__xludf.DUMMYFUNCTION("""COMPUTED_VALUE"""),"Yes")</f>
        <v>Yes</v>
      </c>
      <c r="F1880" s="7" t="str">
        <f>IFERROR(__xludf.DUMMYFUNCTION("""COMPUTED_VALUE"""),"IP-Poster")</f>
        <v>IP-Poster</v>
      </c>
      <c r="G1880" s="7" t="str">
        <f>IFERROR(__xludf.DUMMYFUNCTION("""COMPUTED_VALUE"""),"In-Person")</f>
        <v>In-Person</v>
      </c>
      <c r="H1880" s="7" t="str">
        <f>IFERROR(__xludf.DUMMYFUNCTION("""COMPUTED_VALUE"""),"Hall 4/5")</f>
        <v>Hall 4/5</v>
      </c>
      <c r="I1880" s="7" t="str">
        <f>IFERROR(__xludf.DUMMYFUNCTION("""COMPUTED_VALUE"""),"Session 10: IP-Posters")</f>
        <v>Session 10: IP-Posters</v>
      </c>
      <c r="J1880" s="7" t="str">
        <f>IFERROR(__xludf.DUMMYFUNCTION("""COMPUTED_VALUE"""),"Poster Session 3")</f>
        <v>Poster Session 3</v>
      </c>
      <c r="K1880" s="7"/>
      <c r="L1880" s="8">
        <f>IFERROR(__xludf.DUMMYFUNCTION("""COMPUTED_VALUE"""),45867.0)</f>
        <v>45867</v>
      </c>
      <c r="M1880" s="7" t="str">
        <f>IFERROR(__xludf.DUMMYFUNCTION("""COMPUTED_VALUE"""),"16:00-17:30")</f>
        <v>16:00-17:30</v>
      </c>
      <c r="N1880" s="7"/>
    </row>
    <row r="1881">
      <c r="A1881" s="7" t="str">
        <f>IFERROR(__xludf.DUMMYFUNCTION("""COMPUTED_VALUE"""),"567-MAIN")</f>
        <v>567-MAIN</v>
      </c>
      <c r="B1881" s="7" t="str">
        <f>IFERROR(__xludf.DUMMYFUNCTION("""COMPUTED_VALUE"""),"ConSim: Measuring Concept-Based Explanations' Effectiveness with Automated Simulatability")</f>
        <v>ConSim: Measuring Concept-Based Explanations' Effectiveness with Automated Simulatability</v>
      </c>
      <c r="C1881" s="7" t="str">
        <f>IFERROR(__xludf.DUMMYFUNCTION("""COMPUTED_VALUE"""),"Concept-based explanations work by mapping complex model computations to human-understandable concepts. Evaluating such explanations is very difficult, as it includes not only the quality of the induced space of possible concepts but also how effectively "&amp;"the chosen concepts are communicated to users. Existing evaluation metrics often focus solely on the former, neglecting the latter.
We introduce an evaluation framework for measuring concept explanations via automated simulatability: a simulator's abilit"&amp;"y to predict the explained model's outputs based on the provided explanations. This approach accounts for both the concept space and its interpretation in an end-to-end evaluation. Human studies for simulatability are notoriously difficult to enact, parti"&amp;"cularly at the scale of a wide, comprehensive empirical evaluation (which is the subject of this work). We propose using large language models (LLMs) as simulators to approximate the evaluation and report various analyses to make such approximations relia"&amp;"ble. Our method allows for scalable and consistent evaluation across various models and datasets. We report a comprehensive empirical evaluation using this framework and show that LLMs provide consistent rankings of explanation methods. Code available at "&amp;"Anonymous GitHub.")</f>
        <v>Concept-based explanations work by mapping complex model computations to human-understandable concepts. Evaluating such explanations is very difficult, as it includes not only the quality of the induced space of possible concepts but also how effectively the chosen concepts are communicated to users. Existing evaluation metrics often focus solely on the former, neglecting the latter.
We introduce an evaluation framework for measuring concept explanations via automated simulatability: a simulator's ability to predict the explained model's outputs based on the provided explanations. This approach accounts for both the concept space and its interpretation in an end-to-end evaluation. Human studies for simulatability are notoriously difficult to enact, particularly at the scale of a wide, comprehensive empirical evaluation (which is the subject of this work). We propose using large language models (LLMs) as simulators to approximate the evaluation and report various analyses to make such approximations reliable. Our method allows for scalable and consistent evaluation across various models and datasets. We report a comprehensive empirical evaluation using this framework and show that LLMs provide consistent rankings of explanation methods. Code available at Anonymous GitHub.</v>
      </c>
      <c r="D1881" s="7" t="str">
        <f>IFERROR(__xludf.DUMMYFUNCTION("""COMPUTED_VALUE"""),"Antonin Poché")</f>
        <v>Antonin Poché</v>
      </c>
      <c r="E1881" s="7" t="str">
        <f>IFERROR(__xludf.DUMMYFUNCTION("""COMPUTED_VALUE"""),"Yes")</f>
        <v>Yes</v>
      </c>
      <c r="F1881" s="7" t="str">
        <f>IFERROR(__xludf.DUMMYFUNCTION("""COMPUTED_VALUE"""),"IP-Poster")</f>
        <v>IP-Poster</v>
      </c>
      <c r="G1881" s="7" t="str">
        <f>IFERROR(__xludf.DUMMYFUNCTION("""COMPUTED_VALUE"""),"In-Person")</f>
        <v>In-Person</v>
      </c>
      <c r="H1881" s="7" t="str">
        <f>IFERROR(__xludf.DUMMYFUNCTION("""COMPUTED_VALUE"""),"Hall 4/5")</f>
        <v>Hall 4/5</v>
      </c>
      <c r="I1881" s="7" t="str">
        <f>IFERROR(__xludf.DUMMYFUNCTION("""COMPUTED_VALUE"""),"Session 7: IP-Posters")</f>
        <v>Session 7: IP-Posters</v>
      </c>
      <c r="J1881" s="7" t="str">
        <f>IFERROR(__xludf.DUMMYFUNCTION("""COMPUTED_VALUE"""),"Poster Session 2")</f>
        <v>Poster Session 2</v>
      </c>
      <c r="K1881" s="7"/>
      <c r="L1881" s="8">
        <f>IFERROR(__xludf.DUMMYFUNCTION("""COMPUTED_VALUE"""),45867.0)</f>
        <v>45867</v>
      </c>
      <c r="M1881" s="7" t="str">
        <f>IFERROR(__xludf.DUMMYFUNCTION("""COMPUTED_VALUE"""),"10:30-12:00")</f>
        <v>10:30-12:00</v>
      </c>
      <c r="N1881" s="7"/>
    </row>
    <row r="1882">
      <c r="A1882" s="7" t="str">
        <f>IFERROR(__xludf.DUMMYFUNCTION("""COMPUTED_VALUE"""),"570-MAIN")</f>
        <v>570-MAIN</v>
      </c>
      <c r="B1882" s="7" t="str">
        <f>IFERROR(__xludf.DUMMYFUNCTION("""COMPUTED_VALUE"""),"Decoding Reading Goals from Eye Movements")</f>
        <v>Decoding Reading Goals from Eye Movements</v>
      </c>
      <c r="C1882" s="7" t="str">
        <f>IFERROR(__xludf.DUMMYFUNCTION("""COMPUTED_VALUE"""),"Readers can have different goals with respect to the text that they are reading. Can these goals be decoded from their eye movements over the text? In this work, we examine for the first time whether it is possible to distinguish between two types of comm"&amp;"on reading goals: information seeking and ordinary reading for comprehension. Using large-scale eye tracking data, we address this task with a wide range of models that cover different architectural and data representation strategies, and further introduc"&amp;"e a new model ensemble. We find that transformer-based models with scanpath representations coupled with language modeling solve it most successfully, and that accurate predictions can be made in real time, shortly after the participant started reading th"&amp;"e text. We further introduce a new method for model performance analysis based on mixed effect modeling. Combining this method with rich textual annotations reveals key properties of textual items and participants that contribute to the difficulty of the "&amp;"task, and improves our understanding of the variability in eye movement patterns across the two reading regimes.")</f>
        <v>Readers can have different goals with respect to the text that they are reading. Can these goals be decoded from their eye movements over the text? In this work, we examine for the first time whether it is possible to distinguish between two types of common reading goals: information seeking and ordinary reading for comprehension. Using large-scale eye tracking data, we address this task with a wide range of models that cover different architectural and data representation strategies, and further introduce a new model ensemble. We find that transformer-based models with scanpath representations coupled with language modeling solve it most successfully, and that accurate predictions can be made in real time, shortly after the participant started reading the text. We further introduce a new method for model performance analysis based on mixed effect modeling. Combining this method with rich textual annotations reveals key properties of textual items and participants that contribute to the difficulty of the task, and improves our understanding of the variability in eye movement patterns across the two reading regimes.</v>
      </c>
      <c r="D1882" s="7" t="str">
        <f>IFERROR(__xludf.DUMMYFUNCTION("""COMPUTED_VALUE"""),"Omer Shubi")</f>
        <v>Omer Shubi</v>
      </c>
      <c r="E1882" s="7" t="str">
        <f>IFERROR(__xludf.DUMMYFUNCTION("""COMPUTED_VALUE"""),"Yes")</f>
        <v>Yes</v>
      </c>
      <c r="F1882" s="7" t="str">
        <f>IFERROR(__xludf.DUMMYFUNCTION("""COMPUTED_VALUE"""),"IP-Poster")</f>
        <v>IP-Poster</v>
      </c>
      <c r="G1882" s="7" t="str">
        <f>IFERROR(__xludf.DUMMYFUNCTION("""COMPUTED_VALUE"""),"In-Person")</f>
        <v>In-Person</v>
      </c>
      <c r="H1882" s="7" t="str">
        <f>IFERROR(__xludf.DUMMYFUNCTION("""COMPUTED_VALUE"""),"Hall 4/5")</f>
        <v>Hall 4/5</v>
      </c>
      <c r="I1882" s="7" t="str">
        <f>IFERROR(__xludf.DUMMYFUNCTION("""COMPUTED_VALUE"""),"Session 12: IP-Posters")</f>
        <v>Session 12: IP-Posters</v>
      </c>
      <c r="J1882" s="7" t="str">
        <f>IFERROR(__xludf.DUMMYFUNCTION("""COMPUTED_VALUE"""),"Poster Session 4")</f>
        <v>Poster Session 4</v>
      </c>
      <c r="K1882" s="7"/>
      <c r="L1882" s="8">
        <f>IFERROR(__xludf.DUMMYFUNCTION("""COMPUTED_VALUE"""),45868.0)</f>
        <v>45868</v>
      </c>
      <c r="M1882" s="7" t="str">
        <f>IFERROR(__xludf.DUMMYFUNCTION("""COMPUTED_VALUE"""),"11:00-12:30")</f>
        <v>11:00-12:30</v>
      </c>
      <c r="N1882" s="7"/>
    </row>
    <row r="1883">
      <c r="A1883" s="7" t="str">
        <f>IFERROR(__xludf.DUMMYFUNCTION("""COMPUTED_VALUE"""),"573-MAIN")</f>
        <v>573-MAIN</v>
      </c>
      <c r="B1883" s="7" t="str">
        <f>IFERROR(__xludf.DUMMYFUNCTION("""COMPUTED_VALUE"""),"Uncovering Visual-Semantic Psycholinguistic Properties from the Distributional Structure of Text Embedding Space")</f>
        <v>Uncovering Visual-Semantic Psycholinguistic Properties from the Distributional Structure of Text Embedding Space</v>
      </c>
      <c r="C1883" s="7" t="str">
        <f>IFERROR(__xludf.DUMMYFUNCTION("""COMPUTED_VALUE"""),"Imageability (potential of text to evoke a mental image) and concreteness (perceptibility of text) are two psycholinguistic properties that link visual and semantic spaces. It is little surprise that computational methods that estimate them do so using pa"&amp;"rallel visual and semantic spaces, such as collections of image-caption pairs or multi-modal models. In this paper, we work on the supposition that text itself in an image-caption dataset offers sufficient signals to accurately estimate these properties. "&amp;"We hypothesize, in particular, that the peakedness of the neighborhood of a word in the semantic embedding space reflects its degree of imageability and concreteness. We then propose an unsupervised, distribution-free measure, which we call Neighborhood S"&amp;"tability Measure (NSM), that quantifies the sharpness of peaks. Extensive experiments show that NSM correlates more strongly with ground-truth ratings than existing unsupervised methods, and is a strong predictor of these properties for classification. Ou"&amp;"r code and data are available on GitHub (https://github.com/Artificial-Memory-Lab/imageability).")</f>
        <v>Imageability (potential of text to evoke a mental image) and concreteness (perceptibility of text) are two psycholinguistic properties that link visual and semantic spaces. It is little surprise that computational methods that estimate them do so using parallel visual and semantic spaces, such as collections of image-caption pairs or multi-modal models. In this paper, we work on the supposition that text itself in an image-caption dataset offers sufficient signals to accurately estimate these properties. We hypothesize, in particular, that the peakedness of the neighborhood of a word in the semantic embedding space reflects its degree of imageability and concreteness. We then propose an unsupervised, distribution-free measure, which we call Neighborhood Stability Measure (NSM), that quantifies the sharpness of peaks. Extensive experiments show that NSM correlates more strongly with ground-truth ratings than existing unsupervised methods, and is a strong predictor of these properties for classification. Our code and data are available on GitHub (https://github.com/Artificial-Memory-Lab/imageability).</v>
      </c>
      <c r="D1883" s="7" t="str">
        <f>IFERROR(__xludf.DUMMYFUNCTION("""COMPUTED_VALUE"""),"Si Wu")</f>
        <v>Si Wu</v>
      </c>
      <c r="E1883" s="7" t="str">
        <f>IFERROR(__xludf.DUMMYFUNCTION("""COMPUTED_VALUE"""),"Yes")</f>
        <v>Yes</v>
      </c>
      <c r="F1883" s="7" t="str">
        <f>IFERROR(__xludf.DUMMYFUNCTION("""COMPUTED_VALUE"""),"IP-Poster")</f>
        <v>IP-Poster</v>
      </c>
      <c r="G1883" s="7" t="str">
        <f>IFERROR(__xludf.DUMMYFUNCTION("""COMPUTED_VALUE"""),"In-Person")</f>
        <v>In-Person</v>
      </c>
      <c r="H1883" s="7" t="str">
        <f>IFERROR(__xludf.DUMMYFUNCTION("""COMPUTED_VALUE"""),"Hall 4/5")</f>
        <v>Hall 4/5</v>
      </c>
      <c r="I1883" s="7" t="str">
        <f>IFERROR(__xludf.DUMMYFUNCTION("""COMPUTED_VALUE"""),"Session 12: IP-Posters")</f>
        <v>Session 12: IP-Posters</v>
      </c>
      <c r="J1883" s="7" t="str">
        <f>IFERROR(__xludf.DUMMYFUNCTION("""COMPUTED_VALUE"""),"Poster Session 4")</f>
        <v>Poster Session 4</v>
      </c>
      <c r="K1883" s="7"/>
      <c r="L1883" s="8">
        <f>IFERROR(__xludf.DUMMYFUNCTION("""COMPUTED_VALUE"""),45868.0)</f>
        <v>45868</v>
      </c>
      <c r="M1883" s="7" t="str">
        <f>IFERROR(__xludf.DUMMYFUNCTION("""COMPUTED_VALUE"""),"11:00-12:30")</f>
        <v>11:00-12:30</v>
      </c>
      <c r="N1883" s="7"/>
    </row>
    <row r="1884">
      <c r="A1884" s="7" t="str">
        <f>IFERROR(__xludf.DUMMYFUNCTION("""COMPUTED_VALUE"""),"576-MAIN")</f>
        <v>576-MAIN</v>
      </c>
      <c r="B1884" s="7" t="str">
        <f>IFERROR(__xludf.DUMMYFUNCTION("""COMPUTED_VALUE"""),"GUI-explorer: Autonomous Exploration and Mining of Transition-aware Knowledge for GUI Agent")</f>
        <v>GUI-explorer: Autonomous Exploration and Mining of Transition-aware Knowledge for GUI Agent</v>
      </c>
      <c r="C1884" s="7" t="str">
        <f>IFERROR(__xludf.DUMMYFUNCTION("""COMPUTED_VALUE"""),"GUI automation faces critical challenges in dynamic environments. MLLMs suffer from two key issues: misinterpreting UI components and outdated knowledge. Traditional fine-tuning methods are costly for app-specific knowledge updates. We propose GUI-explore"&amp;"r, a training-free GUI agent that incorporates two fundamental mechanisms: $\textbf{(1) Autonomous Exploration of Function-aware Trajectory}$. To comprehensively cover all application functionalities, we design a $\textbf{Function-aware Task Goal Generato"&amp;"r}$ that automatically constructs exploration goals by analyzing GUI structural information (e.g., screenshots and activity hierarchies). This enables systematic exploration to collect diverse trajectories. $\textbf{(2) Unsupervised Mining of Transition-a"&amp;"ware Knowledge}$. To establish precise screen-operation logic, we develop a $\textbf{Transition-aware Knowledge Extractor}$ that extracts effective screen-operation logic through unsupervised analysis the state transition of structured interaction triples"&amp;" (observation, action, outcome). This eliminates the need for human involvement in knowledge extraction. With a task success rate of 53.7\% on SPA-Bench and 47.4\% on AndroidWorld, GUI-explorer shows significant improvements over SOTA agents. It requires "&amp;"no parameter updates for new apps. GUI-explorer is open-sourced and publicly available at https://github.com/JiuTian-VL/GUI-explorer.")</f>
        <v>GUI automation faces critical challenges in dynamic environments. MLLMs suffer from two key issues: misinterpreting UI components and outdated knowledge. Traditional fine-tuning methods are costly for app-specific knowledge updates. We propose GUI-explorer, a training-free GUI agent that incorporates two fundamental mechanisms: $\textbf{(1) Autonomous Exploration of Function-aware Trajectory}$. To comprehensively cover all application functionalities, we design a $\textbf{Function-aware Task Goal Generator}$ that automatically constructs exploration goals by analyzing GUI structural information (e.g., screenshots and activity hierarchies). This enables systematic exploration to collect diverse trajectories. $\textbf{(2) Unsupervised Mining of Transition-aware Knowledge}$. To establish precise screen-operation logic, we develop a $\textbf{Transition-aware Knowledge Extractor}$ that extracts effective screen-operation logic through unsupervised analysis the state transition of structured interaction triples (observation, action, outcome). This eliminates the need for human involvement in knowledge extraction. With a task success rate of 53.7\% on SPA-Bench and 47.4\% on AndroidWorld, GUI-explorer shows significant improvements over SOTA agents. It requires no parameter updates for new apps. GUI-explorer is open-sourced and publicly available at https://github.com/JiuTian-VL/GUI-explorer.</v>
      </c>
      <c r="D1884" s="7" t="str">
        <f>IFERROR(__xludf.DUMMYFUNCTION("""COMPUTED_VALUE"""),"Rui Shao")</f>
        <v>Rui Shao</v>
      </c>
      <c r="E1884" s="7" t="str">
        <f>IFERROR(__xludf.DUMMYFUNCTION("""COMPUTED_VALUE"""),"Yes")</f>
        <v>Yes</v>
      </c>
      <c r="F1884" s="7" t="str">
        <f>IFERROR(__xludf.DUMMYFUNCTION("""COMPUTED_VALUE"""),"V-Presentation")</f>
        <v>V-Presentation</v>
      </c>
      <c r="G1884" s="7" t="str">
        <f>IFERROR(__xludf.DUMMYFUNCTION("""COMPUTED_VALUE"""),"In-Person")</f>
        <v>In-Person</v>
      </c>
      <c r="H1884" s="7" t="str">
        <f>IFERROR(__xludf.DUMMYFUNCTION("""COMPUTED_VALUE"""),"Zoom")</f>
        <v>Zoom</v>
      </c>
      <c r="I1884" s="7" t="str">
        <f>IFERROR(__xludf.DUMMYFUNCTION("""COMPUTED_VALUE"""),"Session 2: V-Presentations")</f>
        <v>Session 2: V-Presentations</v>
      </c>
      <c r="J1884" s="7" t="str">
        <f>IFERROR(__xludf.DUMMYFUNCTION("""COMPUTED_VALUE"""),"Virtual Presentations 1")</f>
        <v>Virtual Presentations 1</v>
      </c>
      <c r="K1884" s="7"/>
      <c r="L1884" s="8">
        <f>IFERROR(__xludf.DUMMYFUNCTION("""COMPUTED_VALUE"""),45866.0)</f>
        <v>45866</v>
      </c>
      <c r="M1884" s="7" t="str">
        <f>IFERROR(__xludf.DUMMYFUNCTION("""COMPUTED_VALUE"""),"11:00-12:30")</f>
        <v>11:00-12:30</v>
      </c>
      <c r="N1884" s="7"/>
    </row>
    <row r="1885">
      <c r="A1885" s="7" t="str">
        <f>IFERROR(__xludf.DUMMYFUNCTION("""COMPUTED_VALUE"""),"578-MAIN")</f>
        <v>578-MAIN</v>
      </c>
      <c r="B1885" s="7" t="str">
        <f>IFERROR(__xludf.DUMMYFUNCTION("""COMPUTED_VALUE"""),"P2 Law: Scaling Law for Post-Training After Model Pruning")</f>
        <v>P2 Law: Scaling Law for Post-Training After Model Pruning</v>
      </c>
      <c r="C1885" s="7" t="str">
        <f>IFERROR(__xludf.DUMMYFUNCTION("""COMPUTED_VALUE"""),"Pruning has become a widely adopted technique for reducing the hardware requirements of large language models (LLMs). To recover model performance after pruning, post-training is commonly employed to mitigate the resulting performance degradation. While p"&amp;"ost-training benefits from larger datasets, once the dataset size is already substantial, increasing the training data provides only limited performance gains. To balance post-training cost and model performance, it is necessary to explore the optimal amo"&amp;"unt of post-training data. Through extensive experiments on the Llama-3 and Qwen-2.5 series models, pruned using various common pruning methods, we uncover the scaling \textbf{Law} for \textbf{P}ost-training after model \textbf{P}runing, referred to as th"&amp;"e P$^2$ Law. This law identifies four key factors for predicting the pruned model’s post-training loss: the model size before pruning, the number of post-training tokens, the pruning rate, and the model’s loss before pruning. Moreover, P$^2$ Law can gener"&amp;"alize to larger dataset sizes, larger model sizes, and higher pruning rates, offering valuable insights for the post-training of pruned LLMs.")</f>
        <v>Pruning has become a widely adopted technique for reducing the hardware requirements of large language models (LLMs). To recover model performance after pruning, post-training is commonly employed to mitigate the resulting performance degradation. While post-training benefits from larger datasets, once the dataset size is already substantial, increasing the training data provides only limited performance gains. To balance post-training cost and model performance, it is necessary to explore the optimal amount of post-training data. Through extensive experiments on the Llama-3 and Qwen-2.5 series models, pruned using various common pruning methods, we uncover the scaling \textbf{Law} for \textbf{P}ost-training after model \textbf{P}runing, referred to as the P$^2$ Law. This law identifies four key factors for predicting the pruned model’s post-training loss: the model size before pruning, the number of post-training tokens, the pruning rate, and the model’s loss before pruning. Moreover, P$^2$ Law can generalize to larger dataset sizes, larger model sizes, and higher pruning rates, offering valuable insights for the post-training of pruned LLMs.</v>
      </c>
      <c r="D1885" s="7" t="str">
        <f>IFERROR(__xludf.DUMMYFUNCTION("""COMPUTED_VALUE"""),"Yuxuan Hu")</f>
        <v>Yuxuan Hu</v>
      </c>
      <c r="E1885" s="7" t="str">
        <f>IFERROR(__xludf.DUMMYFUNCTION("""COMPUTED_VALUE"""),"Yes")</f>
        <v>Yes</v>
      </c>
      <c r="F1885" s="7" t="str">
        <f>IFERROR(__xludf.DUMMYFUNCTION("""COMPUTED_VALUE"""),"IP-Poster")</f>
        <v>IP-Poster</v>
      </c>
      <c r="G1885" s="7" t="str">
        <f>IFERROR(__xludf.DUMMYFUNCTION("""COMPUTED_VALUE"""),"In-Person")</f>
        <v>In-Person</v>
      </c>
      <c r="H1885" s="7" t="str">
        <f>IFERROR(__xludf.DUMMYFUNCTION("""COMPUTED_VALUE"""),"Hall 4/5")</f>
        <v>Hall 4/5</v>
      </c>
      <c r="I1885" s="7" t="str">
        <f>IFERROR(__xludf.DUMMYFUNCTION("""COMPUTED_VALUE"""),"Session 2: IP-Posters ")</f>
        <v>Session 2: IP-Posters </v>
      </c>
      <c r="J1885" s="7" t="str">
        <f>IFERROR(__xludf.DUMMYFUNCTION("""COMPUTED_VALUE"""),"Poster Session 1")</f>
        <v>Poster Session 1</v>
      </c>
      <c r="K1885" s="7"/>
      <c r="L1885" s="8">
        <f>IFERROR(__xludf.DUMMYFUNCTION("""COMPUTED_VALUE"""),45866.0)</f>
        <v>45866</v>
      </c>
      <c r="M1885" s="7" t="str">
        <f>IFERROR(__xludf.DUMMYFUNCTION("""COMPUTED_VALUE"""),"11:00-12:30")</f>
        <v>11:00-12:30</v>
      </c>
      <c r="N1885" s="7"/>
    </row>
    <row r="1886">
      <c r="A1886" s="7" t="str">
        <f>IFERROR(__xludf.DUMMYFUNCTION("""COMPUTED_VALUE"""),"580-MAIN")</f>
        <v>580-MAIN</v>
      </c>
      <c r="B1886" s="7" t="str">
        <f>IFERROR(__xludf.DUMMYFUNCTION("""COMPUTED_VALUE"""),"Making FETCH! Happen: Finding Emergent Dog Whistles Through Common Habitats")</f>
        <v>Making FETCH! Happen: Finding Emergent Dog Whistles Through Common Habitats</v>
      </c>
      <c r="C1886" s="7" t="str">
        <f>IFERROR(__xludf.DUMMYFUNCTION("""COMPUTED_VALUE"""),"Dog whistles are coded expressions with dual meanings: one intended for the general public (outgroup) and another that conveys a specific message to an intended audience (ingroup). Often, these expressions are used to convey controversial political opinio"&amp;"ns while maintaining plausible deniability and slip by content moderation filters. Identification of dog whistles relies on curated lexicons, which have trouble keeping up to date. We introduce FETCH!, a task for finding novel dog whistles in massive soci"&amp;"al media corpora. We find that state-of-the-art systems fail to achieve meaningful results across three distinct social media case studies. We present EarShot, a strong baseline system that combines the strengths of vector databases and Large Language Mod"&amp;"els (LLMs) to efficiently and effectively identify new dog whistles.")</f>
        <v>Dog whistles are coded expressions with dual meanings: one intended for the general public (outgroup) and another that conveys a specific message to an intended audience (ingroup). Often, these expressions are used to convey controversial political opinions while maintaining plausible deniability and slip by content moderation filters. Identification of dog whistles relies on curated lexicons, which have trouble keeping up to date. We introduce FETCH!, a task for finding novel dog whistles in massive social media corpora. We find that state-of-the-art systems fail to achieve meaningful results across three distinct social media case studies. We present EarShot, a strong baseline system that combines the strengths of vector databases and Large Language Models (LLMs) to efficiently and effectively identify new dog whistles.</v>
      </c>
      <c r="D1886" s="7" t="str">
        <f>IFERROR(__xludf.DUMMYFUNCTION("""COMPUTED_VALUE"""),"Kuleen Sasse")</f>
        <v>Kuleen Sasse</v>
      </c>
      <c r="E1886" s="7" t="str">
        <f>IFERROR(__xludf.DUMMYFUNCTION("""COMPUTED_VALUE"""),"Yes")</f>
        <v>Yes</v>
      </c>
      <c r="F1886" s="7" t="str">
        <f>IFERROR(__xludf.DUMMYFUNCTION("""COMPUTED_VALUE"""),"IP-Poster")</f>
        <v>IP-Poster</v>
      </c>
      <c r="G1886" s="7" t="str">
        <f>IFERROR(__xludf.DUMMYFUNCTION("""COMPUTED_VALUE"""),"In-Person")</f>
        <v>In-Person</v>
      </c>
      <c r="H1886" s="7" t="str">
        <f>IFERROR(__xludf.DUMMYFUNCTION("""COMPUTED_VALUE"""),"Hall 4/5")</f>
        <v>Hall 4/5</v>
      </c>
      <c r="I1886" s="7" t="str">
        <f>IFERROR(__xludf.DUMMYFUNCTION("""COMPUTED_VALUE"""),"Session 12: IP-Posters")</f>
        <v>Session 12: IP-Posters</v>
      </c>
      <c r="J1886" s="7" t="str">
        <f>IFERROR(__xludf.DUMMYFUNCTION("""COMPUTED_VALUE"""),"Poster Session 4")</f>
        <v>Poster Session 4</v>
      </c>
      <c r="K1886" s="7"/>
      <c r="L1886" s="8">
        <f>IFERROR(__xludf.DUMMYFUNCTION("""COMPUTED_VALUE"""),45868.0)</f>
        <v>45868</v>
      </c>
      <c r="M1886" s="7" t="str">
        <f>IFERROR(__xludf.DUMMYFUNCTION("""COMPUTED_VALUE"""),"11:00-12:30")</f>
        <v>11:00-12:30</v>
      </c>
      <c r="N1886" s="7"/>
    </row>
    <row r="1887">
      <c r="A1887" s="7" t="str">
        <f>IFERROR(__xludf.DUMMYFUNCTION("""COMPUTED_VALUE"""),"582-MAIN")</f>
        <v>582-MAIN</v>
      </c>
      <c r="B1887" s="7" t="str">
        <f>IFERROR(__xludf.DUMMYFUNCTION("""COMPUTED_VALUE"""),"Lost in the Context: Insufficient and Distracted Attention to Contexts in Preference Modeling")</f>
        <v>Lost in the Context: Insufficient and Distracted Attention to Contexts in Preference Modeling</v>
      </c>
      <c r="C1887" s="7" t="str">
        <f>IFERROR(__xludf.DUMMYFUNCTION("""COMPUTED_VALUE"""),"In Reinforcement Learning from Human Feedback (RLHF), the reward model (RM) evaluates the response quality based on the given context and assigns a reward. It plays a crucial role in aligning RLHF with human preferences. Although the current RM training p"&amp;"aradigm concatenates the context and response while amplifying the reward difference between good and bad response pairs, we demonstrate that the RM faces two significant issues: i) it often allocates only a small proportion of attention to the context, a"&amp;"nd ii) it frequently ignores segments of the context that are relevant for evaluating the response quality. These issues undermine the RM's effectiveness in modeling human preferences. To further address these challenges, we propose AttnRM, a novel optimi"&amp;"zation framework that enables the RM to concentrate on crucial segments of the context. Experimental results demonstrate that AttnRM significantly improves preference modeling by increasing attention to relevant information within the context. It also enh"&amp;"ances the RM's generalizability and achieves better performance in aligning with human preferences.")</f>
        <v>In Reinforcement Learning from Human Feedback (RLHF), the reward model (RM) evaluates the response quality based on the given context and assigns a reward. It plays a crucial role in aligning RLHF with human preferences. Although the current RM training paradigm concatenates the context and response while amplifying the reward difference between good and bad response pairs, we demonstrate that the RM faces two significant issues: i) it often allocates only a small proportion of attention to the context, and ii) it frequently ignores segments of the context that are relevant for evaluating the response quality. These issues undermine the RM's effectiveness in modeling human preferences. To further address these challenges, we propose AttnRM, a novel optimization framework that enables the RM to concentrate on crucial segments of the context. Experimental results demonstrate that AttnRM significantly improves preference modeling by increasing attention to relevant information within the context. It also enhances the RM's generalizability and achieves better performance in aligning with human preferences.</v>
      </c>
      <c r="D1887" s="7" t="str">
        <f>IFERROR(__xludf.DUMMYFUNCTION("""COMPUTED_VALUE"""),"Shihan Dou")</f>
        <v>Shihan Dou</v>
      </c>
      <c r="E1887" s="7" t="str">
        <f>IFERROR(__xludf.DUMMYFUNCTION("""COMPUTED_VALUE"""),"Yes")</f>
        <v>Yes</v>
      </c>
      <c r="F1887" s="7" t="str">
        <f>IFERROR(__xludf.DUMMYFUNCTION("""COMPUTED_VALUE"""),"IP-Poster")</f>
        <v>IP-Poster</v>
      </c>
      <c r="G1887" s="7" t="str">
        <f>IFERROR(__xludf.DUMMYFUNCTION("""COMPUTED_VALUE"""),"In-Person")</f>
        <v>In-Person</v>
      </c>
      <c r="H1887" s="7" t="str">
        <f>IFERROR(__xludf.DUMMYFUNCTION("""COMPUTED_VALUE"""),"Hall 4/5")</f>
        <v>Hall 4/5</v>
      </c>
      <c r="I1887" s="7" t="str">
        <f>IFERROR(__xludf.DUMMYFUNCTION("""COMPUTED_VALUE"""),"Session 10: IP-Posters")</f>
        <v>Session 10: IP-Posters</v>
      </c>
      <c r="J1887" s="7" t="str">
        <f>IFERROR(__xludf.DUMMYFUNCTION("""COMPUTED_VALUE"""),"Poster Session 3")</f>
        <v>Poster Session 3</v>
      </c>
      <c r="K1887" s="7"/>
      <c r="L1887" s="8">
        <f>IFERROR(__xludf.DUMMYFUNCTION("""COMPUTED_VALUE"""),45867.0)</f>
        <v>45867</v>
      </c>
      <c r="M1887" s="7" t="str">
        <f>IFERROR(__xludf.DUMMYFUNCTION("""COMPUTED_VALUE"""),"16:00-17:30")</f>
        <v>16:00-17:30</v>
      </c>
      <c r="N1887" s="7"/>
    </row>
    <row r="1888">
      <c r="A1888" s="7" t="str">
        <f>IFERROR(__xludf.DUMMYFUNCTION("""COMPUTED_VALUE"""),"583-MAIN")</f>
        <v>583-MAIN</v>
      </c>
      <c r="B1888" s="7" t="str">
        <f>IFERROR(__xludf.DUMMYFUNCTION("""COMPUTED_VALUE"""),"Entailment-Preserving First-order Logic Representations in Natural Language Entailment")</f>
        <v>Entailment-Preserving First-order Logic Representations in Natural Language Entailment</v>
      </c>
      <c r="C1888" s="7" t="str">
        <f>IFERROR(__xludf.DUMMYFUNCTION("""COMPUTED_VALUE"""),"First-order logic (FOL) is often used to represent logical entailment, but determining natural language (NL) entailment using FOL remains a challenge. To address this, we propose the Entailment-Preserving FOL representations (EPF) task and introduce refer"&amp;"ence-free evaluation metrics for EPF (Entailment-Preserving Rate (EPR) family). In EPF, one should generate FOL representations from multi-premise NL entailment data (e.g., EntailmentBank) so that the automatic prover's result preserves the entailment lab"&amp;"els. Furthermore, we propose a training method specialized for the task, iterative learning-to-rank, which trains an NL-to-FOL translator by using the natural language entailment labels as verifiable rewards. Our method achieves a 1.8–2.7% improvement in "&amp;"EPR and a 17.4–20.6% increase in EPR@16 compared to diverse baselines in three datasets. Further analyses reveal that iterative learning-to-rank effectively suppresses the arbitrariness of FOL representation by reducing the diversity of predicate signatur"&amp;"es, and maintains strong performance across diverse inference types and out-of-domain data.")</f>
        <v>First-order logic (FOL) is often used to represent logical entailment, but determining natural language (NL) entailment using FOL remains a challenge. To address this, we propose the Entailment-Preserving FOL representations (EPF) task and introduce reference-free evaluation metrics for EPF (Entailment-Preserving Rate (EPR) family). In EPF, one should generate FOL representations from multi-premise NL entailment data (e.g., EntailmentBank) so that the automatic prover's result preserves the entailment labels. Furthermore, we propose a training method specialized for the task, iterative learning-to-rank, which trains an NL-to-FOL translator by using the natural language entailment labels as verifiable rewards. Our method achieves a 1.8–2.7% improvement in EPR and a 17.4–20.6% increase in EPR@16 compared to diverse baselines in three datasets. Further analyses reveal that iterative learning-to-rank effectively suppresses the arbitrariness of FOL representation by reducing the diversity of predicate signatures, and maintains strong performance across diverse inference types and out-of-domain data.</v>
      </c>
      <c r="D1888" s="7" t="str">
        <f>IFERROR(__xludf.DUMMYFUNCTION("""COMPUTED_VALUE"""),"Jinu Lee")</f>
        <v>Jinu Lee</v>
      </c>
      <c r="E1888" s="7" t="str">
        <f>IFERROR(__xludf.DUMMYFUNCTION("""COMPUTED_VALUE"""),"Yes")</f>
        <v>Yes</v>
      </c>
      <c r="F1888" s="7" t="str">
        <f>IFERROR(__xludf.DUMMYFUNCTION("""COMPUTED_VALUE"""),"IP-Poster")</f>
        <v>IP-Poster</v>
      </c>
      <c r="G1888" s="7" t="str">
        <f>IFERROR(__xludf.DUMMYFUNCTION("""COMPUTED_VALUE"""),"In-Person")</f>
        <v>In-Person</v>
      </c>
      <c r="H1888" s="7" t="str">
        <f>IFERROR(__xludf.DUMMYFUNCTION("""COMPUTED_VALUE"""),"Hall 4/5")</f>
        <v>Hall 4/5</v>
      </c>
      <c r="I1888" s="7" t="str">
        <f>IFERROR(__xludf.DUMMYFUNCTION("""COMPUTED_VALUE"""),"Session 2: IP-Posters ")</f>
        <v>Session 2: IP-Posters </v>
      </c>
      <c r="J1888" s="7" t="str">
        <f>IFERROR(__xludf.DUMMYFUNCTION("""COMPUTED_VALUE"""),"Poster Session 1")</f>
        <v>Poster Session 1</v>
      </c>
      <c r="K1888" s="7"/>
      <c r="L1888" s="8">
        <f>IFERROR(__xludf.DUMMYFUNCTION("""COMPUTED_VALUE"""),45866.0)</f>
        <v>45866</v>
      </c>
      <c r="M1888" s="7" t="str">
        <f>IFERROR(__xludf.DUMMYFUNCTION("""COMPUTED_VALUE"""),"11:00-12:30")</f>
        <v>11:00-12:30</v>
      </c>
      <c r="N1888" s="7"/>
    </row>
    <row r="1889">
      <c r="A1889" s="7" t="str">
        <f>IFERROR(__xludf.DUMMYFUNCTION("""COMPUTED_VALUE"""),"585-MAIN")</f>
        <v>585-MAIN</v>
      </c>
      <c r="B1889" s="7" t="str">
        <f>IFERROR(__xludf.DUMMYFUNCTION("""COMPUTED_VALUE"""),"Enhancing Multimodal Continual Instruction Tuning with BranchLoRA")</f>
        <v>Enhancing Multimodal Continual Instruction Tuning with BranchLoRA</v>
      </c>
      <c r="C1889" s="7" t="str">
        <f>IFERROR(__xludf.DUMMYFUNCTION("""COMPUTED_VALUE"""),"Multimodal Continual Instruction Tuning (MCIT) aims to finetune Multimodal Large Language Models (MLLMs) to continually align with human intent across sequential tasks. Existing approaches often rely on the Mixture-of-Experts (MoE) LoRA framework to prese"&amp;"rve previous instruction alignments. However, these methods are prone to Catastrophic Forgetting (CF), as they aggregate all LoRA blocks via simple summation, which compromises performance over time. In this paper, we identify a critical parameter ineffic"&amp;"iency in the MoELoRA framework within the MCIT context. Based on this insight, we propose BranchLoRA, an asymmetric framework to enhance both efficiency and performance. To mitigate CF, we introduce a flexible tuning-freezing mechanism within BranchLoRA, "&amp;"enabling branches to specialize in intra-task knowledge while fostering inter-task collaboration. Moreover, we incrementally incorporate task-specific routers to ensure an optimal branch distribution over time, rather than favoring the most recent task. T"&amp;"o streamline inference, we introduce a task selector that automatically routes test inputs to the appropriate router without requiring task identity. Extensive experiments on the latest MCIT benchmark demonstrate that BranchLoRA significantly outperforms "&amp;"MoELoRA and maintains its superiority across various MLLM sizes.")</f>
        <v>Multimodal Continual Instruction Tuning (MCIT) aims to finetune Multimodal Large Language Models (MLLMs) to continually align with human intent across sequential tasks. Existing approaches often rely on the Mixture-of-Experts (MoE) LoRA framework to preserve previous instruction alignments. However, these methods are prone to Catastrophic Forgetting (CF), as they aggregate all LoRA blocks via simple summation, which compromises performance over time. In this paper, we identify a critical parameter inefficiency in the MoELoRA framework within the MCIT context. Based on this insight, we propose BranchLoRA, an asymmetric framework to enhance both efficiency and performance. To mitigate CF, we introduce a flexible tuning-freezing mechanism within BranchLoRA, enabling branches to specialize in intra-task knowledge while fostering inter-task collaboration. Moreover, we incrementally incorporate task-specific routers to ensure an optimal branch distribution over time, rather than favoring the most recent task. To streamline inference, we introduce a task selector that automatically routes test inputs to the appropriate router without requiring task identity. Extensive experiments on the latest MCIT benchmark demonstrate that BranchLoRA significantly outperforms MoELoRA and maintains its superiority across various MLLM sizes.</v>
      </c>
      <c r="D1889" s="7" t="str">
        <f>IFERROR(__xludf.DUMMYFUNCTION("""COMPUTED_VALUE"""),"Duzhen Zhang")</f>
        <v>Duzhen Zhang</v>
      </c>
      <c r="E1889" s="7" t="str">
        <f>IFERROR(__xludf.DUMMYFUNCTION("""COMPUTED_VALUE"""),"Yes")</f>
        <v>Yes</v>
      </c>
      <c r="F1889" s="7" t="str">
        <f>IFERROR(__xludf.DUMMYFUNCTION("""COMPUTED_VALUE"""),"IP-Poster")</f>
        <v>IP-Poster</v>
      </c>
      <c r="G1889" s="7" t="str">
        <f>IFERROR(__xludf.DUMMYFUNCTION("""COMPUTED_VALUE"""),"In-Person")</f>
        <v>In-Person</v>
      </c>
      <c r="H1889" s="7" t="str">
        <f>IFERROR(__xludf.DUMMYFUNCTION("""COMPUTED_VALUE"""),"Hall 4/5")</f>
        <v>Hall 4/5</v>
      </c>
      <c r="I1889" s="7" t="str">
        <f>IFERROR(__xludf.DUMMYFUNCTION("""COMPUTED_VALUE"""),"Session 2: IP-Posters ")</f>
        <v>Session 2: IP-Posters </v>
      </c>
      <c r="J1889" s="7" t="str">
        <f>IFERROR(__xludf.DUMMYFUNCTION("""COMPUTED_VALUE"""),"Poster Session 1")</f>
        <v>Poster Session 1</v>
      </c>
      <c r="K1889" s="7"/>
      <c r="L1889" s="8">
        <f>IFERROR(__xludf.DUMMYFUNCTION("""COMPUTED_VALUE"""),45866.0)</f>
        <v>45866</v>
      </c>
      <c r="M1889" s="7" t="str">
        <f>IFERROR(__xludf.DUMMYFUNCTION("""COMPUTED_VALUE"""),"11:00-12:30")</f>
        <v>11:00-12:30</v>
      </c>
      <c r="N1889" s="7"/>
    </row>
    <row r="1890">
      <c r="A1890" s="7" t="str">
        <f>IFERROR(__xludf.DUMMYFUNCTION("""COMPUTED_VALUE"""),"591-MAIN")</f>
        <v>591-MAIN</v>
      </c>
      <c r="B1890" s="7" t="str">
        <f>IFERROR(__xludf.DUMMYFUNCTION("""COMPUTED_VALUE"""),"Enhancing Automated Interpretability with Output-Centric Feature Descriptions")</f>
        <v>Enhancing Automated Interpretability with Output-Centric Feature Descriptions</v>
      </c>
      <c r="C1890" s="7" t="str">
        <f>IFERROR(__xludf.DUMMYFUNCTION("""COMPUTED_VALUE"""),"Automated interpretability pipelines generate natural language descriptions for the concepts represented by features in large language models (LLMs), such as ""plants"" or ""the first word in a sentence"". These descriptions are derived using inputs that "&amp;"activate the feature, which may be a dimension or a direction in the model's representation space. However, identifying activating inputs is costly, and the mechanistic role of a feature in model behavior is determined both by how inputs cause a feature t"&amp;"o activate and by how feature activation affects outputs. Using steering evaluations, we reveal that current pipelines provide descriptions that fail to capture the causal effect of the feature on outputs. To fix this, we propose efficient, output-centric"&amp;" methods for automatically generating feature descriptions. These methods use the tokens weighted higher after feature stimulation or the highest weight tokens after applying the vocabulary ""unembedding"" head directly to the feature. Our output-centric "&amp;"descriptions better capture the causal effect of a feature on model outputs than input-centric descriptions, but combining the two leads to the best performance on both input and output evaluations. Lastly, we show that output-centric descriptions can be "&amp;"used to find inputs that activate features previously thought to be ""dead"".")</f>
        <v>Automated interpretability pipelines generate natural language descriptions for the concepts represented by features in large language models (LLMs), such as "plants" or "the first word in a sentence". These descriptions are derived using inputs that activate the feature, which may be a dimension or a direction in the model's representation space. However, identifying activating inputs is costly, and the mechanistic role of a feature in model behavior is determined both by how inputs cause a feature to activate and by how feature activation affects outputs. Using steering evaluations, we reveal that current pipelines provide descriptions that fail to capture the causal effect of the feature on outputs. To fix this, we propose efficient, output-centric methods for automatically generating feature descriptions. These methods use the tokens weighted higher after feature stimulation or the highest weight tokens after applying the vocabulary "unembedding" head directly to the feature. Our output-centric descriptions better capture the causal effect of a feature on model outputs than input-centric descriptions, but combining the two leads to the best performance on both input and output evaluations. Lastly, we show that output-centric descriptions can be used to find inputs that activate features previously thought to be "dead".</v>
      </c>
      <c r="D1890" s="7" t="str">
        <f>IFERROR(__xludf.DUMMYFUNCTION("""COMPUTED_VALUE"""),"Yoav Gur-Arieh")</f>
        <v>Yoav Gur-Arieh</v>
      </c>
      <c r="E1890" s="7" t="str">
        <f>IFERROR(__xludf.DUMMYFUNCTION("""COMPUTED_VALUE"""),"Yes")</f>
        <v>Yes</v>
      </c>
      <c r="F1890" s="7" t="str">
        <f>IFERROR(__xludf.DUMMYFUNCTION("""COMPUTED_VALUE"""),"IP-Poster")</f>
        <v>IP-Poster</v>
      </c>
      <c r="G1890" s="7" t="str">
        <f>IFERROR(__xludf.DUMMYFUNCTION("""COMPUTED_VALUE"""),"In-Person")</f>
        <v>In-Person</v>
      </c>
      <c r="H1890" s="7" t="str">
        <f>IFERROR(__xludf.DUMMYFUNCTION("""COMPUTED_VALUE"""),"Hall 4/5")</f>
        <v>Hall 4/5</v>
      </c>
      <c r="I1890" s="7" t="str">
        <f>IFERROR(__xludf.DUMMYFUNCTION("""COMPUTED_VALUE"""),"Session 7: IP-Posters")</f>
        <v>Session 7: IP-Posters</v>
      </c>
      <c r="J1890" s="7" t="str">
        <f>IFERROR(__xludf.DUMMYFUNCTION("""COMPUTED_VALUE"""),"Poster Session 2")</f>
        <v>Poster Session 2</v>
      </c>
      <c r="K1890" s="7"/>
      <c r="L1890" s="8">
        <f>IFERROR(__xludf.DUMMYFUNCTION("""COMPUTED_VALUE"""),45867.0)</f>
        <v>45867</v>
      </c>
      <c r="M1890" s="7" t="str">
        <f>IFERROR(__xludf.DUMMYFUNCTION("""COMPUTED_VALUE"""),"10:30-12:00")</f>
        <v>10:30-12:00</v>
      </c>
      <c r="N1890" s="7"/>
    </row>
    <row r="1891">
      <c r="A1891" s="7" t="str">
        <f>IFERROR(__xludf.DUMMYFUNCTION("""COMPUTED_VALUE"""),"595-MAIN")</f>
        <v>595-MAIN</v>
      </c>
      <c r="B1891" s="7" t="str">
        <f>IFERROR(__xludf.DUMMYFUNCTION("""COMPUTED_VALUE"""),"Towards Effective and Efficient Continual Pre-training of Large Language Models")</f>
        <v>Towards Effective and Efficient Continual Pre-training of Large Language Models</v>
      </c>
      <c r="C1891" s="7" t="str">
        <f>IFERROR(__xludf.DUMMYFUNCTION("""COMPUTED_VALUE"""),"Continual pre-training (CPT) has been an important approach for adapting language models to specific domains or tasks. In this paper, we comprehensively study its key designs to balance the new abilities while retaining the original abilities, and present"&amp;" an effective CPT method that can greatly improve the Chinese language ability and scientific reasoning ability of LLMs. To achieve it, we design specific data mixture and curriculum strategies based on existing datasets and synthetic high-quality data. C"&amp;"oncretely, we synthesize multidisciplinary scientific QA pairs based on related web pages to guarantee the data quality, and also devise the performance tracking and data mixture adjustment strategy to ensure the training stability. For the detailed desig"&amp;"ns, we conduct preliminary studies on a relatively small model, and summarize the findings to help optimize our CPT method. Extensive experiments on a number of evaluation benchmarks show that our approach can largely improve the performance of Llama-3 (8"&amp;"B), including both the general abilities (+8.81 on C-Eval and +6.31 on CMMLU) and the scientific reasoning abilities (+12.00 on MATH and +4.13 on SciEval). Our model, data, and codes are available at https://github.com/RUC-GSAI/Llama-3-SynE.")</f>
        <v>Continual pre-training (CPT) has been an important approach for adapting language models to specific domains or tasks. In this paper, we comprehensively study its key designs to balance the new abilities while retaining the original abilities, and present an effective CPT method that can greatly improve the Chinese language ability and scientific reasoning ability of LLMs. To achieve it, we design specific data mixture and curriculum strategies based on existing datasets and synthetic high-quality data. Concretely, we synthesize multidisciplinary scientific QA pairs based on related web pages to guarantee the data quality, and also devise the performance tracking and data mixture adjustment strategy to ensure the training stability. For the detailed designs, we conduct preliminary studies on a relatively small model, and summarize the findings to help optimize our CPT method. Extensive experiments on a number of evaluation benchmarks show that our approach can largely improve the performance of Llama-3 (8B), including both the general abilities (+8.81 on C-Eval and +6.31 on CMMLU) and the scientific reasoning abilities (+12.00 on MATH and +4.13 on SciEval). Our model, data, and codes are available at https://github.com/RUC-GSAI/Llama-3-SynE.</v>
      </c>
      <c r="D1891" s="7" t="str">
        <f>IFERROR(__xludf.DUMMYFUNCTION("""COMPUTED_VALUE"""),"Jie Chen")</f>
        <v>Jie Chen</v>
      </c>
      <c r="E1891" s="7" t="str">
        <f>IFERROR(__xludf.DUMMYFUNCTION("""COMPUTED_VALUE"""),"Yes")</f>
        <v>Yes</v>
      </c>
      <c r="F1891" s="7" t="str">
        <f>IFERROR(__xludf.DUMMYFUNCTION("""COMPUTED_VALUE"""),"V-Presentation")</f>
        <v>V-Presentation</v>
      </c>
      <c r="G1891" s="7" t="str">
        <f>IFERROR(__xludf.DUMMYFUNCTION("""COMPUTED_VALUE"""),"Virtual/Gather")</f>
        <v>Virtual/Gather</v>
      </c>
      <c r="H1891" s="7" t="str">
        <f>IFERROR(__xludf.DUMMYFUNCTION("""COMPUTED_VALUE"""),"Zoom")</f>
        <v>Zoom</v>
      </c>
      <c r="I1891" s="7" t="str">
        <f>IFERROR(__xludf.DUMMYFUNCTION("""COMPUTED_VALUE"""),"Session 10: V-Presenations")</f>
        <v>Session 10: V-Presenations</v>
      </c>
      <c r="J1891" s="7" t="str">
        <f>IFERROR(__xludf.DUMMYFUNCTION("""COMPUTED_VALUE"""),"Virtual Presentations 3")</f>
        <v>Virtual Presentations 3</v>
      </c>
      <c r="K1891" s="7"/>
      <c r="L1891" s="8">
        <f>IFERROR(__xludf.DUMMYFUNCTION("""COMPUTED_VALUE"""),45867.0)</f>
        <v>45867</v>
      </c>
      <c r="M1891" s="7" t="str">
        <f>IFERROR(__xludf.DUMMYFUNCTION("""COMPUTED_VALUE"""),"16:00-17:30")</f>
        <v>16:00-17:30</v>
      </c>
      <c r="N1891" s="7"/>
    </row>
    <row r="1892">
      <c r="A1892" s="7" t="str">
        <f>IFERROR(__xludf.DUMMYFUNCTION("""COMPUTED_VALUE"""),"599-MAIN")</f>
        <v>599-MAIN</v>
      </c>
      <c r="B1892" s="7" t="str">
        <f>IFERROR(__xludf.DUMMYFUNCTION("""COMPUTED_VALUE"""),"Efficient Universal Goal Hijacking with Semantics-guided Prompt Organization")</f>
        <v>Efficient Universal Goal Hijacking with Semantics-guided Prompt Organization</v>
      </c>
      <c r="C1892" s="7" t="str">
        <f>IFERROR(__xludf.DUMMYFUNCTION("""COMPUTED_VALUE"""),"Universal goal hijacking is a kind of prompt injection attack that forces LLMs to return a target malicious response for arbitrary normal user prompts. The previous methods achieve high attack performance while being too cumbersome and time-consuming. Als"&amp;"o, they have concentrated solely on optimization algorithms, overlooking the crucial role of the prompt. To this end, we propose a method called POUGH that incorporates an efficient optimization algorithm and two semantics-guided prompt organization strat"&amp;"egies. Specifically, our method starts with a sampling strategy to select representative prompts from a candidate pool, followed by a ranking strategy that prioritizes them. Given the sequentially ranked prompts, our method employs an iterative optimizati"&amp;"on algorithm to generate a fixed suffix that can concatenate to arbitrary user prompts for universal goal hijacking. Experiments conducted on four popular LLMs and ten types of target responses verified the effectiveness.")</f>
        <v>Universal goal hijacking is a kind of prompt injection attack that forces LLMs to return a target malicious response for arbitrary normal user prompts. The previous methods achieve high attack performance while being too cumbersome and time-consuming. Also, they have concentrated solely on optimization algorithms, overlooking the crucial role of the prompt. To this end, we propose a method called POUGH that incorporates an efficient optimization algorithm and two semantics-guided prompt organization strategies. Specifically, our method starts with a sampling strategy to select representative prompts from a candidate pool, followed by a ranking strategy that prioritizes them. Given the sequentially ranked prompts, our method employs an iterative optimization algorithm to generate a fixed suffix that can concatenate to arbitrary user prompts for universal goal hijacking. Experiments conducted on four popular LLMs and ten types of target responses verified the effectiveness.</v>
      </c>
      <c r="D1892" s="7" t="str">
        <f>IFERROR(__xludf.DUMMYFUNCTION("""COMPUTED_VALUE"""),"Yihao Huang")</f>
        <v>Yihao Huang</v>
      </c>
      <c r="E1892" s="7" t="str">
        <f>IFERROR(__xludf.DUMMYFUNCTION("""COMPUTED_VALUE"""),"Yes")</f>
        <v>Yes</v>
      </c>
      <c r="F1892" s="7" t="str">
        <f>IFERROR(__xludf.DUMMYFUNCTION("""COMPUTED_VALUE"""),"V-Presentation")</f>
        <v>V-Presentation</v>
      </c>
      <c r="G1892" s="7" t="str">
        <f>IFERROR(__xludf.DUMMYFUNCTION("""COMPUTED_VALUE"""),"Virtual/Gather")</f>
        <v>Virtual/Gather</v>
      </c>
      <c r="H1892" s="7" t="str">
        <f>IFERROR(__xludf.DUMMYFUNCTION("""COMPUTED_VALUE"""),"Zoom")</f>
        <v>Zoom</v>
      </c>
      <c r="I1892" s="7" t="str">
        <f>IFERROR(__xludf.DUMMYFUNCTION("""COMPUTED_VALUE"""),"Session 7: V--Presentations ")</f>
        <v>Session 7: V--Presentations </v>
      </c>
      <c r="J1892" s="7" t="str">
        <f>IFERROR(__xludf.DUMMYFUNCTION("""COMPUTED_VALUE"""),"Virtual Presentations 2")</f>
        <v>Virtual Presentations 2</v>
      </c>
      <c r="K1892" s="7"/>
      <c r="L1892" s="8"/>
      <c r="M1892" s="7" t="str">
        <f>IFERROR(__xludf.DUMMYFUNCTION("""COMPUTED_VALUE"""),"10:30-12:00")</f>
        <v>10:30-12:00</v>
      </c>
      <c r="N1892" s="7"/>
    </row>
    <row r="1893">
      <c r="A1893" s="7" t="str">
        <f>IFERROR(__xludf.DUMMYFUNCTION("""COMPUTED_VALUE"""),"603-MAIN")</f>
        <v>603-MAIN</v>
      </c>
      <c r="B1893" s="7" t="str">
        <f>IFERROR(__xludf.DUMMYFUNCTION("""COMPUTED_VALUE"""),"mPLUG-DocOwl2: High-resolution Compressing for OCR-free Multi-page Document Understanding")</f>
        <v>mPLUG-DocOwl2: High-resolution Compressing for OCR-free Multi-page Document Understanding</v>
      </c>
      <c r="C1893" s="7" t="str">
        <f>IFERROR(__xludf.DUMMYFUNCTION("""COMPUTED_VALUE"""),"Multimodel Large Language Models(MLLMs) have achieved promising OCR-free Document Understanding performance by increasing the supported resolution of document images. However, this comes at the cost of generating thousands of visual tokens for a single do"&amp;"cument image, leading to excessive GPU memory and slower inference times, particularly in multi-page document comprehension. In this work, to address these challenges, we propose a High-resolution DocCompressor module to compress each high-resolution docu"&amp;"ment image into 324 tokens, guided by low-resolution global visual features. With this compression module, to strengthen multi-page document comprehension ability and balance both token efficiency and question-answering performance, we develop the DocOwl2"&amp;" under a three-stage training framework: Single-image Pretraining, Multi-image Continue-pretraining, and Multi-task Finetuning. DocOwl2 sets a new state-of-the-art across multi-page document understanding benchmarks and reduces first token latency by more"&amp;" than 50%. Compared to single-image MLLMs trained on similar data, our DocOwl2 achieves comparable single-page understanding performance with less than 20% of the visual tokens. Our codes, models, and data will be publicly available.")</f>
        <v>Multimodel Large Language Models(MLLMs) have achieved promising OCR-free Document Understanding performance by increasing the supported resolution of document images. However, this comes at the cost of generating thousands of visual tokens for a single document image, leading to excessive GPU memory and slower inference times, particularly in multi-page document comprehension. In this work, to address these challenges, we propose a High-resolution DocCompressor module to compress each high-resolution document image into 324 tokens, guided by low-resolution global visual features. With this compression module, to strengthen multi-page document comprehension ability and balance both token efficiency and question-answering performance, we develop the DocOwl2 under a three-stage training framework: Single-image Pretraining, Multi-image Continue-pretraining, and Multi-task Finetuning. DocOwl2 sets a new state-of-the-art across multi-page document understanding benchmarks and reduces first token latency by more than 50%. Compared to single-image MLLMs trained on similar data, our DocOwl2 achieves comparable single-page understanding performance with less than 20% of the visual tokens. Our codes, models, and data will be publicly available.</v>
      </c>
      <c r="D1893" s="7" t="str">
        <f>IFERROR(__xludf.DUMMYFUNCTION("""COMPUTED_VALUE"""),"Haiyang Xu")</f>
        <v>Haiyang Xu</v>
      </c>
      <c r="E1893" s="7" t="str">
        <f>IFERROR(__xludf.DUMMYFUNCTION("""COMPUTED_VALUE"""),"Yes")</f>
        <v>Yes</v>
      </c>
      <c r="F1893" s="7" t="str">
        <f>IFERROR(__xludf.DUMMYFUNCTION("""COMPUTED_VALUE"""),"IP-Oral")</f>
        <v>IP-Oral</v>
      </c>
      <c r="G1893" s="7" t="str">
        <f>IFERROR(__xludf.DUMMYFUNCTION("""COMPUTED_VALUE"""),"In-Person")</f>
        <v>In-Person</v>
      </c>
      <c r="H1893" s="7" t="str">
        <f>IFERROR(__xludf.DUMMYFUNCTION("""COMPUTED_VALUE"""),"Hall C")</f>
        <v>Hall C</v>
      </c>
      <c r="I1893" s="7" t="str">
        <f>IFERROR(__xludf.DUMMYFUNCTION("""COMPUTED_VALUE"""),"Session 3: IP-Orals")</f>
        <v>Session 3: IP-Orals</v>
      </c>
      <c r="J1893" s="7" t="str">
        <f>IFERROR(__xludf.DUMMYFUNCTION("""COMPUTED_VALUE"""),"Multimodality and Language Grounding 1")</f>
        <v>Multimodality and Language Grounding 1</v>
      </c>
      <c r="K1893" s="7"/>
      <c r="L1893" s="8">
        <f>IFERROR(__xludf.DUMMYFUNCTION("""COMPUTED_VALUE"""),45866.0)</f>
        <v>45866</v>
      </c>
      <c r="M1893" s="7" t="str">
        <f>IFERROR(__xludf.DUMMYFUNCTION("""COMPUTED_VALUE"""),"14:00-15:30")</f>
        <v>14:00-15:30</v>
      </c>
      <c r="N1893" s="7">
        <f>IFERROR(__xludf.DUMMYFUNCTION("""COMPUTED_VALUE"""),3.0)</f>
        <v>3</v>
      </c>
    </row>
    <row r="1894">
      <c r="A1894" s="7" t="str">
        <f>IFERROR(__xludf.DUMMYFUNCTION("""COMPUTED_VALUE"""),"604-MAIN")</f>
        <v>604-MAIN</v>
      </c>
      <c r="B1894" s="7" t="str">
        <f>IFERROR(__xludf.DUMMYFUNCTION("""COMPUTED_VALUE"""),"What Makes a Good Natural Language Prompt?")</f>
        <v>What Makes a Good Natural Language Prompt?</v>
      </c>
      <c r="C1894" s="7" t="str">
        <f>IFERROR(__xludf.DUMMYFUNCTION("""COMPUTED_VALUE"""),"As large language models (LLMs) have progressed towards more human-like and human--AI communications prevalent, prompting has emerged as a decisive component. However, there is limited conceptual consensus on what exactly quantifies natural language promp"&amp;"ts. We attempt to address this question by conducting a meta-analysis surveying 150+ prompting-related papers from leading NLP and AI conferences (2022–2024), and blogs. We propose a property- and human-centric framework for evaluating prompt quality, enc"&amp;"ompassing 21 properties categorized into six dimensions. We then examine how existing studies assess their impact on LLMs, revealing their imbalanced support across models and tasks, and substantial research gaps. Further, we analyze correlations among pr"&amp;"operties in high-quality natural language prompts, deriving prompting recommendations. Finally, we explore multi-property prompt enhancements in reasoning tasks, observing that single-property enhancements often have the greatest impact. Our findings esta"&amp;"blish a foundation for property-centric prompt evaluation and optimization, bridging the gaps between human--AI communication and opening new prompting research directions.")</f>
        <v>As large language models (LLMs) have progressed towards more human-like and human--AI communications prevalent, prompting has emerged as a decisive component. However, there is limited conceptual consensus on what exactly quantifies natural language prompts. We attempt to address this question by conducting a meta-analysis surveying 150+ prompting-related papers from leading NLP and AI conferences (2022–2024), and blogs. We propose a property- and human-centric framework for evaluating prompt quality, encompassing 21 properties categorized into six dimensions. We then examine how existing studies assess their impact on LLMs, revealing their imbalanced support across models and tasks, and substantial research gaps. Further, we analyze correlations among properties in high-quality natural language prompts, deriving prompting recommendations. Finally, we explore multi-property prompt enhancements in reasoning tasks, observing that single-property enhancements often have the greatest impact. Our findings establish a foundation for property-centric prompt evaluation and optimization, bridging the gaps between human--AI communication and opening new prompting research directions.</v>
      </c>
      <c r="D1894" s="7" t="str">
        <f>IFERROR(__xludf.DUMMYFUNCTION("""COMPUTED_VALUE"""),"Do Xuan Long")</f>
        <v>Do Xuan Long</v>
      </c>
      <c r="E1894" s="7" t="str">
        <f>IFERROR(__xludf.DUMMYFUNCTION("""COMPUTED_VALUE"""),"Yes")</f>
        <v>Yes</v>
      </c>
      <c r="F1894" s="7" t="str">
        <f>IFERROR(__xludf.DUMMYFUNCTION("""COMPUTED_VALUE"""),"IP-Poster")</f>
        <v>IP-Poster</v>
      </c>
      <c r="G1894" s="7" t="str">
        <f>IFERROR(__xludf.DUMMYFUNCTION("""COMPUTED_VALUE"""),"In-Person")</f>
        <v>In-Person</v>
      </c>
      <c r="H1894" s="7" t="str">
        <f>IFERROR(__xludf.DUMMYFUNCTION("""COMPUTED_VALUE"""),"Hall 4/5")</f>
        <v>Hall 4/5</v>
      </c>
      <c r="I1894" s="7" t="str">
        <f>IFERROR(__xludf.DUMMYFUNCTION("""COMPUTED_VALUE"""),"Session 2: IP-Posters ")</f>
        <v>Session 2: IP-Posters </v>
      </c>
      <c r="J1894" s="7" t="str">
        <f>IFERROR(__xludf.DUMMYFUNCTION("""COMPUTED_VALUE"""),"Poster Session 1")</f>
        <v>Poster Session 1</v>
      </c>
      <c r="K1894" s="7"/>
      <c r="L1894" s="8">
        <f>IFERROR(__xludf.DUMMYFUNCTION("""COMPUTED_VALUE"""),45866.0)</f>
        <v>45866</v>
      </c>
      <c r="M1894" s="7" t="str">
        <f>IFERROR(__xludf.DUMMYFUNCTION("""COMPUTED_VALUE"""),"11:00-12:30")</f>
        <v>11:00-12:30</v>
      </c>
      <c r="N1894" s="7"/>
    </row>
    <row r="1895">
      <c r="A1895" s="7" t="str">
        <f>IFERROR(__xludf.DUMMYFUNCTION("""COMPUTED_VALUE"""),"606-MAIN")</f>
        <v>606-MAIN</v>
      </c>
      <c r="B1895" s="7" t="str">
        <f>IFERROR(__xludf.DUMMYFUNCTION("""COMPUTED_VALUE"""),"Limited-Resource Adapters Are Regularizers, Not Linguists")</f>
        <v>Limited-Resource Adapters Are Regularizers, Not Linguists</v>
      </c>
      <c r="C1895" s="7" t="str">
        <f>IFERROR(__xludf.DUMMYFUNCTION("""COMPUTED_VALUE"""),"Cross-lingual transfer from related high-resource languages is a well-established strategy to enhance low-resource language technologies. Prior work has shown that adapters show promise for, e.g., improving low-resource machine translation (MT). In this w"&amp;"ork, we investigate an adapter souping method combined with cross-attention fine-tuning of a pre-trained MT model to leverage language transfer for three low-resource Creole languages, which exhibit relatedness to different language groups across distinct"&amp;" linguistic dimensions. Our approach improves performance substantially over baselines. However, we find that linguistic relatedness---or even a lack thereof---does not covary meaningfully with adapter performance. Surprisingly, our cross-attention fine-t"&amp;"uning approach appears equally effective with randomly initialized adapters, implying that the benefit of adapters in this setting lies in parameter regularization, and not in meaningful information transfer. We provide analysis supporting this regulariza"&amp;"tion hypothesis. Our findings underscore the reality that neural language processing involves many success factors, and that not all neural methods leverage linguistic knowledge in intuitive ways.")</f>
        <v>Cross-lingual transfer from related high-resource languages is a well-established strategy to enhance low-resource language technologies. Prior work has shown that adapters show promise for, e.g., improving low-resource machine translation (MT). In this work, we investigate an adapter souping method combined with cross-attention fine-tuning of a pre-trained MT model to leverage language transfer for three low-resource Creole languages, which exhibit relatedness to different language groups across distinct linguistic dimensions. Our approach improves performance substantially over baselines. However, we find that linguistic relatedness---or even a lack thereof---does not covary meaningfully with adapter performance. Surprisingly, our cross-attention fine-tuning approach appears equally effective with randomly initialized adapters, implying that the benefit of adapters in this setting lies in parameter regularization, and not in meaningful information transfer. We provide analysis supporting this regularization hypothesis. Our findings underscore the reality that neural language processing involves many success factors, and that not all neural methods leverage linguistic knowledge in intuitive ways.</v>
      </c>
      <c r="D1895" s="7" t="str">
        <f>IFERROR(__xludf.DUMMYFUNCTION("""COMPUTED_VALUE"""),"Marcell Fekete")</f>
        <v>Marcell Fekete</v>
      </c>
      <c r="E1895" s="7" t="str">
        <f>IFERROR(__xludf.DUMMYFUNCTION("""COMPUTED_VALUE"""),"Yes")</f>
        <v>Yes</v>
      </c>
      <c r="F1895" s="7" t="str">
        <f>IFERROR(__xludf.DUMMYFUNCTION("""COMPUTED_VALUE"""),"IP-Poster")</f>
        <v>IP-Poster</v>
      </c>
      <c r="G1895" s="7" t="str">
        <f>IFERROR(__xludf.DUMMYFUNCTION("""COMPUTED_VALUE"""),"In-Person")</f>
        <v>In-Person</v>
      </c>
      <c r="H1895" s="7" t="str">
        <f>IFERROR(__xludf.DUMMYFUNCTION("""COMPUTED_VALUE"""),"Hall 4/5")</f>
        <v>Hall 4/5</v>
      </c>
      <c r="I1895" s="7" t="str">
        <f>IFERROR(__xludf.DUMMYFUNCTION("""COMPUTED_VALUE"""),"Session 10: IP-Posters")</f>
        <v>Session 10: IP-Posters</v>
      </c>
      <c r="J1895" s="7" t="str">
        <f>IFERROR(__xludf.DUMMYFUNCTION("""COMPUTED_VALUE"""),"Poster Session 3")</f>
        <v>Poster Session 3</v>
      </c>
      <c r="K1895" s="7"/>
      <c r="L1895" s="8">
        <f>IFERROR(__xludf.DUMMYFUNCTION("""COMPUTED_VALUE"""),45867.0)</f>
        <v>45867</v>
      </c>
      <c r="M1895" s="7" t="str">
        <f>IFERROR(__xludf.DUMMYFUNCTION("""COMPUTED_VALUE"""),"16:00-17:30")</f>
        <v>16:00-17:30</v>
      </c>
      <c r="N1895" s="7"/>
    </row>
    <row r="1896">
      <c r="A1896" s="7" t="str">
        <f>IFERROR(__xludf.DUMMYFUNCTION("""COMPUTED_VALUE"""),"611-MAIN")</f>
        <v>611-MAIN</v>
      </c>
      <c r="B1896" s="7" t="str">
        <f>IFERROR(__xludf.DUMMYFUNCTION("""COMPUTED_VALUE"""),"X-TURING: Towards an Enhanced and Efficient Turing Test for Long-Term Dialogue Agents")</f>
        <v>X-TURING: Towards an Enhanced and Efficient Turing Test for Long-Term Dialogue Agents</v>
      </c>
      <c r="C1896" s="7" t="str">
        <f>IFERROR(__xludf.DUMMYFUNCTION("""COMPUTED_VALUE"""),"The Turing test examines whether AIs exhibit human-like behaviour in natural language conversations. The traditional setting limits each participant to one message at a time and requires constant human participation. This fails to reflect a natural conver"&amp;"sational style and hinders the evaluation of dialogue agents based on Large Language Models (LLMs) in complex and prolonged interactions. This paper proposes X-Turing, which enhances the original test with a burst dialogue pattern, allowing more dynamic e"&amp;"xchanges using consecutive messages. It further reduces human workload by iteratively generating dialogues that simulate the long-term interaction between the agent and a human to compose the majority of the test process. With the pseudo-dialogue history,"&amp;" the agent then engages in a shorter dialogue with a real human, which is paired with a human-human conversation on the same topic to be judged using questionnaires. We introduce the X-Turn Pass-Rate metric to assess the human likeness of LLMs across vary"&amp;"ing durations. While LLMs like GPT-4 initially perform well, achieving pass rates of 51.9% and 38.9% during 3 turns and 10 turns of dialogues respectively, their performance drops as the dialogue progresses, which underscores the difficulty in maintaining"&amp;" consistency in the long term.")</f>
        <v>The Turing test examines whether AIs exhibit human-like behaviour in natural language conversations. The traditional setting limits each participant to one message at a time and requires constant human participation. This fails to reflect a natural conversational style and hinders the evaluation of dialogue agents based on Large Language Models (LLMs) in complex and prolonged interactions. This paper proposes X-Turing, which enhances the original test with a burst dialogue pattern, allowing more dynamic exchanges using consecutive messages. It further reduces human workload by iteratively generating dialogues that simulate the long-term interaction between the agent and a human to compose the majority of the test process. With the pseudo-dialogue history, the agent then engages in a shorter dialogue with a real human, which is paired with a human-human conversation on the same topic to be judged using questionnaires. We introduce the X-Turn Pass-Rate metric to assess the human likeness of LLMs across varying durations. While LLMs like GPT-4 initially perform well, achieving pass rates of 51.9% and 38.9% during 3 turns and 10 turns of dialogues respectively, their performance drops as the dialogue progresses, which underscores the difficulty in maintaining consistency in the long term.</v>
      </c>
      <c r="D1896" s="7" t="str">
        <f>IFERROR(__xludf.DUMMYFUNCTION("""COMPUTED_VALUE"""),"Weiqi Wu")</f>
        <v>Weiqi Wu</v>
      </c>
      <c r="E1896" s="7" t="str">
        <f>IFERROR(__xludf.DUMMYFUNCTION("""COMPUTED_VALUE"""),"Yes")</f>
        <v>Yes</v>
      </c>
      <c r="F1896" s="7" t="str">
        <f>IFERROR(__xludf.DUMMYFUNCTION("""COMPUTED_VALUE"""),"IP-Poster")</f>
        <v>IP-Poster</v>
      </c>
      <c r="G1896" s="7" t="str">
        <f>IFERROR(__xludf.DUMMYFUNCTION("""COMPUTED_VALUE"""),"In-Person")</f>
        <v>In-Person</v>
      </c>
      <c r="H1896" s="7" t="str">
        <f>IFERROR(__xludf.DUMMYFUNCTION("""COMPUTED_VALUE"""),"Hall 4/5")</f>
        <v>Hall 4/5</v>
      </c>
      <c r="I1896" s="7" t="str">
        <f>IFERROR(__xludf.DUMMYFUNCTION("""COMPUTED_VALUE"""),"Session 2: IP-Posters ")</f>
        <v>Session 2: IP-Posters </v>
      </c>
      <c r="J1896" s="7" t="str">
        <f>IFERROR(__xludf.DUMMYFUNCTION("""COMPUTED_VALUE"""),"Poster Session 1")</f>
        <v>Poster Session 1</v>
      </c>
      <c r="K1896" s="7"/>
      <c r="L1896" s="8">
        <f>IFERROR(__xludf.DUMMYFUNCTION("""COMPUTED_VALUE"""),45866.0)</f>
        <v>45866</v>
      </c>
      <c r="M1896" s="7" t="str">
        <f>IFERROR(__xludf.DUMMYFUNCTION("""COMPUTED_VALUE"""),"11:00-12:30")</f>
        <v>11:00-12:30</v>
      </c>
      <c r="N1896" s="7"/>
    </row>
    <row r="1897">
      <c r="A1897" s="7" t="str">
        <f>IFERROR(__xludf.DUMMYFUNCTION("""COMPUTED_VALUE"""),"612-MAIN")</f>
        <v>612-MAIN</v>
      </c>
      <c r="B1897" s="7" t="str">
        <f>IFERROR(__xludf.DUMMYFUNCTION("""COMPUTED_VALUE"""),"Are Rules Meant to be Broken? Understanding Multilingual Moral Reasoning as a Computational Pipeline with UniMoral")</f>
        <v>Are Rules Meant to be Broken? Understanding Multilingual Moral Reasoning as a Computational Pipeline with UniMoral</v>
      </c>
      <c r="C1897" s="7" t="str">
        <f>IFERROR(__xludf.DUMMYFUNCTION("""COMPUTED_VALUE"""),"Moral reasoning is a complex cognitive process shaped by individual experiences and cultural contexts and presents unique challenges for computational analysis. While natural language processing (NLP) offers promising tools for studying this phenomenon, c"&amp;"urrent research lacks cohesion, employing discordant datasets and tasks that examine isolated aspects of moral reasoning. We bridge this gap with UniMoral, a unified dataset integrating psychologically grounded and social-media-derived moral dilemmas anno"&amp;"tated with labels for action choices, ethical principles, contributing factors, and consequences, alongside annotators’ moral and cultural profiles. Recognizing the cultural relativity of moral reasoning, UniMoral spans six languages, Arabic, Chinese, Eng"&amp;"lish, Hindi, Russian, and Spanish, capturing diverse socio-cultural contexts. We demonstrate UniMoral's utility through a benchmark evaluations of three large language models (LLMs) across four tasks: action prediction, moral typology classification, fact"&amp;"or attribution analysis, and consequence generation. Key findings reveal that while implicitly embedded moral contexts enhance the moral reasoning capability of LLMs, there remains a critical need for increasingly specialized approaches to further advance"&amp;" moral reasoning in these models.")</f>
        <v>Moral reasoning is a complex cognitive process shaped by individual experiences and cultural contexts and presents unique challenges for computational analysis. While natural language processing (NLP) offers promising tools for studying this phenomenon, current research lacks cohesion, employing discordant datasets and tasks that examine isolated aspects of moral reasoning. We bridge this gap with UniMoral, a unified dataset integrating psychologically grounded and social-media-derived moral dilemmas annotated with labels for action choices, ethical principles, contributing factors, and consequences, alongside annotators’ moral and cultural profiles. Recognizing the cultural relativity of moral reasoning, UniMoral spans six languages, Arabic, Chinese, English, Hindi, Russian, and Spanish, capturing diverse socio-cultural contexts. We demonstrate UniMoral's utility through a benchmark evaluations of three large language models (LLMs) across four tasks: action prediction, moral typology classification, factor attribution analysis, and consequence generation. Key findings reveal that while implicitly embedded moral contexts enhance the moral reasoning capability of LLMs, there remains a critical need for increasingly specialized approaches to further advance moral reasoning in these models.</v>
      </c>
      <c r="D1897" s="7" t="str">
        <f>IFERROR(__xludf.DUMMYFUNCTION("""COMPUTED_VALUE"""),"Prof David Jurgens ")</f>
        <v>Prof David Jurgens </v>
      </c>
      <c r="E1897" s="7" t="str">
        <f>IFERROR(__xludf.DUMMYFUNCTION("""COMPUTED_VALUE"""),"Yes")</f>
        <v>Yes</v>
      </c>
      <c r="F1897" s="7" t="str">
        <f>IFERROR(__xludf.DUMMYFUNCTION("""COMPUTED_VALUE"""),"IP-Oral")</f>
        <v>IP-Oral</v>
      </c>
      <c r="G1897" s="7" t="str">
        <f>IFERROR(__xludf.DUMMYFUNCTION("""COMPUTED_VALUE"""),"In-Person")</f>
        <v>In-Person</v>
      </c>
      <c r="H1897" s="7" t="str">
        <f>IFERROR(__xludf.DUMMYFUNCTION("""COMPUTED_VALUE"""),"Hall C")</f>
        <v>Hall C</v>
      </c>
      <c r="I1897" s="7" t="str">
        <f>IFERROR(__xludf.DUMMYFUNCTION("""COMPUTED_VALUE"""),"Session 11: IP-Orals ")</f>
        <v>Session 11: IP-Orals </v>
      </c>
      <c r="J1897" s="7" t="str">
        <f>IFERROR(__xludf.DUMMYFUNCTION("""COMPUTED_VALUE"""),"Panel 3: Human-centred NLP")</f>
        <v>Panel 3: Human-centred NLP</v>
      </c>
      <c r="K1897" s="7"/>
      <c r="L1897" s="8">
        <f>IFERROR(__xludf.DUMMYFUNCTION("""COMPUTED_VALUE"""),45868.0)</f>
        <v>45868</v>
      </c>
      <c r="M1897" s="7" t="str">
        <f>IFERROR(__xludf.DUMMYFUNCTION("""COMPUTED_VALUE"""),"09:00-10:30")</f>
        <v>09:00-10:30</v>
      </c>
      <c r="N1897" s="7">
        <f>IFERROR(__xludf.DUMMYFUNCTION("""COMPUTED_VALUE"""),1.0)</f>
        <v>1</v>
      </c>
    </row>
    <row r="1898">
      <c r="A1898" s="7" t="str">
        <f>IFERROR(__xludf.DUMMYFUNCTION("""COMPUTED_VALUE"""),"613-MAIN")</f>
        <v>613-MAIN</v>
      </c>
      <c r="B1898" s="7" t="str">
        <f>IFERROR(__xludf.DUMMYFUNCTION("""COMPUTED_VALUE"""),"Modality-Aware Neuron Pruning for Unlearning in Multimodal Large Language Models")</f>
        <v>Modality-Aware Neuron Pruning for Unlearning in Multimodal Large Language Models</v>
      </c>
      <c r="C1898" s="7" t="str">
        <f>IFERROR(__xludf.DUMMYFUNCTION("""COMPUTED_VALUE"""),"Generative models such as Large Language Models (LLMs) and Multimodal Large Language Models (MLLMs) trained on massive datasets can lead them to memorize and inadvertently reveal sensitive information, raising ethical and privacy concerns. While some prio"&amp;"r works have explored this issue in the context of LLMs, it presents a unique challenge for MLLMs due to the entangled nature of knowledge across modalities, making comprehensive unlearning more difficult. To address this challenge, we propose Modality Aw"&amp;"are Neuron Unlearning (MANU), a novel unlearning framework for MLLMs designed to selectively clip neurons based on their relative importance to the targeted forget data, curated for different modalities. Specifically, MANU consists of two stages: importan"&amp;"t neuron selection and selective pruning. The first stage identifies and collects the most influential neurons across modalities relative to the targeted forget knowledge, while the second stage is dedicated to pruning those selected neurons. MANU effecti"&amp;"vely isolates and removes the neurons that contribute most to the forget data within each modality, while preserving the integrity of retained knowledge. Our experiments conducted across various MLLM architectures illustrate that MANU can achieve a more b"&amp;"alanced and comprehensive unlearning in each modality without largely affecting the overall model utility.")</f>
        <v>Generative models such as Large Language Models (LLMs) and Multimodal Large Language Models (MLLMs) trained on massive datasets can lead them to memorize and inadvertently reveal sensitive information, raising ethical and privacy concerns. While some prior works have explored this issue in the context of LLMs, it presents a unique challenge for MLLMs due to the entangled nature of knowledge across modalities, making comprehensive unlearning more difficult. To address this challenge, we propose Modality Aware Neuron Unlearning (MANU), a novel unlearning framework for MLLMs designed to selectively clip neurons based on their relative importance to the targeted forget data, curated for different modalities. Specifically, MANU consists of two stages: important neuron selection and selective pruning. The first stage identifies and collects the most influential neurons across modalities relative to the targeted forget knowledge, while the second stage is dedicated to pruning those selected neurons. MANU effectively isolates and removes the neurons that contribute most to the forget data within each modality, while preserving the integrity of retained knowledge. Our experiments conducted across various MLLM architectures illustrate that MANU can achieve a more balanced and comprehensive unlearning in each modality without largely affecting the overall model utility.</v>
      </c>
      <c r="D1898" s="7" t="str">
        <f>IFERROR(__xludf.DUMMYFUNCTION("""COMPUTED_VALUE"""),"Zheyuan Liu")</f>
        <v>Zheyuan Liu</v>
      </c>
      <c r="E1898" s="7" t="str">
        <f>IFERROR(__xludf.DUMMYFUNCTION("""COMPUTED_VALUE"""),"Yes")</f>
        <v>Yes</v>
      </c>
      <c r="F1898" s="7" t="str">
        <f>IFERROR(__xludf.DUMMYFUNCTION("""COMPUTED_VALUE"""),"IP-Poster")</f>
        <v>IP-Poster</v>
      </c>
      <c r="G1898" s="7" t="str">
        <f>IFERROR(__xludf.DUMMYFUNCTION("""COMPUTED_VALUE"""),"In-Person")</f>
        <v>In-Person</v>
      </c>
      <c r="H1898" s="7" t="str">
        <f>IFERROR(__xludf.DUMMYFUNCTION("""COMPUTED_VALUE"""),"Hall 4/5")</f>
        <v>Hall 4/5</v>
      </c>
      <c r="I1898" s="7" t="str">
        <f>IFERROR(__xludf.DUMMYFUNCTION("""COMPUTED_VALUE"""),"Session 7: IP-Posters")</f>
        <v>Session 7: IP-Posters</v>
      </c>
      <c r="J1898" s="7" t="str">
        <f>IFERROR(__xludf.DUMMYFUNCTION("""COMPUTED_VALUE"""),"Poster Session 2")</f>
        <v>Poster Session 2</v>
      </c>
      <c r="K1898" s="7"/>
      <c r="L1898" s="8">
        <f>IFERROR(__xludf.DUMMYFUNCTION("""COMPUTED_VALUE"""),45867.0)</f>
        <v>45867</v>
      </c>
      <c r="M1898" s="7" t="str">
        <f>IFERROR(__xludf.DUMMYFUNCTION("""COMPUTED_VALUE"""),"10:30-12:00")</f>
        <v>10:30-12:00</v>
      </c>
      <c r="N1898" s="7"/>
    </row>
    <row r="1899">
      <c r="A1899" s="7" t="str">
        <f>IFERROR(__xludf.DUMMYFUNCTION("""COMPUTED_VALUE"""),"628-MAIN")</f>
        <v>628-MAIN</v>
      </c>
      <c r="B1899" s="7" t="str">
        <f>IFERROR(__xludf.DUMMYFUNCTION("""COMPUTED_VALUE"""),"NGQA: A Nutritional Graph Question Answering Benchmark for Personalized Health-aware Nutritional Reasoning")</f>
        <v>NGQA: A Nutritional Graph Question Answering Benchmark for Personalized Health-aware Nutritional Reasoning</v>
      </c>
      <c r="C1899" s="7" t="str">
        <f>IFERROR(__xludf.DUMMYFUNCTION("""COMPUTED_VALUE"""),"Diet plays a critical role in human health, yet tailoring dietary reasoning to individual health conditions remains a major challenge. Nutrition Question Answering (QA) has emerged as a popular method for addressing this problem. However, current research"&amp;" faces two critical limitations. On one hand, the absence of datasets involving user-specific medical information severely limits \textit{personalization}. This challenge is further compounded by the wide variability in individual health needs. On the oth"&amp;"er hand, while large language models (LLMs), a popular solution for this task, demonstrate strong reasoning abilities, they struggle with the domain-specific complexities of personalized healthy dietary reasoning, and existing benchmarks fail to capture t"&amp;"hese challenges. To address these gaps, we introduce the Nutritional Graph Question Answering (NGQA) benchmark, the first graph question answering dataset designed for personalized nutritional health reasoning. NGQA leverages data from the National Health"&amp;" and Nutrition Examination Survey (NHANES) and the Food and Nutrient Database for Dietary Studies (FNDDS) to evaluate whether a food is healthy for a specific user, supported by explanations of the key contributing nutrients. The benchmark incorporates th"&amp;"ree question complexity settings and evaluates reasoning across three downstream tasks. Extensive experiments with LLM backbones and baseline models demonstrate that the NGQA benchmark effectively challenges existing models. In sum, NGQA addresses a criti"&amp;"cal real-world problem while advancing GraphQA research with a novel domain-specific benchmark. Our codebase and dataset are available here.")</f>
        <v>Diet plays a critical role in human health, yet tailoring dietary reasoning to individual health conditions remains a major challenge. Nutrition Question Answering (QA) has emerged as a popular method for addressing this problem. However, current research faces two critical limitations. On one hand, the absence of datasets involving user-specific medical information severely limits \textit{personalization}. This challenge is further compounded by the wide variability in individual health needs. On the other hand, while large language models (LLMs), a popular solution for this task, demonstrate strong reasoning abilities, they struggle with the domain-specific complexities of personalized healthy dietary reasoning, and existing benchmarks fail to capture these challenges. To address these gaps, we introduce the Nutritional Graph Question Answering (NGQA) benchmark, the first graph question answering dataset designed for personalized nutritional health reasoning. NGQA leverages data from the National Health and Nutrition Examination Survey (NHANES) and the Food and Nutrient Database for Dietary Studies (FNDDS) to evaluate whether a food is healthy for a specific user, supported by explanations of the key contributing nutrients. The benchmark incorporates three question complexity settings and evaluates reasoning across three downstream tasks. Extensive experiments with LLM backbones and baseline models demonstrate that the NGQA benchmark effectively challenges existing models. In sum, NGQA addresses a critical real-world problem while advancing GraphQA research with a novel domain-specific benchmark. Our codebase and dataset are available here.</v>
      </c>
      <c r="D1899" s="7" t="str">
        <f>IFERROR(__xludf.DUMMYFUNCTION("""COMPUTED_VALUE"""),"Zheyuan Zhang")</f>
        <v>Zheyuan Zhang</v>
      </c>
      <c r="E1899" s="7" t="str">
        <f>IFERROR(__xludf.DUMMYFUNCTION("""COMPUTED_VALUE"""),"Yes")</f>
        <v>Yes</v>
      </c>
      <c r="F1899" s="7" t="str">
        <f>IFERROR(__xludf.DUMMYFUNCTION("""COMPUTED_VALUE"""),"V-Presentation")</f>
        <v>V-Presentation</v>
      </c>
      <c r="G1899" s="7" t="str">
        <f>IFERROR(__xludf.DUMMYFUNCTION("""COMPUTED_VALUE"""),"Virtual/Gather")</f>
        <v>Virtual/Gather</v>
      </c>
      <c r="H1899" s="7" t="str">
        <f>IFERROR(__xludf.DUMMYFUNCTION("""COMPUTED_VALUE"""),"Zoom")</f>
        <v>Zoom</v>
      </c>
      <c r="I1899" s="7" t="str">
        <f>IFERROR(__xludf.DUMMYFUNCTION("""COMPUTED_VALUE"""),"Session 10: V-Presenations")</f>
        <v>Session 10: V-Presenations</v>
      </c>
      <c r="J1899" s="7" t="str">
        <f>IFERROR(__xludf.DUMMYFUNCTION("""COMPUTED_VALUE"""),"Virtual Presentations 3")</f>
        <v>Virtual Presentations 3</v>
      </c>
      <c r="K1899" s="7"/>
      <c r="L1899" s="8">
        <f>IFERROR(__xludf.DUMMYFUNCTION("""COMPUTED_VALUE"""),45867.0)</f>
        <v>45867</v>
      </c>
      <c r="M1899" s="7" t="str">
        <f>IFERROR(__xludf.DUMMYFUNCTION("""COMPUTED_VALUE"""),"16:00-17:30")</f>
        <v>16:00-17:30</v>
      </c>
      <c r="N1899" s="7"/>
    </row>
    <row r="1900">
      <c r="A1900" s="7" t="str">
        <f>IFERROR(__xludf.DUMMYFUNCTION("""COMPUTED_VALUE"""),"633-MAIN")</f>
        <v>633-MAIN</v>
      </c>
      <c r="B1900" s="7" t="str">
        <f>IFERROR(__xludf.DUMMYFUNCTION("""COMPUTED_VALUE"""),"ReLearn: Unlearning via Learning for Large Language Models")</f>
        <v>ReLearn: Unlearning via Learning for Large Language Models</v>
      </c>
      <c r="C1900" s="7" t="str">
        <f>IFERROR(__xludf.DUMMYFUNCTION("""COMPUTED_VALUE"""),"Current unlearning methods for large language models usually rely on reverse optimization to reduce target token probabilities. However, this paradigm disrupts the subsequent tokens prediction, degrading model performance and linguistic coherence. Moreove"&amp;"r, existing evaluation metrics overemphasize contextual forgetting while inadequately assessing response fluency and relevance. To address these challenges, we propose ReLearn, a data augmentation and fine-tuning pipeline for effective unlearning, along w"&amp;"ith a comprehensive evaluation framework. This framework introduces Knowledge Forgetting Ratio (KFR) and Knowledge Retention Ratio (KRR) to measure knowledge-level preservation, and Linguistic Score (LS) to evaluate generation quality. Our experiments sho"&amp;"w that ReLearn successfully achieves targeted forgetting while preserving high-quality outputs. Through mechanistic analysis, we further demonstrate how reverse optimization disrupts coherent text generation, while ReLearn preserves this essential capabil"&amp;"ity.")</f>
        <v>Current unlearning methods for large language models usually rely on reverse optimization to reduce target token probabilities. However, this paradigm disrupts the subsequent tokens prediction, degrading model performance and linguistic coherence. Moreover, existing evaluation metrics overemphasize contextual forgetting while inadequately assessing response fluency and relevance. To address these challenges, we propose ReLearn, a data augmentation and fine-tuning pipeline for effective unlearning, along with a comprehensive evaluation framework. This framework introduces Knowledge Forgetting Ratio (KFR) and Knowledge Retention Ratio (KRR) to measure knowledge-level preservation, and Linguistic Score (LS) to evaluate generation quality. Our experiments show that ReLearn successfully achieves targeted forgetting while preserving high-quality outputs. Through mechanistic analysis, we further demonstrate how reverse optimization disrupts coherent text generation, while ReLearn preserves this essential capability.</v>
      </c>
      <c r="D1900" s="7" t="str">
        <f>IFERROR(__xludf.DUMMYFUNCTION("""COMPUTED_VALUE"""),"Haoming Xu")</f>
        <v>Haoming Xu</v>
      </c>
      <c r="E1900" s="7" t="str">
        <f>IFERROR(__xludf.DUMMYFUNCTION("""COMPUTED_VALUE"""),"Yes")</f>
        <v>Yes</v>
      </c>
      <c r="F1900" s="7" t="str">
        <f>IFERROR(__xludf.DUMMYFUNCTION("""COMPUTED_VALUE"""),"IP-Poster")</f>
        <v>IP-Poster</v>
      </c>
      <c r="G1900" s="7" t="str">
        <f>IFERROR(__xludf.DUMMYFUNCTION("""COMPUTED_VALUE"""),"In-Person")</f>
        <v>In-Person</v>
      </c>
      <c r="H1900" s="7" t="str">
        <f>IFERROR(__xludf.DUMMYFUNCTION("""COMPUTED_VALUE"""),"Hall 4/5")</f>
        <v>Hall 4/5</v>
      </c>
      <c r="I1900" s="7" t="str">
        <f>IFERROR(__xludf.DUMMYFUNCTION("""COMPUTED_VALUE"""),"Session 7: IP-Posters")</f>
        <v>Session 7: IP-Posters</v>
      </c>
      <c r="J1900" s="7" t="str">
        <f>IFERROR(__xludf.DUMMYFUNCTION("""COMPUTED_VALUE"""),"Poster Session 2")</f>
        <v>Poster Session 2</v>
      </c>
      <c r="K1900" s="7"/>
      <c r="L1900" s="8">
        <f>IFERROR(__xludf.DUMMYFUNCTION("""COMPUTED_VALUE"""),45867.0)</f>
        <v>45867</v>
      </c>
      <c r="M1900" s="7" t="str">
        <f>IFERROR(__xludf.DUMMYFUNCTION("""COMPUTED_VALUE"""),"10:30-12:00")</f>
        <v>10:30-12:00</v>
      </c>
      <c r="N1900" s="7"/>
    </row>
    <row r="1901">
      <c r="A1901" s="7" t="str">
        <f>IFERROR(__xludf.DUMMYFUNCTION("""COMPUTED_VALUE"""),"635-MAIN")</f>
        <v>635-MAIN</v>
      </c>
      <c r="B1901" s="7" t="str">
        <f>IFERROR(__xludf.DUMMYFUNCTION("""COMPUTED_VALUE"""),"Understanding Cross-Domain Adaptation in Low-Resource Topic Modeling")</f>
        <v>Understanding Cross-Domain Adaptation in Low-Resource Topic Modeling</v>
      </c>
      <c r="C1901" s="7" t="str">
        <f>IFERROR(__xludf.DUMMYFUNCTION("""COMPUTED_VALUE"""),"Topic modeling plays a vital role in uncovering hidden semantic structures within text corpora, but existing models struggle in low-resource settings where limited target-domain data leads to unstable and incoherent topic inference. We address this challe"&amp;"nge by formally introducing domain adaptation for low-resource topic modeling, where a high-resource source domain informs a low-resource target domain without overwhelming it with irrelevant content. We establish a finite-sample generalization bound show"&amp;"ing that effective knowledge transfer depends on robust performance in both domains, minimizing latent-space discrepancy, and preventing overfitting to the data. Guided by these insights, we propose DALTA (Domain-Aligned Latent Topic Adaptation), a new fr"&amp;"amework that employs a shared encoder for domain-invariant features, specialized decoders for domain-specific nuances, and adversarial alignment to selectively transfer relevant information. Experiments on diverse low-resource datasets demonstrate that DA"&amp;"LTA consistently outperforms state-of-the-art methods in terms of topic coherence, stability, and transferability.")</f>
        <v>Topic modeling plays a vital role in uncovering hidden semantic structures within text corpora, but existing models struggle in low-resource settings where limited target-domain data leads to unstable and incoherent topic inference. We address this challenge by formally introducing domain adaptation for low-resource topic modeling, where a high-resource source domain informs a low-resource target domain without overwhelming it with irrelevant content. We establish a finite-sample generalization bound showing that effective knowledge transfer depends on robust performance in both domains, minimizing latent-space discrepancy, and preventing overfitting to the data. Guided by these insights, we propose DALTA (Domain-Aligned Latent Topic Adaptation), a new framework that employs a shared encoder for domain-invariant features, specialized decoders for domain-specific nuances, and adversarial alignment to selectively transfer relevant information. Experiments on diverse low-resource datasets demonstrate that DALTA consistently outperforms state-of-the-art methods in terms of topic coherence, stability, and transferability.</v>
      </c>
      <c r="D1901" s="7" t="str">
        <f>IFERROR(__xludf.DUMMYFUNCTION("""COMPUTED_VALUE"""),"Pritom Saha Akash")</f>
        <v>Pritom Saha Akash</v>
      </c>
      <c r="E1901" s="7" t="str">
        <f>IFERROR(__xludf.DUMMYFUNCTION("""COMPUTED_VALUE"""),"Yes")</f>
        <v>Yes</v>
      </c>
      <c r="F1901" s="7" t="str">
        <f>IFERROR(__xludf.DUMMYFUNCTION("""COMPUTED_VALUE"""),"V-Presentation")</f>
        <v>V-Presentation</v>
      </c>
      <c r="G1901" s="7" t="str">
        <f>IFERROR(__xludf.DUMMYFUNCTION("""COMPUTED_VALUE"""),"Virtual/Gather")</f>
        <v>Virtual/Gather</v>
      </c>
      <c r="H1901" s="7" t="str">
        <f>IFERROR(__xludf.DUMMYFUNCTION("""COMPUTED_VALUE"""),"Zoom")</f>
        <v>Zoom</v>
      </c>
      <c r="I1901" s="7" t="str">
        <f>IFERROR(__xludf.DUMMYFUNCTION("""COMPUTED_VALUE"""),"Session 10: V-Presenations")</f>
        <v>Session 10: V-Presenations</v>
      </c>
      <c r="J1901" s="7" t="str">
        <f>IFERROR(__xludf.DUMMYFUNCTION("""COMPUTED_VALUE"""),"Virtual Presentations 3")</f>
        <v>Virtual Presentations 3</v>
      </c>
      <c r="K1901" s="7"/>
      <c r="L1901" s="8">
        <f>IFERROR(__xludf.DUMMYFUNCTION("""COMPUTED_VALUE"""),45867.0)</f>
        <v>45867</v>
      </c>
      <c r="M1901" s="7" t="str">
        <f>IFERROR(__xludf.DUMMYFUNCTION("""COMPUTED_VALUE"""),"16:00-17:30")</f>
        <v>16:00-17:30</v>
      </c>
      <c r="N1901" s="7"/>
    </row>
    <row r="1902">
      <c r="A1902" s="7" t="str">
        <f>IFERROR(__xludf.DUMMYFUNCTION("""COMPUTED_VALUE"""),"637-MAIN")</f>
        <v>637-MAIN</v>
      </c>
      <c r="B1902" s="7" t="str">
        <f>IFERROR(__xludf.DUMMYFUNCTION("""COMPUTED_VALUE"""),"UAlign: Leveraging Uncertainty Estimations for Factuality Alignment on Large Language Models")</f>
        <v>UAlign: Leveraging Uncertainty Estimations for Factuality Alignment on Large Language Models</v>
      </c>
      <c r="C1902" s="7" t="str">
        <f>IFERROR(__xludf.DUMMYFUNCTION("""COMPUTED_VALUE"""),"Despite demonstrating impressive capabilities, Large Language Models (LLMs) still often struggle to accurately express the factual knowledge they possess, especially in cases where the LLMs’ knowledge boundaries are ambiguous. To improve LLMs’ factual exp"&amp;"ressions, we propose the UAlign framework, which leverages Uncertainty estimations to represent knowledge boundaries, and then explicitly incorporates these representations as input features into prompts for LLMs to Align with factual knowledge. First, we"&amp;" prepare the dataset on knowledge question-answering (QA) samples by calculating two uncertainty estimations, including confidence score and semantic entropy, to represent the knowledge boundaries for LLMs. Subsequently, using the prepared dataset, we tra"&amp;"in a reward model that incorporates uncertainty estimations and then employ the Proximal Policy Optimization (PPO) algorithm for factuality alignment on LLMs. Experimental results indicate that, by integrating uncertainty representations in LLM alignment,"&amp;" the proposed UAlign can significantly enhance the LLMs’ capacities to confidently answer known questions and refuse unknown questions on both in-domain and out-of-domain tasks, showing reliability improvements and good generalizability over various promp"&amp;"t- and training-based baselines.")</f>
        <v>Despite demonstrating impressive capabilities, Large Language Models (LLMs) still often struggle to accurately express the factual knowledge they possess, especially in cases where the LLMs’ knowledge boundaries are ambiguous. To improve LLMs’ factual expressions, we propose the UAlign framework, which leverages Uncertainty estimations to represent knowledge boundaries, and then explicitly incorporates these representations as input features into prompts for LLMs to Align with factual knowledge. First, we prepare the dataset on knowledge question-answering (QA) samples by calculating two uncertainty estimations, including confidence score and semantic entropy, to represent the knowledge boundaries for LLMs. Subsequently, using the prepared dataset, we train a reward model that incorporates uncertainty estimations and then employ the Proximal Policy Optimization (PPO) algorithm for factuality alignment on LLMs. Experimental results indicate that, by integrating uncertainty representations in LLM alignment, the proposed UAlign can significantly enhance the LLMs’ capacities to confidently answer known questions and refuse unknown questions on both in-domain and out-of-domain tasks, showing reliability improvements and good generalizability over various prompt- and training-based baselines.</v>
      </c>
      <c r="D1902" s="7" t="str">
        <f>IFERROR(__xludf.DUMMYFUNCTION("""COMPUTED_VALUE"""),"Boyang XUE")</f>
        <v>Boyang XUE</v>
      </c>
      <c r="E1902" s="7" t="str">
        <f>IFERROR(__xludf.DUMMYFUNCTION("""COMPUTED_VALUE"""),"Yes")</f>
        <v>Yes</v>
      </c>
      <c r="F1902" s="7" t="str">
        <f>IFERROR(__xludf.DUMMYFUNCTION("""COMPUTED_VALUE"""),"IP-Poster")</f>
        <v>IP-Poster</v>
      </c>
      <c r="G1902" s="7" t="str">
        <f>IFERROR(__xludf.DUMMYFUNCTION("""COMPUTED_VALUE"""),"In-Person")</f>
        <v>In-Person</v>
      </c>
      <c r="H1902" s="7" t="str">
        <f>IFERROR(__xludf.DUMMYFUNCTION("""COMPUTED_VALUE"""),"Hall 4/5")</f>
        <v>Hall 4/5</v>
      </c>
      <c r="I1902" s="7" t="str">
        <f>IFERROR(__xludf.DUMMYFUNCTION("""COMPUTED_VALUE"""),"Session 2: IP-Posters ")</f>
        <v>Session 2: IP-Posters </v>
      </c>
      <c r="J1902" s="7" t="str">
        <f>IFERROR(__xludf.DUMMYFUNCTION("""COMPUTED_VALUE"""),"Poster Session 1")</f>
        <v>Poster Session 1</v>
      </c>
      <c r="K1902" s="7"/>
      <c r="L1902" s="8">
        <f>IFERROR(__xludf.DUMMYFUNCTION("""COMPUTED_VALUE"""),45866.0)</f>
        <v>45866</v>
      </c>
      <c r="M1902" s="7" t="str">
        <f>IFERROR(__xludf.DUMMYFUNCTION("""COMPUTED_VALUE"""),"11:00-12:30")</f>
        <v>11:00-12:30</v>
      </c>
      <c r="N1902" s="7"/>
    </row>
    <row r="1903">
      <c r="A1903" s="7" t="str">
        <f>IFERROR(__xludf.DUMMYFUNCTION("""COMPUTED_VALUE"""),"638-MAIN")</f>
        <v>638-MAIN</v>
      </c>
      <c r="B1903" s="7" t="str">
        <f>IFERROR(__xludf.DUMMYFUNCTION("""COMPUTED_VALUE"""),"CoT-Valve: Length-Compressible Chain-of-Thought Tuning")</f>
        <v>CoT-Valve: Length-Compressible Chain-of-Thought Tuning</v>
      </c>
      <c r="C1903" s="7" t="str">
        <f>IFERROR(__xludf.DUMMYFUNCTION("""COMPUTED_VALUE"""),"Chain-of-Thought significantly enhances a model's reasoning capability, but it also comes with a considerable increase in inference costs due to long chains. With the observation that the reasoning path can be easily compressed under easy tasks but strugg"&amp;"le on hard tasks, we explore the feasibility of elastically controlling the length of reasoning paths with only one model, thereby reducing the inference overhead of reasoning models dynamically based on task difficulty. We introduce a new tuning and infe"&amp;"rence strategy named CoT-Valve, designed to allow models to generate reasoning chains of varying lengths. To achieve this, we propose to identify a direction in the parameter space that, when manipulated, can effectively control the length of generated Co"&amp;"T. Moreover, we show that this property is valuable for compressing the reasoning chain. We construct datasets with chains from long to short for the same questions and explore two enhanced strategies for CoT-Valve: (1) a precise length-compressible CoT t"&amp;"uning method, and (2) a progressive chain length compression approach. Our experiments show that CoT-Valve successfully enables controllability and compressibility of the chain and shows better performance than the prompt-based control. We applied this me"&amp;"thod to QwQ-32B-Preview, reducing reasoning chains on GSM8K from 741 to 225 tokens with a minor performance drop (95.07% to 94.92%) and on AIME from 6827 to 4629 tokens, with only one additional incorrect answer.")</f>
        <v>Chain-of-Thought significantly enhances a model's reasoning capability, but it also comes with a considerable increase in inference costs due to long chains. With the observation that the reasoning path can be easily compressed under easy tasks but struggle on hard tasks, we explore the feasibility of elastically controlling the length of reasoning paths with only one model, thereby reducing the inference overhead of reasoning models dynamically based on task difficulty. We introduce a new tuning and inference strategy named CoT-Valve, designed to allow models to generate reasoning chains of varying lengths. To achieve this, we propose to identify a direction in the parameter space that, when manipulated, can effectively control the length of generated CoT. Moreover, we show that this property is valuable for compressing the reasoning chain. We construct datasets with chains from long to short for the same questions and explore two enhanced strategies for CoT-Valve: (1) a precise length-compressible CoT tuning method, and (2) a progressive chain length compression approach. Our experiments show that CoT-Valve successfully enables controllability and compressibility of the chain and shows better performance than the prompt-based control. We applied this method to QwQ-32B-Preview, reducing reasoning chains on GSM8K from 741 to 225 tokens with a minor performance drop (95.07% to 94.92%) and on AIME from 6827 to 4629 tokens, with only one additional incorrect answer.</v>
      </c>
      <c r="D1903" s="7" t="str">
        <f>IFERROR(__xludf.DUMMYFUNCTION("""COMPUTED_VALUE"""),"Xinyin Ma")</f>
        <v>Xinyin Ma</v>
      </c>
      <c r="E1903" s="7" t="str">
        <f>IFERROR(__xludf.DUMMYFUNCTION("""COMPUTED_VALUE"""),"Yes")</f>
        <v>Yes</v>
      </c>
      <c r="F1903" s="7" t="str">
        <f>IFERROR(__xludf.DUMMYFUNCTION("""COMPUTED_VALUE"""),"IP-Poster")</f>
        <v>IP-Poster</v>
      </c>
      <c r="G1903" s="7" t="str">
        <f>IFERROR(__xludf.DUMMYFUNCTION("""COMPUTED_VALUE"""),"In-Person")</f>
        <v>In-Person</v>
      </c>
      <c r="H1903" s="7" t="str">
        <f>IFERROR(__xludf.DUMMYFUNCTION("""COMPUTED_VALUE"""),"Hall 4/5")</f>
        <v>Hall 4/5</v>
      </c>
      <c r="I1903" s="7" t="str">
        <f>IFERROR(__xludf.DUMMYFUNCTION("""COMPUTED_VALUE"""),"Session 2: IP-Posters ")</f>
        <v>Session 2: IP-Posters </v>
      </c>
      <c r="J1903" s="7" t="str">
        <f>IFERROR(__xludf.DUMMYFUNCTION("""COMPUTED_VALUE"""),"Poster Session 1")</f>
        <v>Poster Session 1</v>
      </c>
      <c r="K1903" s="7"/>
      <c r="L1903" s="8">
        <f>IFERROR(__xludf.DUMMYFUNCTION("""COMPUTED_VALUE"""),45866.0)</f>
        <v>45866</v>
      </c>
      <c r="M1903" s="7" t="str">
        <f>IFERROR(__xludf.DUMMYFUNCTION("""COMPUTED_VALUE"""),"11:00-12:30")</f>
        <v>11:00-12:30</v>
      </c>
      <c r="N1903" s="7"/>
    </row>
    <row r="1904">
      <c r="A1904" s="7" t="str">
        <f>IFERROR(__xludf.DUMMYFUNCTION("""COMPUTED_VALUE"""),"639-MAIN")</f>
        <v>639-MAIN</v>
      </c>
      <c r="B1904" s="7" t="str">
        <f>IFERROR(__xludf.DUMMYFUNCTION("""COMPUTED_VALUE"""),"HoH: A Dynamic Benchmark for Evaluating the Impact of Outdated Information on Retrieval-Augmented Generation")</f>
        <v>HoH: A Dynamic Benchmark for Evaluating the Impact of Outdated Information on Retrieval-Augmented Generation</v>
      </c>
      <c r="C1904" s="7" t="str">
        <f>IFERROR(__xludf.DUMMYFUNCTION("""COMPUTED_VALUE"""),"While Retrieval-Augmented Generation (RAG) has emerged as an effective approach for addressing the knowledge outdating problem in Large Language Models (LLMs), it still faces a critical challenge: the prevalence of outdated information in knowledge bases."&amp;" Current research primarily focuses on incorporating up-to-date information, yet the impact of outdated information coexisting in retrieval sources remains inadequately addressed. To bridge this gap, we introduce HoH, the first benchmark specifically desi"&amp;"gned to evaluate the impact of outdated information on RAG. Our benchmark leverages token-level diff algorithms combined with LLM pipelines to efficiently create a large-scale QA dataset that accurately captures the evolution of temporal knowledge in real"&amp;"-world facts.
Through comprehensive experiments, we reveal that outdated information significantly degrades RAG performance in two critical ways: (1) it substantially reduces response accuracy by distracting models from correct information, and (2) it can"&amp;" mislead models into generating potentially harmful outputs, even when current information is available. Current RAG approaches struggle with both retrieval and generation aspects when handling outdated information. These findings highlight the urgent nee"&amp;"d for innovative solutions to address the temporal challenges in RAG.")</f>
        <v>While Retrieval-Augmented Generation (RAG) has emerged as an effective approach for addressing the knowledge outdating problem in Large Language Models (LLMs), it still faces a critical challenge: the prevalence of outdated information in knowledge bases. Current research primarily focuses on incorporating up-to-date information, yet the impact of outdated information coexisting in retrieval sources remains inadequately addressed. To bridge this gap, we introduce HoH, the first benchmark specifically designed to evaluate the impact of outdated information on RAG. Our benchmark leverages token-level diff algorithms combined with LLM pipelines to efficiently create a large-scale QA dataset that accurately captures the evolution of temporal knowledge in real-world facts.
Through comprehensive experiments, we reveal that outdated information significantly degrades RAG performance in two critical ways: (1) it substantially reduces response accuracy by distracting models from correct information, and (2) it can mislead models into generating potentially harmful outputs, even when current information is available. Current RAG approaches struggle with both retrieval and generation aspects when handling outdated information. These findings highlight the urgent need for innovative solutions to address the temporal challenges in RAG.</v>
      </c>
      <c r="D1904" s="7" t="str">
        <f>IFERROR(__xludf.DUMMYFUNCTION("""COMPUTED_VALUE"""),"Jie Ouyang")</f>
        <v>Jie Ouyang</v>
      </c>
      <c r="E1904" s="7" t="str">
        <f>IFERROR(__xludf.DUMMYFUNCTION("""COMPUTED_VALUE"""),"Yes")</f>
        <v>Yes</v>
      </c>
      <c r="F1904" s="7" t="str">
        <f>IFERROR(__xludf.DUMMYFUNCTION("""COMPUTED_VALUE"""),"IP-Poster")</f>
        <v>IP-Poster</v>
      </c>
      <c r="G1904" s="7" t="str">
        <f>IFERROR(__xludf.DUMMYFUNCTION("""COMPUTED_VALUE"""),"In-Person")</f>
        <v>In-Person</v>
      </c>
      <c r="H1904" s="7" t="str">
        <f>IFERROR(__xludf.DUMMYFUNCTION("""COMPUTED_VALUE"""),"Hall 4/5")</f>
        <v>Hall 4/5</v>
      </c>
      <c r="I1904" s="7" t="str">
        <f>IFERROR(__xludf.DUMMYFUNCTION("""COMPUTED_VALUE"""),"Session 7: IP-Posters")</f>
        <v>Session 7: IP-Posters</v>
      </c>
      <c r="J1904" s="7" t="str">
        <f>IFERROR(__xludf.DUMMYFUNCTION("""COMPUTED_VALUE"""),"Poster Session 2")</f>
        <v>Poster Session 2</v>
      </c>
      <c r="K1904" s="7"/>
      <c r="L1904" s="8">
        <f>IFERROR(__xludf.DUMMYFUNCTION("""COMPUTED_VALUE"""),45867.0)</f>
        <v>45867</v>
      </c>
      <c r="M1904" s="7" t="str">
        <f>IFERROR(__xludf.DUMMYFUNCTION("""COMPUTED_VALUE"""),"10:30-12:00")</f>
        <v>10:30-12:00</v>
      </c>
      <c r="N1904" s="7"/>
    </row>
    <row r="1905">
      <c r="A1905" s="7" t="str">
        <f>IFERROR(__xludf.DUMMYFUNCTION("""COMPUTED_VALUE"""),"645-MAIN")</f>
        <v>645-MAIN</v>
      </c>
      <c r="B1905" s="7" t="str">
        <f>IFERROR(__xludf.DUMMYFUNCTION("""COMPUTED_VALUE"""),"Uncertainty Propagation on LLM Agent")</f>
        <v>Uncertainty Propagation on LLM Agent</v>
      </c>
      <c r="C1905" s="7" t="str">
        <f>IFERROR(__xludf.DUMMYFUNCTION("""COMPUTED_VALUE"""),"Large language models (LLMs) integrated into multi-step agent systems enable complex decision-making processes across various applications. However, their outputs often lack reliability, making uncertainty estimation crucial. Existing uncertainty estimati"&amp;"on methods primarily focus on final-step outputs, which fail to account for cumulative uncertainty over the multi-step decision-making process and the dynamic interactions between agents and their environments. To address these limitations, we propose SAU"&amp;"P (Situation Awareness Uncertainty Propagation), a novel framework that propagates uncertainty through each step of an LLM-based agent's reasoning process. SAUP incorporates situational awareness by assigning situational weights to each step's uncertainty"&amp;" during the propagation. Our method, compatible with various one-step uncertainty estimation techniques, provides a comprehensive and accurate uncertainty measure. Extensive experiments on benchmark datasets demonstrate that SAUP significantly outperforms"&amp;" existing state-of-the-art methods, achieving up to 20% improvement in AUROC.")</f>
        <v>Large language models (LLMs) integrated into multi-step agent systems enable complex decision-making processes across various applications. However, their outputs often lack reliability, making uncertainty estimation crucial. Existing uncertainty estimation methods primarily focus on final-step outputs, which fail to account for cumulative uncertainty over the multi-step decision-making process and the dynamic interactions between agents and their environments. To address these limitations, we propose SAUP (Situation Awareness Uncertainty Propagation), a novel framework that propagates uncertainty through each step of an LLM-based agent's reasoning process. SAUP incorporates situational awareness by assigning situational weights to each step's uncertainty during the propagation. Our method, compatible with various one-step uncertainty estimation techniques, provides a comprehensive and accurate uncertainty measure. Extensive experiments on benchmark datasets demonstrate that SAUP significantly outperforms existing state-of-the-art methods, achieving up to 20% improvement in AUROC.</v>
      </c>
      <c r="D1905" s="7" t="str">
        <f>IFERROR(__xludf.DUMMYFUNCTION("""COMPUTED_VALUE"""),"Xujiang Zhao")</f>
        <v>Xujiang Zhao</v>
      </c>
      <c r="E1905" s="7" t="str">
        <f>IFERROR(__xludf.DUMMYFUNCTION("""COMPUTED_VALUE"""),"Yes")</f>
        <v>Yes</v>
      </c>
      <c r="F1905" s="7" t="str">
        <f>IFERROR(__xludf.DUMMYFUNCTION("""COMPUTED_VALUE"""),"V-Presentation")</f>
        <v>V-Presentation</v>
      </c>
      <c r="G1905" s="7" t="str">
        <f>IFERROR(__xludf.DUMMYFUNCTION("""COMPUTED_VALUE"""),"Virtual/Gather")</f>
        <v>Virtual/Gather</v>
      </c>
      <c r="H1905" s="7" t="str">
        <f>IFERROR(__xludf.DUMMYFUNCTION("""COMPUTED_VALUE"""),"Zoom")</f>
        <v>Zoom</v>
      </c>
      <c r="I1905" s="7" t="str">
        <f>IFERROR(__xludf.DUMMYFUNCTION("""COMPUTED_VALUE"""),"Session 10: V-Presenations")</f>
        <v>Session 10: V-Presenations</v>
      </c>
      <c r="J1905" s="7" t="str">
        <f>IFERROR(__xludf.DUMMYFUNCTION("""COMPUTED_VALUE"""),"Virtual Presentations 3")</f>
        <v>Virtual Presentations 3</v>
      </c>
      <c r="K1905" s="7"/>
      <c r="L1905" s="8">
        <f>IFERROR(__xludf.DUMMYFUNCTION("""COMPUTED_VALUE"""),45867.0)</f>
        <v>45867</v>
      </c>
      <c r="M1905" s="7" t="str">
        <f>IFERROR(__xludf.DUMMYFUNCTION("""COMPUTED_VALUE"""),"16:00-17:30")</f>
        <v>16:00-17:30</v>
      </c>
      <c r="N1905" s="7"/>
    </row>
    <row r="1906">
      <c r="A1906" s="7" t="str">
        <f>IFERROR(__xludf.DUMMYFUNCTION("""COMPUTED_VALUE"""),"646-MAIN")</f>
        <v>646-MAIN</v>
      </c>
      <c r="B1906" s="7" t="str">
        <f>IFERROR(__xludf.DUMMYFUNCTION("""COMPUTED_VALUE"""),"Beyond Position: the emergence of wavelet-like properties in Transformers")</f>
        <v>Beyond Position: the emergence of wavelet-like properties in Transformers</v>
      </c>
      <c r="C1906" s="7" t="str">
        <f>IFERROR(__xludf.DUMMYFUNCTION("""COMPUTED_VALUE"""),"This paper studies how Transformer models with Rotary Position Embeddings (RoPE) develop emergent, wavelet-like properties that compensate for the positional encoding's theoretical limitations. Through an analysis spanning model scales, architectures, and"&amp;" training checkpoints, we show that attention heads evolve to implement multi-resolution processing analogous to wavelet transforms. We demonstrate that this scale-invariant behavior is unique to RoPE, emerges through distinct evolutionary phases during t"&amp;"raining, and statistically adheres to the fundamental uncertainty principle. Our findings suggest that the effectiveness of modern Transformers stems from their remarkable ability to spontaneously develop optimal, multi-resolution decompositions to addres"&amp;"s inherent architectural constraints.")</f>
        <v>This paper studies how Transformer models with Rotary Position Embeddings (RoPE) develop emergent, wavelet-like properties that compensate for the positional encoding's theoretical limitations. Through an analysis spanning model scales, architectures, and training checkpoints, we show that attention heads evolve to implement multi-resolution processing analogous to wavelet transforms. We demonstrate that this scale-invariant behavior is unique to RoPE, emerges through distinct evolutionary phases during training, and statistically adheres to the fundamental uncertainty principle. Our findings suggest that the effectiveness of modern Transformers stems from their remarkable ability to spontaneously develop optimal, multi-resolution decompositions to address inherent architectural constraints.</v>
      </c>
      <c r="D1906" s="7" t="str">
        <f>IFERROR(__xludf.DUMMYFUNCTION("""COMPUTED_VALUE"""),"Valeria Ruscio")</f>
        <v>Valeria Ruscio</v>
      </c>
      <c r="E1906" s="7" t="str">
        <f>IFERROR(__xludf.DUMMYFUNCTION("""COMPUTED_VALUE"""),"Yes")</f>
        <v>Yes</v>
      </c>
      <c r="F1906" s="7" t="str">
        <f>IFERROR(__xludf.DUMMYFUNCTION("""COMPUTED_VALUE"""),"IP-Poster")</f>
        <v>IP-Poster</v>
      </c>
      <c r="G1906" s="7" t="str">
        <f>IFERROR(__xludf.DUMMYFUNCTION("""COMPUTED_VALUE"""),"In-Person")</f>
        <v>In-Person</v>
      </c>
      <c r="H1906" s="7" t="str">
        <f>IFERROR(__xludf.DUMMYFUNCTION("""COMPUTED_VALUE"""),"Hall 4/5")</f>
        <v>Hall 4/5</v>
      </c>
      <c r="I1906" s="7" t="str">
        <f>IFERROR(__xludf.DUMMYFUNCTION("""COMPUTED_VALUE"""),"Session 10: IP-Posters")</f>
        <v>Session 10: IP-Posters</v>
      </c>
      <c r="J1906" s="7" t="str">
        <f>IFERROR(__xludf.DUMMYFUNCTION("""COMPUTED_VALUE"""),"Poster Session 3")</f>
        <v>Poster Session 3</v>
      </c>
      <c r="K1906" s="7"/>
      <c r="L1906" s="8">
        <f>IFERROR(__xludf.DUMMYFUNCTION("""COMPUTED_VALUE"""),45867.0)</f>
        <v>45867</v>
      </c>
      <c r="M1906" s="7" t="str">
        <f>IFERROR(__xludf.DUMMYFUNCTION("""COMPUTED_VALUE"""),"16:00-17:30")</f>
        <v>16:00-17:30</v>
      </c>
      <c r="N1906" s="7"/>
    </row>
    <row r="1907">
      <c r="A1907" s="7" t="str">
        <f>IFERROR(__xludf.DUMMYFUNCTION("""COMPUTED_VALUE"""),"650-MAIN")</f>
        <v>650-MAIN</v>
      </c>
      <c r="B1907" s="7" t="str">
        <f>IFERROR(__xludf.DUMMYFUNCTION("""COMPUTED_VALUE"""),"Are the Hidden States Hiding Something? Testing the Limits of Factuality-Encoding Capabilities in LLMs")</f>
        <v>Are the Hidden States Hiding Something? Testing the Limits of Factuality-Encoding Capabilities in LLMs</v>
      </c>
      <c r="C1907" s="7" t="str">
        <f>IFERROR(__xludf.DUMMYFUNCTION("""COMPUTED_VALUE"""),"Factual hallucinations are a major challenge for Large Language Models (LLMs). They undermine reliability and user trust by generating inaccurate or fabricated content. Recent studies suggest that when generating false statements, the internal states of L"&amp;"LMs encode information about truthfulness. However, these studies often rely on synthetic datasets that lack realism, which limits generalization when evaluating the factual accuracy of text generated by the model itself. In this paper, we challenge the f"&amp;"indings of previous work by investigating truthfulness encoding capabilities, leading to the generation of a more realistic and challenging dataset. Specifically, we extend previous work by introducing: (1) a strategy for sampling plausible true-false fac"&amp;"toid sentences from tabular data and (2) a procedure for generating realistic, LLM-dependent true-false datasets from Question Answering collections. Our analysis of two open-source LLMs reveals that while the findings from previous studies are partially "&amp;"validated, generalization to LLM-generated datasets remains challenging. This study lays the groundwork for future research on factuality in LLMs and offers practical guidelines for more effective evaluation.")</f>
        <v>Factual hallucinations are a major challenge for Large Language Models (LLMs). They undermine reliability and user trust by generating inaccurate or fabricated content. Recent studies suggest that when generating false statements, the internal states of LLMs encode information about truthfulness. However, these studies often rely on synthetic datasets that lack realism, which limits generalization when evaluating the factual accuracy of text generated by the model itself. In this paper, we challenge the findings of previous work by investigating truthfulness encoding capabilities, leading to the generation of a more realistic and challenging dataset. Specifically, we extend previous work by introducing: (1) a strategy for sampling plausible true-false factoid sentences from tabular data and (2) a procedure for generating realistic, LLM-dependent true-false datasets from Question Answering collections. Our analysis of two open-source LLMs reveals that while the findings from previous studies are partially validated, generalization to LLM-generated datasets remains challenging. This study lays the groundwork for future research on factuality in LLMs and offers practical guidelines for more effective evaluation.</v>
      </c>
      <c r="D1907" s="7" t="str">
        <f>IFERROR(__xludf.DUMMYFUNCTION("""COMPUTED_VALUE"""),"Giovanni Servedio, Alessandro De Bellis")</f>
        <v>Giovanni Servedio, Alessandro De Bellis</v>
      </c>
      <c r="E1907" s="7" t="str">
        <f>IFERROR(__xludf.DUMMYFUNCTION("""COMPUTED_VALUE"""),"Yes")</f>
        <v>Yes</v>
      </c>
      <c r="F1907" s="7" t="str">
        <f>IFERROR(__xludf.DUMMYFUNCTION("""COMPUTED_VALUE"""),"IP-Poster")</f>
        <v>IP-Poster</v>
      </c>
      <c r="G1907" s="7" t="str">
        <f>IFERROR(__xludf.DUMMYFUNCTION("""COMPUTED_VALUE"""),"In-Person")</f>
        <v>In-Person</v>
      </c>
      <c r="H1907" s="7" t="str">
        <f>IFERROR(__xludf.DUMMYFUNCTION("""COMPUTED_VALUE"""),"Hall 4/5")</f>
        <v>Hall 4/5</v>
      </c>
      <c r="I1907" s="7" t="str">
        <f>IFERROR(__xludf.DUMMYFUNCTION("""COMPUTED_VALUE"""),"Session 7: IP-Posters")</f>
        <v>Session 7: IP-Posters</v>
      </c>
      <c r="J1907" s="7" t="str">
        <f>IFERROR(__xludf.DUMMYFUNCTION("""COMPUTED_VALUE"""),"Poster Session 2")</f>
        <v>Poster Session 2</v>
      </c>
      <c r="K1907" s="7"/>
      <c r="L1907" s="8">
        <f>IFERROR(__xludf.DUMMYFUNCTION("""COMPUTED_VALUE"""),45867.0)</f>
        <v>45867</v>
      </c>
      <c r="M1907" s="7" t="str">
        <f>IFERROR(__xludf.DUMMYFUNCTION("""COMPUTED_VALUE"""),"10:30-12:00")</f>
        <v>10:30-12:00</v>
      </c>
      <c r="N1907" s="7"/>
    </row>
    <row r="1908">
      <c r="A1908" s="7" t="str">
        <f>IFERROR(__xludf.DUMMYFUNCTION("""COMPUTED_VALUE"""),"652-MAIN")</f>
        <v>652-MAIN</v>
      </c>
      <c r="B1908" s="7" t="str">
        <f>IFERROR(__xludf.DUMMYFUNCTION("""COMPUTED_VALUE"""),"Disentangling Biased Knowledge from Reasoning in Large Language Models via Machine Unlearning")</f>
        <v>Disentangling Biased Knowledge from Reasoning in Large Language Models via Machine Unlearning</v>
      </c>
      <c r="C1908" s="7" t="str">
        <f>IFERROR(__xludf.DUMMYFUNCTION("""COMPUTED_VALUE"""),"The rapid development of Large Language Models (LLMs) has led to their widespread adoption across various domains, leveraging vast pre-training knowledge and impressive generalization capabilities. However, these models often inherit biased knowledge, res"&amp;"ulting in unfair decisions in sensitive applications. It is challenging to remove this biased knowledge without compromising reasoning abilities due to the entangled nature of the learned knowledge within LLMs. To solve this problem, existing approaches h"&amp;"ave attempted to mitigate the bias using techniques such as fine-tuning with unbiased datasets, model merging, and gradient ascent. While these methods have experimentally proven effective, they can still be sub-optimum in fully disentangling biases from "&amp;"reasoning. To address this gap, we propose Selective Disentanglement Unlearning (SDU), a novel unlearning framework that selectively removes biased knowledge while preserving reasoning capabilities. SDU operates in three stages: identifying biased paramet"&amp;"ers using a shadow LLM, fine-tuning with unbiased data, and performing selective parameter updates based on weight saliency. Experimental results across multiple LLMs show that SDU improves fairness accuracy by 14.7% and enhances reasoning performance by "&amp;"62.6% compared to existing baselines.")</f>
        <v>The rapid development of Large Language Models (LLMs) has led to their widespread adoption across various domains, leveraging vast pre-training knowledge and impressive generalization capabilities. However, these models often inherit biased knowledge, resulting in unfair decisions in sensitive applications. It is challenging to remove this biased knowledge without compromising reasoning abilities due to the entangled nature of the learned knowledge within LLMs. To solve this problem, existing approaches have attempted to mitigate the bias using techniques such as fine-tuning with unbiased datasets, model merging, and gradient ascent. While these methods have experimentally proven effective, they can still be sub-optimum in fully disentangling biases from reasoning. To address this gap, we propose Selective Disentanglement Unlearning (SDU), a novel unlearning framework that selectively removes biased knowledge while preserving reasoning capabilities. SDU operates in three stages: identifying biased parameters using a shadow LLM, fine-tuning with unbiased data, and performing selective parameter updates based on weight saliency. Experimental results across multiple LLMs show that SDU improves fairness accuracy by 14.7% and enhances reasoning performance by 62.6% compared to existing baselines.</v>
      </c>
      <c r="D1908" s="7" t="str">
        <f>IFERROR(__xludf.DUMMYFUNCTION("""COMPUTED_VALUE"""),"Zheyuan Liu")</f>
        <v>Zheyuan Liu</v>
      </c>
      <c r="E1908" s="7" t="str">
        <f>IFERROR(__xludf.DUMMYFUNCTION("""COMPUTED_VALUE"""),"Yes")</f>
        <v>Yes</v>
      </c>
      <c r="F1908" s="7" t="str">
        <f>IFERROR(__xludf.DUMMYFUNCTION("""COMPUTED_VALUE"""),"IP-Oral")</f>
        <v>IP-Oral</v>
      </c>
      <c r="G1908" s="7" t="str">
        <f>IFERROR(__xludf.DUMMYFUNCTION("""COMPUTED_VALUE"""),"In-Person")</f>
        <v>In-Person</v>
      </c>
      <c r="H1908" s="7" t="str">
        <f>IFERROR(__xludf.DUMMYFUNCTION("""COMPUTED_VALUE"""),"Hall B")</f>
        <v>Hall B</v>
      </c>
      <c r="I1908" s="7" t="str">
        <f>IFERROR(__xludf.DUMMYFUNCTION("""COMPUTED_VALUE"""),"Session 3: IP-Orals")</f>
        <v>Session 3: IP-Orals</v>
      </c>
      <c r="J1908" s="7" t="str">
        <f>IFERROR(__xludf.DUMMYFUNCTION("""COMPUTED_VALUE"""),"NLP Applications 1")</f>
        <v>NLP Applications 1</v>
      </c>
      <c r="K1908" s="7"/>
      <c r="L1908" s="8">
        <f>IFERROR(__xludf.DUMMYFUNCTION("""COMPUTED_VALUE"""),45866.0)</f>
        <v>45866</v>
      </c>
      <c r="M1908" s="7" t="str">
        <f>IFERROR(__xludf.DUMMYFUNCTION("""COMPUTED_VALUE"""),"14:00-15:30")</f>
        <v>14:00-15:30</v>
      </c>
      <c r="N1908" s="7">
        <f>IFERROR(__xludf.DUMMYFUNCTION("""COMPUTED_VALUE"""),1.0)</f>
        <v>1</v>
      </c>
    </row>
    <row r="1909">
      <c r="A1909" s="7" t="str">
        <f>IFERROR(__xludf.DUMMYFUNCTION("""COMPUTED_VALUE"""),"656-MAIN")</f>
        <v>656-MAIN</v>
      </c>
      <c r="B1909" s="7" t="str">
        <f>IFERROR(__xludf.DUMMYFUNCTION("""COMPUTED_VALUE"""),"LLaMAs Have Feelings Too: Unveiling Sentiment and Emotion Representations in LLaMA Models Through Probing")</f>
        <v>LLaMAs Have Feelings Too: Unveiling Sentiment and Emotion Representations in LLaMA Models Through Probing</v>
      </c>
      <c r="C1909" s="7" t="str">
        <f>IFERROR(__xludf.DUMMYFUNCTION("""COMPUTED_VALUE"""),"Large Language Models (LLMs) have rapidly become central to NLP, demonstrating their ability to adapt to various tasks through prompting techniques, including sentiment analysis. However, we still have a limited understanding of how these models capture s"&amp;"entiment-related information. This study probes the hidden layers of LLaMA models to pinpoint where sentiment features are most represented and to assess how this affects sentiment analysis.
Using probe classifiers, we analyze sentiment encoding across l"&amp;"ayers and scales, identifying the layers and pooling methods that best capture sentiment signals. Our results show that sentiment information is most concentrated in mid-layers for binary polarity tasks, with detection accuracy increasing up to 14% over p"&amp;"rompting techniques. Additionally, we find that in decoder-only models, the last token is not consistently the most informative for sentiment encoding. Finally, this approach enables sentiment tasks to be performed with memory requirements reduced by an a"&amp;"verage of 57%.
These insights contribute to a broader understanding of sentiment in LLMs, suggesting layer-specific probing as an effective approach for sentiment tasks beyond prompting, with potential to enhance model utility and reduce memory requireme"&amp;"nts.")</f>
        <v>Large Language Models (LLMs) have rapidly become central to NLP, demonstrating their ability to adapt to various tasks through prompting techniques, including sentiment analysis. However, we still have a limited understanding of how these models capture sentiment-related information. This study probes the hidden layers of LLaMA models to pinpoint where sentiment features are most represented and to assess how this affects sentiment analysis.
Using probe classifiers, we analyze sentiment encoding across layers and scales, identifying the layers and pooling methods that best capture sentiment signals. Our results show that sentiment information is most concentrated in mid-layers for binary polarity tasks, with detection accuracy increasing up to 14% over prompting techniques. Additionally, we find that in decoder-only models, the last token is not consistently the most informative for sentiment encoding. Finally, this approach enables sentiment tasks to be performed with memory requirements reduced by an average of 57%.
These insights contribute to a broader understanding of sentiment in LLMs, suggesting layer-specific probing as an effective approach for sentiment tasks beyond prompting, with potential to enhance model utility and reduce memory requirements.</v>
      </c>
      <c r="D1909" s="7" t="str">
        <f>IFERROR(__xludf.DUMMYFUNCTION("""COMPUTED_VALUE"""),"Dario Di Palma")</f>
        <v>Dario Di Palma</v>
      </c>
      <c r="E1909" s="7" t="str">
        <f>IFERROR(__xludf.DUMMYFUNCTION("""COMPUTED_VALUE"""),"Yes")</f>
        <v>Yes</v>
      </c>
      <c r="F1909" s="7" t="str">
        <f>IFERROR(__xludf.DUMMYFUNCTION("""COMPUTED_VALUE"""),"IP-Poster")</f>
        <v>IP-Poster</v>
      </c>
      <c r="G1909" s="7" t="str">
        <f>IFERROR(__xludf.DUMMYFUNCTION("""COMPUTED_VALUE"""),"In-Person")</f>
        <v>In-Person</v>
      </c>
      <c r="H1909" s="7" t="str">
        <f>IFERROR(__xludf.DUMMYFUNCTION("""COMPUTED_VALUE"""),"Hall 4/5")</f>
        <v>Hall 4/5</v>
      </c>
      <c r="I1909" s="7" t="str">
        <f>IFERROR(__xludf.DUMMYFUNCTION("""COMPUTED_VALUE"""),"Session 7: IP-Posters")</f>
        <v>Session 7: IP-Posters</v>
      </c>
      <c r="J1909" s="7" t="str">
        <f>IFERROR(__xludf.DUMMYFUNCTION("""COMPUTED_VALUE"""),"Poster Session 2")</f>
        <v>Poster Session 2</v>
      </c>
      <c r="K1909" s="7"/>
      <c r="L1909" s="8">
        <f>IFERROR(__xludf.DUMMYFUNCTION("""COMPUTED_VALUE"""),45867.0)</f>
        <v>45867</v>
      </c>
      <c r="M1909" s="7" t="str">
        <f>IFERROR(__xludf.DUMMYFUNCTION("""COMPUTED_VALUE"""),"10:30-12:00")</f>
        <v>10:30-12:00</v>
      </c>
      <c r="N1909" s="7"/>
    </row>
    <row r="1910">
      <c r="A1910" s="7" t="str">
        <f>IFERROR(__xludf.DUMMYFUNCTION("""COMPUTED_VALUE"""),"658-MAIN")</f>
        <v>658-MAIN</v>
      </c>
      <c r="B1910" s="7" t="str">
        <f>IFERROR(__xludf.DUMMYFUNCTION("""COMPUTED_VALUE"""),"CxGGEC: Construction-Guided Grammatical Error Correction")</f>
        <v>CxGGEC: Construction-Guided Grammatical Error Correction</v>
      </c>
      <c r="C1910" s="7" t="str">
        <f>IFERROR(__xludf.DUMMYFUNCTION("""COMPUTED_VALUE"""),"The grammatical error correction (GEC) task aims to detect and correct grammatical errors in text to enhance its accuracy and readability. Current GEC methods primarily rely on grammatical labels for syntactic information, often overlooking the inherent u"&amp;"sage patterns of language. In this work, we explore the potential of construction grammar (CxG) to improve GEC by leveraging constructions to capture underlying language patterns and guide corrections. We first establish a comprehensive construction inven"&amp;"tory from corpora. Next, we introduce a construction prediction model that identifies potential constructions in ungrammatical sentences using a noise-tolerant language model. Finally, we train a CxGGEC model on construction-masked parallel data, which pe"&amp;"rforms GEC by decoding construction tokens into their original forms and correcting erroneous tokens. Extensive experiments on English and Chinese GEC benchmarks demonstrate the effectiveness of our approach.")</f>
        <v>The grammatical error correction (GEC) task aims to detect and correct grammatical errors in text to enhance its accuracy and readability. Current GEC methods primarily rely on grammatical labels for syntactic information, often overlooking the inherent usage patterns of language. In this work, we explore the potential of construction grammar (CxG) to improve GEC by leveraging constructions to capture underlying language patterns and guide corrections. We first establish a comprehensive construction inventory from corpora. Next, we introduce a construction prediction model that identifies potential constructions in ungrammatical sentences using a noise-tolerant language model. Finally, we train a CxGGEC model on construction-masked parallel data, which performs GEC by decoding construction tokens into their original forms and correcting erroneous tokens. Extensive experiments on English and Chinese GEC benchmarks demonstrate the effectiveness of our approach.</v>
      </c>
      <c r="D1910" s="7" t="str">
        <f>IFERROR(__xludf.DUMMYFUNCTION("""COMPUTED_VALUE"""),"Yayu Cao")</f>
        <v>Yayu Cao</v>
      </c>
      <c r="E1910" s="7" t="str">
        <f>IFERROR(__xludf.DUMMYFUNCTION("""COMPUTED_VALUE"""),"Yes")</f>
        <v>Yes</v>
      </c>
      <c r="F1910" s="7" t="str">
        <f>IFERROR(__xludf.DUMMYFUNCTION("""COMPUTED_VALUE"""),"IP-Poster")</f>
        <v>IP-Poster</v>
      </c>
      <c r="G1910" s="7" t="str">
        <f>IFERROR(__xludf.DUMMYFUNCTION("""COMPUTED_VALUE"""),"In-Person")</f>
        <v>In-Person</v>
      </c>
      <c r="H1910" s="7" t="str">
        <f>IFERROR(__xludf.DUMMYFUNCTION("""COMPUTED_VALUE"""),"Hall 4/5")</f>
        <v>Hall 4/5</v>
      </c>
      <c r="I1910" s="7" t="str">
        <f>IFERROR(__xludf.DUMMYFUNCTION("""COMPUTED_VALUE"""),"Session 7: IP-Posters")</f>
        <v>Session 7: IP-Posters</v>
      </c>
      <c r="J1910" s="7" t="str">
        <f>IFERROR(__xludf.DUMMYFUNCTION("""COMPUTED_VALUE"""),"Poster Session 2")</f>
        <v>Poster Session 2</v>
      </c>
      <c r="K1910" s="7"/>
      <c r="L1910" s="8">
        <f>IFERROR(__xludf.DUMMYFUNCTION("""COMPUTED_VALUE"""),45867.0)</f>
        <v>45867</v>
      </c>
      <c r="M1910" s="7" t="str">
        <f>IFERROR(__xludf.DUMMYFUNCTION("""COMPUTED_VALUE"""),"10:30-12:00")</f>
        <v>10:30-12:00</v>
      </c>
      <c r="N1910" s="7"/>
    </row>
    <row r="1911">
      <c r="A1911" s="7" t="str">
        <f>IFERROR(__xludf.DUMMYFUNCTION("""COMPUTED_VALUE"""),"659-MAIN")</f>
        <v>659-MAIN</v>
      </c>
      <c r="B1911" s="7" t="str">
        <f>IFERROR(__xludf.DUMMYFUNCTION("""COMPUTED_VALUE"""),"Beyond Sequences: Two-dimensional Representation and Dependency Encoding for Code Generation")</f>
        <v>Beyond Sequences: Two-dimensional Representation and Dependency Encoding for Code Generation</v>
      </c>
      <c r="C1911" s="7" t="str">
        <f>IFERROR(__xludf.DUMMYFUNCTION("""COMPUTED_VALUE"""),"The advent of large language models has significantly advanced automatic code generation, transforming the way programmers writing code. Inspired by natural language processing, mainstream code generation approaches represent code as a linear sequence of "&amp;"tokens. In this paper, we propose to represent code snippets as two-dimensional entities, where both code lines and tokens within lines are explicitly modeled. This representation allows us to capture the hierarchical and spatial structure of code, especi"&amp;"ally the dependencies between code lines. Our method CoDE introduces a dependency encoding approach that leverages dictionary learning to perform semantic matching between code lines. As such, it avoids the reliance on strict position indices, leading to "&amp;"better generalization to code with diverse context and lengths. We thoroughly evaluate CoDE based on four categories of tasks. The experimental results showcase its generalizability, context understanding and retrieval, as well as interpretability in code"&amp;" generation.")</f>
        <v>The advent of large language models has significantly advanced automatic code generation, transforming the way programmers writing code. Inspired by natural language processing, mainstream code generation approaches represent code as a linear sequence of tokens. In this paper, we propose to represent code snippets as two-dimensional entities, where both code lines and tokens within lines are explicitly modeled. This representation allows us to capture the hierarchical and spatial structure of code, especially the dependencies between code lines. Our method CoDE introduces a dependency encoding approach that leverages dictionary learning to perform semantic matching between code lines. As such, it avoids the reliance on strict position indices, leading to better generalization to code with diverse context and lengths. We thoroughly evaluate CoDE based on four categories of tasks. The experimental results showcase its generalizability, context understanding and retrieval, as well as interpretability in code generation.</v>
      </c>
      <c r="D1911" s="7" t="str">
        <f>IFERROR(__xludf.DUMMYFUNCTION("""COMPUTED_VALUE"""),"Xiangyu Zhang")</f>
        <v>Xiangyu Zhang</v>
      </c>
      <c r="E1911" s="7" t="str">
        <f>IFERROR(__xludf.DUMMYFUNCTION("""COMPUTED_VALUE"""),"Yes")</f>
        <v>Yes</v>
      </c>
      <c r="F1911" s="7" t="str">
        <f>IFERROR(__xludf.DUMMYFUNCTION("""COMPUTED_VALUE"""),"IP-Poster")</f>
        <v>IP-Poster</v>
      </c>
      <c r="G1911" s="7" t="str">
        <f>IFERROR(__xludf.DUMMYFUNCTION("""COMPUTED_VALUE"""),"In-Person")</f>
        <v>In-Person</v>
      </c>
      <c r="H1911" s="7" t="str">
        <f>IFERROR(__xludf.DUMMYFUNCTION("""COMPUTED_VALUE"""),"Hall 4/5")</f>
        <v>Hall 4/5</v>
      </c>
      <c r="I1911" s="7" t="str">
        <f>IFERROR(__xludf.DUMMYFUNCTION("""COMPUTED_VALUE"""),"Session 2: IP-Posters ")</f>
        <v>Session 2: IP-Posters </v>
      </c>
      <c r="J1911" s="7" t="str">
        <f>IFERROR(__xludf.DUMMYFUNCTION("""COMPUTED_VALUE"""),"Poster Session 1")</f>
        <v>Poster Session 1</v>
      </c>
      <c r="K1911" s="7"/>
      <c r="L1911" s="8">
        <f>IFERROR(__xludf.DUMMYFUNCTION("""COMPUTED_VALUE"""),45866.0)</f>
        <v>45866</v>
      </c>
      <c r="M1911" s="7" t="str">
        <f>IFERROR(__xludf.DUMMYFUNCTION("""COMPUTED_VALUE"""),"11:00-12:30")</f>
        <v>11:00-12:30</v>
      </c>
      <c r="N1911" s="7"/>
    </row>
    <row r="1912">
      <c r="A1912" s="7" t="str">
        <f>IFERROR(__xludf.DUMMYFUNCTION("""COMPUTED_VALUE"""),"664-MAIN")</f>
        <v>664-MAIN</v>
      </c>
      <c r="B1912" s="7" t="str">
        <f>IFERROR(__xludf.DUMMYFUNCTION("""COMPUTED_VALUE"""),"HD-NDEs: Neural Differential Equations for Hallucination Detection in LLMs")</f>
        <v>HD-NDEs: Neural Differential Equations for Hallucination Detection in LLMs</v>
      </c>
      <c r="C1912" s="7" t="str">
        <f>IFERROR(__xludf.DUMMYFUNCTION("""COMPUTED_VALUE"""),"In recent years, large language models (LLMs) have made remarkable advancements, yet hallucination, where models produce inaccurate or non-factual statements, remains a significant challenge for real-world deployment. Although current classification-based"&amp;" methods, such as SAPLMA, are highly efficient in mitigating hallucinations, they struggle when non-factual information arises in the early or mid-sequence of outputs, reducing their reliability. To address these issues, we propose Hallucination Detection"&amp;"-Neural Differential Equations (HD-NDEs), a novel method that systematically assesses the truthfulness of statements by capturing the full dynamics of LLMs within their latent space. Our approaches apply neural differential equations (Neural DEs) to model"&amp;" the dynamic system in the latent space of LLMs. Then, the sequence in the latent space is mapped to the classification space for truth assessment. The extensive experiments across five datasets and six widely used LLMs demonstrate the effectiveness of HD"&amp;"-NDEs, especially, achieving over 14% improvement in AUC-ROC on the True-False dataset compared to state-of-the-art techniques.")</f>
        <v>In recent years, large language models (LLMs) have made remarkable advancements, yet hallucination, where models produce inaccurate or non-factual statements, remains a significant challenge for real-world deployment. Although current classification-based methods, such as SAPLMA, are highly efficient in mitigating hallucinations, they struggle when non-factual information arises in the early or mid-sequence of outputs, reducing their reliability. To address these issues, we propose Hallucination Detection-Neural Differential Equations (HD-NDEs), a novel method that systematically assesses the truthfulness of statements by capturing the full dynamics of LLMs within their latent space. Our approaches apply neural differential equations (Neural DEs) to model the dynamic system in the latent space of LLMs. Then, the sequence in the latent space is mapped to the classification space for truth assessment. The extensive experiments across five datasets and six widely used LLMs demonstrate the effectiveness of HD-NDEs, especially, achieving over 14% improvement in AUC-ROC on the True-False dataset compared to state-of-the-art techniques.</v>
      </c>
      <c r="D1912" s="7" t="str">
        <f>IFERROR(__xludf.DUMMYFUNCTION("""COMPUTED_VALUE"""),"Qing Li")</f>
        <v>Qing Li</v>
      </c>
      <c r="E1912" s="7" t="str">
        <f>IFERROR(__xludf.DUMMYFUNCTION("""COMPUTED_VALUE"""),"Yes")</f>
        <v>Yes</v>
      </c>
      <c r="F1912" s="7" t="str">
        <f>IFERROR(__xludf.DUMMYFUNCTION("""COMPUTED_VALUE"""),"IP-Oral")</f>
        <v>IP-Oral</v>
      </c>
      <c r="G1912" s="7" t="str">
        <f>IFERROR(__xludf.DUMMYFUNCTION("""COMPUTED_VALUE"""),"In-Person")</f>
        <v>In-Person</v>
      </c>
      <c r="H1912" s="7" t="str">
        <f>IFERROR(__xludf.DUMMYFUNCTION("""COMPUTED_VALUE"""),"Hall B")</f>
        <v>Hall B</v>
      </c>
      <c r="I1912" s="7" t="str">
        <f>IFERROR(__xludf.DUMMYFUNCTION("""COMPUTED_VALUE"""),"Session 3: IP-Orals")</f>
        <v>Session 3: IP-Orals</v>
      </c>
      <c r="J1912" s="7" t="str">
        <f>IFERROR(__xludf.DUMMYFUNCTION("""COMPUTED_VALUE"""),"NLP Applications 1")</f>
        <v>NLP Applications 1</v>
      </c>
      <c r="K1912" s="7"/>
      <c r="L1912" s="8">
        <f>IFERROR(__xludf.DUMMYFUNCTION("""COMPUTED_VALUE"""),45866.0)</f>
        <v>45866</v>
      </c>
      <c r="M1912" s="7" t="str">
        <f>IFERROR(__xludf.DUMMYFUNCTION("""COMPUTED_VALUE"""),"14:00-15:30")</f>
        <v>14:00-15:30</v>
      </c>
      <c r="N1912" s="7">
        <f>IFERROR(__xludf.DUMMYFUNCTION("""COMPUTED_VALUE"""),2.0)</f>
        <v>2</v>
      </c>
    </row>
    <row r="1913">
      <c r="A1913" s="7" t="str">
        <f>IFERROR(__xludf.DUMMYFUNCTION("""COMPUTED_VALUE"""),"676-MAIN")</f>
        <v>676-MAIN</v>
      </c>
      <c r="B1913" s="7" t="str">
        <f>IFERROR(__xludf.DUMMYFUNCTION("""COMPUTED_VALUE"""),"What Is That Talk About? A Video-to-Text Summarization Dataset for Scientific Presentations")</f>
        <v>What Is That Talk About? A Video-to-Text Summarization Dataset for Scientific Presentations</v>
      </c>
      <c r="C1913" s="7" t="str">
        <f>IFERROR(__xludf.DUMMYFUNCTION("""COMPUTED_VALUE"""),"Transforming recorded videos into concise and accurate textual summaries is a growing challenge in multimodal learning. This paper introduces VISTA, a dataset specifically designed for video-to-text summarization in scientific domains. VISTA contains 18,5"&amp;"99 recorded AI conference presentations paired with their corresponding paper abstracts. We benchmark the performance of state-of-the-art large models and apply a plan-based framework to better capture the structured nature of abstracts. Both human and au"&amp;"tomated evaluations confirm that explicit planning enhances summary quality and factual consistency. However, a considerable gap remains between models and human performance, highlighting the challenges of our dataset. This study aims to pave the way for "&amp;"future research on scientific video-to-text summarization.")</f>
        <v>Transforming recorded videos into concise and accurate textual summaries is a growing challenge in multimodal learning. This paper introduces VISTA, a dataset specifically designed for video-to-text summarization in scientific domains. VISTA contains 18,599 recorded AI conference presentations paired with their corresponding paper abstracts. We benchmark the performance of state-of-the-art large models and apply a plan-based framework to better capture the structured nature of abstracts. Both human and automated evaluations confirm that explicit planning enhances summary quality and factual consistency. However, a considerable gap remains between models and human performance, highlighting the challenges of our dataset. This study aims to pave the way for future research on scientific video-to-text summarization.</v>
      </c>
      <c r="D1913" s="7" t="str">
        <f>IFERROR(__xludf.DUMMYFUNCTION("""COMPUTED_VALUE"""),"Dongqi Liu")</f>
        <v>Dongqi Liu</v>
      </c>
      <c r="E1913" s="7" t="str">
        <f>IFERROR(__xludf.DUMMYFUNCTION("""COMPUTED_VALUE"""),"Yes")</f>
        <v>Yes</v>
      </c>
      <c r="F1913" s="7" t="str">
        <f>IFERROR(__xludf.DUMMYFUNCTION("""COMPUTED_VALUE"""),"IP-Poster")</f>
        <v>IP-Poster</v>
      </c>
      <c r="G1913" s="7" t="str">
        <f>IFERROR(__xludf.DUMMYFUNCTION("""COMPUTED_VALUE"""),"In-Person")</f>
        <v>In-Person</v>
      </c>
      <c r="H1913" s="7" t="str">
        <f>IFERROR(__xludf.DUMMYFUNCTION("""COMPUTED_VALUE"""),"Hall 4/5")</f>
        <v>Hall 4/5</v>
      </c>
      <c r="I1913" s="7" t="str">
        <f>IFERROR(__xludf.DUMMYFUNCTION("""COMPUTED_VALUE"""),"Session 2: IP-Posters ")</f>
        <v>Session 2: IP-Posters </v>
      </c>
      <c r="J1913" s="7" t="str">
        <f>IFERROR(__xludf.DUMMYFUNCTION("""COMPUTED_VALUE"""),"Poster Session 1")</f>
        <v>Poster Session 1</v>
      </c>
      <c r="K1913" s="7"/>
      <c r="L1913" s="8">
        <f>IFERROR(__xludf.DUMMYFUNCTION("""COMPUTED_VALUE"""),45866.0)</f>
        <v>45866</v>
      </c>
      <c r="M1913" s="7" t="str">
        <f>IFERROR(__xludf.DUMMYFUNCTION("""COMPUTED_VALUE"""),"11:00-12:30")</f>
        <v>11:00-12:30</v>
      </c>
      <c r="N1913" s="7"/>
    </row>
    <row r="1914">
      <c r="A1914" s="7" t="str">
        <f>IFERROR(__xludf.DUMMYFUNCTION("""COMPUTED_VALUE"""),"683-MAIN")</f>
        <v>683-MAIN</v>
      </c>
      <c r="B1914" s="7" t="str">
        <f>IFERROR(__xludf.DUMMYFUNCTION("""COMPUTED_VALUE"""),"NeuSym-RAG: Hybrid Neural Symbolic Retrieval with Multiview Structuring for PDF Question Answering")</f>
        <v>NeuSym-RAG: Hybrid Neural Symbolic Retrieval with Multiview Structuring for PDF Question Answering</v>
      </c>
      <c r="C1914" s="7" t="str">
        <f>IFERROR(__xludf.DUMMYFUNCTION("""COMPUTED_VALUE"""),"The increasing number of academic papers poses significant challenges for researchers to efficiently acquire key details. While retrieval augmented generation (RAG) shows great promise in large language model (LLM) based automated question answering, prev"&amp;"ious works often isolate neural and symbolic retrieval despite their complementary strengths. Moreover, conventional single-view chunking neglects the rich structure and layout of PDFs, e.g., sections and tables. In this work, we propose NeuSym-RAG, a hyb"&amp;"rid neural symbolic retrieval framework which combines both paradigms in an interactive process. By leveraging multi-view chunking and schema-based parsing, NeuSym-RAG organizes semi-structured PDF content into both the relational database and vectorstore"&amp;", enabling LLM agents to iteratively gather context until sufficient to generate answers. Experiments on three full PDF-based QA datasets, including a self-annotated one AirQA-Real, show that NeuSym-RAG stably defeats both the vector-based RAG and various"&amp;" structured baselines, highlighting its capacity to unify both retrieval schemes and utilize multiple views.")</f>
        <v>The increasing number of academic papers poses significant challenges for researchers to efficiently acquire key details. While retrieval augmented generation (RAG) shows great promise in large language model (LLM) based automated question answering, previous works often isolate neural and symbolic retrieval despite their complementary strengths. Moreover, conventional single-view chunking neglects the rich structure and layout of PDFs, e.g., sections and tables. In this work, we propose NeuSym-RAG, a hybrid neural symbolic retrieval framework which combines both paradigms in an interactive process. By leveraging multi-view chunking and schema-based parsing, NeuSym-RAG organizes semi-structured PDF content into both the relational database and vectorstore, enabling LLM agents to iteratively gather context until sufficient to generate answers. Experiments on three full PDF-based QA datasets, including a self-annotated one AirQA-Real, show that NeuSym-RAG stably defeats both the vector-based RAG and various structured baselines, highlighting its capacity to unify both retrieval schemes and utilize multiple views.</v>
      </c>
      <c r="D1914" s="7" t="str">
        <f>IFERROR(__xludf.DUMMYFUNCTION("""COMPUTED_VALUE"""),"Tiancheng Huang")</f>
        <v>Tiancheng Huang</v>
      </c>
      <c r="E1914" s="7" t="str">
        <f>IFERROR(__xludf.DUMMYFUNCTION("""COMPUTED_VALUE"""),"Yes")</f>
        <v>Yes</v>
      </c>
      <c r="F1914" s="7" t="str">
        <f>IFERROR(__xludf.DUMMYFUNCTION("""COMPUTED_VALUE"""),"V-Presentation")</f>
        <v>V-Presentation</v>
      </c>
      <c r="G1914" s="7" t="str">
        <f>IFERROR(__xludf.DUMMYFUNCTION("""COMPUTED_VALUE"""),"Virtual/Gather")</f>
        <v>Virtual/Gather</v>
      </c>
      <c r="H1914" s="7" t="str">
        <f>IFERROR(__xludf.DUMMYFUNCTION("""COMPUTED_VALUE"""),"Zoom")</f>
        <v>Zoom</v>
      </c>
      <c r="I1914" s="7" t="str">
        <f>IFERROR(__xludf.DUMMYFUNCTION("""COMPUTED_VALUE"""),"Session 7: V--Presentations ")</f>
        <v>Session 7: V--Presentations </v>
      </c>
      <c r="J1914" s="7" t="str">
        <f>IFERROR(__xludf.DUMMYFUNCTION("""COMPUTED_VALUE"""),"Virtual Presentations 2")</f>
        <v>Virtual Presentations 2</v>
      </c>
      <c r="K1914" s="7"/>
      <c r="L1914" s="8">
        <f>IFERROR(__xludf.DUMMYFUNCTION("""COMPUTED_VALUE"""),45867.0)</f>
        <v>45867</v>
      </c>
      <c r="M1914" s="7" t="str">
        <f>IFERROR(__xludf.DUMMYFUNCTION("""COMPUTED_VALUE"""),"10:30-12:00")</f>
        <v>10:30-12:00</v>
      </c>
      <c r="N1914" s="7"/>
    </row>
    <row r="1915">
      <c r="A1915" s="7" t="str">
        <f>IFERROR(__xludf.DUMMYFUNCTION("""COMPUTED_VALUE"""),"684-MAIN")</f>
        <v>684-MAIN</v>
      </c>
      <c r="B1915" s="7" t="str">
        <f>IFERROR(__xludf.DUMMYFUNCTION("""COMPUTED_VALUE"""),"ProvBench: A Benchmark of Legal Provision Recommendation for Contract Auto-Reviewing")</f>
        <v>ProvBench: A Benchmark of Legal Provision Recommendation for Contract Auto-Reviewing</v>
      </c>
      <c r="C1915" s="7" t="str">
        <f>IFERROR(__xludf.DUMMYFUNCTION("""COMPUTED_VALUE"""),"Contract review is a critical process to protect the rights and interests of the parties involved. However, this process is time-consuming, labor-intensive, and costly, especially when a contract faces multiple rounds of review. To accelerate the contract"&amp;" review and promote the completion of transactions, this paper introduces a novel benchmark of legal provision recommendation and conflict detection for contract auto-reviewing (ProvBench), which aims to recommend the legal provisions related to contract "&amp;"clauses and detect possible legal conflicts. 
  Specifically, we construct the first Legal Provision Recommendation Dataset: ProvData, which covers 8 common contract types. In addition, we conduct extensive experiments to evaluate ProvBench on various sta"&amp;"te-of-the-art models. Experimental results validate the feasibility of ProvBench and demonstrate the effectiveness of ProvData. Finally, we identify potential challenges in the ProvBench and advocate for further investigation.")</f>
        <v>Contract review is a critical process to protect the rights and interests of the parties involved. However, this process is time-consuming, labor-intensive, and costly, especially when a contract faces multiple rounds of review. To accelerate the contract review and promote the completion of transactions, this paper introduces a novel benchmark of legal provision recommendation and conflict detection for contract auto-reviewing (ProvBench), which aims to recommend the legal provisions related to contract clauses and detect possible legal conflicts. 
  Specifically, we construct the first Legal Provision Recommendation Dataset: ProvData, which covers 8 common contract types. In addition, we conduct extensive experiments to evaluate ProvBench on various state-of-the-art models. Experimental results validate the feasibility of ProvBench and demonstrate the effectiveness of ProvData. Finally, we identify potential challenges in the ProvBench and advocate for further investigation.</v>
      </c>
      <c r="D1915" s="7" t="str">
        <f>IFERROR(__xludf.DUMMYFUNCTION("""COMPUTED_VALUE"""),"Xiuxuan Shen")</f>
        <v>Xiuxuan Shen</v>
      </c>
      <c r="E1915" s="7" t="str">
        <f>IFERROR(__xludf.DUMMYFUNCTION("""COMPUTED_VALUE"""),"Yes")</f>
        <v>Yes</v>
      </c>
      <c r="F1915" s="7" t="str">
        <f>IFERROR(__xludf.DUMMYFUNCTION("""COMPUTED_VALUE"""),"IP-Poster")</f>
        <v>IP-Poster</v>
      </c>
      <c r="G1915" s="7" t="str">
        <f>IFERROR(__xludf.DUMMYFUNCTION("""COMPUTED_VALUE"""),"In-Person")</f>
        <v>In-Person</v>
      </c>
      <c r="H1915" s="7" t="str">
        <f>IFERROR(__xludf.DUMMYFUNCTION("""COMPUTED_VALUE"""),"Hall 4/5")</f>
        <v>Hall 4/5</v>
      </c>
      <c r="I1915" s="7" t="str">
        <f>IFERROR(__xludf.DUMMYFUNCTION("""COMPUTED_VALUE"""),"Session 2: IP-Posters ")</f>
        <v>Session 2: IP-Posters </v>
      </c>
      <c r="J1915" s="7" t="str">
        <f>IFERROR(__xludf.DUMMYFUNCTION("""COMPUTED_VALUE"""),"Poster Session 1")</f>
        <v>Poster Session 1</v>
      </c>
      <c r="K1915" s="7"/>
      <c r="L1915" s="8">
        <f>IFERROR(__xludf.DUMMYFUNCTION("""COMPUTED_VALUE"""),45866.0)</f>
        <v>45866</v>
      </c>
      <c r="M1915" s="7" t="str">
        <f>IFERROR(__xludf.DUMMYFUNCTION("""COMPUTED_VALUE"""),"11:00-12:30")</f>
        <v>11:00-12:30</v>
      </c>
      <c r="N1915" s="7"/>
    </row>
    <row r="1916">
      <c r="A1916" s="7" t="str">
        <f>IFERROR(__xludf.DUMMYFUNCTION("""COMPUTED_VALUE"""),"687-MAIN")</f>
        <v>687-MAIN</v>
      </c>
      <c r="B1916" s="7" t="str">
        <f>IFERROR(__xludf.DUMMYFUNCTION("""COMPUTED_VALUE"""),"F5-TTS: A Fairytaler that Fakes Fluent and Faithful Speech with Flow Matching")</f>
        <v>F5-TTS: A Fairytaler that Fakes Fluent and Faithful Speech with Flow Matching</v>
      </c>
      <c r="C1916" s="7" t="str">
        <f>IFERROR(__xludf.DUMMYFUNCTION("""COMPUTED_VALUE"""),"This paper introduces F5-TTS, a fully non-autoregressive text-to-speech system based on flow matching with Diffusion Transformer (DiT). Without requiring complex designs such as duration model, text encoder, and phoneme alignment, the text input is simply"&amp;" padded with filler tokens to the same length as input speech, and then the denoising is performed for speech generation, which was originally proved feasible by E2 TTS. However, the original design of E2 TTS makes it hard to follow due to its slow conver"&amp;"gence and low robustness. To address these issues, we first model the input with ConvNeXt to refine the text representation, making it easy to align with the speech. We further propose an inference-time Sway Sampling strategy, which significantly improves"&amp;" our model's performance and efficiency. This sampling strategy for flow step can be easily applied to existing flow matching based models without retraining. Our design allows faster training and achieves an inference RTF of 0.15, which is greatly improv"&amp;"ed compared to state-of-the-art diffusion-based TTS models. Trained on a public 100K hours multilingual dataset, our F5-TTS exhibits highly natural and expressive zero-shot ability, seamless code-switching capability, and speed control efficiency. We have"&amp;" released all codes and checkpoints to promote community development, at https://SWivid.github.io/F5-TTS/.")</f>
        <v>This paper introduces F5-TTS, a fully non-autoregressive text-to-speech system based on flow matching with Diffusion Transformer (DiT). Without requiring complex designs such as duration model, text encoder, and phoneme alignment, the text input is simply padded with filler tokens to the same length as input speech, and then the denoising is performed for speech generation, which was originally proved feasible by E2 TTS. However, the original design of E2 TTS makes it hard to follow due to its slow convergence and low robustness. To address these issues, we first model the input with ConvNeXt to refine the text representation, making it easy to align with the speech. We further propose an inference-time Sway Sampling strategy, which significantly improves our model's performance and efficiency. This sampling strategy for flow step can be easily applied to existing flow matching based models without retraining. Our design allows faster training and achieves an inference RTF of 0.15, which is greatly improved compared to state-of-the-art diffusion-based TTS models. Trained on a public 100K hours multilingual dataset, our F5-TTS exhibits highly natural and expressive zero-shot ability, seamless code-switching capability, and speed control efficiency. We have released all codes and checkpoints to promote community development, at https://SWivid.github.io/F5-TTS/.</v>
      </c>
      <c r="D1916" s="7" t="str">
        <f>IFERROR(__xludf.DUMMYFUNCTION("""COMPUTED_VALUE"""),"Yushen Chen")</f>
        <v>Yushen Chen</v>
      </c>
      <c r="E1916" s="7" t="str">
        <f>IFERROR(__xludf.DUMMYFUNCTION("""COMPUTED_VALUE"""),"Yes")</f>
        <v>Yes</v>
      </c>
      <c r="F1916" s="7" t="str">
        <f>IFERROR(__xludf.DUMMYFUNCTION("""COMPUTED_VALUE"""),"IP-Poster")</f>
        <v>IP-Poster</v>
      </c>
      <c r="G1916" s="7" t="str">
        <f>IFERROR(__xludf.DUMMYFUNCTION("""COMPUTED_VALUE"""),"In-Person")</f>
        <v>In-Person</v>
      </c>
      <c r="H1916" s="7" t="str">
        <f>IFERROR(__xludf.DUMMYFUNCTION("""COMPUTED_VALUE"""),"Hall 4/5")</f>
        <v>Hall 4/5</v>
      </c>
      <c r="I1916" s="7" t="str">
        <f>IFERROR(__xludf.DUMMYFUNCTION("""COMPUTED_VALUE"""),"Session 2: IP-Posters ")</f>
        <v>Session 2: IP-Posters </v>
      </c>
      <c r="J1916" s="7" t="str">
        <f>IFERROR(__xludf.DUMMYFUNCTION("""COMPUTED_VALUE"""),"Poster Session 1")</f>
        <v>Poster Session 1</v>
      </c>
      <c r="K1916" s="7"/>
      <c r="L1916" s="8">
        <f>IFERROR(__xludf.DUMMYFUNCTION("""COMPUTED_VALUE"""),45866.0)</f>
        <v>45866</v>
      </c>
      <c r="M1916" s="7" t="str">
        <f>IFERROR(__xludf.DUMMYFUNCTION("""COMPUTED_VALUE"""),"11:00-12:30")</f>
        <v>11:00-12:30</v>
      </c>
      <c r="N1916" s="7"/>
    </row>
    <row r="1917">
      <c r="A1917" s="7" t="str">
        <f>IFERROR(__xludf.DUMMYFUNCTION("""COMPUTED_VALUE"""),"689-MAIN")</f>
        <v>689-MAIN</v>
      </c>
      <c r="B1917" s="7" t="str">
        <f>IFERROR(__xludf.DUMMYFUNCTION("""COMPUTED_VALUE"""),"LLMs instead of Human Judges? A Large Scale Empirical Study across 20 NLP Evaluation Tasks")</f>
        <v>LLMs instead of Human Judges? A Large Scale Empirical Study across 20 NLP Evaluation Tasks</v>
      </c>
      <c r="C1917" s="7" t="str">
        <f>IFERROR(__xludf.DUMMYFUNCTION("""COMPUTED_VALUE"""),"There is an increasing trend towards evaluating NLP models with LLMs instead of human judgments, raising questions about the validity of these evaluations, as well as their reproducibility in the case of proprietary models. We provide JUDGE-BENCH, an exte"&amp;"nsible collection of 20 NLP datasets with human annotations covering a broad range of evaluated properties and types of data, and comprehensively evaluate 11 current LLMs, covering both open-weight and proprietary models, for their ability to replicate th"&amp;"e annotations. Our evaluations show substantial variance across models and datasets. Models are reliable evaluators on some tasks, but overall display substantial variability depending on the property being evaluated, the expertise level of the human judg"&amp;"es, and whether the language is human or model-generated. We conclude that LLMs should be carefully validated against human judgments before being used as evaluators.")</f>
        <v>There is an increasing trend towards evaluating NLP models with LLMs instead of human judgments, raising questions about the validity of these evaluations, as well as their reproducibility in the case of proprietary models. We provide JUDGE-BENCH, an extensible collection of 20 NLP datasets with human annotations covering a broad range of evaluated properties and types of data, and comprehensively evaluate 11 current LLMs, covering both open-weight and proprietary models, for their ability to replicate the annotations. Our evaluations show substantial variance across models and datasets. Models are reliable evaluators on some tasks, but overall display substantial variability depending on the property being evaluated, the expertise level of the human judges, and whether the language is human or model-generated. We conclude that LLMs should be carefully validated against human judgments before being used as evaluators.</v>
      </c>
      <c r="D1917" s="7" t="str">
        <f>IFERROR(__xludf.DUMMYFUNCTION("""COMPUTED_VALUE"""),"Barbara Plank")</f>
        <v>Barbara Plank</v>
      </c>
      <c r="E1917" s="7" t="str">
        <f>IFERROR(__xludf.DUMMYFUNCTION("""COMPUTED_VALUE"""),"Yes")</f>
        <v>Yes</v>
      </c>
      <c r="F1917" s="7" t="str">
        <f>IFERROR(__xludf.DUMMYFUNCTION("""COMPUTED_VALUE"""),"IP-Poster")</f>
        <v>IP-Poster</v>
      </c>
      <c r="G1917" s="7" t="str">
        <f>IFERROR(__xludf.DUMMYFUNCTION("""COMPUTED_VALUE"""),"In-Person")</f>
        <v>In-Person</v>
      </c>
      <c r="H1917" s="7" t="str">
        <f>IFERROR(__xludf.DUMMYFUNCTION("""COMPUTED_VALUE"""),"Hall 4/5")</f>
        <v>Hall 4/5</v>
      </c>
      <c r="I1917" s="7" t="str">
        <f>IFERROR(__xludf.DUMMYFUNCTION("""COMPUTED_VALUE"""),"Session 2: IP-Posters ")</f>
        <v>Session 2: IP-Posters </v>
      </c>
      <c r="J1917" s="7" t="str">
        <f>IFERROR(__xludf.DUMMYFUNCTION("""COMPUTED_VALUE"""),"Poster Session 1")</f>
        <v>Poster Session 1</v>
      </c>
      <c r="K1917" s="7"/>
      <c r="L1917" s="8">
        <f>IFERROR(__xludf.DUMMYFUNCTION("""COMPUTED_VALUE"""),45866.0)</f>
        <v>45866</v>
      </c>
      <c r="M1917" s="7" t="str">
        <f>IFERROR(__xludf.DUMMYFUNCTION("""COMPUTED_VALUE"""),"11:00-12:30")</f>
        <v>11:00-12:30</v>
      </c>
      <c r="N1917" s="7"/>
    </row>
    <row r="1918">
      <c r="A1918" s="7" t="str">
        <f>IFERROR(__xludf.DUMMYFUNCTION("""COMPUTED_VALUE"""),"692-MAIN")</f>
        <v>692-MAIN</v>
      </c>
      <c r="B1918" s="7" t="str">
        <f>IFERROR(__xludf.DUMMYFUNCTION("""COMPUTED_VALUE"""),"AutoMedEval: Harnessing Language Models for Automatic Medical Capability Evaluation")</f>
        <v>AutoMedEval: Harnessing Language Models for Automatic Medical Capability Evaluation</v>
      </c>
      <c r="C1918" s="7" t="str">
        <f>IFERROR(__xludf.DUMMYFUNCTION("""COMPUTED_VALUE"""),"With the proliferation of large language models (LLMs) in the medical domain, there is increasing demand for improved evaluation techniques to assess their capabilities. However, traditional metrics like F1 and ROUGE, which rely on token overlaps to measu"&amp;"re quality, significantly overlook the importance of medical terminology. While human evaluation tends to be more reliable, it can be very costly and may as well suffer from inaccuracies due to limits in human expertise and motivation. Although there are "&amp;"some evaluation methods based on LLMs, their usability in the medical field is limited due to their proprietary nature or lack of expertise. To tackle these challenges, we present AutoMedEval, an open-sourced automatic evaluation model with 13B parameters"&amp;" specifically engineered to measure the question-answering proficiency of medical LLMs. The overarching objective of AutoMedEval is to assess the quality of responses produced by diverse models, aspiring to significantly reduce the dependence on human eva"&amp;"luation. Specifically, we propose a hierarchical training method involving curriculum instruction tuning and an iterative knowledge introspection mechanism, enabling AutoMedEval to acquire professional medical assessment capabilities with limited instruct"&amp;"ional data. Human evaluations indicate that AutoMedEval surpasses other baselines in terms of correlation with human judgments.")</f>
        <v>With the proliferation of large language models (LLMs) in the medical domain, there is increasing demand for improved evaluation techniques to assess their capabilities. However, traditional metrics like F1 and ROUGE, which rely on token overlaps to measure quality, significantly overlook the importance of medical terminology. While human evaluation tends to be more reliable, it can be very costly and may as well suffer from inaccuracies due to limits in human expertise and motivation. Although there are some evaluation methods based on LLMs, their usability in the medical field is limited due to their proprietary nature or lack of expertise. To tackle these challenges, we present AutoMedEval, an open-sourced automatic evaluation model with 13B parameters specifically engineered to measure the question-answering proficiency of medical LLMs. The overarching objective of AutoMedEval is to assess the quality of responses produced by diverse models, aspiring to significantly reduce the dependence on human evaluation. Specifically, we propose a hierarchical training method involving curriculum instruction tuning and an iterative knowledge introspection mechanism, enabling AutoMedEval to acquire professional medical assessment capabilities with limited instructional data. Human evaluations indicate that AutoMedEval surpasses other baselines in terms of correlation with human judgments.</v>
      </c>
      <c r="D1918" s="7" t="str">
        <f>IFERROR(__xludf.DUMMYFUNCTION("""COMPUTED_VALUE"""),"Gerard de Melo")</f>
        <v>Gerard de Melo</v>
      </c>
      <c r="E1918" s="7" t="str">
        <f>IFERROR(__xludf.DUMMYFUNCTION("""COMPUTED_VALUE"""),"Yes")</f>
        <v>Yes</v>
      </c>
      <c r="F1918" s="7" t="str">
        <f>IFERROR(__xludf.DUMMYFUNCTION("""COMPUTED_VALUE"""),"IP-Poster")</f>
        <v>IP-Poster</v>
      </c>
      <c r="G1918" s="7" t="str">
        <f>IFERROR(__xludf.DUMMYFUNCTION("""COMPUTED_VALUE"""),"In-Person")</f>
        <v>In-Person</v>
      </c>
      <c r="H1918" s="7" t="str">
        <f>IFERROR(__xludf.DUMMYFUNCTION("""COMPUTED_VALUE"""),"Hall 4/5")</f>
        <v>Hall 4/5</v>
      </c>
      <c r="I1918" s="7" t="str">
        <f>IFERROR(__xludf.DUMMYFUNCTION("""COMPUTED_VALUE"""),"Session 7: IP-Posters")</f>
        <v>Session 7: IP-Posters</v>
      </c>
      <c r="J1918" s="7" t="str">
        <f>IFERROR(__xludf.DUMMYFUNCTION("""COMPUTED_VALUE"""),"Poster Session 2")</f>
        <v>Poster Session 2</v>
      </c>
      <c r="K1918" s="7"/>
      <c r="L1918" s="8">
        <f>IFERROR(__xludf.DUMMYFUNCTION("""COMPUTED_VALUE"""),45867.0)</f>
        <v>45867</v>
      </c>
      <c r="M1918" s="7" t="str">
        <f>IFERROR(__xludf.DUMMYFUNCTION("""COMPUTED_VALUE"""),"10:30-12:00")</f>
        <v>10:30-12:00</v>
      </c>
      <c r="N1918" s="7"/>
    </row>
    <row r="1919">
      <c r="A1919" s="7" t="str">
        <f>IFERROR(__xludf.DUMMYFUNCTION("""COMPUTED_VALUE"""),"694-MAIN")</f>
        <v>694-MAIN</v>
      </c>
      <c r="B1919" s="7" t="str">
        <f>IFERROR(__xludf.DUMMYFUNCTION("""COMPUTED_VALUE"""),"CoT-based Synthesizer: Enhancing LLM Performance through Answer Synthesis")</f>
        <v>CoT-based Synthesizer: Enhancing LLM Performance through Answer Synthesis</v>
      </c>
      <c r="C1919" s="7" t="str">
        <f>IFERROR(__xludf.DUMMYFUNCTION("""COMPUTED_VALUE"""),"Current inference scaling methods, such as Self-consistency and Best-of-N, have proven effective in improving the accuracy of LLMs on complex reasoning tasks. However, these methods rely heavily on the quality of candidate responses and are unable to prod"&amp;"uce correct answers when all candidates are incorrect. In this paper, we propose a novel inference scaling strategy, CoT-based Synthesizer, which leverages CoT reasoning to synthesize superior answers by analyzing complementary information from multiple c"&amp;"andidate responses, even when all candidates are flawed. To support a lightweight and cost-effective implementation, we introduce an automated data generation pipeline that creates diverse training data. This enables smaller LLMs trained on this data to i"&amp;"mprove the inference accuracy of larger models, including API-based LLMs. Experimental results across four benchmark datasets with seven policy models demonstrate that our method significantly enhances performance, with gains of 11.8% for Llama3-8B and 10"&amp;".3% for GPT-4o on the MATH dataset. The corresponding training data and code are publicly available on the [repository](https://github.com/RUCKBReasoning/CoT-based-Synthesizer).")</f>
        <v>Current inference scaling methods, such as Self-consistency and Best-of-N, have proven effective in improving the accuracy of LLMs on complex reasoning tasks. However, these methods rely heavily on the quality of candidate responses and are unable to produce correct answers when all candidates are incorrect. In this paper, we propose a novel inference scaling strategy, CoT-based Synthesizer, which leverages CoT reasoning to synthesize superior answers by analyzing complementary information from multiple candidate responses, even when all candidates are flawed. To support a lightweight and cost-effective implementation, we introduce an automated data generation pipeline that creates diverse training data. This enables smaller LLMs trained on this data to improve the inference accuracy of larger models, including API-based LLMs. Experimental results across four benchmark datasets with seven policy models demonstrate that our method significantly enhances performance, with gains of 11.8% for Llama3-8B and 10.3% for GPT-4o on the MATH dataset. The corresponding training data and code are publicly available on the [repository](https://github.com/RUCKBReasoning/CoT-based-Synthesizer).</v>
      </c>
      <c r="D1919" s="7" t="str">
        <f>IFERROR(__xludf.DUMMYFUNCTION("""COMPUTED_VALUE"""),"Bohan Zhang")</f>
        <v>Bohan Zhang</v>
      </c>
      <c r="E1919" s="7" t="str">
        <f>IFERROR(__xludf.DUMMYFUNCTION("""COMPUTED_VALUE"""),"Yes")</f>
        <v>Yes</v>
      </c>
      <c r="F1919" s="7" t="str">
        <f>IFERROR(__xludf.DUMMYFUNCTION("""COMPUTED_VALUE"""),"IP-Poster")</f>
        <v>IP-Poster</v>
      </c>
      <c r="G1919" s="7" t="str">
        <f>IFERROR(__xludf.DUMMYFUNCTION("""COMPUTED_VALUE"""),"In-Person")</f>
        <v>In-Person</v>
      </c>
      <c r="H1919" s="7" t="str">
        <f>IFERROR(__xludf.DUMMYFUNCTION("""COMPUTED_VALUE"""),"Hall 4/5")</f>
        <v>Hall 4/5</v>
      </c>
      <c r="I1919" s="7" t="str">
        <f>IFERROR(__xludf.DUMMYFUNCTION("""COMPUTED_VALUE"""),"Session 12: IP-Posters")</f>
        <v>Session 12: IP-Posters</v>
      </c>
      <c r="J1919" s="7" t="str">
        <f>IFERROR(__xludf.DUMMYFUNCTION("""COMPUTED_VALUE"""),"Poster Session 4")</f>
        <v>Poster Session 4</v>
      </c>
      <c r="K1919" s="7"/>
      <c r="L1919" s="8">
        <f>IFERROR(__xludf.DUMMYFUNCTION("""COMPUTED_VALUE"""),45868.0)</f>
        <v>45868</v>
      </c>
      <c r="M1919" s="7" t="str">
        <f>IFERROR(__xludf.DUMMYFUNCTION("""COMPUTED_VALUE"""),"11:00-12:30")</f>
        <v>11:00-12:30</v>
      </c>
      <c r="N1919" s="7"/>
    </row>
    <row r="1920">
      <c r="A1920" s="7" t="str">
        <f>IFERROR(__xludf.DUMMYFUNCTION("""COMPUTED_VALUE"""),"695-MAIN")</f>
        <v>695-MAIN</v>
      </c>
      <c r="B1920" s="7" t="str">
        <f>IFERROR(__xludf.DUMMYFUNCTION("""COMPUTED_VALUE"""),"Efficiently Identifying Watermarked Segments in Mixed-Source Texts")</f>
        <v>Efficiently Identifying Watermarked Segments in Mixed-Source Texts</v>
      </c>
      <c r="C1920" s="7" t="str">
        <f>IFERROR(__xludf.DUMMYFUNCTION("""COMPUTED_VALUE"""),"Text watermarks in large language models (LLMs) are increasingly used to detect synthetic text, mitigating misuse cases like fake news and academic dishonesty.  While existing watermarking detection techniques primarily focus on classifying entire documen"&amp;"ts as watermarked or not, they often neglect the common scenario of identifying individual watermark segments within longer, mixed-source documents. Drawing inspiration from plagiarism detection systems, we propose two novel methods for partial watermark "&amp;"detection. First, we develop a geometry cover detection framework aimed at determining whether there is a watermark segment in long text. Second, we introduce an adaptive online learning algorithm to pinpoint the precise location of watermark segments wit"&amp;"hin the text. Evaluated on three popular watermarking techniques (KGW-Watermark, Unigram-Watermark, and Gumbel-Watermark), our approach achieves high accuracy, significantly outperforming baseline methods. Moreover, our framework is adaptable to other wat"&amp;"ermarking techniques, offering new insights for precise watermark detection. Our code is publicly available at \url{https://github.com/XuandongZhao/llm-watermark-location}.")</f>
        <v>Text watermarks in large language models (LLMs) are increasingly used to detect synthetic text, mitigating misuse cases like fake news and academic dishonesty.  While existing watermarking detection techniques primarily focus on classifying entire documents as watermarked or not, they often neglect the common scenario of identifying individual watermark segments within longer, mixed-source documents. Drawing inspiration from plagiarism detection systems, we propose two novel methods for partial watermark detection. First, we develop a geometry cover detection framework aimed at determining whether there is a watermark segment in long text. Second, we introduce an adaptive online learning algorithm to pinpoint the precise location of watermark segments within the text. Evaluated on three popular watermarking techniques (KGW-Watermark, Unigram-Watermark, and Gumbel-Watermark), our approach achieves high accuracy, significantly outperforming baseline methods. Moreover, our framework is adaptable to other watermarking techniques, offering new insights for precise watermark detection. Our code is publicly available at \url{https://github.com/XuandongZhao/llm-watermark-location}.</v>
      </c>
      <c r="D1920" s="7" t="str">
        <f>IFERROR(__xludf.DUMMYFUNCTION("""COMPUTED_VALUE"""),"Xuandong Zhao")</f>
        <v>Xuandong Zhao</v>
      </c>
      <c r="E1920" s="7" t="str">
        <f>IFERROR(__xludf.DUMMYFUNCTION("""COMPUTED_VALUE"""),"Yes")</f>
        <v>Yes</v>
      </c>
      <c r="F1920" s="7" t="str">
        <f>IFERROR(__xludf.DUMMYFUNCTION("""COMPUTED_VALUE"""),"V-Presentation")</f>
        <v>V-Presentation</v>
      </c>
      <c r="G1920" s="7" t="str">
        <f>IFERROR(__xludf.DUMMYFUNCTION("""COMPUTED_VALUE"""),"Virtual/Gather")</f>
        <v>Virtual/Gather</v>
      </c>
      <c r="H1920" s="7" t="str">
        <f>IFERROR(__xludf.DUMMYFUNCTION("""COMPUTED_VALUE"""),"Zoom")</f>
        <v>Zoom</v>
      </c>
      <c r="I1920" s="7" t="str">
        <f>IFERROR(__xludf.DUMMYFUNCTION("""COMPUTED_VALUE"""),"Session 10: V-Presenations")</f>
        <v>Session 10: V-Presenations</v>
      </c>
      <c r="J1920" s="7" t="str">
        <f>IFERROR(__xludf.DUMMYFUNCTION("""COMPUTED_VALUE"""),"Virtual Presentations 3")</f>
        <v>Virtual Presentations 3</v>
      </c>
      <c r="K1920" s="7"/>
      <c r="L1920" s="8">
        <f>IFERROR(__xludf.DUMMYFUNCTION("""COMPUTED_VALUE"""),45867.0)</f>
        <v>45867</v>
      </c>
      <c r="M1920" s="7" t="str">
        <f>IFERROR(__xludf.DUMMYFUNCTION("""COMPUTED_VALUE"""),"16:00-17:30")</f>
        <v>16:00-17:30</v>
      </c>
      <c r="N1920" s="7"/>
    </row>
    <row r="1921">
      <c r="A1921" s="7" t="str">
        <f>IFERROR(__xludf.DUMMYFUNCTION("""COMPUTED_VALUE"""),"696-MAIN")</f>
        <v>696-MAIN</v>
      </c>
      <c r="B1921" s="7" t="str">
        <f>IFERROR(__xludf.DUMMYFUNCTION("""COMPUTED_VALUE"""),"FocalPO: Enhancing Preference Optimizing by Focusing on Correct Preference Rankings")</f>
        <v>FocalPO: Enhancing Preference Optimizing by Focusing on Correct Preference Rankings</v>
      </c>
      <c r="C1921" s="7" t="str">
        <f>IFERROR(__xludf.DUMMYFUNCTION("""COMPUTED_VALUE"""),"Efficient preference optimization algorithms such as Direct Preference Optimization (DPO) have become a popular approach in aligning large language models (LLMs) with human preferences. These algorithms implicitly treat the LLM as a reward model, and focu"&amp;"s on training it to correct misranked preference pairs. However, recent work~\citep{chen2024preference} empirically finds that DPO training \textit{rarely improves these misranked preference pairs}, despite its gradient emphasizing on these cases. We intr"&amp;"oduce FocalPO, a DPO variant that instead \textit{down-weighs} misranked preference pairs and prioritizes enhancing the model's understanding of pairs that it can already rank correctly. Inspired by Focal Loss used in vision tasks, FocalPO achieves this b"&amp;"y adding a modulating factor to dynamically scale DPO loss. Our experiment demonstrates that FocalPO surpasses DPO and its variants on popular benchmarks like Alpaca Eval 2.0 and Arena-Hard using Mistral-Base-7B and Llama-3-Instruct-8B, with the introduce"&amp;"d hyperparameter fixed. Additionally, we empirically reveals how FocalPO affects training on correct and incorrect sample groups, further underscoring its effectiveness.")</f>
        <v>Efficient preference optimization algorithms such as Direct Preference Optimization (DPO) have become a popular approach in aligning large language models (LLMs) with human preferences. These algorithms implicitly treat the LLM as a reward model, and focus on training it to correct misranked preference pairs. However, recent work~\citep{chen2024preference} empirically finds that DPO training \textit{rarely improves these misranked preference pairs}, despite its gradient emphasizing on these cases. We introduce FocalPO, a DPO variant that instead \textit{down-weighs} misranked preference pairs and prioritizes enhancing the model's understanding of pairs that it can already rank correctly. Inspired by Focal Loss used in vision tasks, FocalPO achieves this by adding a modulating factor to dynamically scale DPO loss. Our experiment demonstrates that FocalPO surpasses DPO and its variants on popular benchmarks like Alpaca Eval 2.0 and Arena-Hard using Mistral-Base-7B and Llama-3-Instruct-8B, with the introduced hyperparameter fixed. Additionally, we empirically reveals how FocalPO affects training on correct and incorrect sample groups, further underscoring its effectiveness.</v>
      </c>
      <c r="D1921" s="7" t="str">
        <f>IFERROR(__xludf.DUMMYFUNCTION("""COMPUTED_VALUE"""),"Tong Liu")</f>
        <v>Tong Liu</v>
      </c>
      <c r="E1921" s="7" t="str">
        <f>IFERROR(__xludf.DUMMYFUNCTION("""COMPUTED_VALUE"""),"Yes")</f>
        <v>Yes</v>
      </c>
      <c r="F1921" s="7" t="str">
        <f>IFERROR(__xludf.DUMMYFUNCTION("""COMPUTED_VALUE"""),"IP-Poster")</f>
        <v>IP-Poster</v>
      </c>
      <c r="G1921" s="7" t="str">
        <f>IFERROR(__xludf.DUMMYFUNCTION("""COMPUTED_VALUE"""),"In-Person")</f>
        <v>In-Person</v>
      </c>
      <c r="H1921" s="7" t="str">
        <f>IFERROR(__xludf.DUMMYFUNCTION("""COMPUTED_VALUE"""),"Hall 4/5")</f>
        <v>Hall 4/5</v>
      </c>
      <c r="I1921" s="7" t="str">
        <f>IFERROR(__xludf.DUMMYFUNCTION("""COMPUTED_VALUE"""),"Session 7: IP-Posters")</f>
        <v>Session 7: IP-Posters</v>
      </c>
      <c r="J1921" s="7" t="str">
        <f>IFERROR(__xludf.DUMMYFUNCTION("""COMPUTED_VALUE"""),"Poster Session 2")</f>
        <v>Poster Session 2</v>
      </c>
      <c r="K1921" s="7"/>
      <c r="L1921" s="8">
        <f>IFERROR(__xludf.DUMMYFUNCTION("""COMPUTED_VALUE"""),45867.0)</f>
        <v>45867</v>
      </c>
      <c r="M1921" s="7" t="str">
        <f>IFERROR(__xludf.DUMMYFUNCTION("""COMPUTED_VALUE"""),"10:30-12:00")</f>
        <v>10:30-12:00</v>
      </c>
      <c r="N1921" s="7"/>
    </row>
    <row r="1922">
      <c r="A1922" s="7" t="str">
        <f>IFERROR(__xludf.DUMMYFUNCTION("""COMPUTED_VALUE"""),"697-MAIN")</f>
        <v>697-MAIN</v>
      </c>
      <c r="B1922" s="7" t="str">
        <f>IFERROR(__xludf.DUMMYFUNCTION("""COMPUTED_VALUE"""),"Assessing Dialect Fairness and Robustness of Large Language Models in Reasoning Tasks")</f>
        <v>Assessing Dialect Fairness and Robustness of Large Language Models in Reasoning Tasks</v>
      </c>
      <c r="C1922" s="7" t="str">
        <f>IFERROR(__xludf.DUMMYFUNCTION("""COMPUTED_VALUE"""),"Language is not monolithic. While benchmarks, including those designed for multiple languages, are often used as proxies to evaluate the performance of Large Language Models (LLMs), they tend to overlook the nuances of within-language variation and thus f"&amp;"ail to model the experience of speakers of non-standard dialects. 
Focusing on African American Vernacular English (AAVE), we present the first study aimed at objectively assessing the fairness and robustness of LLMs in handling dialects across canonical "&amp;"reasoning tasks, including algorithm, math, logic, and integrated reasoning. We introduce **ReDial** (**Re**asoning with **Dial**ect Queries), a benchmark containing 1.2K+ parallel query pairs in Standardized English and AAVE. We hire AAVE speakers, inclu"&amp;"ding experts with computer science backgrounds, to rewrite seven popular benchmarks,
such as HumanEval and GSM8K. With ReDial, we evaluate widely used LLMs, including GPT, Claude, Llama, Mistral, and the Phi model families. Our findings reveal that \textb"&amp;"f{almost all of these widely used models show significant brittleness and unfairness to queries in AAVE}. Our work establishes a systematic and objective framework for analyzing LLM bias in dialectal queries. Moreover, it highlights how mainstream LLMs pr"&amp;"ovide unfair service to dialect speakers in reasoning tasks, laying a critical foundation for future research.")</f>
        <v>Language is not monolithic. While benchmarks, including those designed for multiple languages, are often used as proxies to evaluate the performance of Large Language Models (LLMs), they tend to overlook the nuances of within-language variation and thus fail to model the experience of speakers of non-standard dialects. 
Focusing on African American Vernacular English (AAVE), we present the first study aimed at objectively assessing the fairness and robustness of LLMs in handling dialects across canonical reasoning tasks, including algorithm, math, logic, and integrated reasoning. We introduce **ReDial** (**Re**asoning with **Dial**ect Queries), a benchmark containing 1.2K+ parallel query pairs in Standardized English and AAVE. We hire AAVE speakers, including experts with computer science backgrounds, to rewrite seven popular benchmarks,
such as HumanEval and GSM8K. With ReDial, we evaluate widely used LLMs, including GPT, Claude, Llama, Mistral, and the Phi model families. Our findings reveal that \textbf{almost all of these widely used models show significant brittleness and unfairness to queries in AAVE}. Our work establishes a systematic and objective framework for analyzing LLM bias in dialectal queries. Moreover, it highlights how mainstream LLMs provide unfair service to dialect speakers in reasoning tasks, laying a critical foundation for future research.</v>
      </c>
      <c r="D1922" s="7" t="str">
        <f>IFERROR(__xludf.DUMMYFUNCTION("""COMPUTED_VALUE"""),"Fangru Lin")</f>
        <v>Fangru Lin</v>
      </c>
      <c r="E1922" s="7" t="str">
        <f>IFERROR(__xludf.DUMMYFUNCTION("""COMPUTED_VALUE"""),"Yes")</f>
        <v>Yes</v>
      </c>
      <c r="F1922" s="7" t="str">
        <f>IFERROR(__xludf.DUMMYFUNCTION("""COMPUTED_VALUE"""),"IP-Poster")</f>
        <v>IP-Poster</v>
      </c>
      <c r="G1922" s="7" t="str">
        <f>IFERROR(__xludf.DUMMYFUNCTION("""COMPUTED_VALUE"""),"In-Person")</f>
        <v>In-Person</v>
      </c>
      <c r="H1922" s="7" t="str">
        <f>IFERROR(__xludf.DUMMYFUNCTION("""COMPUTED_VALUE"""),"Hall 4/5")</f>
        <v>Hall 4/5</v>
      </c>
      <c r="I1922" s="7" t="str">
        <f>IFERROR(__xludf.DUMMYFUNCTION("""COMPUTED_VALUE"""),"Session 2: IP-Posters ")</f>
        <v>Session 2: IP-Posters </v>
      </c>
      <c r="J1922" s="7" t="str">
        <f>IFERROR(__xludf.DUMMYFUNCTION("""COMPUTED_VALUE"""),"Poster Session 1")</f>
        <v>Poster Session 1</v>
      </c>
      <c r="K1922" s="7"/>
      <c r="L1922" s="8">
        <f>IFERROR(__xludf.DUMMYFUNCTION("""COMPUTED_VALUE"""),45866.0)</f>
        <v>45866</v>
      </c>
      <c r="M1922" s="7" t="str">
        <f>IFERROR(__xludf.DUMMYFUNCTION("""COMPUTED_VALUE"""),"11:00-12:30")</f>
        <v>11:00-12:30</v>
      </c>
      <c r="N1922" s="7"/>
    </row>
    <row r="1923">
      <c r="A1923" s="7" t="str">
        <f>IFERROR(__xludf.DUMMYFUNCTION("""COMPUTED_VALUE"""),"703-MAIN")</f>
        <v>703-MAIN</v>
      </c>
      <c r="B1923" s="7" t="str">
        <f>IFERROR(__xludf.DUMMYFUNCTION("""COMPUTED_VALUE"""),"Towards a More Generalized Approach in Open Relation Extraction")</f>
        <v>Towards a More Generalized Approach in Open Relation Extraction</v>
      </c>
      <c r="C1923" s="7" t="str">
        <f>IFERROR(__xludf.DUMMYFUNCTION("""COMPUTED_VALUE"""),"Open Relation Extraction (OpenRE) seeks to identify and extract novel relational facts between named entities from unlabeled data without pre-defined relation schemas. Traditional OpenRE methods typically assume that the unlabeled data consists solely of "&amp;"novel relations or is pre-divided into known and novel instances. However, in real-world scenarios, novel relations are arbitrarily distributed. In this paper, we propose a generalized OpenRE setting that considers unlabeled data as a mixture of both know"&amp;"n and novel instances. To address this, we propose MixORE, a two-phase framework that integrates relation classification and clustering to jointly learn known and novel relations. Experiments on three benchmark datasets demonstrate that MixORE consistentl"&amp;"y outperforms competitive baselines in known relation classification and novel relation clustering. Our findings contribute to the advancement of generalized OpenRE research and real-world applications.")</f>
        <v>Open Relation Extraction (OpenRE) seeks to identify and extract novel relational facts between named entities from unlabeled data without pre-defined relation schemas. Traditional OpenRE methods typically assume that the unlabeled data consists solely of novel relations or is pre-divided into known and novel instances. However, in real-world scenarios, novel relations are arbitrarily distributed. In this paper, we propose a generalized OpenRE setting that considers unlabeled data as a mixture of both known and novel instances. To address this, we propose MixORE, a two-phase framework that integrates relation classification and clustering to jointly learn known and novel relations. Experiments on three benchmark datasets demonstrate that MixORE consistently outperforms competitive baselines in known relation classification and novel relation clustering. Our findings contribute to the advancement of generalized OpenRE research and real-world applications.</v>
      </c>
      <c r="D1923" s="7" t="str">
        <f>IFERROR(__xludf.DUMMYFUNCTION("""COMPUTED_VALUE"""),"Qi Li")</f>
        <v>Qi Li</v>
      </c>
      <c r="E1923" s="7" t="str">
        <f>IFERROR(__xludf.DUMMYFUNCTION("""COMPUTED_VALUE"""),"Yes")</f>
        <v>Yes</v>
      </c>
      <c r="F1923" s="7" t="str">
        <f>IFERROR(__xludf.DUMMYFUNCTION("""COMPUTED_VALUE"""),"IP-Poster")</f>
        <v>IP-Poster</v>
      </c>
      <c r="G1923" s="7" t="str">
        <f>IFERROR(__xludf.DUMMYFUNCTION("""COMPUTED_VALUE"""),"In-Person")</f>
        <v>In-Person</v>
      </c>
      <c r="H1923" s="7" t="str">
        <f>IFERROR(__xludf.DUMMYFUNCTION("""COMPUTED_VALUE"""),"Hall 4/5")</f>
        <v>Hall 4/5</v>
      </c>
      <c r="I1923" s="7" t="str">
        <f>IFERROR(__xludf.DUMMYFUNCTION("""COMPUTED_VALUE"""),"Session 7: IP-Posters")</f>
        <v>Session 7: IP-Posters</v>
      </c>
      <c r="J1923" s="7" t="str">
        <f>IFERROR(__xludf.DUMMYFUNCTION("""COMPUTED_VALUE"""),"Poster Session 2")</f>
        <v>Poster Session 2</v>
      </c>
      <c r="K1923" s="7"/>
      <c r="L1923" s="8">
        <f>IFERROR(__xludf.DUMMYFUNCTION("""COMPUTED_VALUE"""),45867.0)</f>
        <v>45867</v>
      </c>
      <c r="M1923" s="7" t="str">
        <f>IFERROR(__xludf.DUMMYFUNCTION("""COMPUTED_VALUE"""),"10:30-12:00")</f>
        <v>10:30-12:00</v>
      </c>
      <c r="N1923" s="7"/>
    </row>
    <row r="1924">
      <c r="A1924" s="7" t="str">
        <f>IFERROR(__xludf.DUMMYFUNCTION("""COMPUTED_VALUE"""),"704-MAIN")</f>
        <v>704-MAIN</v>
      </c>
      <c r="B1924" s="7" t="str">
        <f>IFERROR(__xludf.DUMMYFUNCTION("""COMPUTED_VALUE"""),"Adaptive Retrieval Without Self-Knowledge? Bringing Uncertainty Back Home")</f>
        <v>Adaptive Retrieval Without Self-Knowledge? Bringing Uncertainty Back Home</v>
      </c>
      <c r="C1924" s="7" t="str">
        <f>IFERROR(__xludf.DUMMYFUNCTION("""COMPUTED_VALUE"""),"Retrieval Augmented Generation (RAG) improves correctness of Question Answering (QA) and addresses hallucinations in Large Language Models (LLMs), yet greatly increase computational costs. Besides, RAG is not always needed as may introduce irrelevant info"&amp;"rmation. Recent adaptive retrieval methods integrate LLMs' intrinsic knowledge with external information appealing to LLM self-knowledge, but they often neglect efficiency evaluations and comparisons with uncertainty estimation techniques. We bridge this "&amp;"gap by conducting a comprehensive analysis of 35 adaptive retrieval methods, including 8 recent approaches and 27 uncertainty estimation techniques, across 6 datasets using 10 metrics for QA performance, self-knowledge, and efficiency. Our findings show t"&amp;"hat uncertainty estimation techniques often outperform complex pipelines in terms of efficiency and self-knowledge, while maintaining comparable QA performance.")</f>
        <v>Retrieval Augmented Generation (RAG) improves correctness of Question Answering (QA) and addresses hallucinations in Large Language Models (LLMs), yet greatly increase computational costs. Besides, RAG is not always needed as may introduce irrelevant information. Recent adaptive retrieval methods integrate LLMs' intrinsic knowledge with external information appealing to LLM self-knowledge, but they often neglect efficiency evaluations and comparisons with uncertainty estimation techniques. We bridge this gap by conducting a comprehensive analysis of 35 adaptive retrieval methods, including 8 recent approaches and 27 uncertainty estimation techniques, across 6 datasets using 10 metrics for QA performance, self-knowledge, and efficiency. Our findings show that uncertainty estimation techniques often outperform complex pipelines in terms of efficiency and self-knowledge, while maintaining comparable QA performance.</v>
      </c>
      <c r="D1924" s="7" t="str">
        <f>IFERROR(__xludf.DUMMYFUNCTION("""COMPUTED_VALUE"""),"Viktor Moskvoretskii")</f>
        <v>Viktor Moskvoretskii</v>
      </c>
      <c r="E1924" s="7" t="str">
        <f>IFERROR(__xludf.DUMMYFUNCTION("""COMPUTED_VALUE"""),"Yes")</f>
        <v>Yes</v>
      </c>
      <c r="F1924" s="7" t="str">
        <f>IFERROR(__xludf.DUMMYFUNCTION("""COMPUTED_VALUE"""),"IP-Poster")</f>
        <v>IP-Poster</v>
      </c>
      <c r="G1924" s="7" t="str">
        <f>IFERROR(__xludf.DUMMYFUNCTION("""COMPUTED_VALUE"""),"In-Person")</f>
        <v>In-Person</v>
      </c>
      <c r="H1924" s="7" t="str">
        <f>IFERROR(__xludf.DUMMYFUNCTION("""COMPUTED_VALUE"""),"Hall 4/5")</f>
        <v>Hall 4/5</v>
      </c>
      <c r="I1924" s="7" t="str">
        <f>IFERROR(__xludf.DUMMYFUNCTION("""COMPUTED_VALUE"""),"Session 7: IP-Posters")</f>
        <v>Session 7: IP-Posters</v>
      </c>
      <c r="J1924" s="7" t="str">
        <f>IFERROR(__xludf.DUMMYFUNCTION("""COMPUTED_VALUE"""),"Poster Session 2")</f>
        <v>Poster Session 2</v>
      </c>
      <c r="K1924" s="7"/>
      <c r="L1924" s="8">
        <f>IFERROR(__xludf.DUMMYFUNCTION("""COMPUTED_VALUE"""),45867.0)</f>
        <v>45867</v>
      </c>
      <c r="M1924" s="7" t="str">
        <f>IFERROR(__xludf.DUMMYFUNCTION("""COMPUTED_VALUE"""),"10:30-12:00")</f>
        <v>10:30-12:00</v>
      </c>
      <c r="N1924" s="7"/>
    </row>
    <row r="1925">
      <c r="A1925" s="7" t="str">
        <f>IFERROR(__xludf.DUMMYFUNCTION("""COMPUTED_VALUE"""),"709-MAIN")</f>
        <v>709-MAIN</v>
      </c>
      <c r="B1925" s="7" t="str">
        <f>IFERROR(__xludf.DUMMYFUNCTION("""COMPUTED_VALUE"""),"Evaluating Language Models as Synthetic Data Generators")</f>
        <v>Evaluating Language Models as Synthetic Data Generators</v>
      </c>
      <c r="C1925" s="7" t="str">
        <f>IFERROR(__xludf.DUMMYFUNCTION("""COMPUTED_VALUE"""),"Given the increasing use of synthetic data in language model (LM) post-training, an LM's ability to generate high-quality data has become nearly as crucial as its ability to solve problems directly. While prior works have focused on developing effective d"&amp;"ata generation methods, they lack systematic comparison of different LMs as data generators in a unified setting. To address this gap, we propose AgoraBench, a benchmark that provides standardized settings and metrics to evaluate LMs' data generation abil"&amp;"ities. Through synthesizing 1.26 million training instances using 6 LMs and training 99 student models, we uncover key insights about LMs' data generation capabilities. First, we observe that LMs exhibit distinct strengths. For instance, GPT-4o excels at "&amp;"generating new problems, while Claude-3.5-Sonnet performs better at enhancing existing ones. Furthermore, our analysis reveals that an LM's data generation ability doesn't necessarily correlate with its problem-solving ability. Instead, multiple intrinsic"&amp;" features of data quality—including response quality, perplexity, and instruction difficulty—collectively serve as better indicators. Finally, we demonstrate that strategic choices in output format and cost-conscious model selection significantly impact d"&amp;"ata generation effectiveness. Our code, checkpoints, and data are all publicly available at https://github.com/neulab/data-agora.")</f>
        <v>Given the increasing use of synthetic data in language model (LM) post-training, an LM's ability to generate high-quality data has become nearly as crucial as its ability to solve problems directly. While prior works have focused on developing effective data generation methods, they lack systematic comparison of different LMs as data generators in a unified setting. To address this gap, we propose AgoraBench, a benchmark that provides standardized settings and metrics to evaluate LMs' data generation abilities. Through synthesizing 1.26 million training instances using 6 LMs and training 99 student models, we uncover key insights about LMs' data generation capabilities. First, we observe that LMs exhibit distinct strengths. For instance, GPT-4o excels at generating new problems, while Claude-3.5-Sonnet performs better at enhancing existing ones. Furthermore, our analysis reveals that an LM's data generation ability doesn't necessarily correlate with its problem-solving ability. Instead, multiple intrinsic features of data quality—including response quality, perplexity, and instruction difficulty—collectively serve as better indicators. Finally, we demonstrate that strategic choices in output format and cost-conscious model selection significantly impact data generation effectiveness. Our code, checkpoints, and data are all publicly available at https://github.com/neulab/data-agora.</v>
      </c>
      <c r="D1925" s="7" t="str">
        <f>IFERROR(__xludf.DUMMYFUNCTION("""COMPUTED_VALUE"""),"Graham Neubig")</f>
        <v>Graham Neubig</v>
      </c>
      <c r="E1925" s="7" t="str">
        <f>IFERROR(__xludf.DUMMYFUNCTION("""COMPUTED_VALUE"""),"Yes")</f>
        <v>Yes</v>
      </c>
      <c r="F1925" s="7" t="str">
        <f>IFERROR(__xludf.DUMMYFUNCTION("""COMPUTED_VALUE"""),"IP-Poster")</f>
        <v>IP-Poster</v>
      </c>
      <c r="G1925" s="7" t="str">
        <f>IFERROR(__xludf.DUMMYFUNCTION("""COMPUTED_VALUE"""),"In-Person")</f>
        <v>In-Person</v>
      </c>
      <c r="H1925" s="7" t="str">
        <f>IFERROR(__xludf.DUMMYFUNCTION("""COMPUTED_VALUE"""),"Hall 4/5")</f>
        <v>Hall 4/5</v>
      </c>
      <c r="I1925" s="7" t="str">
        <f>IFERROR(__xludf.DUMMYFUNCTION("""COMPUTED_VALUE"""),"Session 7: IP-Posters")</f>
        <v>Session 7: IP-Posters</v>
      </c>
      <c r="J1925" s="7" t="str">
        <f>IFERROR(__xludf.DUMMYFUNCTION("""COMPUTED_VALUE"""),"Poster Session 2")</f>
        <v>Poster Session 2</v>
      </c>
      <c r="K1925" s="7"/>
      <c r="L1925" s="8">
        <f>IFERROR(__xludf.DUMMYFUNCTION("""COMPUTED_VALUE"""),45867.0)</f>
        <v>45867</v>
      </c>
      <c r="M1925" s="7" t="str">
        <f>IFERROR(__xludf.DUMMYFUNCTION("""COMPUTED_VALUE"""),"10:30-12:00")</f>
        <v>10:30-12:00</v>
      </c>
      <c r="N1925" s="7"/>
    </row>
    <row r="1926">
      <c r="A1926" s="7" t="str">
        <f>IFERROR(__xludf.DUMMYFUNCTION("""COMPUTED_VALUE"""),"710-MAIN")</f>
        <v>710-MAIN</v>
      </c>
      <c r="B1926" s="7" t="str">
        <f>IFERROR(__xludf.DUMMYFUNCTION("""COMPUTED_VALUE"""),"Can Graph Descriptive Order Affect Solving Graph Problems with LLMs?")</f>
        <v>Can Graph Descriptive Order Affect Solving Graph Problems with LLMs?</v>
      </c>
      <c r="C1926" s="7" t="str">
        <f>IFERROR(__xludf.DUMMYFUNCTION("""COMPUTED_VALUE"""),"Large language models (LLMs) have achieved significant success in reasoning tasks, including mathematical reasoning and logical deduction. Among these reasoning tasks, graph problems stand out due to their complexity and unique structural characteristics,"&amp;" attracting considerable attention from researchers. Previous studies have explored LLMs' graph reasoning abilities through various techniques, such as different encoding methods for graph structures and the use of carefully designed prompts. However, a c"&amp;"ritical factor has been mostly overlooked: the prompt sequential order in which graph descriptions are presented to the models. In this study, we present the first comprehensive analysis of how the order of graph descriptions impacts LLM performance. Spec"&amp;"ifically, we comprehensively evaluate four graph description orders across six graph problems using six mainstream LLMs. The results reveal that: (1) ordered graph descriptions significantly improve LLMs' comprehension of graph structures; (2) the robustn"&amp;"ess of LLMs to graph description order varies across different tasks; and (3) the impact of graph order on performance is closely related to the inherent characteristics of tasks. This study provides a critical advancement in the application of LLMs for s"&amp;"olving graph-related problems, paving the way for future research to optimize model performance through strategic graph description ordering.")</f>
        <v>Large language models (LLMs) have achieved significant success in reasoning tasks, including mathematical reasoning and logical deduction. Among these reasoning tasks, graph problems stand out due to their complexity and unique structural characteristics, attracting considerable attention from researchers. Previous studies have explored LLMs' graph reasoning abilities through various techniques, such as different encoding methods for graph structures and the use of carefully designed prompts. However, a critical factor has been mostly overlooked: the prompt sequential order in which graph descriptions are presented to the models. In this study, we present the first comprehensive analysis of how the order of graph descriptions impacts LLM performance. Specifically, we comprehensively evaluate four graph description orders across six graph problems using six mainstream LLMs. The results reveal that: (1) ordered graph descriptions significantly improve LLMs' comprehension of graph structures; (2) the robustness of LLMs to graph description order varies across different tasks; and (3) the impact of graph order on performance is closely related to the inherent characteristics of tasks. This study provides a critical advancement in the application of LLMs for solving graph-related problems, paving the way for future research to optimize model performance through strategic graph description ordering.</v>
      </c>
      <c r="D1926" s="7" t="str">
        <f>IFERROR(__xludf.DUMMYFUNCTION("""COMPUTED_VALUE"""),"Yuyao Ge")</f>
        <v>Yuyao Ge</v>
      </c>
      <c r="E1926" s="7" t="str">
        <f>IFERROR(__xludf.DUMMYFUNCTION("""COMPUTED_VALUE"""),"Yes")</f>
        <v>Yes</v>
      </c>
      <c r="F1926" s="7" t="str">
        <f>IFERROR(__xludf.DUMMYFUNCTION("""COMPUTED_VALUE"""),"IP-Poster")</f>
        <v>IP-Poster</v>
      </c>
      <c r="G1926" s="7" t="str">
        <f>IFERROR(__xludf.DUMMYFUNCTION("""COMPUTED_VALUE"""),"In-Person")</f>
        <v>In-Person</v>
      </c>
      <c r="H1926" s="7" t="str">
        <f>IFERROR(__xludf.DUMMYFUNCTION("""COMPUTED_VALUE"""),"Hall 4/5")</f>
        <v>Hall 4/5</v>
      </c>
      <c r="I1926" s="7" t="str">
        <f>IFERROR(__xludf.DUMMYFUNCTION("""COMPUTED_VALUE"""),"Session 12: IP-Posters")</f>
        <v>Session 12: IP-Posters</v>
      </c>
      <c r="J1926" s="7" t="str">
        <f>IFERROR(__xludf.DUMMYFUNCTION("""COMPUTED_VALUE"""),"Poster Session 4")</f>
        <v>Poster Session 4</v>
      </c>
      <c r="K1926" s="7"/>
      <c r="L1926" s="8">
        <f>IFERROR(__xludf.DUMMYFUNCTION("""COMPUTED_VALUE"""),45868.0)</f>
        <v>45868</v>
      </c>
      <c r="M1926" s="7" t="str">
        <f>IFERROR(__xludf.DUMMYFUNCTION("""COMPUTED_VALUE"""),"11:00-12:30")</f>
        <v>11:00-12:30</v>
      </c>
      <c r="N1926" s="7"/>
    </row>
    <row r="1927">
      <c r="A1927" s="7" t="str">
        <f>IFERROR(__xludf.DUMMYFUNCTION("""COMPUTED_VALUE"""),"711-MAIN")</f>
        <v>711-MAIN</v>
      </c>
      <c r="B1927" s="7" t="str">
        <f>IFERROR(__xludf.DUMMYFUNCTION("""COMPUTED_VALUE"""),"Learning to Rewrite: Generalized LLM-Generated Text Detection")</f>
        <v>Learning to Rewrite: Generalized LLM-Generated Text Detection</v>
      </c>
      <c r="C1927" s="7" t="str">
        <f>IFERROR(__xludf.DUMMYFUNCTION("""COMPUTED_VALUE"""),"Detecting text generated by Large Language Models (LLMs) is crucial, yet current detectors often struggle to generalize in open-world settings. We introduce Learning2Rewrite, a novel framework to detect LLM-generated text with exceptional generalization t"&amp;"o unseen domains. Capitalized on the finding that LLMs inherently modify LLM-generated content less than human-written text when rewriting, we train an LLM to amplify this disparity, yielding a more distinguishable and generalizable edit distance across d"&amp;"iverse text distributions. Extensive experiments on data from 21 independent domains and four major LLMs (GPT-3.5, GPT-4, Gemini, and Llama-3) demonstrate that our detector outperforms state-of-the-art detection methods by up to 23.04\% in AUROC for in-di"&amp;"stribution tests, 35.10\% for out-of-distribution tests, and 48.66\% under adversarial attacks. Our unique training objective ensures better generalizability compared to directly training for classification, even when leveraging the same amount of tunable"&amp;" parameters. Our findings suggest that reinforcing LLMs’ inherent rewriting tendencies offers a robust and scalable solution for detecting LLM-generated text.")</f>
        <v>Detecting text generated by Large Language Models (LLMs) is crucial, yet current detectors often struggle to generalize in open-world settings. We introduce Learning2Rewrite, a novel framework to detect LLM-generated text with exceptional generalization to unseen domains. Capitalized on the finding that LLMs inherently modify LLM-generated content less than human-written text when rewriting, we train an LLM to amplify this disparity, yielding a more distinguishable and generalizable edit distance across diverse text distributions. Extensive experiments on data from 21 independent domains and four major LLMs (GPT-3.5, GPT-4, Gemini, and Llama-3) demonstrate that our detector outperforms state-of-the-art detection methods by up to 23.04\% in AUROC for in-distribution tests, 35.10\% for out-of-distribution tests, and 48.66\% under adversarial attacks. Our unique training objective ensures better generalizability compared to directly training for classification, even when leveraging the same amount of tunable parameters. Our findings suggest that reinforcing LLMs’ inherent rewriting tendencies offers a robust and scalable solution for detecting LLM-generated text.</v>
      </c>
      <c r="D1927" s="7" t="str">
        <f>IFERROR(__xludf.DUMMYFUNCTION("""COMPUTED_VALUE"""),"Wei Hao")</f>
        <v>Wei Hao</v>
      </c>
      <c r="E1927" s="7" t="str">
        <f>IFERROR(__xludf.DUMMYFUNCTION("""COMPUTED_VALUE"""),"Yes")</f>
        <v>Yes</v>
      </c>
      <c r="F1927" s="7" t="str">
        <f>IFERROR(__xludf.DUMMYFUNCTION("""COMPUTED_VALUE"""),"V-Presentation")</f>
        <v>V-Presentation</v>
      </c>
      <c r="G1927" s="7" t="str">
        <f>IFERROR(__xludf.DUMMYFUNCTION("""COMPUTED_VALUE"""),"Virtual/Gather")</f>
        <v>Virtual/Gather</v>
      </c>
      <c r="H1927" s="7" t="str">
        <f>IFERROR(__xludf.DUMMYFUNCTION("""COMPUTED_VALUE"""),"Zoom")</f>
        <v>Zoom</v>
      </c>
      <c r="I1927" s="7" t="str">
        <f>IFERROR(__xludf.DUMMYFUNCTION("""COMPUTED_VALUE"""),"Session 10: V-Presenations")</f>
        <v>Session 10: V-Presenations</v>
      </c>
      <c r="J1927" s="7" t="str">
        <f>IFERROR(__xludf.DUMMYFUNCTION("""COMPUTED_VALUE"""),"Virtual Presentations 3")</f>
        <v>Virtual Presentations 3</v>
      </c>
      <c r="K1927" s="7"/>
      <c r="L1927" s="8">
        <f>IFERROR(__xludf.DUMMYFUNCTION("""COMPUTED_VALUE"""),45867.0)</f>
        <v>45867</v>
      </c>
      <c r="M1927" s="7" t="str">
        <f>IFERROR(__xludf.DUMMYFUNCTION("""COMPUTED_VALUE"""),"16:00-17:30")</f>
        <v>16:00-17:30</v>
      </c>
      <c r="N1927" s="7"/>
    </row>
    <row r="1928">
      <c r="A1928" s="7" t="str">
        <f>IFERROR(__xludf.DUMMYFUNCTION("""COMPUTED_VALUE"""),"712-MAIN")</f>
        <v>712-MAIN</v>
      </c>
      <c r="B1928" s="7" t="str">
        <f>IFERROR(__xludf.DUMMYFUNCTION("""COMPUTED_VALUE"""),"Evaluating Multimodal Large Language Models on Video Captioning via Monte Carlo Tree Search")</f>
        <v>Evaluating Multimodal Large Language Models on Video Captioning via Monte Carlo Tree Search</v>
      </c>
      <c r="C1928" s="7" t="str">
        <f>IFERROR(__xludf.DUMMYFUNCTION("""COMPUTED_VALUE"""),"Video captioning can be used to assess the video understanding capabilities of Multimodal Large Language Models (MLLMs).
However, existing benchmarks and evaluation protocols suffer from crucial issues, such as inadequate or homogeneous creation of key po"&amp;"ints, exorbitant cost of data creation, and limited evaluation scopes. To address these issues, we propose an automatic framework, named AutoCaption, which leverages Monte Carlo Tree Search (MCTS) to construct numerous and diverse descriptive sentences (\"&amp;"textit{i.e.}, key points) that thoroughly represent video content in an iterative way. This iterative captioning strategy enables the continuous enhancement of video details such as actions, objects' attributes, environment details, etc. We apply AutoCapt"&amp;"ion to curate MCTS-VCB, a fine-grained video caption benchmark covering video details, thereby enabling a comprehensive evaluation of MLLMs on the video captioning task. We evaluate more than 20 open- and closed-source MLLMs of varying sizes on MCTS-VCB. "&amp;"Results show that MCTS-VCB can effectively and comprehensively evaluate the video captioning capability, with Gemini-1.5-Pro achieving the highest F1 score of 71.2. Interestingly, we fine-tune InternVL2.5-8B with the AutoCaption-generated data, which help"&amp;"s the model achieve an overall improvement of 25.0% on MCTS-VCB and 16.3% on DREAM-1K, further demonstrating the effectiveness of AutoCaption. The code and data are available at \url{https://github.com/tjunlp-lab/MCTS-VCB}.")</f>
        <v>Video captioning can be used to assess the video understanding capabilities of Multimodal Large Language Models (MLLMs).
However, existing benchmarks and evaluation protocols suffer from crucial issues, such as inadequate or homogeneous creation of key points, exorbitant cost of data creation, and limited evaluation scopes. To address these issues, we propose an automatic framework, named AutoCaption, which leverages Monte Carlo Tree Search (MCTS) to construct numerous and diverse descriptive sentences (\textit{i.e.}, key points) that thoroughly represent video content in an iterative way. This iterative captioning strategy enables the continuous enhancement of video details such as actions, objects' attributes, environment details, etc. We apply AutoCaption to curate MCTS-VCB, a fine-grained video caption benchmark covering video details, thereby enabling a comprehensive evaluation of MLLMs on the video captioning task. We evaluate more than 20 open- and closed-source MLLMs of varying sizes on MCTS-VCB. Results show that MCTS-VCB can effectively and comprehensively evaluate the video captioning capability, with Gemini-1.5-Pro achieving the highest F1 score of 71.2. Interestingly, we fine-tune InternVL2.5-8B with the AutoCaption-generated data, which helps the model achieve an overall improvement of 25.0% on MCTS-VCB and 16.3% on DREAM-1K, further demonstrating the effectiveness of AutoCaption. The code and data are available at \url{https://github.com/tjunlp-lab/MCTS-VCB}.</v>
      </c>
      <c r="D1928" s="7" t="str">
        <f>IFERROR(__xludf.DUMMYFUNCTION("""COMPUTED_VALUE"""),"Xingguang Ji")</f>
        <v>Xingguang Ji</v>
      </c>
      <c r="E1928" s="7" t="str">
        <f>IFERROR(__xludf.DUMMYFUNCTION("""COMPUTED_VALUE"""),"Yes")</f>
        <v>Yes</v>
      </c>
      <c r="F1928" s="7" t="str">
        <f>IFERROR(__xludf.DUMMYFUNCTION("""COMPUTED_VALUE"""),"IP-Poster")</f>
        <v>IP-Poster</v>
      </c>
      <c r="G1928" s="7" t="str">
        <f>IFERROR(__xludf.DUMMYFUNCTION("""COMPUTED_VALUE"""),"In-Person")</f>
        <v>In-Person</v>
      </c>
      <c r="H1928" s="7" t="str">
        <f>IFERROR(__xludf.DUMMYFUNCTION("""COMPUTED_VALUE"""),"Hall 4/5")</f>
        <v>Hall 4/5</v>
      </c>
      <c r="I1928" s="7" t="str">
        <f>IFERROR(__xludf.DUMMYFUNCTION("""COMPUTED_VALUE"""),"Session 7: IP-Posters")</f>
        <v>Session 7: IP-Posters</v>
      </c>
      <c r="J1928" s="7" t="str">
        <f>IFERROR(__xludf.DUMMYFUNCTION("""COMPUTED_VALUE"""),"Poster Session 2")</f>
        <v>Poster Session 2</v>
      </c>
      <c r="K1928" s="7"/>
      <c r="L1928" s="8">
        <f>IFERROR(__xludf.DUMMYFUNCTION("""COMPUTED_VALUE"""),45867.0)</f>
        <v>45867</v>
      </c>
      <c r="M1928" s="7" t="str">
        <f>IFERROR(__xludf.DUMMYFUNCTION("""COMPUTED_VALUE"""),"10:30-12:00")</f>
        <v>10:30-12:00</v>
      </c>
      <c r="N1928" s="7"/>
    </row>
    <row r="1929">
      <c r="A1929" s="7" t="str">
        <f>IFERROR(__xludf.DUMMYFUNCTION("""COMPUTED_VALUE"""),"715-MAIN")</f>
        <v>715-MAIN</v>
      </c>
      <c r="B1929" s="7" t="str">
        <f>IFERROR(__xludf.DUMMYFUNCTION("""COMPUTED_VALUE"""),"GIFT-SW: Gaussian noise Injected Fine-Tuning of Salient Weights for LLMs")</f>
        <v>GIFT-SW: Gaussian noise Injected Fine-Tuning of Salient Weights for LLMs</v>
      </c>
      <c r="C1929" s="7" t="str">
        <f>IFERROR(__xludf.DUMMYFUNCTION("""COMPUTED_VALUE"""),"Parameter Efficient Fine-Tuning (PEFT) methods have gained popularity and democratized the usage of Large Language Models (LLMs). Recent studies have shown that a small subset of weights significantly impacts performance. Based on this observation, we int"&amp;"roduce a novel PEFT method, called Gaussian noise Injected Fine Tuning of Salient Weights (GIFT-SW). Our method updates only salient columns, while injecting Gaussian noise into non-salient ones. To identify these columns, we developed a generalized sensi"&amp;"tivity metric that extends and unifies metrics from previous studies. Experiments with LLaMA models demonstrate that GIFT-SW outperforms full fine-tuning and modern PEFT methods under the same computational budget. Moreover, GIFT-SW offers practical advan"&amp;"tages to recover performance of models subjected to mixed-precision quantization with keeping salient weights in full precision.")</f>
        <v>Parameter Efficient Fine-Tuning (PEFT) methods have gained popularity and democratized the usage of Large Language Models (LLMs). Recent studies have shown that a small subset of weights significantly impacts performance. Based on this observation, we introduce a novel PEFT method, called Gaussian noise Injected Fine Tuning of Salient Weights (GIFT-SW). Our method updates only salient columns, while injecting Gaussian noise into non-salient ones. To identify these columns, we developed a generalized sensitivity metric that extends and unifies metrics from previous studies. Experiments with LLaMA models demonstrate that GIFT-SW outperforms full fine-tuning and modern PEFT methods under the same computational budget. Moreover, GIFT-SW offers practical advantages to recover performance of models subjected to mixed-precision quantization with keeping salient weights in full precision.</v>
      </c>
      <c r="D1929" s="7" t="str">
        <f>IFERROR(__xludf.DUMMYFUNCTION("""COMPUTED_VALUE"""),"Viktor Moskvoretskii")</f>
        <v>Viktor Moskvoretskii</v>
      </c>
      <c r="E1929" s="7" t="str">
        <f>IFERROR(__xludf.DUMMYFUNCTION("""COMPUTED_VALUE"""),"Yes")</f>
        <v>Yes</v>
      </c>
      <c r="F1929" s="7" t="str">
        <f>IFERROR(__xludf.DUMMYFUNCTION("""COMPUTED_VALUE"""),"IP-Poster")</f>
        <v>IP-Poster</v>
      </c>
      <c r="G1929" s="7" t="str">
        <f>IFERROR(__xludf.DUMMYFUNCTION("""COMPUTED_VALUE"""),"In-Person")</f>
        <v>In-Person</v>
      </c>
      <c r="H1929" s="7" t="str">
        <f>IFERROR(__xludf.DUMMYFUNCTION("""COMPUTED_VALUE"""),"Hall 4/5")</f>
        <v>Hall 4/5</v>
      </c>
      <c r="I1929" s="7" t="str">
        <f>IFERROR(__xludf.DUMMYFUNCTION("""COMPUTED_VALUE"""),"Session 10: IP-Posters")</f>
        <v>Session 10: IP-Posters</v>
      </c>
      <c r="J1929" s="7" t="str">
        <f>IFERROR(__xludf.DUMMYFUNCTION("""COMPUTED_VALUE"""),"Poster Session 3")</f>
        <v>Poster Session 3</v>
      </c>
      <c r="K1929" s="7"/>
      <c r="L1929" s="8">
        <f>IFERROR(__xludf.DUMMYFUNCTION("""COMPUTED_VALUE"""),45867.0)</f>
        <v>45867</v>
      </c>
      <c r="M1929" s="7" t="str">
        <f>IFERROR(__xludf.DUMMYFUNCTION("""COMPUTED_VALUE"""),"16:00-17:30")</f>
        <v>16:00-17:30</v>
      </c>
      <c r="N1929" s="7"/>
    </row>
    <row r="1930">
      <c r="A1930" s="7" t="str">
        <f>IFERROR(__xludf.DUMMYFUNCTION("""COMPUTED_VALUE"""),"717-MAIN")</f>
        <v>717-MAIN</v>
      </c>
      <c r="B1930" s="7" t="str">
        <f>IFERROR(__xludf.DUMMYFUNCTION("""COMPUTED_VALUE"""),"Quaff: Quantized Parameter-Efficient Fine-Tuning under Outlier Spatial Stability Hypothesis")</f>
        <v>Quaff: Quantized Parameter-Efficient Fine-Tuning under Outlier Spatial Stability Hypothesis</v>
      </c>
      <c r="C1930" s="7" t="str">
        <f>IFERROR(__xludf.DUMMYFUNCTION("""COMPUTED_VALUE"""),"Large language models (LLMs) have made exciting achievements across various domains, yet their deployment on resource-constrained personal devices remains hindered by the prohibitive computational and memory demands of task-specific fine-tuning. While qua"&amp;"ntization offers a pathway to efficiency, existing methods struggle to balance performance and overhead, either incurring high computational/memory costs or failing to address activation outliers—a critical bottleneck in quantized fine-tuning. To address "&amp;"these challenges, we propose the Outlier Spatial Stability Hypothesis (__OSSH__): _During fine-tuning, certain activation outlier channels retain stable spatial positions across training iterations._ Building on OSSH, we propose __Quaff__, a Quantized par"&amp;"ameter-efficient fine-tuning framework for LLMs, optimizing low-precision activation representations through targeted momentum scaling. Quaff dynamically suppresses outliers exclusively in invariant channels using lightweight operations, eliminating full-"&amp;"precision weight storage and global rescaling while reducing quantization errors. Extensive experiments across ten benchmarks validate OSSH and demonstrate Quaff’s efficacy. Specifically, on the GPQA reasoning benchmark, Quaff achieves a $1.73\times$ late"&amp;"ncy reduction and 30% memory savings over full-precision fine-tuning while improving accuracy by 0.6% on the Phi-3 model, reconciling the triple trade-off between efficiency, performance, and deployability. By enabling consumer-grade GPU fine-tuning (e.g."&amp;", RTX 2080 Super) without sacrificing model utility, Quaff democratizes personalized LLM deployment. The code is available at https://anonymous.4open.science/r/Quaff-B322/.")</f>
        <v>Large language models (LLMs) have made exciting achievements across various domains, yet their deployment on resource-constrained personal devices remains hindered by the prohibitive computational and memory demands of task-specific fine-tuning. While quantization offers a pathway to efficiency, existing methods struggle to balance performance and overhead, either incurring high computational/memory costs or failing to address activation outliers—a critical bottleneck in quantized fine-tuning. To address these challenges, we propose the Outlier Spatial Stability Hypothesis (__OSSH__): _During fine-tuning, certain activation outlier channels retain stable spatial positions across training iterations._ Building on OSSH, we propose __Quaff__, a Quantized parameter-efficient fine-tuning framework for LLMs, optimizing low-precision activation representations through targeted momentum scaling. Quaff dynamically suppresses outliers exclusively in invariant channels using lightweight operations, eliminating full-precision weight storage and global rescaling while reducing quantization errors. Extensive experiments across ten benchmarks validate OSSH and demonstrate Quaff’s efficacy. Specifically, on the GPQA reasoning benchmark, Quaff achieves a $1.73\times$ latency reduction and 30% memory savings over full-precision fine-tuning while improving accuracy by 0.6% on the Phi-3 model, reconciling the triple trade-off between efficiency, performance, and deployability. By enabling consumer-grade GPU fine-tuning (e.g., RTX 2080 Super) without sacrificing model utility, Quaff democratizes personalized LLM deployment. The code is available at https://anonymous.4open.science/r/Quaff-B322/.</v>
      </c>
      <c r="D1930" s="7" t="str">
        <f>IFERROR(__xludf.DUMMYFUNCTION("""COMPUTED_VALUE"""),"Hong Huang")</f>
        <v>Hong Huang</v>
      </c>
      <c r="E1930" s="7" t="str">
        <f>IFERROR(__xludf.DUMMYFUNCTION("""COMPUTED_VALUE"""),"Yes")</f>
        <v>Yes</v>
      </c>
      <c r="F1930" s="7" t="str">
        <f>IFERROR(__xludf.DUMMYFUNCTION("""COMPUTED_VALUE"""),"IP-Poster")</f>
        <v>IP-Poster</v>
      </c>
      <c r="G1930" s="7" t="str">
        <f>IFERROR(__xludf.DUMMYFUNCTION("""COMPUTED_VALUE"""),"In-Person")</f>
        <v>In-Person</v>
      </c>
      <c r="H1930" s="7" t="str">
        <f>IFERROR(__xludf.DUMMYFUNCTION("""COMPUTED_VALUE"""),"Hall 4/5")</f>
        <v>Hall 4/5</v>
      </c>
      <c r="I1930" s="7" t="str">
        <f>IFERROR(__xludf.DUMMYFUNCTION("""COMPUTED_VALUE"""),"Session 10: IP-Posters")</f>
        <v>Session 10: IP-Posters</v>
      </c>
      <c r="J1930" s="7" t="str">
        <f>IFERROR(__xludf.DUMMYFUNCTION("""COMPUTED_VALUE"""),"Poster Session 3")</f>
        <v>Poster Session 3</v>
      </c>
      <c r="K1930" s="7"/>
      <c r="L1930" s="8">
        <f>IFERROR(__xludf.DUMMYFUNCTION("""COMPUTED_VALUE"""),45867.0)</f>
        <v>45867</v>
      </c>
      <c r="M1930" s="7" t="str">
        <f>IFERROR(__xludf.DUMMYFUNCTION("""COMPUTED_VALUE"""),"16:00-17:30")</f>
        <v>16:00-17:30</v>
      </c>
      <c r="N1930" s="7"/>
    </row>
    <row r="1931">
      <c r="A1931" s="7" t="str">
        <f>IFERROR(__xludf.DUMMYFUNCTION("""COMPUTED_VALUE"""),"719-MAIN")</f>
        <v>719-MAIN</v>
      </c>
      <c r="B1931" s="7" t="str">
        <f>IFERROR(__xludf.DUMMYFUNCTION("""COMPUTED_VALUE"""),"Unsolvable Problem Detection: Robust Understanding Evaluation for Large Multimodal Models")</f>
        <v>Unsolvable Problem Detection: Robust Understanding Evaluation for Large Multimodal Models</v>
      </c>
      <c r="C1931" s="7" t="str">
        <f>IFERROR(__xludf.DUMMYFUNCTION("""COMPUTED_VALUE"""),"This paper introduces a novel task to evaluate the robust understanding capability of Large Multimodal Models (LMMs), termed Unsolvable Problem Detection (UPD). Multiple-choice question answering (MCQA) is widely used to assess the understanding capabilit"&amp;"y of LMMs, but it does not guarantee that LMMs truly comprehend the answer. UPD assesses the LMM's ability to withhold answers when encountering unsolvable problems of MCQA, verifying whether the model truly understands the answer. UPD encompasses three p"&amp;"roblems: Absent Answer Detection (AAD), Incompatible Answer Set Detection (IASD), and Incompatible Visual Question Detection (IVQD), covering unsolvable cases like answer-lacking or incompatible choices and image-question mismatches. For the evaluation, w"&amp;"e introduce the MM-UPD Bench, a benchmark for assessing performance across various ability dimensions. Our experiments reveal that even most LMMs, which demonstrate adequate performance on existing benchmarks, struggle significantly with MM-UPD, underscor"&amp;"ing a novel aspect of trustworthiness that current benchmarks have overlooked. A detailed analysis shows that LMMs have different bottlenecks and chain-of-thought and self-reflection improved performance for LMMs with the bottleneck in their LLM capabilit"&amp;"y. We hope our insights will enhance the broader understanding and development of more reliable LMMs.")</f>
        <v>This paper introduces a novel task to evaluate the robust understanding capability of Large Multimodal Models (LMMs), termed Unsolvable Problem Detection (UPD). Multiple-choice question answering (MCQA) is widely used to assess the understanding capability of LMMs, but it does not guarantee that LMMs truly comprehend the answer. UPD assesses the LMM's ability to withhold answers when encountering unsolvable problems of MCQA, verifying whether the model truly understands the answer. UPD encompasses three problems: Absent Answer Detection (AAD), Incompatible Answer Set Detection (IASD), and Incompatible Visual Question Detection (IVQD), covering unsolvable cases like answer-lacking or incompatible choices and image-question mismatches. For the evaluation, we introduce the MM-UPD Bench, a benchmark for assessing performance across various ability dimensions. Our experiments reveal that even most LMMs, which demonstrate adequate performance on existing benchmarks, struggle significantly with MM-UPD, underscoring a novel aspect of trustworthiness that current benchmarks have overlooked. A detailed analysis shows that LMMs have different bottlenecks and chain-of-thought and self-reflection improved performance for LMMs with the bottleneck in their LLM capability. We hope our insights will enhance the broader understanding and development of more reliable LMMs.</v>
      </c>
      <c r="D1931" s="7" t="str">
        <f>IFERROR(__xludf.DUMMYFUNCTION("""COMPUTED_VALUE"""),"Atsuyuki Miyai")</f>
        <v>Atsuyuki Miyai</v>
      </c>
      <c r="E1931" s="7" t="str">
        <f>IFERROR(__xludf.DUMMYFUNCTION("""COMPUTED_VALUE"""),"Yes")</f>
        <v>Yes</v>
      </c>
      <c r="F1931" s="7" t="str">
        <f>IFERROR(__xludf.DUMMYFUNCTION("""COMPUTED_VALUE"""),"IP-Poster")</f>
        <v>IP-Poster</v>
      </c>
      <c r="G1931" s="7" t="str">
        <f>IFERROR(__xludf.DUMMYFUNCTION("""COMPUTED_VALUE"""),"In-Person")</f>
        <v>In-Person</v>
      </c>
      <c r="H1931" s="7" t="str">
        <f>IFERROR(__xludf.DUMMYFUNCTION("""COMPUTED_VALUE"""),"Hall 4/5")</f>
        <v>Hall 4/5</v>
      </c>
      <c r="I1931" s="7" t="str">
        <f>IFERROR(__xludf.DUMMYFUNCTION("""COMPUTED_VALUE"""),"Session 2: IP-Posters ")</f>
        <v>Session 2: IP-Posters </v>
      </c>
      <c r="J1931" s="7" t="str">
        <f>IFERROR(__xludf.DUMMYFUNCTION("""COMPUTED_VALUE"""),"Poster Session 1")</f>
        <v>Poster Session 1</v>
      </c>
      <c r="K1931" s="7"/>
      <c r="L1931" s="8">
        <f>IFERROR(__xludf.DUMMYFUNCTION("""COMPUTED_VALUE"""),45866.0)</f>
        <v>45866</v>
      </c>
      <c r="M1931" s="7" t="str">
        <f>IFERROR(__xludf.DUMMYFUNCTION("""COMPUTED_VALUE"""),"11:00-12:30")</f>
        <v>11:00-12:30</v>
      </c>
      <c r="N1931" s="7"/>
    </row>
    <row r="1932">
      <c r="A1932" s="7" t="str">
        <f>IFERROR(__xludf.DUMMYFUNCTION("""COMPUTED_VALUE"""),"720-MAIN")</f>
        <v>720-MAIN</v>
      </c>
      <c r="B1932" s="7" t="str">
        <f>IFERROR(__xludf.DUMMYFUNCTION("""COMPUTED_VALUE"""),"AlignMMBench: Evaluating Chinese Multimodal Alignment in Large Vision-Language Models")</f>
        <v>AlignMMBench: Evaluating Chinese Multimodal Alignment in Large Vision-Language Models</v>
      </c>
      <c r="C1932" s="7" t="str">
        <f>IFERROR(__xludf.DUMMYFUNCTION("""COMPUTED_VALUE"""),"Evaluating the alignment capabilities of large Vision-Language Models (VLMs) is essential for determining their effectiveness as helpful assistants. 
However, existing benchmarks primarily focus on basic abilities using nonverbal methods, such as yes-no a"&amp;"nd multiple-choice questions. 
In this paper, we address this gap by introducing AlignMMBench, which provides more nuanced evaluations of alignment capabilities and is the first benchmark specifically designed for Chinese visual contexts. 
This benchmark "&amp;"is meticulously curated from real-world scenarios and internet sources, encompassing thirteen specific tasks across three categories, and includes both single-turn and multi-turn dialogue scenarios. 
Incorporating a prompt rewrite strategy, AlignMMBench e"&amp;"ncompasses 1,054 images and 4,978 question-answer pairs. 
To facilitate the evaluation pipeline, we develop CritiqueVLM, a rule-calibrated evaluator that exceeds GPT-4's evaluation ability. 
Additionally, we measure the “alignment score”, a quantitative m"&amp;"etric designed to assess the robustness and stability of models across diverse prompts. 
Finally, we evaluate the performance of representative VLMs on AlignMMBench, offering insights into the capabilities and limitations of different VLM architectures. 
"&amp;"The evaluation code and data are available at https://github.com/THUDM/AlignMMBench.")</f>
        <v>Evaluating the alignment capabilities of large Vision-Language Models (VLMs) is essential for determining their effectiveness as helpful assistants. 
However, existing benchmarks primarily focus on basic abilities using nonverbal methods, such as yes-no and multiple-choice questions. 
In this paper, we address this gap by introducing AlignMMBench, which provides more nuanced evaluations of alignment capabilities and is the first benchmark specifically designed for Chinese visual contexts. 
This benchmark is meticulously curated from real-world scenarios and internet sources, encompassing thirteen specific tasks across three categories, and includes both single-turn and multi-turn dialogue scenarios. 
Incorporating a prompt rewrite strategy, AlignMMBench encompasses 1,054 images and 4,978 question-answer pairs. 
To facilitate the evaluation pipeline, we develop CritiqueVLM, a rule-calibrated evaluator that exceeds GPT-4's evaluation ability. 
Additionally, we measure the “alignment score”, a quantitative metric designed to assess the robustness and stability of models across diverse prompts. 
Finally, we evaluate the performance of representative VLMs on AlignMMBench, offering insights into the capabilities and limitations of different VLM architectures. 
The evaluation code and data are available at https://github.com/THUDM/AlignMMBench.</v>
      </c>
      <c r="D1932" s="7" t="str">
        <f>IFERROR(__xludf.DUMMYFUNCTION("""COMPUTED_VALUE"""),"Yuhang Wu")</f>
        <v>Yuhang Wu</v>
      </c>
      <c r="E1932" s="7" t="str">
        <f>IFERROR(__xludf.DUMMYFUNCTION("""COMPUTED_VALUE"""),"Yes")</f>
        <v>Yes</v>
      </c>
      <c r="F1932" s="7" t="str">
        <f>IFERROR(__xludf.DUMMYFUNCTION("""COMPUTED_VALUE"""),"IP-Poster")</f>
        <v>IP-Poster</v>
      </c>
      <c r="G1932" s="7" t="str">
        <f>IFERROR(__xludf.DUMMYFUNCTION("""COMPUTED_VALUE"""),"In-Person")</f>
        <v>In-Person</v>
      </c>
      <c r="H1932" s="7" t="str">
        <f>IFERROR(__xludf.DUMMYFUNCTION("""COMPUTED_VALUE"""),"Hall 4/5")</f>
        <v>Hall 4/5</v>
      </c>
      <c r="I1932" s="7" t="str">
        <f>IFERROR(__xludf.DUMMYFUNCTION("""COMPUTED_VALUE"""),"Session 7: IP-Posters")</f>
        <v>Session 7: IP-Posters</v>
      </c>
      <c r="J1932" s="7" t="str">
        <f>IFERROR(__xludf.DUMMYFUNCTION("""COMPUTED_VALUE"""),"Poster Session 2")</f>
        <v>Poster Session 2</v>
      </c>
      <c r="K1932" s="7"/>
      <c r="L1932" s="8">
        <f>IFERROR(__xludf.DUMMYFUNCTION("""COMPUTED_VALUE"""),45867.0)</f>
        <v>45867</v>
      </c>
      <c r="M1932" s="7" t="str">
        <f>IFERROR(__xludf.DUMMYFUNCTION("""COMPUTED_VALUE"""),"10:30-12:00")</f>
        <v>10:30-12:00</v>
      </c>
      <c r="N1932" s="7"/>
    </row>
    <row r="1933">
      <c r="A1933" s="7" t="str">
        <f>IFERROR(__xludf.DUMMYFUNCTION("""COMPUTED_VALUE"""),"722-MAIN")</f>
        <v>722-MAIN</v>
      </c>
      <c r="B1933" s="7" t="str">
        <f>IFERROR(__xludf.DUMMYFUNCTION("""COMPUTED_VALUE"""),"Biased LLMs can Influence Political Decision-Making")</f>
        <v>Biased LLMs can Influence Political Decision-Making</v>
      </c>
      <c r="C1933" s="7" t="str">
        <f>IFERROR(__xludf.DUMMYFUNCTION("""COMPUTED_VALUE"""),"As modern large language models (LLMs) become integral to everyday tasks, concerns about their inherent biases and their potential impact on human decision-making have emerged. While bias in models are well-documented, less is known about how these biases"&amp;" influence human decisions. This paper presents two interactive experiments investigating the effects of partisan bias in LLMs on political opinions and decision-making. Participants interacted freely with either a biased liberal, biased conservative, or "&amp;"unbiased control model while completing these tasks. We found that participants exposed to partisan biased models were significantly more likely to adopt opinions and make decisions which matched the LLM's bias. Even more surprising, this influence was se"&amp;"en when the model bias and personal political partisanship of the participant were opposite. However, we also discovered that prior knowledge of AI was weakly correlated with a reduction of the impact of the bias, highlighting the possible importance of A"&amp;"I education for robust mitigation of bias effects. Our findings not only highlight the critical effects of interacting with biased LLMs and its ability to impact public discourse and political conduct, but also highlights potential techniques for mitigati"&amp;"ng these risks in the future.")</f>
        <v>As modern large language models (LLMs) become integral to everyday tasks, concerns about their inherent biases and their potential impact on human decision-making have emerged. While bias in models are well-documented, less is known about how these biases influence human decisions. This paper presents two interactive experiments investigating the effects of partisan bias in LLMs on political opinions and decision-making. Participants interacted freely with either a biased liberal, biased conservative, or unbiased control model while completing these tasks. We found that participants exposed to partisan biased models were significantly more likely to adopt opinions and make decisions which matched the LLM's bias. Even more surprising, this influence was seen when the model bias and personal political partisanship of the participant were opposite. However, we also discovered that prior knowledge of AI was weakly correlated with a reduction of the impact of the bias, highlighting the possible importance of AI education for robust mitigation of bias effects. Our findings not only highlight the critical effects of interacting with biased LLMs and its ability to impact public discourse and political conduct, but also highlights potential techniques for mitigating these risks in the future.</v>
      </c>
      <c r="D1933" s="7" t="str">
        <f>IFERROR(__xludf.DUMMYFUNCTION("""COMPUTED_VALUE"""),"Jillian Fisher")</f>
        <v>Jillian Fisher</v>
      </c>
      <c r="E1933" s="7" t="str">
        <f>IFERROR(__xludf.DUMMYFUNCTION("""COMPUTED_VALUE"""),"Yes")</f>
        <v>Yes</v>
      </c>
      <c r="F1933" s="7" t="str">
        <f>IFERROR(__xludf.DUMMYFUNCTION("""COMPUTED_VALUE"""),"IP-Oral")</f>
        <v>IP-Oral</v>
      </c>
      <c r="G1933" s="7" t="str">
        <f>IFERROR(__xludf.DUMMYFUNCTION("""COMPUTED_VALUE"""),"In-Person")</f>
        <v>In-Person</v>
      </c>
      <c r="H1933" s="7" t="str">
        <f>IFERROR(__xludf.DUMMYFUNCTION("""COMPUTED_VALUE"""),"Room 1.62")</f>
        <v>Room 1.62</v>
      </c>
      <c r="I1933" s="7" t="str">
        <f>IFERROR(__xludf.DUMMYFUNCTION("""COMPUTED_VALUE"""),"Session 3: IP-Orals")</f>
        <v>Session 3: IP-Orals</v>
      </c>
      <c r="J1933" s="7" t="str">
        <f>IFERROR(__xludf.DUMMYFUNCTION("""COMPUTED_VALUE"""),"Human-centered NLP")</f>
        <v>Human-centered NLP</v>
      </c>
      <c r="K1933" s="7"/>
      <c r="L1933" s="8">
        <f>IFERROR(__xludf.DUMMYFUNCTION("""COMPUTED_VALUE"""),45866.0)</f>
        <v>45866</v>
      </c>
      <c r="M1933" s="7" t="str">
        <f>IFERROR(__xludf.DUMMYFUNCTION("""COMPUTED_VALUE"""),"14:00-15:30")</f>
        <v>14:00-15:30</v>
      </c>
      <c r="N1933" s="7">
        <f>IFERROR(__xludf.DUMMYFUNCTION("""COMPUTED_VALUE"""),2.0)</f>
        <v>2</v>
      </c>
    </row>
    <row r="1934">
      <c r="A1934" s="7" t="str">
        <f>IFERROR(__xludf.DUMMYFUNCTION("""COMPUTED_VALUE"""),"723-MAIN")</f>
        <v>723-MAIN</v>
      </c>
      <c r="B1934" s="7" t="str">
        <f>IFERROR(__xludf.DUMMYFUNCTION("""COMPUTED_VALUE"""),"LexTempus: Enhancing Temporal Generalizability of Legal Language Models Through Dynamic Mixture of Experts")</f>
        <v>LexTempus: Enhancing Temporal Generalizability of Legal Language Models Through Dynamic Mixture of Experts</v>
      </c>
      <c r="C1934" s="7" t="str">
        <f>IFERROR(__xludf.DUMMYFUNCTION("""COMPUTED_VALUE"""),"The rapid evolution of legal concepts over time necessitates that legal language models adapt swiftly accounting for the temporal dynamics. However, prior works have largely neglected this crucial dimension, treating legal adaptation as a static problem r"&amp;"ather than a continuous process. To address this gap, we pioneer LexTempus, a dynamic mixture of experts model that explicitly models the temporal evolution of legal language in a parameter-efficient online learning framework. LexTempus starts with a sing"&amp;"le lightweight adapter expert and dynamically expands by adding new experts as significant deviations in the data distribution are detected. This self-expansion strategy allows LexTempus to adapt to new information without forgetting past knowledge, there"&amp;"by improving temporal generalization. We use a a non-parametric similarity-based router to merge relevant experts into a unified expert for each test instance, ensuring efficient inference without additional overhead. We validate the effectiveness of LexT"&amp;"empus on ECHR and EU case law datasets, demonstrating its superiority in both perplexity and open-ended text generation quality metrics.")</f>
        <v>The rapid evolution of legal concepts over time necessitates that legal language models adapt swiftly accounting for the temporal dynamics. However, prior works have largely neglected this crucial dimension, treating legal adaptation as a static problem rather than a continuous process. To address this gap, we pioneer LexTempus, a dynamic mixture of experts model that explicitly models the temporal evolution of legal language in a parameter-efficient online learning framework. LexTempus starts with a single lightweight adapter expert and dynamically expands by adding new experts as significant deviations in the data distribution are detected. This self-expansion strategy allows LexTempus to adapt to new information without forgetting past knowledge, thereby improving temporal generalization. We use a a non-parametric similarity-based router to merge relevant experts into a unified expert for each test instance, ensuring efficient inference without additional overhead. We validate the effectiveness of LexTempus on ECHR and EU case law datasets, demonstrating its superiority in both perplexity and open-ended text generation quality metrics.</v>
      </c>
      <c r="D1934" s="7" t="str">
        <f>IFERROR(__xludf.DUMMYFUNCTION("""COMPUTED_VALUE"""),"Tuan-Quang Vuong")</f>
        <v>Tuan-Quang Vuong</v>
      </c>
      <c r="E1934" s="7" t="str">
        <f>IFERROR(__xludf.DUMMYFUNCTION("""COMPUTED_VALUE"""),"Yes")</f>
        <v>Yes</v>
      </c>
      <c r="F1934" s="7" t="str">
        <f>IFERROR(__xludf.DUMMYFUNCTION("""COMPUTED_VALUE"""),"IP-Poster")</f>
        <v>IP-Poster</v>
      </c>
      <c r="G1934" s="7" t="str">
        <f>IFERROR(__xludf.DUMMYFUNCTION("""COMPUTED_VALUE"""),"In-Person")</f>
        <v>In-Person</v>
      </c>
      <c r="H1934" s="7" t="str">
        <f>IFERROR(__xludf.DUMMYFUNCTION("""COMPUTED_VALUE"""),"Hall 4/5")</f>
        <v>Hall 4/5</v>
      </c>
      <c r="I1934" s="7" t="str">
        <f>IFERROR(__xludf.DUMMYFUNCTION("""COMPUTED_VALUE"""),"Session 2: IP-Posters ")</f>
        <v>Session 2: IP-Posters </v>
      </c>
      <c r="J1934" s="7" t="str">
        <f>IFERROR(__xludf.DUMMYFUNCTION("""COMPUTED_VALUE"""),"Poster Session 1")</f>
        <v>Poster Session 1</v>
      </c>
      <c r="K1934" s="7"/>
      <c r="L1934" s="8">
        <f>IFERROR(__xludf.DUMMYFUNCTION("""COMPUTED_VALUE"""),45866.0)</f>
        <v>45866</v>
      </c>
      <c r="M1934" s="7" t="str">
        <f>IFERROR(__xludf.DUMMYFUNCTION("""COMPUTED_VALUE"""),"11:00-12:30")</f>
        <v>11:00-12:30</v>
      </c>
      <c r="N1934" s="7"/>
    </row>
    <row r="1935">
      <c r="A1935" s="7" t="str">
        <f>IFERROR(__xludf.DUMMYFUNCTION("""COMPUTED_VALUE"""),"726-MAIN")</f>
        <v>726-MAIN</v>
      </c>
      <c r="B1935" s="7" t="str">
        <f>IFERROR(__xludf.DUMMYFUNCTION("""COMPUTED_VALUE"""),"That is Unacceptable: the Moral Foundations of Canceling")</f>
        <v>That is Unacceptable: the Moral Foundations of Canceling</v>
      </c>
      <c r="C1935" s="7" t="str">
        <f>IFERROR(__xludf.DUMMYFUNCTION("""COMPUTED_VALUE"""),"Canceling is a morally-driven phenomenon that hinders the development of safe social media platforms and contributes to ideological polarization. To address this issue we present the Canceling Attitudes Detection (CADE) dataset, an annotated corpus of can"&amp;"celing incidents aimed at exploring the factors of disagreements in evaluating people's canceling attitudes on social media. Specifically, we study the impact of annotators' morality in their perception of canceling, showing that morality is an independen"&amp;"t axis for the explanation of disagreement on this phenomenon. Annotator's judgments heavily depend on the type of controversial events and involved celebrities. This shows the need to develop more event-centric datasets to better understand how harms are"&amp;" perpetrated in social media and to develop more aware technologies for their detection.")</f>
        <v>Canceling is a morally-driven phenomenon that hinders the development of safe social media platforms and contributes to ideological polarization. To address this issue we present the Canceling Attitudes Detection (CADE) dataset, an annotated corpus of canceling incidents aimed at exploring the factors of disagreements in evaluating people's canceling attitudes on social media. Specifically, we study the impact of annotators' morality in their perception of canceling, showing that morality is an independent axis for the explanation of disagreement on this phenomenon. Annotator's judgments heavily depend on the type of controversial events and involved celebrities. This shows the need to develop more event-centric datasets to better understand how harms are perpetrated in social media and to develop more aware technologies for their detection.</v>
      </c>
      <c r="D1935" s="7" t="str">
        <f>IFERROR(__xludf.DUMMYFUNCTION("""COMPUTED_VALUE"""),"Marco Antonio Stranisci")</f>
        <v>Marco Antonio Stranisci</v>
      </c>
      <c r="E1935" s="7" t="str">
        <f>IFERROR(__xludf.DUMMYFUNCTION("""COMPUTED_VALUE"""),"Yes")</f>
        <v>Yes</v>
      </c>
      <c r="F1935" s="7" t="str">
        <f>IFERROR(__xludf.DUMMYFUNCTION("""COMPUTED_VALUE"""),"IP-Poster")</f>
        <v>IP-Poster</v>
      </c>
      <c r="G1935" s="7" t="str">
        <f>IFERROR(__xludf.DUMMYFUNCTION("""COMPUTED_VALUE"""),"In-Person")</f>
        <v>In-Person</v>
      </c>
      <c r="H1935" s="7" t="str">
        <f>IFERROR(__xludf.DUMMYFUNCTION("""COMPUTED_VALUE"""),"Hall 4/5")</f>
        <v>Hall 4/5</v>
      </c>
      <c r="I1935" s="7" t="str">
        <f>IFERROR(__xludf.DUMMYFUNCTION("""COMPUTED_VALUE"""),"Session 7: IP-Posters")</f>
        <v>Session 7: IP-Posters</v>
      </c>
      <c r="J1935" s="7" t="str">
        <f>IFERROR(__xludf.DUMMYFUNCTION("""COMPUTED_VALUE"""),"Poster Session 2")</f>
        <v>Poster Session 2</v>
      </c>
      <c r="K1935" s="7"/>
      <c r="L1935" s="8">
        <f>IFERROR(__xludf.DUMMYFUNCTION("""COMPUTED_VALUE"""),45867.0)</f>
        <v>45867</v>
      </c>
      <c r="M1935" s="7" t="str">
        <f>IFERROR(__xludf.DUMMYFUNCTION("""COMPUTED_VALUE"""),"10:30-12:00")</f>
        <v>10:30-12:00</v>
      </c>
      <c r="N1935" s="7"/>
    </row>
    <row r="1936">
      <c r="A1936" s="7" t="str">
        <f>IFERROR(__xludf.DUMMYFUNCTION("""COMPUTED_VALUE"""),"729-MAIN")</f>
        <v>729-MAIN</v>
      </c>
      <c r="B1936" s="7" t="str">
        <f>IFERROR(__xludf.DUMMYFUNCTION("""COMPUTED_VALUE"""),"FloorPlan-LLaMa: Aligning Architects' Feedback and Domain Knowledge in Architectural Floor Plan Generation")</f>
        <v>FloorPlan-LLaMa: Aligning Architects' Feedback and Domain Knowledge in Architectural Floor Plan Generation</v>
      </c>
      <c r="C1936" s="7" t="str">
        <f>IFERROR(__xludf.DUMMYFUNCTION("""COMPUTED_VALUE"""),"Floor plans serve as a graphical language through which architects sketch and communicate their design ideas. Actually, in the Architecture, Engineering, and Construction (AEC) design stages, generating floor plans is a complex task requiring domain exper"&amp;"tise and alignment with user requirements. However, existing evaluation methods for floor plan generation rely mainly on statistical metrics like FID, GED, and PSNR, which often fail to evaluate using domain knowledge. As a result, even high-performing mo"&amp;"dels on these metrics struggle to generate viable floor plans in practice. To address this, (1) we propose ArchiMetricsNet, the first floor plan dataset that includes functionality, flow, and overall evaluation scores, along with detailed textual analyses"&amp;". We trained FloorPlan-MPS (Multi-dimensional Preference Score) on it. (2) We develope FloorPlan-LLaMa, a floor plan generation model based on autoregressive framework. To integrate architects' professional expertise and preferences, FloorPlan-MPS serves "&amp;"as the reward model during the RLHF (Reinforcement Learning from Human Feedback) process, aligning FP-LLaMa with the needs of the architectural community. (3) Comparative experiments demonstrate that our method outperforms baseline models in both text-con"&amp;"ditional and class-conditional tasks. Validation by professional architects confirms that our approach yields more rational plans and aligns better with human preferences.")</f>
        <v>Floor plans serve as a graphical language through which architects sketch and communicate their design ideas. Actually, in the Architecture, Engineering, and Construction (AEC) design stages, generating floor plans is a complex task requiring domain expertise and alignment with user requirements. However, existing evaluation methods for floor plan generation rely mainly on statistical metrics like FID, GED, and PSNR, which often fail to evaluate using domain knowledge. As a result, even high-performing models on these metrics struggle to generate viable floor plans in practice. To address this, (1) we propose ArchiMetricsNet, the first floor plan dataset that includes functionality, flow, and overall evaluation scores, along with detailed textual analyses. We trained FloorPlan-MPS (Multi-dimensional Preference Score) on it. (2) We develope FloorPlan-LLaMa, a floor plan generation model based on autoregressive framework. To integrate architects' professional expertise and preferences, FloorPlan-MPS serves as the reward model during the RLHF (Reinforcement Learning from Human Feedback) process, aligning FP-LLaMa with the needs of the architectural community. (3) Comparative experiments demonstrate that our method outperforms baseline models in both text-conditional and class-conditional tasks. Validation by professional architects confirms that our approach yields more rational plans and aligns better with human preferences.</v>
      </c>
      <c r="D1936" s="7" t="str">
        <f>IFERROR(__xludf.DUMMYFUNCTION("""COMPUTED_VALUE"""),"Jun Yin")</f>
        <v>Jun Yin</v>
      </c>
      <c r="E1936" s="7" t="str">
        <f>IFERROR(__xludf.DUMMYFUNCTION("""COMPUTED_VALUE"""),"Yes")</f>
        <v>Yes</v>
      </c>
      <c r="F1936" s="7" t="str">
        <f>IFERROR(__xludf.DUMMYFUNCTION("""COMPUTED_VALUE"""),"IP-Oral")</f>
        <v>IP-Oral</v>
      </c>
      <c r="G1936" s="7" t="str">
        <f>IFERROR(__xludf.DUMMYFUNCTION("""COMPUTED_VALUE"""),"In-Person")</f>
        <v>In-Person</v>
      </c>
      <c r="H1936" s="7" t="str">
        <f>IFERROR(__xludf.DUMMYFUNCTION("""COMPUTED_VALUE"""),"Hall M.2")</f>
        <v>Hall M.2</v>
      </c>
      <c r="I1936" s="7" t="str">
        <f>IFERROR(__xludf.DUMMYFUNCTION("""COMPUTED_VALUE"""),"Session 11: IP-Orals ")</f>
        <v>Session 11: IP-Orals </v>
      </c>
      <c r="J1936" s="7" t="str">
        <f>IFERROR(__xludf.DUMMYFUNCTION("""COMPUTED_VALUE"""),"Multimodality and Language Grounding 2")</f>
        <v>Multimodality and Language Grounding 2</v>
      </c>
      <c r="K1936" s="7"/>
      <c r="L1936" s="8">
        <f>IFERROR(__xludf.DUMMYFUNCTION("""COMPUTED_VALUE"""),45868.0)</f>
        <v>45868</v>
      </c>
      <c r="M1936" s="7" t="str">
        <f>IFERROR(__xludf.DUMMYFUNCTION("""COMPUTED_VALUE"""),"09:00-10:30")</f>
        <v>09:00-10:30</v>
      </c>
      <c r="N1936" s="7">
        <f>IFERROR(__xludf.DUMMYFUNCTION("""COMPUTED_VALUE"""),3.0)</f>
        <v>3</v>
      </c>
    </row>
    <row r="1937">
      <c r="A1937" s="7" t="str">
        <f>IFERROR(__xludf.DUMMYFUNCTION("""COMPUTED_VALUE"""),"733-MAIN")</f>
        <v>733-MAIN</v>
      </c>
      <c r="B1937" s="7" t="str">
        <f>IFERROR(__xludf.DUMMYFUNCTION("""COMPUTED_VALUE"""),"TheoremExplainAgent: Towards Video-based Multimodal Explanations for LLM Theorem Understanding")</f>
        <v>TheoremExplainAgent: Towards Video-based Multimodal Explanations for LLM Theorem Understanding</v>
      </c>
      <c r="C1937" s="7" t="str">
        <f>IFERROR(__xludf.DUMMYFUNCTION("""COMPUTED_VALUE"""),"Understanding domain-specific theorems often requires more than just text-based reasoning; effective communication through structured visual explanations is crucial for deeper comprehension. While large language models (LLMs) demonstrate strong performanc"&amp;"e in text-based theorem reasoning, their ability to generate coherent and pedagogically meaningful visual explanations remains an open challenge. In this work, we introduce TheoremExplainAgent, an agentic approach for generating long-form theorem explanat"&amp;"ion videos (over 5 minutes) using Manim animations. To systematically evaluate multimodal theorem explanations, we propose TheoremExplainBench, a benchmark covering 240 theorems across multiple STEM disciplines, along with 5 automated evaluation metrics. "&amp;"Our results reveal that agentic planning is essential for generating detailed long-form videos, and the o3-mini agent achieves a success rate of 93.8% and an overall score of 0.77. However, our quantitative and qualitative studies show that most of the vi"&amp;"deos produced exhibit minor issues with visual element layout. Furthermore, multimodal explanations expose deeper reasoning flaws that text-based explanations fail to reveal, highlighting the importance of multimodal explanations.")</f>
        <v>Understanding domain-specific theorems often requires more than just text-based reasoning; effective communication through structured visual explanations is crucial for deeper comprehension. While large language models (LLMs) demonstrate strong performance in text-based theorem reasoning, their ability to generate coherent and pedagogically meaningful visual explanations remains an open challenge. In this work, we introduce TheoremExplainAgent, an agentic approach for generating long-form theorem explanation videos (over 5 minutes) using Manim animations. To systematically evaluate multimodal theorem explanations, we propose TheoremExplainBench, a benchmark covering 240 theorems across multiple STEM disciplines, along with 5 automated evaluation metrics. Our results reveal that agentic planning is essential for generating detailed long-form videos, and the o3-mini agent achieves a success rate of 93.8% and an overall score of 0.77. However, our quantitative and qualitative studies show that most of the videos produced exhibit minor issues with visual element layout. Furthermore, multimodal explanations expose deeper reasoning flaws that text-based explanations fail to reveal, highlighting the importance of multimodal explanations.</v>
      </c>
      <c r="D1937" s="7" t="str">
        <f>IFERROR(__xludf.DUMMYFUNCTION("""COMPUTED_VALUE"""),"Thomas Chong")</f>
        <v>Thomas Chong</v>
      </c>
      <c r="E1937" s="7" t="str">
        <f>IFERROR(__xludf.DUMMYFUNCTION("""COMPUTED_VALUE"""),"Yes")</f>
        <v>Yes</v>
      </c>
      <c r="F1937" s="7" t="str">
        <f>IFERROR(__xludf.DUMMYFUNCTION("""COMPUTED_VALUE"""),"IP-Oral")</f>
        <v>IP-Oral</v>
      </c>
      <c r="G1937" s="7" t="str">
        <f>IFERROR(__xludf.DUMMYFUNCTION("""COMPUTED_VALUE"""),"In-Person")</f>
        <v>In-Person</v>
      </c>
      <c r="H1937" s="7" t="str">
        <f>IFERROR(__xludf.DUMMYFUNCTION("""COMPUTED_VALUE"""),"Hall M.2")</f>
        <v>Hall M.2</v>
      </c>
      <c r="I1937" s="7" t="str">
        <f>IFERROR(__xludf.DUMMYFUNCTION("""COMPUTED_VALUE"""),"Session 11: IP-Orals ")</f>
        <v>Session 11: IP-Orals </v>
      </c>
      <c r="J1937" s="7" t="str">
        <f>IFERROR(__xludf.DUMMYFUNCTION("""COMPUTED_VALUE"""),"Multimodality and Language Grounding 2")</f>
        <v>Multimodality and Language Grounding 2</v>
      </c>
      <c r="K1937" s="7"/>
      <c r="L1937" s="8">
        <f>IFERROR(__xludf.DUMMYFUNCTION("""COMPUTED_VALUE"""),45868.0)</f>
        <v>45868</v>
      </c>
      <c r="M1937" s="7" t="str">
        <f>IFERROR(__xludf.DUMMYFUNCTION("""COMPUTED_VALUE"""),"09:00-10:30")</f>
        <v>09:00-10:30</v>
      </c>
      <c r="N1937" s="7">
        <f>IFERROR(__xludf.DUMMYFUNCTION("""COMPUTED_VALUE"""),4.0)</f>
        <v>4</v>
      </c>
    </row>
    <row r="1938">
      <c r="A1938" s="7" t="str">
        <f>IFERROR(__xludf.DUMMYFUNCTION("""COMPUTED_VALUE"""),"736-MAIN")</f>
        <v>736-MAIN</v>
      </c>
      <c r="B1938" s="7" t="str">
        <f>IFERROR(__xludf.DUMMYFUNCTION("""COMPUTED_VALUE"""),"FineReason: Evaluating and Improving LLMs' Deliberate Reasoning through Reflective Puzzle Solving")</f>
        <v>FineReason: Evaluating and Improving LLMs' Deliberate Reasoning through Reflective Puzzle Solving</v>
      </c>
      <c r="C1938" s="7" t="str">
        <f>IFERROR(__xludf.DUMMYFUNCTION("""COMPUTED_VALUE"""),"Many challenging reasoning tasks require not just rapid, intuitive responses, but a more deliberate, multi-step approach. Recent progress in large language models (LLMs) highlights an important shift from the “System 1” way of quick reactions to the “Syst"&amp;"em 2” style of reflection-and-correction problem solving. However, current benchmarks heavily rely on the final-answer accuracy, leaving much of a model’s intermediate reasoning steps unexamined. This fails to assess the model’s ability to reflect and rec"&amp;"tify mistakes within the reasoning process. To bridge this gap, we introduce FINEREASON, a logic-puzzle benchmark for systematic evaluation of LLMs’ reasoning capabilities. Each puzzle can be decomposed into atomic steps, making it ideal for rigorous vali"&amp;"dation of intermediate correctness. Building on this, we introduce two tasks: state checking and state transition, for a comprehensive evaluation of how models assess the current situation and plan the next move. To support broader research, we also provi"&amp;"de a puzzle training set aimed at enhancing general reasoning. We show that models trained on our state checking and transition data demonstrate gains in mathematical reasoning by up to 5.1%.")</f>
        <v>Many challenging reasoning tasks require not just rapid, intuitive responses, but a more deliberate, multi-step approach. Recent progress in large language models (LLMs) highlights an important shift from the “System 1” way of quick reactions to the “System 2” style of reflection-and-correction problem solving. However, current benchmarks heavily rely on the final-answer accuracy, leaving much of a model’s intermediate reasoning steps unexamined. This fails to assess the model’s ability to reflect and rectify mistakes within the reasoning process. To bridge this gap, we introduce FINEREASON, a logic-puzzle benchmark for systematic evaluation of LLMs’ reasoning capabilities. Each puzzle can be decomposed into atomic steps, making it ideal for rigorous validation of intermediate correctness. Building on this, we introduce two tasks: state checking and state transition, for a comprehensive evaluation of how models assess the current situation and plan the next move. To support broader research, we also provide a puzzle training set aimed at enhancing general reasoning. We show that models trained on our state checking and transition data demonstrate gains in mathematical reasoning by up to 5.1%.</v>
      </c>
      <c r="D1938" s="7" t="str">
        <f>IFERROR(__xludf.DUMMYFUNCTION("""COMPUTED_VALUE"""),"Guizhen Chen")</f>
        <v>Guizhen Chen</v>
      </c>
      <c r="E1938" s="7" t="str">
        <f>IFERROR(__xludf.DUMMYFUNCTION("""COMPUTED_VALUE"""),"Yes")</f>
        <v>Yes</v>
      </c>
      <c r="F1938" s="7" t="str">
        <f>IFERROR(__xludf.DUMMYFUNCTION("""COMPUTED_VALUE"""),"IP-Oral")</f>
        <v>IP-Oral</v>
      </c>
      <c r="G1938" s="7" t="str">
        <f>IFERROR(__xludf.DUMMYFUNCTION("""COMPUTED_VALUE"""),"In-Person")</f>
        <v>In-Person</v>
      </c>
      <c r="H1938" s="7" t="str">
        <f>IFERROR(__xludf.DUMMYFUNCTION("""COMPUTED_VALUE"""),"Hall B")</f>
        <v>Hall B</v>
      </c>
      <c r="I1938" s="7" t="str">
        <f>IFERROR(__xludf.DUMMYFUNCTION("""COMPUTED_VALUE"""),"Session 9: IP-Orals")</f>
        <v>Session 9: IP-Orals</v>
      </c>
      <c r="J1938" s="7" t="str">
        <f>IFERROR(__xludf.DUMMYFUNCTION("""COMPUTED_VALUE"""),"Resources and Evaluation 2")</f>
        <v>Resources and Evaluation 2</v>
      </c>
      <c r="K1938" s="7"/>
      <c r="L1938" s="8">
        <f>IFERROR(__xludf.DUMMYFUNCTION("""COMPUTED_VALUE"""),45867.0)</f>
        <v>45867</v>
      </c>
      <c r="M1938" s="7" t="str">
        <f>IFERROR(__xludf.DUMMYFUNCTION("""COMPUTED_VALUE"""),"14:00-15:30")</f>
        <v>14:00-15:30</v>
      </c>
      <c r="N1938" s="7">
        <f>IFERROR(__xludf.DUMMYFUNCTION("""COMPUTED_VALUE"""),6.0)</f>
        <v>6</v>
      </c>
    </row>
    <row r="1939">
      <c r="A1939" s="7" t="str">
        <f>IFERROR(__xludf.DUMMYFUNCTION("""COMPUTED_VALUE"""),"740-MAIN")</f>
        <v>740-MAIN</v>
      </c>
      <c r="B1939" s="7" t="str">
        <f>IFERROR(__xludf.DUMMYFUNCTION("""COMPUTED_VALUE"""),"The TIP of the Iceberg: Revealing a Hidden Class of Task-in-Prompt Adversarial Attacks on LLMs")</f>
        <v>The TIP of the Iceberg: Revealing a Hidden Class of Task-in-Prompt Adversarial Attacks on LLMs</v>
      </c>
      <c r="C1939" s="7" t="str">
        <f>IFERROR(__xludf.DUMMYFUNCTION("""COMPUTED_VALUE"""),"We present a novel class of jailbreak adversarial attacks on LLMs, termed Task-in-Prompt (TIP) attacks. Our approach embeds sequence-to-sequence tasks (e.g., cipher decoding, riddles, code execution) into the model’s prompt to indirectly generate prohibit"&amp;"ed inputs. To systematically assess the effectiveness of these attacks, we introduce the PHRYGE benchmark. We demonstrate that our techniques successfully circumvent safeguards in six state-of-the-art language models, including GPT-4o and LLaMA 3.2. Our f"&amp;"indings highlight critical weaknesses in current LLM safety alignment and underscore the urgent need for more sophisticated defence strategies.")</f>
        <v>We present a novel class of jailbreak adversarial attacks on LLMs, termed Task-in-Prompt (TIP) attacks. Our approach embeds sequence-to-sequence tasks (e.g., cipher decoding, riddles, code execution) into the model’s prompt to indirectly generate prohibited inputs. To systematically assess the effectiveness of these attacks, we introduce the PHRYGE benchmark. We demonstrate that our techniques successfully circumvent safeguards in six state-of-the-art language models, including GPT-4o and LLaMA 3.2. Our findings highlight critical weaknesses in current LLM safety alignment and underscore the urgent need for more sophisticated defence strategies.</v>
      </c>
      <c r="D1939" s="7" t="str">
        <f>IFERROR(__xludf.DUMMYFUNCTION("""COMPUTED_VALUE"""),"Sergey Berezin")</f>
        <v>Sergey Berezin</v>
      </c>
      <c r="E1939" s="7" t="str">
        <f>IFERROR(__xludf.DUMMYFUNCTION("""COMPUTED_VALUE"""),"Yes")</f>
        <v>Yes</v>
      </c>
      <c r="F1939" s="7" t="str">
        <f>IFERROR(__xludf.DUMMYFUNCTION("""COMPUTED_VALUE"""),"IP-Poster")</f>
        <v>IP-Poster</v>
      </c>
      <c r="G1939" s="7" t="str">
        <f>IFERROR(__xludf.DUMMYFUNCTION("""COMPUTED_VALUE"""),"In-Person")</f>
        <v>In-Person</v>
      </c>
      <c r="H1939" s="7" t="str">
        <f>IFERROR(__xludf.DUMMYFUNCTION("""COMPUTED_VALUE"""),"Hall 4/5")</f>
        <v>Hall 4/5</v>
      </c>
      <c r="I1939" s="7" t="str">
        <f>IFERROR(__xludf.DUMMYFUNCTION("""COMPUTED_VALUE"""),"Session 12: IP-Posters")</f>
        <v>Session 12: IP-Posters</v>
      </c>
      <c r="J1939" s="7" t="str">
        <f>IFERROR(__xludf.DUMMYFUNCTION("""COMPUTED_VALUE"""),"Poster Session 4")</f>
        <v>Poster Session 4</v>
      </c>
      <c r="K1939" s="7"/>
      <c r="L1939" s="8">
        <f>IFERROR(__xludf.DUMMYFUNCTION("""COMPUTED_VALUE"""),45868.0)</f>
        <v>45868</v>
      </c>
      <c r="M1939" s="7" t="str">
        <f>IFERROR(__xludf.DUMMYFUNCTION("""COMPUTED_VALUE"""),"11:00-12:30")</f>
        <v>11:00-12:30</v>
      </c>
      <c r="N1939" s="7"/>
    </row>
    <row r="1940">
      <c r="A1940" s="7" t="str">
        <f>IFERROR(__xludf.DUMMYFUNCTION("""COMPUTED_VALUE"""),"741-MAIN")</f>
        <v>741-MAIN</v>
      </c>
      <c r="B1940" s="7" t="str">
        <f>IFERROR(__xludf.DUMMYFUNCTION("""COMPUTED_VALUE"""),"Identifying Reliable Evaluation Metrics for Scientific Text Revision")</f>
        <v>Identifying Reliable Evaluation Metrics for Scientific Text Revision</v>
      </c>
      <c r="C1940" s="7" t="str">
        <f>IFERROR(__xludf.DUMMYFUNCTION("""COMPUTED_VALUE"""),"Evaluating text revision in scientific writing remains a challenge, as traditional metrics such as ROUGE and BERTScore primarily focus on similarity rather than capturing meaningful improvements. In this work, we analyse and identify the limitations of th"&amp;"ese metrics and explore alternative evaluation methods that better align with human judgments. We first conduct a manual annotation study to assess the quality of different revisions. Then, we investigate reference-free evaluation metrics from related NLP"&amp;" domains. Additionally, we examine LLM-as-a-judge approaches, analysing their ability to assess revisions with and without a gold reference. Our results show that LLMs effectively assess instruction-following but struggle with correctness, while domain-sp"&amp;"ecific metrics provide complementary insights. We find that a hybrid approach combining LLM-as-a-judge evaluation and task-specific metrics offers the most reliable assessment of revision.")</f>
        <v>Evaluating text revision in scientific writing remains a challenge, as traditional metrics such as ROUGE and BERTScore primarily focus on similarity rather than capturing meaningful improvements. In this work, we analyse and identify the limitations of these metrics and explore alternative evaluation methods that better align with human judgments. We first conduct a manual annotation study to assess the quality of different revisions. Then, we investigate reference-free evaluation metrics from related NLP domains. Additionally, we examine LLM-as-a-judge approaches, analysing their ability to assess revisions with and without a gold reference. Our results show that LLMs effectively assess instruction-following but struggle with correctness, while domain-specific metrics provide complementary insights. We find that a hybrid approach combining LLM-as-a-judge evaluation and task-specific metrics offers the most reliable assessment of revision.</v>
      </c>
      <c r="D1940" s="7" t="str">
        <f>IFERROR(__xludf.DUMMYFUNCTION("""COMPUTED_VALUE"""),"Léane Jourdan")</f>
        <v>Léane Jourdan</v>
      </c>
      <c r="E1940" s="7" t="str">
        <f>IFERROR(__xludf.DUMMYFUNCTION("""COMPUTED_VALUE"""),"Yes")</f>
        <v>Yes</v>
      </c>
      <c r="F1940" s="7" t="str">
        <f>IFERROR(__xludf.DUMMYFUNCTION("""COMPUTED_VALUE"""),"IP-Poster")</f>
        <v>IP-Poster</v>
      </c>
      <c r="G1940" s="7" t="str">
        <f>IFERROR(__xludf.DUMMYFUNCTION("""COMPUTED_VALUE"""),"In-Person")</f>
        <v>In-Person</v>
      </c>
      <c r="H1940" s="7" t="str">
        <f>IFERROR(__xludf.DUMMYFUNCTION("""COMPUTED_VALUE"""),"Hall 4/5")</f>
        <v>Hall 4/5</v>
      </c>
      <c r="I1940" s="7" t="str">
        <f>IFERROR(__xludf.DUMMYFUNCTION("""COMPUTED_VALUE"""),"Session 7: IP-Posters")</f>
        <v>Session 7: IP-Posters</v>
      </c>
      <c r="J1940" s="7" t="str">
        <f>IFERROR(__xludf.DUMMYFUNCTION("""COMPUTED_VALUE"""),"Poster Session 2")</f>
        <v>Poster Session 2</v>
      </c>
      <c r="K1940" s="7"/>
      <c r="L1940" s="8">
        <f>IFERROR(__xludf.DUMMYFUNCTION("""COMPUTED_VALUE"""),45867.0)</f>
        <v>45867</v>
      </c>
      <c r="M1940" s="7" t="str">
        <f>IFERROR(__xludf.DUMMYFUNCTION("""COMPUTED_VALUE"""),"10:30-12:00")</f>
        <v>10:30-12:00</v>
      </c>
      <c r="N1940" s="7"/>
    </row>
    <row r="1941">
      <c r="A1941" s="7" t="str">
        <f>IFERROR(__xludf.DUMMYFUNCTION("""COMPUTED_VALUE"""),"743-MAIN")</f>
        <v>743-MAIN</v>
      </c>
      <c r="B1941" s="7" t="str">
        <f>IFERROR(__xludf.DUMMYFUNCTION("""COMPUTED_VALUE"""),"Can Language Models Reason about Individualistic Human Values and Preferences?")</f>
        <v>Can Language Models Reason about Individualistic Human Values and Preferences?</v>
      </c>
      <c r="C1941" s="7" t="str">
        <f>IFERROR(__xludf.DUMMYFUNCTION("""COMPUTED_VALUE"""),"Recent calls for pluralistic alignment emphasize that AI systems should address the diverse needs of all people. Yet, efforts in this space often require sorting people into fixed buckets of pre-specified diversity-defining dimensions (e.g., demographics)"&amp;", risking smoothing out individualistic variations or even stereotyping. To achieve an authentic representation of diversity that respects individuality, we propose individualistic alignment. While individualistic alignment can take various forms, in this"&amp;" paper, we introduce IndieValueCatalog, a dataset transformed from the influential World Values Survey (WVS), to study language models (LMs) on the specific challenge of individualistic value reasoning. Given a sample of an individual’s value-expressing s"&amp;"tatements, models are tasked with predicting their value judgments in novel cases. With IndieValueCatalog, we reveal critical limitations in frontier LMs’ abilities to predict individualistic values with accuracies only ranging between 55% to 65%. Moreove"&amp;"r, our results highlight that a precise description of individualistic values cannot be approximated only via demographic information. Finally, we train a series of IndieValueReasoners to reveal new patterns and dynamics into global human values.")</f>
        <v>Recent calls for pluralistic alignment emphasize that AI systems should address the diverse needs of all people. Yet, efforts in this space often require sorting people into fixed buckets of pre-specified diversity-defining dimensions (e.g., demographics), risking smoothing out individualistic variations or even stereotyping. To achieve an authentic representation of diversity that respects individuality, we propose individualistic alignment. While individualistic alignment can take various forms, in this paper, we introduce IndieValueCatalog, a dataset transformed from the influential World Values Survey (WVS), to study language models (LMs) on the specific challenge of individualistic value reasoning. Given a sample of an individual’s value-expressing statements, models are tasked with predicting their value judgments in novel cases. With IndieValueCatalog, we reveal critical limitations in frontier LMs’ abilities to predict individualistic values with accuracies only ranging between 55% to 65%. Moreover, our results highlight that a precise description of individualistic values cannot be approximated only via demographic information. Finally, we train a series of IndieValueReasoners to reveal new patterns and dynamics into global human values.</v>
      </c>
      <c r="D1941" s="7" t="str">
        <f>IFERROR(__xludf.DUMMYFUNCTION("""COMPUTED_VALUE"""),"Liwei Jiang")</f>
        <v>Liwei Jiang</v>
      </c>
      <c r="E1941" s="7" t="str">
        <f>IFERROR(__xludf.DUMMYFUNCTION("""COMPUTED_VALUE"""),"Yes")</f>
        <v>Yes</v>
      </c>
      <c r="F1941" s="7" t="str">
        <f>IFERROR(__xludf.DUMMYFUNCTION("""COMPUTED_VALUE"""),"V-Presentation")</f>
        <v>V-Presentation</v>
      </c>
      <c r="G1941" s="7" t="str">
        <f>IFERROR(__xludf.DUMMYFUNCTION("""COMPUTED_VALUE"""),"Virtual/Gather")</f>
        <v>Virtual/Gather</v>
      </c>
      <c r="H1941" s="7" t="str">
        <f>IFERROR(__xludf.DUMMYFUNCTION("""COMPUTED_VALUE"""),"Zoom")</f>
        <v>Zoom</v>
      </c>
      <c r="I1941" s="7" t="str">
        <f>IFERROR(__xludf.DUMMYFUNCTION("""COMPUTED_VALUE"""),"Session 10: V-Presenations")</f>
        <v>Session 10: V-Presenations</v>
      </c>
      <c r="J1941" s="7" t="str">
        <f>IFERROR(__xludf.DUMMYFUNCTION("""COMPUTED_VALUE"""),"Virtual Presentations 3")</f>
        <v>Virtual Presentations 3</v>
      </c>
      <c r="K1941" s="7"/>
      <c r="L1941" s="8">
        <f>IFERROR(__xludf.DUMMYFUNCTION("""COMPUTED_VALUE"""),45867.0)</f>
        <v>45867</v>
      </c>
      <c r="M1941" s="7" t="str">
        <f>IFERROR(__xludf.DUMMYFUNCTION("""COMPUTED_VALUE"""),"16:00-17:30")</f>
        <v>16:00-17:30</v>
      </c>
      <c r="N1941" s="7"/>
    </row>
    <row r="1942">
      <c r="A1942" s="7" t="str">
        <f>IFERROR(__xludf.DUMMYFUNCTION("""COMPUTED_VALUE"""),"744-MAIN")</f>
        <v>744-MAIN</v>
      </c>
      <c r="B1942" s="7" t="str">
        <f>IFERROR(__xludf.DUMMYFUNCTION("""COMPUTED_VALUE"""),"BERT-like Models for Slavic Morpheme Segmentation")</f>
        <v>BERT-like Models for Slavic Morpheme Segmentation</v>
      </c>
      <c r="C1942" s="7" t="str">
        <f>IFERROR(__xludf.DUMMYFUNCTION("""COMPUTED_VALUE"""),"Automatic morpheme segmentation algorithms are applicable in various tasks, such as building tokenizers and language education. For Slavic languages, the development of such algorithms is complicated by the rich derivational capabilities of these language"&amp;"s. Previous research has shown that, on average, these algorithms have already reached expert-level quality. However, a key unresolved issue is the significant decline in performance when segmenting words containing roots not present in the training data."&amp;" This problem can be partially addressed by using pre-trained language models to better account for word semantics. In this work, we explored the possibility of fine-tuning BERT-like models for morpheme segmentation using data from Belarusian, Czech, and "&amp;"Russian. We found that for Czech and Russian, our models outperform all previously proposed approaches, achieving word-level accuracy of 92.5-95.1%. For Belarusian, this task was addressed for the first time. The best-performing approach for Belarusian wa"&amp;"s an ensemble of convolutional neural networks with word-level accuracy of 90.45%.")</f>
        <v>Automatic morpheme segmentation algorithms are applicable in various tasks, such as building tokenizers and language education. For Slavic languages, the development of such algorithms is complicated by the rich derivational capabilities of these languages. Previous research has shown that, on average, these algorithms have already reached expert-level quality. However, a key unresolved issue is the significant decline in performance when segmenting words containing roots not present in the training data. This problem can be partially addressed by using pre-trained language models to better account for word semantics. In this work, we explored the possibility of fine-tuning BERT-like models for morpheme segmentation using data from Belarusian, Czech, and Russian. We found that for Czech and Russian, our models outperform all previously proposed approaches, achieving word-level accuracy of 92.5-95.1%. For Belarusian, this task was addressed for the first time. The best-performing approach for Belarusian was an ensemble of convolutional neural networks with word-level accuracy of 90.45%.</v>
      </c>
      <c r="D1942" s="7" t="str">
        <f>IFERROR(__xludf.DUMMYFUNCTION("""COMPUTED_VALUE"""),"Dmitry Morozov")</f>
        <v>Dmitry Morozov</v>
      </c>
      <c r="E1942" s="7" t="str">
        <f>IFERROR(__xludf.DUMMYFUNCTION("""COMPUTED_VALUE"""),"Yes")</f>
        <v>Yes</v>
      </c>
      <c r="F1942" s="7" t="str">
        <f>IFERROR(__xludf.DUMMYFUNCTION("""COMPUTED_VALUE"""),"IP-Poster")</f>
        <v>IP-Poster</v>
      </c>
      <c r="G1942" s="7" t="str">
        <f>IFERROR(__xludf.DUMMYFUNCTION("""COMPUTED_VALUE"""),"In-Person")</f>
        <v>In-Person</v>
      </c>
      <c r="H1942" s="7" t="str">
        <f>IFERROR(__xludf.DUMMYFUNCTION("""COMPUTED_VALUE"""),"Hall 4/5")</f>
        <v>Hall 4/5</v>
      </c>
      <c r="I1942" s="7" t="str">
        <f>IFERROR(__xludf.DUMMYFUNCTION("""COMPUTED_VALUE"""),"Session 12: IP-Posters")</f>
        <v>Session 12: IP-Posters</v>
      </c>
      <c r="J1942" s="7" t="str">
        <f>IFERROR(__xludf.DUMMYFUNCTION("""COMPUTED_VALUE"""),"Poster Session 4")</f>
        <v>Poster Session 4</v>
      </c>
      <c r="K1942" s="7"/>
      <c r="L1942" s="8">
        <f>IFERROR(__xludf.DUMMYFUNCTION("""COMPUTED_VALUE"""),45868.0)</f>
        <v>45868</v>
      </c>
      <c r="M1942" s="7" t="str">
        <f>IFERROR(__xludf.DUMMYFUNCTION("""COMPUTED_VALUE"""),"11:00-12:30")</f>
        <v>11:00-12:30</v>
      </c>
      <c r="N1942" s="7"/>
    </row>
    <row r="1943">
      <c r="A1943" s="7" t="str">
        <f>IFERROR(__xludf.DUMMYFUNCTION("""COMPUTED_VALUE"""),"745-MAIN")</f>
        <v>745-MAIN</v>
      </c>
      <c r="B1943" s="7" t="str">
        <f>IFERROR(__xludf.DUMMYFUNCTION("""COMPUTED_VALUE"""),"Turning Trash into Treasure: Accelerating Inference of Large Language Models with Token Recycling")</f>
        <v>Turning Trash into Treasure: Accelerating Inference of Large Language Models with Token Recycling</v>
      </c>
      <c r="C1943" s="7" t="str">
        <f>IFERROR(__xludf.DUMMYFUNCTION("""COMPUTED_VALUE"""),"The rapid growth in the parameters of LLMs has made inference latency a fundamental bottleneck. Speculative decoding represents a lossless approach to accelerate inference through a guess-and-verify paradigm. Some methods rely on additional architectures "&amp;"to guess draft tokens, which need extra training before use. Alternatively, retrieval-based train-free techniques build libraries from pre-existing corpora or by n-gram generation. However, they face challenges like large storage requirements, time-consum"&amp;"ing retrieval, and limited adaptability. Observing that candidate tokens generated during the decoding process are likely to reoccur in future sequences, we propose Token Recycling. This approach stores candidate tokens in an adjacency matrix and employs "&amp;"a breadth-first-search (BFS)-like algorithm to construct a draft tree, which is then validated through tree attention. New candidate tokens from the decoding process are then used to update the matrix. Token Recycling requires &lt;2MB of additional storage a"&amp;"nd achieves approximately 2x speedup across all sizes of LLMs. It significantly outperforms existing train-free methods by 30% and even a training method by 25%.")</f>
        <v>The rapid growth in the parameters of LLMs has made inference latency a fundamental bottleneck. Speculative decoding represents a lossless approach to accelerate inference through a guess-and-verify paradigm. Some methods rely on additional architectures to guess draft tokens, which need extra training before use. Alternatively, retrieval-based train-free techniques build libraries from pre-existing corpora or by n-gram generation. However, they face challenges like large storage requirements, time-consuming retrieval, and limited adaptability. Observing that candidate tokens generated during the decoding process are likely to reoccur in future sequences, we propose Token Recycling. This approach stores candidate tokens in an adjacency matrix and employs a breadth-first-search (BFS)-like algorithm to construct a draft tree, which is then validated through tree attention. New candidate tokens from the decoding process are then used to update the matrix. Token Recycling requires &lt;2MB of additional storage and achieves approximately 2x speedup across all sizes of LLMs. It significantly outperforms existing train-free methods by 30% and even a training method by 25%.</v>
      </c>
      <c r="D1943" s="7" t="str">
        <f>IFERROR(__xludf.DUMMYFUNCTION("""COMPUTED_VALUE"""),"Xianzhen Luo")</f>
        <v>Xianzhen Luo</v>
      </c>
      <c r="E1943" s="7" t="str">
        <f>IFERROR(__xludf.DUMMYFUNCTION("""COMPUTED_VALUE"""),"Yes")</f>
        <v>Yes</v>
      </c>
      <c r="F1943" s="7" t="str">
        <f>IFERROR(__xludf.DUMMYFUNCTION("""COMPUTED_VALUE"""),"IP-Oral")</f>
        <v>IP-Oral</v>
      </c>
      <c r="G1943" s="7" t="str">
        <f>IFERROR(__xludf.DUMMYFUNCTION("""COMPUTED_VALUE"""),"In-Person")</f>
        <v>In-Person</v>
      </c>
      <c r="H1943" s="7" t="str">
        <f>IFERROR(__xludf.DUMMYFUNCTION("""COMPUTED_VALUE"""),"Room 1.62")</f>
        <v>Room 1.62</v>
      </c>
      <c r="I1943" s="7" t="str">
        <f>IFERROR(__xludf.DUMMYFUNCTION("""COMPUTED_VALUE"""),"Session 11: IP-Orals ")</f>
        <v>Session 11: IP-Orals </v>
      </c>
      <c r="J1943" s="7" t="str">
        <f>IFERROR(__xludf.DUMMYFUNCTION("""COMPUTED_VALUE"""),"Efficient Methods for NLP 2")</f>
        <v>Efficient Methods for NLP 2</v>
      </c>
      <c r="K1943" s="7"/>
      <c r="L1943" s="8">
        <f>IFERROR(__xludf.DUMMYFUNCTION("""COMPUTED_VALUE"""),45868.0)</f>
        <v>45868</v>
      </c>
      <c r="M1943" s="7" t="str">
        <f>IFERROR(__xludf.DUMMYFUNCTION("""COMPUTED_VALUE"""),"09:00-10:30")</f>
        <v>09:00-10:30</v>
      </c>
      <c r="N1943" s="7">
        <f>IFERROR(__xludf.DUMMYFUNCTION("""COMPUTED_VALUE"""),2.0)</f>
        <v>2</v>
      </c>
    </row>
    <row r="1944">
      <c r="A1944" s="7" t="str">
        <f>IFERROR(__xludf.DUMMYFUNCTION("""COMPUTED_VALUE"""),"750-MAIN")</f>
        <v>750-MAIN</v>
      </c>
      <c r="B1944" s="7" t="str">
        <f>IFERROR(__xludf.DUMMYFUNCTION("""COMPUTED_VALUE"""),"Unlocking General Long Chain-of-Thought Reasoning Capabilities of Large Language Models via Representation Engineering")</f>
        <v>Unlocking General Long Chain-of-Thought Reasoning Capabilities of Large Language Models via Representation Engineering</v>
      </c>
      <c r="C1944" s="7" t="str">
        <f>IFERROR(__xludf.DUMMYFUNCTION("""COMPUTED_VALUE"""),"Recent advancements in long chain-of-thoughts (long CoTs) have significantly improved the reasoning capabilities of large language models (LLMs). Existing work finds that the capability of long CoT reasoning can be efficiently elicited by tuning on only a"&amp;" few examples and can easily transfer to other tasks. This motivates us to investigate whether long CoT reasoning is a general capability for LLMs. In this work, we conduct an empirical analysis for this question from the perspective of representation. We"&amp;" find that LLMs do encode long CoT reasoning as a general capability, with a clear distinction from vanilla CoTs. Furthermore, domain-specific representations are also required for the effective transfer of long CoT reasoning. Inspired by these findings, "&amp;"we propose GLORE, a novel representation engineering method to unleash the general long CoT reasoning capabilities of LLMs. Extensive experiments demonstrate the effectiveness and efficiency of GLORE in both in-domain and cross-domain scenarios. The code "&amp;"is available at https://github.com/txy77/GLoRE.")</f>
        <v>Recent advancements in long chain-of-thoughts (long CoTs) have significantly improved the reasoning capabilities of large language models (LLMs). Existing work finds that the capability of long CoT reasoning can be efficiently elicited by tuning on only a few examples and can easily transfer to other tasks. This motivates us to investigate whether long CoT reasoning is a general capability for LLMs. In this work, we conduct an empirical analysis for this question from the perspective of representation. We find that LLMs do encode long CoT reasoning as a general capability, with a clear distinction from vanilla CoTs. Furthermore, domain-specific representations are also required for the effective transfer of long CoT reasoning. Inspired by these findings, we propose GLORE, a novel representation engineering method to unleash the general long CoT reasoning capabilities of LLMs. Extensive experiments demonstrate the effectiveness and efficiency of GLORE in both in-domain and cross-domain scenarios. The code is available at https://github.com/txy77/GLoRE.</v>
      </c>
      <c r="D1944" s="7" t="str">
        <f>IFERROR(__xludf.DUMMYFUNCTION("""COMPUTED_VALUE"""),"Xinyu Tang")</f>
        <v>Xinyu Tang</v>
      </c>
      <c r="E1944" s="7" t="str">
        <f>IFERROR(__xludf.DUMMYFUNCTION("""COMPUTED_VALUE"""),"Yes")</f>
        <v>Yes</v>
      </c>
      <c r="F1944" s="7" t="str">
        <f>IFERROR(__xludf.DUMMYFUNCTION("""COMPUTED_VALUE"""),"V-Presentation")</f>
        <v>V-Presentation</v>
      </c>
      <c r="G1944" s="7" t="str">
        <f>IFERROR(__xludf.DUMMYFUNCTION("""COMPUTED_VALUE"""),"Virtual/Gather")</f>
        <v>Virtual/Gather</v>
      </c>
      <c r="H1944" s="7" t="str">
        <f>IFERROR(__xludf.DUMMYFUNCTION("""COMPUTED_VALUE"""),"Zoom")</f>
        <v>Zoom</v>
      </c>
      <c r="I1944" s="7" t="str">
        <f>IFERROR(__xludf.DUMMYFUNCTION("""COMPUTED_VALUE"""),"Session 2: V-Presentations")</f>
        <v>Session 2: V-Presentations</v>
      </c>
      <c r="J1944" s="7" t="str">
        <f>IFERROR(__xludf.DUMMYFUNCTION("""COMPUTED_VALUE"""),"Virtual Presentations 1")</f>
        <v>Virtual Presentations 1</v>
      </c>
      <c r="K1944" s="7"/>
      <c r="L1944" s="8">
        <f>IFERROR(__xludf.DUMMYFUNCTION("""COMPUTED_VALUE"""),45866.0)</f>
        <v>45866</v>
      </c>
      <c r="M1944" s="7" t="str">
        <f>IFERROR(__xludf.DUMMYFUNCTION("""COMPUTED_VALUE"""),"11:00-12:30")</f>
        <v>11:00-12:30</v>
      </c>
      <c r="N1944" s="7"/>
    </row>
    <row r="1945">
      <c r="A1945" s="7" t="str">
        <f>IFERROR(__xludf.DUMMYFUNCTION("""COMPUTED_VALUE"""),"751-MAIN")</f>
        <v>751-MAIN</v>
      </c>
      <c r="B1945" s="7" t="str">
        <f>IFERROR(__xludf.DUMMYFUNCTION("""COMPUTED_VALUE"""),"Drift: Enhancing LLM Faithfulness in Rationale Generation via Dual-Reward Probabilistic Inference")</f>
        <v>Drift: Enhancing LLM Faithfulness in Rationale Generation via Dual-Reward Probabilistic Inference</v>
      </c>
      <c r="C1945" s="7" t="str">
        <f>IFERROR(__xludf.DUMMYFUNCTION("""COMPUTED_VALUE"""),"As Large Language Models (LLMs) are increasingly applied to complex reasoning tasks, achieving both accurate task performance and faithful explanations becomes crucial. However, LLMs often generate unfaithful explanations, partly because they do not consi"&amp;"stently adhere closely to the provided context. Existing approaches to this problem either rely on superficial calibration methods, such as decomposed Chain-of-Thought prompting, or require costly retraining to improve model faithfulness. In this work, we"&amp;" propose a probabilistic inference paradigm that leverages task-specific and lookahead rewards to ensure that LLM-generated rationales are more faithful to model decisions and align better with input context. These rewards are derived from a domain-specif"&amp;"ic proposal distribution, allowing for optimized sequential Monte Carlo approximations. Our evaluations across three different reasoning tasks show that this method, which allows for controllable generation during inference, improves both accuracy and fai"&amp;"thfulness of LLMs. This method offers a promising path towards making LLMs more reliable for reasoning tasks without sacrificing performance.")</f>
        <v>As Large Language Models (LLMs) are increasingly applied to complex reasoning tasks, achieving both accurate task performance and faithful explanations becomes crucial. However, LLMs often generate unfaithful explanations, partly because they do not consistently adhere closely to the provided context. Existing approaches to this problem either rely on superficial calibration methods, such as decomposed Chain-of-Thought prompting, or require costly retraining to improve model faithfulness. In this work, we propose a probabilistic inference paradigm that leverages task-specific and lookahead rewards to ensure that LLM-generated rationales are more faithful to model decisions and align better with input context. These rewards are derived from a domain-specific proposal distribution, allowing for optimized sequential Monte Carlo approximations. Our evaluations across three different reasoning tasks show that this method, which allows for controllable generation during inference, improves both accuracy and faithfulness of LLMs. This method offers a promising path towards making LLMs more reliable for reasoning tasks without sacrificing performance.</v>
      </c>
      <c r="D1945" s="7" t="str">
        <f>IFERROR(__xludf.DUMMYFUNCTION("""COMPUTED_VALUE"""),"Jiazheng Li, Hanqi Yan")</f>
        <v>Jiazheng Li, Hanqi Yan</v>
      </c>
      <c r="E1945" s="7" t="str">
        <f>IFERROR(__xludf.DUMMYFUNCTION("""COMPUTED_VALUE"""),"Yes")</f>
        <v>Yes</v>
      </c>
      <c r="F1945" s="7" t="str">
        <f>IFERROR(__xludf.DUMMYFUNCTION("""COMPUTED_VALUE"""),"IP-Poster")</f>
        <v>IP-Poster</v>
      </c>
      <c r="G1945" s="7" t="str">
        <f>IFERROR(__xludf.DUMMYFUNCTION("""COMPUTED_VALUE"""),"In-Person")</f>
        <v>In-Person</v>
      </c>
      <c r="H1945" s="7" t="str">
        <f>IFERROR(__xludf.DUMMYFUNCTION("""COMPUTED_VALUE"""),"Hall 4/5")</f>
        <v>Hall 4/5</v>
      </c>
      <c r="I1945" s="7" t="str">
        <f>IFERROR(__xludf.DUMMYFUNCTION("""COMPUTED_VALUE"""),"Session 7: IP-Posters")</f>
        <v>Session 7: IP-Posters</v>
      </c>
      <c r="J1945" s="7" t="str">
        <f>IFERROR(__xludf.DUMMYFUNCTION("""COMPUTED_VALUE"""),"Poster Session 2")</f>
        <v>Poster Session 2</v>
      </c>
      <c r="K1945" s="7"/>
      <c r="L1945" s="8">
        <f>IFERROR(__xludf.DUMMYFUNCTION("""COMPUTED_VALUE"""),45867.0)</f>
        <v>45867</v>
      </c>
      <c r="M1945" s="7" t="str">
        <f>IFERROR(__xludf.DUMMYFUNCTION("""COMPUTED_VALUE"""),"10:30-12:00")</f>
        <v>10:30-12:00</v>
      </c>
      <c r="N1945" s="7"/>
    </row>
    <row r="1946">
      <c r="A1946" s="7" t="str">
        <f>IFERROR(__xludf.DUMMYFUNCTION("""COMPUTED_VALUE"""),"752-MAIN")</f>
        <v>752-MAIN</v>
      </c>
      <c r="B1946" s="7" t="str">
        <f>IFERROR(__xludf.DUMMYFUNCTION("""COMPUTED_VALUE"""),"Fairness through Difference Awareness: Measuring Desired Group Discrimination in LLMs")</f>
        <v>Fairness through Difference Awareness: Measuring Desired Group Discrimination in LLMs</v>
      </c>
      <c r="C1946" s="7" t="str">
        <f>IFERROR(__xludf.DUMMYFUNCTION("""COMPUTED_VALUE"""),"Algorithmic fairness has conventionally adopted the mathematically convenient perspective of racial color-blindness (i.e., difference unaware treatment). However, we contend that in a range of important settings, group difference awareness matters. For ex"&amp;"ample, differentiating between groups may be necessary in legal contexts (e.g., the U.S. compulsory draft applies to men but not women) and harm assessments (e.g., referring to girls as ``terrorists'' may be less harmful than referring to Muslim people as"&amp;" such). Thus, in contrast to most fairness work, we study fairness through the perspective of treating people differently --- when it is contextually appropriate to. We first introduce an important distinction between descriptive (fact-based), normative ("&amp;"value-based), and correlation (association-based) benchmarks. This distinction is significant because each category requires separate interpretation and mitigation tailored to its specific characteristics. Then, we present a benchmark suite composed of ei"&amp;"ght different scenarios for a total of 16k questions that enables us to assess difference awareness. Finally, we show results across ten models that demonstrate difference awareness is a distinct dimension to fairness where existing bias mitigation strate"&amp;"gies may backfire.")</f>
        <v>Algorithmic fairness has conventionally adopted the mathematically convenient perspective of racial color-blindness (i.e., difference unaware treatment). However, we contend that in a range of important settings, group difference awareness matters. For example, differentiating between groups may be necessary in legal contexts (e.g., the U.S. compulsory draft applies to men but not women) and harm assessments (e.g., referring to girls as ``terrorists'' may be less harmful than referring to Muslim people as such). Thus, in contrast to most fairness work, we study fairness through the perspective of treating people differently --- when it is contextually appropriate to. We first introduce an important distinction between descriptive (fact-based), normative (value-based), and correlation (association-based) benchmarks. This distinction is significant because each category requires separate interpretation and mitigation tailored to its specific characteristics. Then, we present a benchmark suite composed of eight different scenarios for a total of 16k questions that enables us to assess difference awareness. Finally, we show results across ten models that demonstrate difference awareness is a distinct dimension to fairness where existing bias mitigation strategies may backfire.</v>
      </c>
      <c r="D1946" s="7" t="str">
        <f>IFERROR(__xludf.DUMMYFUNCTION("""COMPUTED_VALUE"""),"Angelina Wang")</f>
        <v>Angelina Wang</v>
      </c>
      <c r="E1946" s="7" t="str">
        <f>IFERROR(__xludf.DUMMYFUNCTION("""COMPUTED_VALUE"""),"Yes")</f>
        <v>Yes</v>
      </c>
      <c r="F1946" s="7" t="str">
        <f>IFERROR(__xludf.DUMMYFUNCTION("""COMPUTED_VALUE"""),"IP-Oral")</f>
        <v>IP-Oral</v>
      </c>
      <c r="G1946" s="7" t="str">
        <f>IFERROR(__xludf.DUMMYFUNCTION("""COMPUTED_VALUE"""),"In-Person")</f>
        <v>In-Person</v>
      </c>
      <c r="H1946" s="7" t="str">
        <f>IFERROR(__xludf.DUMMYFUNCTION("""COMPUTED_VALUE"""),"Hall C")</f>
        <v>Hall C</v>
      </c>
      <c r="I1946" s="7" t="str">
        <f>IFERROR(__xludf.DUMMYFUNCTION("""COMPUTED_VALUE"""),"Session 11: IP-Orals ")</f>
        <v>Session 11: IP-Orals </v>
      </c>
      <c r="J1946" s="7" t="str">
        <f>IFERROR(__xludf.DUMMYFUNCTION("""COMPUTED_VALUE"""),"Panel 3: Human-centred NLP")</f>
        <v>Panel 3: Human-centred NLP</v>
      </c>
      <c r="K1946" s="7"/>
      <c r="L1946" s="8">
        <f>IFERROR(__xludf.DUMMYFUNCTION("""COMPUTED_VALUE"""),45868.0)</f>
        <v>45868</v>
      </c>
      <c r="M1946" s="7" t="str">
        <f>IFERROR(__xludf.DUMMYFUNCTION("""COMPUTED_VALUE"""),"09:00-10:30")</f>
        <v>09:00-10:30</v>
      </c>
      <c r="N1946" s="7">
        <f>IFERROR(__xludf.DUMMYFUNCTION("""COMPUTED_VALUE"""),2.0)</f>
        <v>2</v>
      </c>
    </row>
    <row r="1947">
      <c r="A1947" s="7" t="str">
        <f>IFERROR(__xludf.DUMMYFUNCTION("""COMPUTED_VALUE"""),"753-MAIN")</f>
        <v>753-MAIN</v>
      </c>
      <c r="B1947" s="7" t="str">
        <f>IFERROR(__xludf.DUMMYFUNCTION("""COMPUTED_VALUE"""),"MergePrint: Merge-Resistant Fingerprints for Robust Black-box Ownership Verification of Large Language Models")</f>
        <v>MergePrint: Merge-Resistant Fingerprints for Robust Black-box Ownership Verification of Large Language Models</v>
      </c>
      <c r="C1947" s="7" t="str">
        <f>IFERROR(__xludf.DUMMYFUNCTION("""COMPUTED_VALUE"""),"Protecting the intellectual property of Large Language Models (LLMs) has become increasingly critical due to the high cost of training. Model merging, which integrates multiple expert models into a single multi-task model, introduces a novel risk of unaut"&amp;"horized use of LLMs due to its efficient merging process. While fingerprinting techniques have been proposed for verifying model ownership, their resistance to model merging remains unexplored. To address this gap, we propose a novel fingerprinting method"&amp;", MergePrint, which embeds robust fingerprints capable of surviving model merging. MergePrint enables black-box ownership verification, where owners only need to check if a model produces target outputs for specific fingerprint inputs, without accessing m"&amp;"odel weights or intermediate outputs. By optimizing against a pseudo-merged model that simulates merged behavior, MergePrint ensures fingerprints that remain detectable after merging. Additionally, to minimize performance degradation, we pre-optimize the "&amp;"fingerprint inputs. MergePrint pioneers a practical solution for black-box ownership verification, protecting LLMs from misappropriation via merging, while also excelling in resistance to broader model theft threats.")</f>
        <v>Protecting the intellectual property of Large Language Models (LLMs) has become increasingly critical due to the high cost of training. Model merging, which integrates multiple expert models into a single multi-task model, introduces a novel risk of unauthorized use of LLMs due to its efficient merging process. While fingerprinting techniques have been proposed for verifying model ownership, their resistance to model merging remains unexplored. To address this gap, we propose a novel fingerprinting method, MergePrint, which embeds robust fingerprints capable of surviving model merging. MergePrint enables black-box ownership verification, where owners only need to check if a model produces target outputs for specific fingerprint inputs, without accessing model weights or intermediate outputs. By optimizing against a pseudo-merged model that simulates merged behavior, MergePrint ensures fingerprints that remain detectable after merging. Additionally, to minimize performance degradation, we pre-optimize the fingerprint inputs. MergePrint pioneers a practical solution for black-box ownership verification, protecting LLMs from misappropriation via merging, while also excelling in resistance to broader model theft threats.</v>
      </c>
      <c r="D1947" s="7" t="str">
        <f>IFERROR(__xludf.DUMMYFUNCTION("""COMPUTED_VALUE"""),"Shojiro Yamabe, Futa Waseda, Koki Wataoka")</f>
        <v>Shojiro Yamabe, Futa Waseda, Koki Wataoka</v>
      </c>
      <c r="E1947" s="7" t="str">
        <f>IFERROR(__xludf.DUMMYFUNCTION("""COMPUTED_VALUE"""),"Yes")</f>
        <v>Yes</v>
      </c>
      <c r="F1947" s="7" t="str">
        <f>IFERROR(__xludf.DUMMYFUNCTION("""COMPUTED_VALUE"""),"IP-Poster")</f>
        <v>IP-Poster</v>
      </c>
      <c r="G1947" s="7" t="str">
        <f>IFERROR(__xludf.DUMMYFUNCTION("""COMPUTED_VALUE"""),"In-Person")</f>
        <v>In-Person</v>
      </c>
      <c r="H1947" s="7" t="str">
        <f>IFERROR(__xludf.DUMMYFUNCTION("""COMPUTED_VALUE"""),"Hall 4/5")</f>
        <v>Hall 4/5</v>
      </c>
      <c r="I1947" s="7" t="str">
        <f>IFERROR(__xludf.DUMMYFUNCTION("""COMPUTED_VALUE"""),"Session 12: IP-Posters")</f>
        <v>Session 12: IP-Posters</v>
      </c>
      <c r="J1947" s="7" t="str">
        <f>IFERROR(__xludf.DUMMYFUNCTION("""COMPUTED_VALUE"""),"Poster Session 4")</f>
        <v>Poster Session 4</v>
      </c>
      <c r="K1947" s="7"/>
      <c r="L1947" s="8">
        <f>IFERROR(__xludf.DUMMYFUNCTION("""COMPUTED_VALUE"""),45868.0)</f>
        <v>45868</v>
      </c>
      <c r="M1947" s="7" t="str">
        <f>IFERROR(__xludf.DUMMYFUNCTION("""COMPUTED_VALUE"""),"11:00-12:30")</f>
        <v>11:00-12:30</v>
      </c>
      <c r="N1947" s="7"/>
    </row>
    <row r="1948">
      <c r="A1948" s="7" t="str">
        <f>IFERROR(__xludf.DUMMYFUNCTION("""COMPUTED_VALUE"""),"754-MAIN")</f>
        <v>754-MAIN</v>
      </c>
      <c r="B1948" s="7" t="str">
        <f>IFERROR(__xludf.DUMMYFUNCTION("""COMPUTED_VALUE"""),"Dynamic Scaling of Unit Tests for Code Reward Modeling")</f>
        <v>Dynamic Scaling of Unit Tests for Code Reward Modeling</v>
      </c>
      <c r="C1948" s="7" t="str">
        <f>IFERROR(__xludf.DUMMYFUNCTION("""COMPUTED_VALUE"""),"Current large language models (LLMs) often struggle to produce accurate responses on the first attempt for complex reasoning tasks like code generation. Prior research tackles this challenge by generating multiple candidate solutions and validating them w"&amp;"ith LLM-generated unit tests. The execution results of unit tests serve as reward signals to identify correct solutions. As LLMs always confidently make mistakes, these unit tests are not reliable, thereby diminishing the quality of reward signals. Motiva"&amp;"ted by the observation that scaling the number of solutions improves LLM performance, we explore the impact of scaling unit tests to enhance reward signal quality. Our pioneer experiment reveals a positive correlation between the number of unit tests and "&amp;"reward signal quality, with greater benefits observed in more challenging problems. Based on these insights, we propose CodeRM-8B, a lightweight yet effective unit test generator that enables efficient and high-quality unit test scaling. Additionally, we "&amp;"implement a dynamic scaling mechanism that adapts the number of unit tests based on problem difficulty, further improving efficiency. Experimental results show that our approach significantly improves performance across various models on three benchmarks "&amp;"(e.g., with gains of $18.43$ for Llama3-8B and $3.42$ for GPT-4o-mini on HumanEval Plus). The parameters of CodeRM-8B and corresponding training data will be available upon publication.")</f>
        <v>Current large language models (LLMs) often struggle to produce accurate responses on the first attempt for complex reasoning tasks like code generation. Prior research tackles this challenge by generating multiple candidate solutions and validating them with LLM-generated unit tests. The execution results of unit tests serve as reward signals to identify correct solutions. As LLMs always confidently make mistakes, these unit tests are not reliable, thereby diminishing the quality of reward signals. Motivated by the observation that scaling the number of solutions improves LLM performance, we explore the impact of scaling unit tests to enhance reward signal quality. Our pioneer experiment reveals a positive correlation between the number of unit tests and reward signal quality, with greater benefits observed in more challenging problems. Based on these insights, we propose CodeRM-8B, a lightweight yet effective unit test generator that enables efficient and high-quality unit test scaling. Additionally, we implement a dynamic scaling mechanism that adapts the number of unit tests based on problem difficulty, further improving efficiency. Experimental results show that our approach significantly improves performance across various models on three benchmarks (e.g., with gains of $18.43$ for Llama3-8B and $3.42$ for GPT-4o-mini on HumanEval Plus). The parameters of CodeRM-8B and corresponding training data will be available upon publication.</v>
      </c>
      <c r="D1948" s="7" t="str">
        <f>IFERROR(__xludf.DUMMYFUNCTION("""COMPUTED_VALUE"""),"Zeyao Ma")</f>
        <v>Zeyao Ma</v>
      </c>
      <c r="E1948" s="7" t="str">
        <f>IFERROR(__xludf.DUMMYFUNCTION("""COMPUTED_VALUE"""),"Yes")</f>
        <v>Yes</v>
      </c>
      <c r="F1948" s="7" t="str">
        <f>IFERROR(__xludf.DUMMYFUNCTION("""COMPUTED_VALUE"""),"IP-Poster")</f>
        <v>IP-Poster</v>
      </c>
      <c r="G1948" s="7" t="str">
        <f>IFERROR(__xludf.DUMMYFUNCTION("""COMPUTED_VALUE"""),"In-Person")</f>
        <v>In-Person</v>
      </c>
      <c r="H1948" s="7" t="str">
        <f>IFERROR(__xludf.DUMMYFUNCTION("""COMPUTED_VALUE"""),"Hall 4/5")</f>
        <v>Hall 4/5</v>
      </c>
      <c r="I1948" s="7" t="str">
        <f>IFERROR(__xludf.DUMMYFUNCTION("""COMPUTED_VALUE"""),"Session 12: IP-Posters")</f>
        <v>Session 12: IP-Posters</v>
      </c>
      <c r="J1948" s="7" t="str">
        <f>IFERROR(__xludf.DUMMYFUNCTION("""COMPUTED_VALUE"""),"Poster Session 4")</f>
        <v>Poster Session 4</v>
      </c>
      <c r="K1948" s="7"/>
      <c r="L1948" s="8">
        <f>IFERROR(__xludf.DUMMYFUNCTION("""COMPUTED_VALUE"""),45868.0)</f>
        <v>45868</v>
      </c>
      <c r="M1948" s="7" t="str">
        <f>IFERROR(__xludf.DUMMYFUNCTION("""COMPUTED_VALUE"""),"11:00-12:30")</f>
        <v>11:00-12:30</v>
      </c>
      <c r="N1948" s="7"/>
    </row>
    <row r="1949">
      <c r="A1949" s="7" t="str">
        <f>IFERROR(__xludf.DUMMYFUNCTION("""COMPUTED_VALUE"""),"756-MAIN")</f>
        <v>756-MAIN</v>
      </c>
      <c r="B1949" s="7" t="str">
        <f>IFERROR(__xludf.DUMMYFUNCTION("""COMPUTED_VALUE"""),"UniConv: Unifying Retrieval and Response Generation for Large Language Model in Conversation")</f>
        <v>UniConv: Unifying Retrieval and Response Generation for Large Language Model in Conversation</v>
      </c>
      <c r="C1949" s="7" t="str">
        <f>IFERROR(__xludf.DUMMYFUNCTION("""COMPUTED_VALUE"""),"The rapid advancement of conversational search systems revolutionizes how information is accessed by enabling the multi-turn interaction between the user and the system. Existing conversational search systems are usually built with two different models. 
"&amp;"This separation restricts the system from leveraging the intrinsic knowledge of the models simultaneously, which cannot ensure the effectiveness of retrieval benefiting the generation. The existing studies for developing unified models cannot fully addres"&amp;"s the aspects of understanding conversational context, managing retrieval independently, and generating responses. In this paper, we explore how to unify dense retrieval and response generation for large language models in conversation. We conduct joint f"&amp;"ine-tuning with different objectives and design two mechanisms to reduce the inconsistency risks while mitigating data discrepancy. The evaluations on five conversational search datasets demonstrate that our unified model can mutually improve both tasks a"&amp;"nd outperform the existing baselines.")</f>
        <v>The rapid advancement of conversational search systems revolutionizes how information is accessed by enabling the multi-turn interaction between the user and the system. Existing conversational search systems are usually built with two different models. 
This separation restricts the system from leveraging the intrinsic knowledge of the models simultaneously, which cannot ensure the effectiveness of retrieval benefiting the generation. The existing studies for developing unified models cannot fully address the aspects of understanding conversational context, managing retrieval independently, and generating responses. In this paper, we explore how to unify dense retrieval and response generation for large language models in conversation. We conduct joint fine-tuning with different objectives and design two mechanisms to reduce the inconsistency risks while mitigating data discrepancy. The evaluations on five conversational search datasets demonstrate that our unified model can mutually improve both tasks and outperform the existing baselines.</v>
      </c>
      <c r="D1949" s="7" t="str">
        <f>IFERROR(__xludf.DUMMYFUNCTION("""COMPUTED_VALUE"""),"Xin Liu")</f>
        <v>Xin Liu</v>
      </c>
      <c r="E1949" s="7" t="str">
        <f>IFERROR(__xludf.DUMMYFUNCTION("""COMPUTED_VALUE"""),"Yes")</f>
        <v>Yes</v>
      </c>
      <c r="F1949" s="7" t="str">
        <f>IFERROR(__xludf.DUMMYFUNCTION("""COMPUTED_VALUE"""),"IP-Poster")</f>
        <v>IP-Poster</v>
      </c>
      <c r="G1949" s="7" t="str">
        <f>IFERROR(__xludf.DUMMYFUNCTION("""COMPUTED_VALUE"""),"In-Person")</f>
        <v>In-Person</v>
      </c>
      <c r="H1949" s="7" t="str">
        <f>IFERROR(__xludf.DUMMYFUNCTION("""COMPUTED_VALUE"""),"Hall 4/5")</f>
        <v>Hall 4/5</v>
      </c>
      <c r="I1949" s="7" t="str">
        <f>IFERROR(__xludf.DUMMYFUNCTION("""COMPUTED_VALUE"""),"Session 2: IP-Posters ")</f>
        <v>Session 2: IP-Posters </v>
      </c>
      <c r="J1949" s="7" t="str">
        <f>IFERROR(__xludf.DUMMYFUNCTION("""COMPUTED_VALUE"""),"Poster Session 1")</f>
        <v>Poster Session 1</v>
      </c>
      <c r="K1949" s="7"/>
      <c r="L1949" s="8">
        <f>IFERROR(__xludf.DUMMYFUNCTION("""COMPUTED_VALUE"""),45866.0)</f>
        <v>45866</v>
      </c>
      <c r="M1949" s="7" t="str">
        <f>IFERROR(__xludf.DUMMYFUNCTION("""COMPUTED_VALUE"""),"11:00-12:30")</f>
        <v>11:00-12:30</v>
      </c>
      <c r="N1949" s="7"/>
    </row>
    <row r="1950">
      <c r="A1950" s="7" t="str">
        <f>IFERROR(__xludf.DUMMYFUNCTION("""COMPUTED_VALUE"""),"758-MAIN")</f>
        <v>758-MAIN</v>
      </c>
      <c r="B1950" s="7" t="str">
        <f>IFERROR(__xludf.DUMMYFUNCTION("""COMPUTED_VALUE"""),"Tracking Life’s Ups and Downs: Mining Life Events from Social Media Posts for Mental Health Analysis")</f>
        <v>Tracking Life’s Ups and Downs: Mining Life Events from Social Media Posts for Mental Health Analysis</v>
      </c>
      <c r="C1950" s="7" t="str">
        <f>IFERROR(__xludf.DUMMYFUNCTION("""COMPUTED_VALUE"""),"Social media platforms possess considerable potential in the realm of exploring mental health. Previous research has indicated that major life events can greatly impact individuals' mental health. However, due to the complexity and ambiguity nature of lif"&amp;"e events, shedding its light on social media data is quite challenging. In this paper, we are dedicated to uncovering life events mentioned in posts on social media. We hereby provide a carefully-annotated social media event dataset, PsyEvent, which encom"&amp;"passes 12 major life event categories that are likely to occur in everyday life. This dataset is human-annotated under iterative procedure and boasts a high level of quality. Furthermore, by applying the life events extracted from posts to downstream task"&amp;"s such as early risk detection of depression and suicide risk prediction, we have observed a considerable improvement in performance. This suggests that extracting life events from social media can be beneficial for the analysis of individuals' mental hea"&amp;"lth.")</f>
        <v>Social media platforms possess considerable potential in the realm of exploring mental health. Previous research has indicated that major life events can greatly impact individuals' mental health. However, due to the complexity and ambiguity nature of life events, shedding its light on social media data is quite challenging. In this paper, we are dedicated to uncovering life events mentioned in posts on social media. We hereby provide a carefully-annotated social media event dataset, PsyEvent, which encompasses 12 major life event categories that are likely to occur in everyday life. This dataset is human-annotated under iterative procedure and boasts a high level of quality. Furthermore, by applying the life events extracted from posts to downstream tasks such as early risk detection of depression and suicide risk prediction, we have observed a considerable improvement in performance. This suggests that extracting life events from social media can be beneficial for the analysis of individuals' mental health.</v>
      </c>
      <c r="D1950" s="7" t="str">
        <f>IFERROR(__xludf.DUMMYFUNCTION("""COMPUTED_VALUE"""),"Minghao Lv")</f>
        <v>Minghao Lv</v>
      </c>
      <c r="E1950" s="7" t="str">
        <f>IFERROR(__xludf.DUMMYFUNCTION("""COMPUTED_VALUE"""),"Yes")</f>
        <v>Yes</v>
      </c>
      <c r="F1950" s="7" t="str">
        <f>IFERROR(__xludf.DUMMYFUNCTION("""COMPUTED_VALUE"""),"IP-Poster")</f>
        <v>IP-Poster</v>
      </c>
      <c r="G1950" s="7" t="str">
        <f>IFERROR(__xludf.DUMMYFUNCTION("""COMPUTED_VALUE"""),"In-Person")</f>
        <v>In-Person</v>
      </c>
      <c r="H1950" s="7" t="str">
        <f>IFERROR(__xludf.DUMMYFUNCTION("""COMPUTED_VALUE"""),"Hall 4/5")</f>
        <v>Hall 4/5</v>
      </c>
      <c r="I1950" s="7" t="str">
        <f>IFERROR(__xludf.DUMMYFUNCTION("""COMPUTED_VALUE"""),"Session 10: IP-Posters")</f>
        <v>Session 10: IP-Posters</v>
      </c>
      <c r="J1950" s="7" t="str">
        <f>IFERROR(__xludf.DUMMYFUNCTION("""COMPUTED_VALUE"""),"Poster Session 1")</f>
        <v>Poster Session 1</v>
      </c>
      <c r="K1950" s="7"/>
      <c r="L1950" s="8">
        <f>IFERROR(__xludf.DUMMYFUNCTION("""COMPUTED_VALUE"""),45866.0)</f>
        <v>45866</v>
      </c>
      <c r="M1950" s="7" t="str">
        <f>IFERROR(__xludf.DUMMYFUNCTION("""COMPUTED_VALUE"""),"11:00-12:30")</f>
        <v>11:00-12:30</v>
      </c>
      <c r="N1950" s="7"/>
    </row>
    <row r="1951">
      <c r="A1951" s="7" t="str">
        <f>IFERROR(__xludf.DUMMYFUNCTION("""COMPUTED_VALUE"""),"759-MAIN")</f>
        <v>759-MAIN</v>
      </c>
      <c r="B1951" s="7" t="str">
        <f>IFERROR(__xludf.DUMMYFUNCTION("""COMPUTED_VALUE"""),"Towards Simultaneous and Independent Zero-shot Speaker Cloning and Zero-shot Language Style Control")</f>
        <v>Towards Simultaneous and Independent Zero-shot Speaker Cloning and Zero-shot Language Style Control</v>
      </c>
      <c r="C1951" s="7" t="str">
        <f>IFERROR(__xludf.DUMMYFUNCTION("""COMPUTED_VALUE"""),"In this paper, we present ControlSpeech, a text-to-speech (TTS) system capable of fully cloning the speaker's voice and enabling arbitrary control and adjustment of speaking style. Prior zero-shot TTS models only mimic the speaker's voice without further "&amp;"control and adjustment capabilities while prior controllable TTS models cannot perform speaker-specific voice generation. Therefore, ControlSpeech focuses on a more challenging task—a TTS system with controllable timbre, content, and style at the same tim"&amp;"e. ControlSpeech takes speech prompts, content prompts, and style prompts as inputs and utilizes bidirectional attention and mask-based parallel decoding to capture codec representations corresponding to timbre, content, and style in a discrete decoupling"&amp;" codec space. Moreover, we analyze the many-to-many issue in textual style control and propose the Style Mixture Semantic Density (SMSD) module, which is based on Gaussian mixture density networks, to resolve this problem. To facilitate empirical validati"&amp;"ons, we make available a new style controllable dataset called VccmDataset. Our experimental results demonstrate that ControlSpeech exhibits comparable or state-of-the-art (SOTA) performance in terms of controllability, timbre similarity, audio quality, r"&amp;"obustness, and generalizability. Codes are available at https://github.com/jishengpeng/ControlSpeech.")</f>
        <v>In this paper, we present ControlSpeech, a text-to-speech (TTS) system capable of fully cloning the speaker's voice and enabling arbitrary control and adjustment of speaking style. Prior zero-shot TTS models only mimic the speaker's voice without further control and adjustment capabilities while prior controllable TTS models cannot perform speaker-specific voice generation. Therefore, ControlSpeech focuses on a more challenging task—a TTS system with controllable timbre, content, and style at the same time. ControlSpeech takes speech prompts, content prompts, and style prompts as inputs and utilizes bidirectional attention and mask-based parallel decoding to capture codec representations corresponding to timbre, content, and style in a discrete decoupling codec space. Moreover, we analyze the many-to-many issue in textual style control and propose the Style Mixture Semantic Density (SMSD) module, which is based on Gaussian mixture density networks, to resolve this problem. To facilitate empirical validations, we make available a new style controllable dataset called VccmDataset. Our experimental results demonstrate that ControlSpeech exhibits comparable or state-of-the-art (SOTA) performance in terms of controllability, timbre similarity, audio quality, robustness, and generalizability. Codes are available at https://github.com/jishengpeng/ControlSpeech.</v>
      </c>
      <c r="D1951" s="7" t="str">
        <f>IFERROR(__xludf.DUMMYFUNCTION("""COMPUTED_VALUE"""),"Shengpeng Ji")</f>
        <v>Shengpeng Ji</v>
      </c>
      <c r="E1951" s="7" t="str">
        <f>IFERROR(__xludf.DUMMYFUNCTION("""COMPUTED_VALUE"""),"Yes")</f>
        <v>Yes</v>
      </c>
      <c r="F1951" s="7" t="str">
        <f>IFERROR(__xludf.DUMMYFUNCTION("""COMPUTED_VALUE"""),"IP-Poster")</f>
        <v>IP-Poster</v>
      </c>
      <c r="G1951" s="7" t="str">
        <f>IFERROR(__xludf.DUMMYFUNCTION("""COMPUTED_VALUE"""),"In-Person")</f>
        <v>In-Person</v>
      </c>
      <c r="H1951" s="7" t="str">
        <f>IFERROR(__xludf.DUMMYFUNCTION("""COMPUTED_VALUE"""),"Hall 4/5")</f>
        <v>Hall 4/5</v>
      </c>
      <c r="I1951" s="7" t="str">
        <f>IFERROR(__xludf.DUMMYFUNCTION("""COMPUTED_VALUE"""),"Session 2: IP-Posters ")</f>
        <v>Session 2: IP-Posters </v>
      </c>
      <c r="J1951" s="7" t="str">
        <f>IFERROR(__xludf.DUMMYFUNCTION("""COMPUTED_VALUE"""),"Poster Session 1")</f>
        <v>Poster Session 1</v>
      </c>
      <c r="K1951" s="7"/>
      <c r="L1951" s="8">
        <f>IFERROR(__xludf.DUMMYFUNCTION("""COMPUTED_VALUE"""),45866.0)</f>
        <v>45866</v>
      </c>
      <c r="M1951" s="7" t="str">
        <f>IFERROR(__xludf.DUMMYFUNCTION("""COMPUTED_VALUE"""),"11:00-12:30")</f>
        <v>11:00-12:30</v>
      </c>
      <c r="N1951" s="7"/>
    </row>
    <row r="1952">
      <c r="A1952" s="7" t="str">
        <f>IFERROR(__xludf.DUMMYFUNCTION("""COMPUTED_VALUE"""),"763-MAIN")</f>
        <v>763-MAIN</v>
      </c>
      <c r="B1952" s="7" t="str">
        <f>IFERROR(__xludf.DUMMYFUNCTION("""COMPUTED_VALUE"""),"PIC: Unlocking Long-Form Text Generation Capabilities of Large Language Models via Position ID Compression")</f>
        <v>PIC: Unlocking Long-Form Text Generation Capabilities of Large Language Models via Position ID Compression</v>
      </c>
      <c r="C1952" s="7" t="str">
        <f>IFERROR(__xludf.DUMMYFUNCTION("""COMPUTED_VALUE"""),"Long-context understanding is crucial for large language models (LLMs) and has become a fundamental capability for most LLMs. However, beyond the focus on ""input-long"", the ability to ""output-long"" is equally significant, yet it remains underexplored."&amp;" To address this limitation, we propose a simple, efficient, and plug-in approach, Position ID Compression (PIC), to unlock the long-form text generation potential of LLMs. The idea is straightforward: by compressing the position ids of the context, we pr"&amp;"ovoke and guide LLMs to generate coherent and longer output. Specifically, we find that directly reducing the position ids by a fixed ratio significantly impacts the generation quality. To mitigate this, we propose two variants of PIC: NTK-aware PIC and D"&amp;"ynamic PIC. Without additional training, both methods enable LLMs to extend their generation length by approximately 1.5 times without compromising generation quality. Furthermore, by integrating supervised fine-tuning (SFT) with PIC, we propose PIC-SFT, "&amp;"which further improves LLMs' long-form text generation capabilities, achieving top performance on HelloBench and LongBench-Write. Extensive experiments demonstrate the effectiveness of our approach.")</f>
        <v>Long-context understanding is crucial for large language models (LLMs) and has become a fundamental capability for most LLMs. However, beyond the focus on "input-long", the ability to "output-long" is equally significant, yet it remains underexplored. To address this limitation, we propose a simple, efficient, and plug-in approach, Position ID Compression (PIC), to unlock the long-form text generation potential of LLMs. The idea is straightforward: by compressing the position ids of the context, we provoke and guide LLMs to generate coherent and longer output. Specifically, we find that directly reducing the position ids by a fixed ratio significantly impacts the generation quality. To mitigate this, we propose two variants of PIC: NTK-aware PIC and Dynamic PIC. Without additional training, both methods enable LLMs to extend their generation length by approximately 1.5 times without compromising generation quality. Furthermore, by integrating supervised fine-tuning (SFT) with PIC, we propose PIC-SFT, which further improves LLMs' long-form text generation capabilities, achieving top performance on HelloBench and LongBench-Write. Extensive experiments demonstrate the effectiveness of our approach.</v>
      </c>
      <c r="D1952" s="7" t="str">
        <f>IFERROR(__xludf.DUMMYFUNCTION("""COMPUTED_VALUE"""),"Haoran Que")</f>
        <v>Haoran Que</v>
      </c>
      <c r="E1952" s="7" t="str">
        <f>IFERROR(__xludf.DUMMYFUNCTION("""COMPUTED_VALUE"""),"Yes")</f>
        <v>Yes</v>
      </c>
      <c r="F1952" s="7" t="str">
        <f>IFERROR(__xludf.DUMMYFUNCTION("""COMPUTED_VALUE"""),"V-Presentation")</f>
        <v>V-Presentation</v>
      </c>
      <c r="G1952" s="7" t="str">
        <f>IFERROR(__xludf.DUMMYFUNCTION("""COMPUTED_VALUE"""),"Virtual/Gather")</f>
        <v>Virtual/Gather</v>
      </c>
      <c r="H1952" s="7" t="str">
        <f>IFERROR(__xludf.DUMMYFUNCTION("""COMPUTED_VALUE"""),"Zoom")</f>
        <v>Zoom</v>
      </c>
      <c r="I1952" s="7" t="str">
        <f>IFERROR(__xludf.DUMMYFUNCTION("""COMPUTED_VALUE"""),"Session 2: V-Presentations")</f>
        <v>Session 2: V-Presentations</v>
      </c>
      <c r="J1952" s="7" t="str">
        <f>IFERROR(__xludf.DUMMYFUNCTION("""COMPUTED_VALUE"""),"Virtual Presentations 1")</f>
        <v>Virtual Presentations 1</v>
      </c>
      <c r="K1952" s="7"/>
      <c r="L1952" s="8">
        <f>IFERROR(__xludf.DUMMYFUNCTION("""COMPUTED_VALUE"""),45866.0)</f>
        <v>45866</v>
      </c>
      <c r="M1952" s="7" t="str">
        <f>IFERROR(__xludf.DUMMYFUNCTION("""COMPUTED_VALUE"""),"11:00-12:30")</f>
        <v>11:00-12:30</v>
      </c>
      <c r="N1952" s="7"/>
    </row>
    <row r="1953">
      <c r="A1953" s="7" t="str">
        <f>IFERROR(__xludf.DUMMYFUNCTION("""COMPUTED_VALUE"""),"766-MAIN")</f>
        <v>766-MAIN</v>
      </c>
      <c r="B1953" s="7" t="str">
        <f>IFERROR(__xludf.DUMMYFUNCTION("""COMPUTED_VALUE"""),"Towards Effective Extraction and Evaluation of Factual Claims")</f>
        <v>Towards Effective Extraction and Evaluation of Factual Claims</v>
      </c>
      <c r="C1953" s="7" t="str">
        <f>IFERROR(__xludf.DUMMYFUNCTION("""COMPUTED_VALUE"""),"A common strategy for fact-checking long-form content generated by Large Language Models (LLMs) is extracting simple claims that can be verified independently. Since inaccurate or incomplete claims compromise fact-checking results, ensuring claim quality "&amp;"is critical. However, the lack of a standardized evaluation framework impedes assessment and comparison of claim extraction methods. To address this gap, we propose a framework for evaluating claim extraction in the context of fact-checking along with aut"&amp;"omated, scalable, and replicable methods for applying this framework, including novel approaches for measuring coverage and decontextualization. We also introduce Claimify, an LLM-based claim extraction method, and demonstrate that it outperforms existing"&amp;" methods under our evaluation framework. A key feature of Claimify is its ability to handle ambiguity and extract claims only when there is high confidence in the correct interpretation of the source text.")</f>
        <v>A common strategy for fact-checking long-form content generated by Large Language Models (LLMs) is extracting simple claims that can be verified independently. Since inaccurate or incomplete claims compromise fact-checking results, ensuring claim quality is critical. However, the lack of a standardized evaluation framework impedes assessment and comparison of claim extraction methods. To address this gap, we propose a framework for evaluating claim extraction in the context of fact-checking along with automated, scalable, and replicable methods for applying this framework, including novel approaches for measuring coverage and decontextualization. We also introduce Claimify, an LLM-based claim extraction method, and demonstrate that it outperforms existing methods under our evaluation framework. A key feature of Claimify is its ability to handle ambiguity and extract claims only when there is high confidence in the correct interpretation of the source text.</v>
      </c>
      <c r="D1953" s="7" t="str">
        <f>IFERROR(__xludf.DUMMYFUNCTION("""COMPUTED_VALUE"""),"Dasha Metropolitansky")</f>
        <v>Dasha Metropolitansky</v>
      </c>
      <c r="E1953" s="7" t="str">
        <f>IFERROR(__xludf.DUMMYFUNCTION("""COMPUTED_VALUE"""),"Yes")</f>
        <v>Yes</v>
      </c>
      <c r="F1953" s="7" t="str">
        <f>IFERROR(__xludf.DUMMYFUNCTION("""COMPUTED_VALUE"""),"IP-Poster")</f>
        <v>IP-Poster</v>
      </c>
      <c r="G1953" s="7" t="str">
        <f>IFERROR(__xludf.DUMMYFUNCTION("""COMPUTED_VALUE"""),"In-Person")</f>
        <v>In-Person</v>
      </c>
      <c r="H1953" s="7" t="str">
        <f>IFERROR(__xludf.DUMMYFUNCTION("""COMPUTED_VALUE"""),"Hall 4/5")</f>
        <v>Hall 4/5</v>
      </c>
      <c r="I1953" s="7" t="str">
        <f>IFERROR(__xludf.DUMMYFUNCTION("""COMPUTED_VALUE"""),"Session 7: IP-Posters")</f>
        <v>Session 7: IP-Posters</v>
      </c>
      <c r="J1953" s="7" t="str">
        <f>IFERROR(__xludf.DUMMYFUNCTION("""COMPUTED_VALUE"""),"Poster Session 2")</f>
        <v>Poster Session 2</v>
      </c>
      <c r="K1953" s="7"/>
      <c r="L1953" s="8">
        <f>IFERROR(__xludf.DUMMYFUNCTION("""COMPUTED_VALUE"""),45867.0)</f>
        <v>45867</v>
      </c>
      <c r="M1953" s="7" t="str">
        <f>IFERROR(__xludf.DUMMYFUNCTION("""COMPUTED_VALUE"""),"10:30-12:00")</f>
        <v>10:30-12:00</v>
      </c>
      <c r="N1953" s="7"/>
    </row>
    <row r="1954">
      <c r="A1954" s="7" t="str">
        <f>IFERROR(__xludf.DUMMYFUNCTION("""COMPUTED_VALUE"""),"768-MAIN")</f>
        <v>768-MAIN</v>
      </c>
      <c r="B1954" s="7" t="str">
        <f>IFERROR(__xludf.DUMMYFUNCTION("""COMPUTED_VALUE"""),"Beyond Facts: Evaluating Intent Hallucination in Large Language Models")</f>
        <v>Beyond Facts: Evaluating Intent Hallucination in Large Language Models</v>
      </c>
      <c r="C1954" s="7" t="str">
        <f>IFERROR(__xludf.DUMMYFUNCTION("""COMPUTED_VALUE"""),"When exposed to complex queries containing multiple conditions, today’s large language models (LLMs) tend to produce responses that only partially satisfy the query while neglecting certain conditions. We, therefore, introduce the concept of Intent Halluc"&amp;"ination, a phenomenon where LLMs either omit (failing to address certain parts) or misinterpret (responding to invented query parts) elements of the given query, leading to responses misaligned with the original query. To systematically evaluate intent ha"&amp;"llucination, we introduce FAITHQA, a novel benchmark for intent hallucination that contains 20,068 problems, covering both query-only and retrieval-augmented generation (RAG) setups with varying topics and difficulty. FAITHQA is the first hallucination be"&amp;"nchmark that goes beyond factual verification, tailored to identify the fundamental cause of intent hallucination. By evaluating various LLMs on FAITHQA, we find that (1) intent hallucination is a common issue even for state-of-the-art models, and (2) suc"&amp;"h a phenomenon stems from omission or misinterpretation of LLMs. To facilitate future research, we introduce an automatic LLM generation evaluation metric, named INTENT CONSTRAINT, for detecting intent hallucination. Human evaluation results demonstrate t"&amp;"hat INTENT CONSTRAINT is closer to human performance for intent hallucination compared to baselines.")</f>
        <v>When exposed to complex queries containing multiple conditions, today’s large language models (LLMs) tend to produce responses that only partially satisfy the query while neglecting certain conditions. We, therefore, introduce the concept of Intent Hallucination, a phenomenon where LLMs either omit (failing to address certain parts) or misinterpret (responding to invented query parts) elements of the given query, leading to responses misaligned with the original query. To systematically evaluate intent hallucination, we introduce FAITHQA, a novel benchmark for intent hallucination that contains 20,068 problems, covering both query-only and retrieval-augmented generation (RAG) setups with varying topics and difficulty. FAITHQA is the first hallucination benchmark that goes beyond factual verification, tailored to identify the fundamental cause of intent hallucination. By evaluating various LLMs on FAITHQA, we find that (1) intent hallucination is a common issue even for state-of-the-art models, and (2) such a phenomenon stems from omission or misinterpretation of LLMs. To facilitate future research, we introduce an automatic LLM generation evaluation metric, named INTENT CONSTRAINT, for detecting intent hallucination. Human evaluation results demonstrate that INTENT CONSTRAINT is closer to human performance for intent hallucination compared to baselines.</v>
      </c>
      <c r="D1954" s="7" t="str">
        <f>IFERROR(__xludf.DUMMYFUNCTION("""COMPUTED_VALUE"""),"Yijie Hao")</f>
        <v>Yijie Hao</v>
      </c>
      <c r="E1954" s="7" t="str">
        <f>IFERROR(__xludf.DUMMYFUNCTION("""COMPUTED_VALUE"""),"Yes")</f>
        <v>Yes</v>
      </c>
      <c r="F1954" s="7" t="str">
        <f>IFERROR(__xludf.DUMMYFUNCTION("""COMPUTED_VALUE"""),"V-Presentation")</f>
        <v>V-Presentation</v>
      </c>
      <c r="G1954" s="7" t="str">
        <f>IFERROR(__xludf.DUMMYFUNCTION("""COMPUTED_VALUE"""),"Virtual/Gather")</f>
        <v>Virtual/Gather</v>
      </c>
      <c r="H1954" s="7" t="str">
        <f>IFERROR(__xludf.DUMMYFUNCTION("""COMPUTED_VALUE"""),"Zoom")</f>
        <v>Zoom</v>
      </c>
      <c r="I1954" s="7" t="str">
        <f>IFERROR(__xludf.DUMMYFUNCTION("""COMPUTED_VALUE"""),"Session 12: V-Presentations")</f>
        <v>Session 12: V-Presentations</v>
      </c>
      <c r="J1954" s="7" t="str">
        <f>IFERROR(__xludf.DUMMYFUNCTION("""COMPUTED_VALUE"""),"Virtual Presentations 4")</f>
        <v>Virtual Presentations 4</v>
      </c>
      <c r="K1954" s="7"/>
      <c r="L1954" s="8">
        <f>IFERROR(__xludf.DUMMYFUNCTION("""COMPUTED_VALUE"""),45868.0)</f>
        <v>45868</v>
      </c>
      <c r="M1954" s="7" t="str">
        <f>IFERROR(__xludf.DUMMYFUNCTION("""COMPUTED_VALUE"""),"11:00-12:30")</f>
        <v>11:00-12:30</v>
      </c>
      <c r="N1954" s="7"/>
    </row>
    <row r="1955">
      <c r="A1955" s="7" t="str">
        <f>IFERROR(__xludf.DUMMYFUNCTION("""COMPUTED_VALUE"""),"769-MAIN")</f>
        <v>769-MAIN</v>
      </c>
      <c r="B1955" s="7" t="str">
        <f>IFERROR(__xludf.DUMMYFUNCTION("""COMPUTED_VALUE"""),"A Systematic Study of Compositional Syntactic Transformer Language Models")</f>
        <v>A Systematic Study of Compositional Syntactic Transformer Language Models</v>
      </c>
      <c r="C1955" s="7" t="str">
        <f>IFERROR(__xludf.DUMMYFUNCTION("""COMPUTED_VALUE"""),"Syntactic language models (SLMs) enhance Transformers by incorporating syntactic biases through the modeling of linearized syntactic parse trees alongside surface sentences. This paper focuses on compositional SLMs that are based on constituency parse tre"&amp;"es and contain explicit bottom-up composition of constituent representations. We identify key aspects of design choices in existing compositional SLMs and propose a unified framework encompassing both existing models and novel variants. We conduct a compr"&amp;"ehensive empirical evaluation of all the variants in our framework across language modeling, syntactic generalization, summarization, and inference efficiency. Based on the experimental results, we make multiple recommendations on the design of compositio"&amp;"nal SLMs. Our code is released at https://github.com/zhaoyd1/compositional_SLMs.")</f>
        <v>Syntactic language models (SLMs) enhance Transformers by incorporating syntactic biases through the modeling of linearized syntactic parse trees alongside surface sentences. This paper focuses on compositional SLMs that are based on constituency parse trees and contain explicit bottom-up composition of constituent representations. We identify key aspects of design choices in existing compositional SLMs and propose a unified framework encompassing both existing models and novel variants. We conduct a comprehensive empirical evaluation of all the variants in our framework across language modeling, syntactic generalization, summarization, and inference efficiency. Based on the experimental results, we make multiple recommendations on the design of compositional SLMs. Our code is released at https://github.com/zhaoyd1/compositional_SLMs.</v>
      </c>
      <c r="D1955" s="7" t="str">
        <f>IFERROR(__xludf.DUMMYFUNCTION("""COMPUTED_VALUE"""),"Yida Zhao")</f>
        <v>Yida Zhao</v>
      </c>
      <c r="E1955" s="7" t="str">
        <f>IFERROR(__xludf.DUMMYFUNCTION("""COMPUTED_VALUE"""),"Yes")</f>
        <v>Yes</v>
      </c>
      <c r="F1955" s="7" t="str">
        <f>IFERROR(__xludf.DUMMYFUNCTION("""COMPUTED_VALUE"""),"IP-Oral")</f>
        <v>IP-Oral</v>
      </c>
      <c r="G1955" s="7" t="str">
        <f>IFERROR(__xludf.DUMMYFUNCTION("""COMPUTED_VALUE"""),"In-Person")</f>
        <v>In-Person</v>
      </c>
      <c r="H1955" s="7" t="str">
        <f>IFERROR(__xludf.DUMMYFUNCTION("""COMPUTED_VALUE"""),"Room 1.86")</f>
        <v>Room 1.86</v>
      </c>
      <c r="I1955" s="7" t="str">
        <f>IFERROR(__xludf.DUMMYFUNCTION("""COMPUTED_VALUE"""),"Session 9: IP-Orals")</f>
        <v>Session 9: IP-Orals</v>
      </c>
      <c r="J1955" s="7" t="str">
        <f>IFERROR(__xludf.DUMMYFUNCTION("""COMPUTED_VALUE"""),"Phonology, Morphology, and Syntax")</f>
        <v>Phonology, Morphology, and Syntax</v>
      </c>
      <c r="K1955" s="7"/>
      <c r="L1955" s="8">
        <f>IFERROR(__xludf.DUMMYFUNCTION("""COMPUTED_VALUE"""),45867.0)</f>
        <v>45867</v>
      </c>
      <c r="M1955" s="7" t="str">
        <f>IFERROR(__xludf.DUMMYFUNCTION("""COMPUTED_VALUE"""),"14:00-15:30")</f>
        <v>14:00-15:30</v>
      </c>
      <c r="N1955" s="7">
        <f>IFERROR(__xludf.DUMMYFUNCTION("""COMPUTED_VALUE"""),1.0)</f>
        <v>1</v>
      </c>
    </row>
    <row r="1956">
      <c r="A1956" s="7" t="str">
        <f>IFERROR(__xludf.DUMMYFUNCTION("""COMPUTED_VALUE"""),"770-MAIN")</f>
        <v>770-MAIN</v>
      </c>
      <c r="B1956" s="7" t="str">
        <f>IFERROR(__xludf.DUMMYFUNCTION("""COMPUTED_VALUE"""),"M-MAD: Multidimensional Multi-Agent Debate for Advanced Machine Translation Evaluation")</f>
        <v>M-MAD: Multidimensional Multi-Agent Debate for Advanced Machine Translation Evaluation</v>
      </c>
      <c r="C1956" s="7" t="str">
        <f>IFERROR(__xludf.DUMMYFUNCTION("""COMPUTED_VALUE"""),"Recent advancements in large language models (LLMs) have given rise to the LLM-as-a-judge paradigm, showcasing their potential to deliver human-like judgments. However, in the field of machine translation (MT) evaluation, current LLM-as-a-judge methods fa"&amp;"ll short of learned automatic metrics. In this paper, we propose Multidimensional Multi-Agent Debate (M-MAD), a systematic LLM-based multi-agent framework for advanced LLM-as-a-judge MT evaluation. Our findings demonstrate that M-MAD achieves significant "&amp;"advancements by (1) decoupling heuristic MQM criteria into distinct evaluation dimensions for fine-grained assessments; (2) employing multi-agent debates to harness the collaborative reasoning capabilities of LLMs; (3) synthesizing dimension-specific resu"&amp;"lts into a final evaluation judgment to ensure robust and reliable outcomes. Comprehensive experiments show that M-MAD not only outperforms all existing LLM-as-a-judge methods but also competes with state-of-the-art reference-based automatic metrics, even"&amp;" when powered by a suboptimal model like GPT-4o mini. Detailed ablations and analysis highlight the superiority of our framework design, offering a fresh perspective for LLM-as-a-judge paradigm. Our code and data are publicly available at https://github.c"&amp;"om/SU-JIAYUAN/M-MAD.")</f>
        <v>Recent advancements in large language models (LLMs) have given rise to the LLM-as-a-judge paradigm, showcasing their potential to deliver human-like judgments. However, in the field of machine translation (MT) evaluation, current LLM-as-a-judge methods fall short of learned automatic metrics. In this paper, we propose Multidimensional Multi-Agent Debate (M-MAD), a systematic LLM-based multi-agent framework for advanced LLM-as-a-judge MT evaluation. Our findings demonstrate that M-MAD achieves significant advancements by (1) decoupling heuristic MQM criteria into distinct evaluation dimensions for fine-grained assessments; (2) employing multi-agent debates to harness the collaborative reasoning capabilities of LLMs; (3) synthesizing dimension-specific results into a final evaluation judgment to ensure robust and reliable outcomes. Comprehensive experiments show that M-MAD not only outperforms all existing LLM-as-a-judge methods but also competes with state-of-the-art reference-based automatic metrics, even when powered by a suboptimal model like GPT-4o mini. Detailed ablations and analysis highlight the superiority of our framework design, offering a fresh perspective for LLM-as-a-judge paradigm. Our code and data are publicly available at https://github.com/SU-JIAYUAN/M-MAD.</v>
      </c>
      <c r="D1956" s="7" t="str">
        <f>IFERROR(__xludf.DUMMYFUNCTION("""COMPUTED_VALUE"""),"Zhaopeng Feng")</f>
        <v>Zhaopeng Feng</v>
      </c>
      <c r="E1956" s="7" t="str">
        <f>IFERROR(__xludf.DUMMYFUNCTION("""COMPUTED_VALUE"""),"Yes")</f>
        <v>Yes</v>
      </c>
      <c r="F1956" s="7" t="str">
        <f>IFERROR(__xludf.DUMMYFUNCTION("""COMPUTED_VALUE"""),"IP-Poster")</f>
        <v>IP-Poster</v>
      </c>
      <c r="G1956" s="7" t="str">
        <f>IFERROR(__xludf.DUMMYFUNCTION("""COMPUTED_VALUE"""),"In-Person")</f>
        <v>In-Person</v>
      </c>
      <c r="H1956" s="7" t="str">
        <f>IFERROR(__xludf.DUMMYFUNCTION("""COMPUTED_VALUE"""),"Hall 4/5")</f>
        <v>Hall 4/5</v>
      </c>
      <c r="I1956" s="7" t="str">
        <f>IFERROR(__xludf.DUMMYFUNCTION("""COMPUTED_VALUE"""),"Session 10: IP-Posters")</f>
        <v>Session 10: IP-Posters</v>
      </c>
      <c r="J1956" s="7" t="str">
        <f>IFERROR(__xludf.DUMMYFUNCTION("""COMPUTED_VALUE"""),"Poster Session 3")</f>
        <v>Poster Session 3</v>
      </c>
      <c r="K1956" s="7"/>
      <c r="L1956" s="8">
        <f>IFERROR(__xludf.DUMMYFUNCTION("""COMPUTED_VALUE"""),45867.0)</f>
        <v>45867</v>
      </c>
      <c r="M1956" s="7" t="str">
        <f>IFERROR(__xludf.DUMMYFUNCTION("""COMPUTED_VALUE"""),"16:00-17:30")</f>
        <v>16:00-17:30</v>
      </c>
      <c r="N1956" s="7"/>
    </row>
    <row r="1957">
      <c r="A1957" s="7" t="str">
        <f>IFERROR(__xludf.DUMMYFUNCTION("""COMPUTED_VALUE"""),"771-MAIN")</f>
        <v>771-MAIN</v>
      </c>
      <c r="B1957" s="7" t="str">
        <f>IFERROR(__xludf.DUMMYFUNCTION("""COMPUTED_VALUE"""),"SongComposer: A Large Language Model for Lyric and Melody Generation in Song Composition")</f>
        <v>SongComposer: A Large Language Model for Lyric and Melody Generation in Song Composition</v>
      </c>
      <c r="C1957" s="7" t="str">
        <f>IFERROR(__xludf.DUMMYFUNCTION("""COMPUTED_VALUE"""),"Creating lyrics and melodies for the vocal track in a symbolic format, known as song composition, demands expert musical knowledge of melody, an advanced understanding of lyrics, and precise alignment between them. Despite achievements in sub-tasks such a"&amp;"s lyric generation, lyric-to-melody, and melody-to-lyric, etc, a unified model for song composition has not yet been achieved. In this paper, we introduce SongComposer, a pioneering step towards a unified song composition model that can readily create sym"&amp;"bolic lyrics and melodies following instructions. SongComposer is a music-specialized large language model (LLM) that, for the first time, integrates the capability of simultaneously composing lyrics and melodies into LLMs by leveraging three key innovati"&amp;"ons: 1) a flexible tuple format for word-level alignment of lyrics and melodies, 2) an extended tokenizer vocabulary for song notes, with scalar initialization based on musical knowledge to capture rhythm, and 3) a multi-stage pipeline that captures music"&amp;"al structure, starting with motif-level melody patterns and progressing to phrase-level structure for improved coherence. Extensive experiments demonstrate that SongComposer outperforms advanced LLMs, including GPT-4, in tasks such as lyric-to-melody gene"&amp;"ration, melody-to-lyric generation, song continuation, and text-to-song creation. Moreover, we will release SongCompose, a large-scale dataset for training, containing paired lyrics and melodies in Chinese and English.")</f>
        <v>Creating lyrics and melodies for the vocal track in a symbolic format, known as song composition, demands expert musical knowledge of melody, an advanced understanding of lyrics, and precise alignment between them. Despite achievements in sub-tasks such as lyric generation, lyric-to-melody, and melody-to-lyric, etc, a unified model for song composition has not yet been achieved. In this paper, we introduce SongComposer, a pioneering step towards a unified song composition model that can readily create symbolic lyrics and melodies following instructions. SongComposer is a music-specialized large language model (LLM) that, for the first time, integrates the capability of simultaneously composing lyrics and melodies into LLMs by leveraging three key innovations: 1) a flexible tuple format for word-level alignment of lyrics and melodies, 2) an extended tokenizer vocabulary for song notes, with scalar initialization based on musical knowledge to capture rhythm, and 3) a multi-stage pipeline that captures musical structure, starting with motif-level melody patterns and progressing to phrase-level structure for improved coherence. Extensive experiments demonstrate that SongComposer outperforms advanced LLMs, including GPT-4, in tasks such as lyric-to-melody generation, melody-to-lyric generation, song continuation, and text-to-song creation. Moreover, we will release SongCompose, a large-scale dataset for training, containing paired lyrics and melodies in Chinese and English.</v>
      </c>
      <c r="D1957" s="7" t="str">
        <f>IFERROR(__xludf.DUMMYFUNCTION("""COMPUTED_VALUE"""),"Shuangrui Ding")</f>
        <v>Shuangrui Ding</v>
      </c>
      <c r="E1957" s="7" t="str">
        <f>IFERROR(__xludf.DUMMYFUNCTION("""COMPUTED_VALUE"""),"Yes")</f>
        <v>Yes</v>
      </c>
      <c r="F1957" s="7" t="str">
        <f>IFERROR(__xludf.DUMMYFUNCTION("""COMPUTED_VALUE"""),"V-Presentation")</f>
        <v>V-Presentation</v>
      </c>
      <c r="G1957" s="7" t="str">
        <f>IFERROR(__xludf.DUMMYFUNCTION("""COMPUTED_VALUE"""),"Virtual/Gather")</f>
        <v>Virtual/Gather</v>
      </c>
      <c r="H1957" s="7" t="str">
        <f>IFERROR(__xludf.DUMMYFUNCTION("""COMPUTED_VALUE"""),"Zoom")</f>
        <v>Zoom</v>
      </c>
      <c r="I1957" s="7" t="str">
        <f>IFERROR(__xludf.DUMMYFUNCTION("""COMPUTED_VALUE"""),"Session 10: V-Presenations")</f>
        <v>Session 10: V-Presenations</v>
      </c>
      <c r="J1957" s="7" t="str">
        <f>IFERROR(__xludf.DUMMYFUNCTION("""COMPUTED_VALUE"""),"Virtual Presentations 3")</f>
        <v>Virtual Presentations 3</v>
      </c>
      <c r="K1957" s="7"/>
      <c r="L1957" s="8">
        <f>IFERROR(__xludf.DUMMYFUNCTION("""COMPUTED_VALUE"""),45867.0)</f>
        <v>45867</v>
      </c>
      <c r="M1957" s="7" t="str">
        <f>IFERROR(__xludf.DUMMYFUNCTION("""COMPUTED_VALUE"""),"16:00-17:30")</f>
        <v>16:00-17:30</v>
      </c>
      <c r="N1957" s="7"/>
    </row>
    <row r="1958">
      <c r="A1958" s="7" t="str">
        <f>IFERROR(__xludf.DUMMYFUNCTION("""COMPUTED_VALUE"""),"772-MAIN")</f>
        <v>772-MAIN</v>
      </c>
      <c r="B1958" s="7" t="str">
        <f>IFERROR(__xludf.DUMMYFUNCTION("""COMPUTED_VALUE"""),"Personalized Text Generation with Contrastive Activation Steering")</f>
        <v>Personalized Text Generation with Contrastive Activation Steering</v>
      </c>
      <c r="C1958" s="7" t="str">
        <f>IFERROR(__xludf.DUMMYFUNCTION("""COMPUTED_VALUE"""),"Personalized text generation aims to infer users' writing style preferences from their historical texts and generate outputs that faithfully reflect these stylistic characteristics. Existing solutions primarily adopt two paradigms: retrieval-augmented gen"&amp;"eration (RAG) and parameter-efficient fine-tuning (PEFT). While these approaches have advanced the field, they suffer from two critical limitations: (1) the entanglement of content semantics and stylistic patterns in historical texts impedes accurate mode"&amp;"ling of user-specific writing preferences; and (2) scalability challenges arising from both RAG's inference latency by retrieval operations and PEFT's parameter storage requirements for per user model. To overcome these limitations, we propose StyleVector"&amp;", a training-free framework that disentangles and represents personalized writing style as a vector in LLM's activation space, enabling style-steered generation during inference without requiring costly retrieval or parameter storage. Comprehensive experi"&amp;"ments demonstrate that our framework achieves a significant 8% relative improvement in personalized generation while reducing storage requirements by 1700 $\times$ over PEFT method.")</f>
        <v>Personalized text generation aims to infer users' writing style preferences from their historical texts and generate outputs that faithfully reflect these stylistic characteristics. Existing solutions primarily adopt two paradigms: retrieval-augmented generation (RAG) and parameter-efficient fine-tuning (PEFT). While these approaches have advanced the field, they suffer from two critical limitations: (1) the entanglement of content semantics and stylistic patterns in historical texts impedes accurate modeling of user-specific writing preferences; and (2) scalability challenges arising from both RAG's inference latency by retrieval operations and PEFT's parameter storage requirements for per user model. To overcome these limitations, we propose StyleVector, a training-free framework that disentangles and represents personalized writing style as a vector in LLM's activation space, enabling style-steered generation during inference without requiring costly retrieval or parameter storage. Comprehensive experiments demonstrate that our framework achieves a significant 8% relative improvement in personalized generation while reducing storage requirements by 1700 $\times$ over PEFT method.</v>
      </c>
      <c r="D1958" s="7" t="str">
        <f>IFERROR(__xludf.DUMMYFUNCTION("""COMPUTED_VALUE"""),"Jinghao Zhang")</f>
        <v>Jinghao Zhang</v>
      </c>
      <c r="E1958" s="7" t="str">
        <f>IFERROR(__xludf.DUMMYFUNCTION("""COMPUTED_VALUE"""),"Yes")</f>
        <v>Yes</v>
      </c>
      <c r="F1958" s="7" t="str">
        <f>IFERROR(__xludf.DUMMYFUNCTION("""COMPUTED_VALUE"""),"IP-Poster")</f>
        <v>IP-Poster</v>
      </c>
      <c r="G1958" s="7" t="str">
        <f>IFERROR(__xludf.DUMMYFUNCTION("""COMPUTED_VALUE"""),"In-Person")</f>
        <v>In-Person</v>
      </c>
      <c r="H1958" s="7" t="str">
        <f>IFERROR(__xludf.DUMMYFUNCTION("""COMPUTED_VALUE"""),"Hall 4/5")</f>
        <v>Hall 4/5</v>
      </c>
      <c r="I1958" s="7" t="str">
        <f>IFERROR(__xludf.DUMMYFUNCTION("""COMPUTED_VALUE"""),"Session 2: IP-Posters ")</f>
        <v>Session 2: IP-Posters </v>
      </c>
      <c r="J1958" s="7" t="str">
        <f>IFERROR(__xludf.DUMMYFUNCTION("""COMPUTED_VALUE"""),"Poster Session 1")</f>
        <v>Poster Session 1</v>
      </c>
      <c r="K1958" s="7"/>
      <c r="L1958" s="8">
        <f>IFERROR(__xludf.DUMMYFUNCTION("""COMPUTED_VALUE"""),45866.0)</f>
        <v>45866</v>
      </c>
      <c r="M1958" s="7" t="str">
        <f>IFERROR(__xludf.DUMMYFUNCTION("""COMPUTED_VALUE"""),"11:00-12:30")</f>
        <v>11:00-12:30</v>
      </c>
      <c r="N1958" s="7"/>
    </row>
    <row r="1959">
      <c r="A1959" s="7" t="str">
        <f>IFERROR(__xludf.DUMMYFUNCTION("""COMPUTED_VALUE"""),"773-MAIN")</f>
        <v>773-MAIN</v>
      </c>
      <c r="B1959" s="7" t="str">
        <f>IFERROR(__xludf.DUMMYFUNCTION("""COMPUTED_VALUE"""),"Gumbel Reranking: Differentiable End-to-End Reranker Optimization")</f>
        <v>Gumbel Reranking: Differentiable End-to-End Reranker Optimization</v>
      </c>
      <c r="C1959" s="7" t="str">
        <f>IFERROR(__xludf.DUMMYFUNCTION("""COMPUTED_VALUE"""),"RAG systems rely on rerankers to identify relevant documents. However, fine-tuning these models remains challenging due to the scarcity of annotated query-document pairs. Existing distillation-based approaches suffer from training-inference misalignment a"&amp;"nd fail to capture interdependencies among candidate documents. To overcome these limitations, we reframe the reranking process as an attention-mask problem and propose Gumbel Reranking, an end-to-end training framework for rerankers aimed at minimizing t"&amp;"he training-inference gap. In our approach, reranker optimization is reformulated as learning a stochastic, document-wise Top-$k$ attention mask using the Gumbel Trick and Relaxed Top-$k$ Sampling. This formulation enables end-to-end optimization by minim"&amp;"izing the overall language loss. Experiments across various settings consistently demonstrate performance gains, including a 10.4% improvement in recall on HotpotQA for distinguishing indirectly relevant documents.")</f>
        <v>RAG systems rely on rerankers to identify relevant documents. However, fine-tuning these models remains challenging due to the scarcity of annotated query-document pairs. Existing distillation-based approaches suffer from training-inference misalignment and fail to capture interdependencies among candidate documents. To overcome these limitations, we reframe the reranking process as an attention-mask problem and propose Gumbel Reranking, an end-to-end training framework for rerankers aimed at minimizing the training-inference gap. In our approach, reranker optimization is reformulated as learning a stochastic, document-wise Top-$k$ attention mask using the Gumbel Trick and Relaxed Top-$k$ Sampling. This formulation enables end-to-end optimization by minimizing the overall language loss. Experiments across various settings consistently demonstrate performance gains, including a 10.4% improvement in recall on HotpotQA for distinguishing indirectly relevant documents.</v>
      </c>
      <c r="D1959" s="7" t="str">
        <f>IFERROR(__xludf.DUMMYFUNCTION("""COMPUTED_VALUE"""),"Siyuan Huang")</f>
        <v>Siyuan Huang</v>
      </c>
      <c r="E1959" s="7" t="str">
        <f>IFERROR(__xludf.DUMMYFUNCTION("""COMPUTED_VALUE"""),"Yes")</f>
        <v>Yes</v>
      </c>
      <c r="F1959" s="7" t="str">
        <f>IFERROR(__xludf.DUMMYFUNCTION("""COMPUTED_VALUE"""),"V-Presentation")</f>
        <v>V-Presentation</v>
      </c>
      <c r="G1959" s="7" t="str">
        <f>IFERROR(__xludf.DUMMYFUNCTION("""COMPUTED_VALUE"""),"Virtual/Gather")</f>
        <v>Virtual/Gather</v>
      </c>
      <c r="H1959" s="7" t="str">
        <f>IFERROR(__xludf.DUMMYFUNCTION("""COMPUTED_VALUE"""),"Zoom")</f>
        <v>Zoom</v>
      </c>
      <c r="I1959" s="7" t="str">
        <f>IFERROR(__xludf.DUMMYFUNCTION("""COMPUTED_VALUE"""),"Session 2: V-Presentations")</f>
        <v>Session 2: V-Presentations</v>
      </c>
      <c r="J1959" s="7" t="str">
        <f>IFERROR(__xludf.DUMMYFUNCTION("""COMPUTED_VALUE"""),"Virtual Presentations 1")</f>
        <v>Virtual Presentations 1</v>
      </c>
      <c r="K1959" s="7"/>
      <c r="L1959" s="8">
        <f>IFERROR(__xludf.DUMMYFUNCTION("""COMPUTED_VALUE"""),45866.0)</f>
        <v>45866</v>
      </c>
      <c r="M1959" s="7" t="str">
        <f>IFERROR(__xludf.DUMMYFUNCTION("""COMPUTED_VALUE"""),"11:00-12:30")</f>
        <v>11:00-12:30</v>
      </c>
      <c r="N1959" s="7"/>
    </row>
    <row r="1960">
      <c r="A1960" s="7" t="str">
        <f>IFERROR(__xludf.DUMMYFUNCTION("""COMPUTED_VALUE"""),"775-MAIN")</f>
        <v>775-MAIN</v>
      </c>
      <c r="B1960" s="7" t="str">
        <f>IFERROR(__xludf.DUMMYFUNCTION("""COMPUTED_VALUE"""),"Hybrid Preferences: Learning to Route Instances for Human vs. AI Feedback")</f>
        <v>Hybrid Preferences: Learning to Route Instances for Human vs. AI Feedback</v>
      </c>
      <c r="C1960" s="7" t="str">
        <f>IFERROR(__xludf.DUMMYFUNCTION("""COMPUTED_VALUE"""),"Learning from human feedback has enabled the alignment of language models (LMs) with human preferences. However, collecting human preferences is expensive and time-consuming, with highly variable annotation quality. An appealing alternative is to distill "&amp;"preferences from LMs as a source of synthetic annotations, offering a cost-effective and scalable alternative, albeit susceptible to other biases and errors. In this work, we introduce HyPER, a Hybrid Preference routER that defers an annotation to either "&amp;"humans or LMs, achieving better annotation quality while reducing the cost of human-only annotation. We formulate this as an optimization problem: given a preference dataset and an evaluation metric, we (1) train a performance prediction model (PPM) to pr"&amp;"edict a reward model's (RM) performance on an arbitrary combination of human and LM annotations and (2) employ a routing strategy that selects a combination that maximizes predicted performance. We train the PPM on MultiPref, a new preference dataset with"&amp;" 10K instances paired with human and LM labels. We show that the selected hybrid mixture of synthetic and direct human preferences using HyPER achieves better RM performance compared to using either one exclusively by 7-13% on RewardBench and generalizes "&amp;"across unseen preference datasets and other base models. We also observe the same trend in other benchmarks using Best-of-N reranking, where the hybrid mix has 2-3% better performance. Finally, we analyze features from HyPER and find that prompts with mod"&amp;"erate safety concerns or complexity benefit the most from human feedback.")</f>
        <v>Learning from human feedback has enabled the alignment of language models (LMs) with human preferences. However, collecting human preferences is expensive and time-consuming, with highly variable annotation quality. An appealing alternative is to distill preferences from LMs as a source of synthetic annotations, offering a cost-effective and scalable alternative, albeit susceptible to other biases and errors. In this work, we introduce HyPER, a Hybrid Preference routER that defers an annotation to either humans or LMs, achieving better annotation quality while reducing the cost of human-only annotation. We formulate this as an optimization problem: given a preference dataset and an evaluation metric, we (1) train a performance prediction model (PPM) to predict a reward model's (RM) performance on an arbitrary combination of human and LM annotations and (2) employ a routing strategy that selects a combination that maximizes predicted performance. We train the PPM on MultiPref, a new preference dataset with 10K instances paired with human and LM labels. We show that the selected hybrid mixture of synthetic and direct human preferences using HyPER achieves better RM performance compared to using either one exclusively by 7-13% on RewardBench and generalizes across unseen preference datasets and other base models. We also observe the same trend in other benchmarks using Best-of-N reranking, where the hybrid mix has 2-3% better performance. Finally, we analyze features from HyPER and find that prompts with moderate safety concerns or complexity benefit the most from human feedback.</v>
      </c>
      <c r="D1960" s="7" t="str">
        <f>IFERROR(__xludf.DUMMYFUNCTION("""COMPUTED_VALUE"""),"Lester James Validad Miranda")</f>
        <v>Lester James Validad Miranda</v>
      </c>
      <c r="E1960" s="7" t="str">
        <f>IFERROR(__xludf.DUMMYFUNCTION("""COMPUTED_VALUE"""),"Yes")</f>
        <v>Yes</v>
      </c>
      <c r="F1960" s="7" t="str">
        <f>IFERROR(__xludf.DUMMYFUNCTION("""COMPUTED_VALUE"""),"IP-Poster")</f>
        <v>IP-Poster</v>
      </c>
      <c r="G1960" s="7" t="str">
        <f>IFERROR(__xludf.DUMMYFUNCTION("""COMPUTED_VALUE"""),"In-Person")</f>
        <v>In-Person</v>
      </c>
      <c r="H1960" s="7" t="str">
        <f>IFERROR(__xludf.DUMMYFUNCTION("""COMPUTED_VALUE"""),"Hall 4/5")</f>
        <v>Hall 4/5</v>
      </c>
      <c r="I1960" s="7" t="str">
        <f>IFERROR(__xludf.DUMMYFUNCTION("""COMPUTED_VALUE"""),"Session 7: IP-Posters")</f>
        <v>Session 7: IP-Posters</v>
      </c>
      <c r="J1960" s="7" t="str">
        <f>IFERROR(__xludf.DUMMYFUNCTION("""COMPUTED_VALUE"""),"Poster Session 2")</f>
        <v>Poster Session 2</v>
      </c>
      <c r="K1960" s="7"/>
      <c r="L1960" s="8">
        <f>IFERROR(__xludf.DUMMYFUNCTION("""COMPUTED_VALUE"""),45867.0)</f>
        <v>45867</v>
      </c>
      <c r="M1960" s="7" t="str">
        <f>IFERROR(__xludf.DUMMYFUNCTION("""COMPUTED_VALUE"""),"10:30-12:00")</f>
        <v>10:30-12:00</v>
      </c>
      <c r="N1960" s="7"/>
    </row>
    <row r="1961">
      <c r="A1961" s="7" t="str">
        <f>IFERROR(__xludf.DUMMYFUNCTION("""COMPUTED_VALUE"""),"780-MAIN")</f>
        <v>780-MAIN</v>
      </c>
      <c r="B1961" s="7" t="str">
        <f>IFERROR(__xludf.DUMMYFUNCTION("""COMPUTED_VALUE"""),"SEOE: A Scalable and Reliable Semantic Evaluation Framework for Open Domain Event Detection")</f>
        <v>SEOE: A Scalable and Reliable Semantic Evaluation Framework for Open Domain Event Detection</v>
      </c>
      <c r="C1961" s="7" t="str">
        <f>IFERROR(__xludf.DUMMYFUNCTION("""COMPUTED_VALUE"""),"Automatic evaluation for Open Domain Event Detection (ODED) is a highly challenging task, because ODED is characterized by a vast diversity of un-constrained output labels from various domains. Nearly all existing evaluation methods for ODED usually first"&amp;" construct evaluation benchmarks with limited labels and domain coverage, and then evaluate ODED methods using metrics based on token-level label matching rules. However, this kind of evaluation framework faces two issues: (1) The limited evaluation bench"&amp;"marks lack representatives of the real world, making it difficult to accurately reflect the performance of various ODED methods in real-world scenarios; (2) Evaluation metrics based on token-level matching rules fail to capture semantic similarity between"&amp;" predictions and golden labels. To address these two problems above, we propose a scalable and reliable Semantic-level Evaluation framework for Open domain Event detection (SEOE) by constructing a more representative evaluation benchmark and introducing a"&amp;" semantic evaluation metric. Specifically, our proposed framework first constructs a scalable evaluation benchmark that currently includes 564 event types covering 7 major domains, with a cost-effective supplementary annotation strategy to ensure the benc"&amp;"hmark's representativeness. The strategy also allows for the supplement of new event types and domains in the future. Then, the proposed SEOE leverages large language models (LLMs) as automatic evaluation agents to compute a semantic F1-score, incorporati"&amp;"ng fine-grained definitions of semantically similar labels to enhance the reliability of the evaluation. Extensive experiments validate the representatives of the benchmark and the reliability of the semantic evaluation metric. Existing ODED methods are t"&amp;"horoughly evaluated, and the error patterns of predictions are analyzed, revealing several insightful findings.")</f>
        <v>Automatic evaluation for Open Domain Event Detection (ODED) is a highly challenging task, because ODED is characterized by a vast diversity of un-constrained output labels from various domains. Nearly all existing evaluation methods for ODED usually first construct evaluation benchmarks with limited labels and domain coverage, and then evaluate ODED methods using metrics based on token-level label matching rules. However, this kind of evaluation framework faces two issues: (1) The limited evaluation benchmarks lack representatives of the real world, making it difficult to accurately reflect the performance of various ODED methods in real-world scenarios; (2) Evaluation metrics based on token-level matching rules fail to capture semantic similarity between predictions and golden labels. To address these two problems above, we propose a scalable and reliable Semantic-level Evaluation framework for Open domain Event detection (SEOE) by constructing a more representative evaluation benchmark and introducing a semantic evaluation metric. Specifically, our proposed framework first constructs a scalable evaluation benchmark that currently includes 564 event types covering 7 major domains, with a cost-effective supplementary annotation strategy to ensure the benchmark's representativeness. The strategy also allows for the supplement of new event types and domains in the future. Then, the proposed SEOE leverages large language models (LLMs) as automatic evaluation agents to compute a semantic F1-score, incorporating fine-grained definitions of semantically similar labels to enhance the reliability of the evaluation. Extensive experiments validate the representatives of the benchmark and the reliability of the semantic evaluation metric. Existing ODED methods are thoroughly evaluated, and the error patterns of predictions are analyzed, revealing several insightful findings.</v>
      </c>
      <c r="D1961" s="7" t="str">
        <f>IFERROR(__xludf.DUMMYFUNCTION("""COMPUTED_VALUE"""),"Yi-Fan Lu")</f>
        <v>Yi-Fan Lu</v>
      </c>
      <c r="E1961" s="7" t="str">
        <f>IFERROR(__xludf.DUMMYFUNCTION("""COMPUTED_VALUE"""),"Yes")</f>
        <v>Yes</v>
      </c>
      <c r="F1961" s="7" t="str">
        <f>IFERROR(__xludf.DUMMYFUNCTION("""COMPUTED_VALUE"""),"IP-Poster")</f>
        <v>IP-Poster</v>
      </c>
      <c r="G1961" s="7" t="str">
        <f>IFERROR(__xludf.DUMMYFUNCTION("""COMPUTED_VALUE"""),"In-Person")</f>
        <v>In-Person</v>
      </c>
      <c r="H1961" s="7" t="str">
        <f>IFERROR(__xludf.DUMMYFUNCTION("""COMPUTED_VALUE"""),"Hall 4/5")</f>
        <v>Hall 4/5</v>
      </c>
      <c r="I1961" s="7" t="str">
        <f>IFERROR(__xludf.DUMMYFUNCTION("""COMPUTED_VALUE"""),"Session 7: IP-Posters")</f>
        <v>Session 7: IP-Posters</v>
      </c>
      <c r="J1961" s="7" t="str">
        <f>IFERROR(__xludf.DUMMYFUNCTION("""COMPUTED_VALUE"""),"Poster Session 2")</f>
        <v>Poster Session 2</v>
      </c>
      <c r="K1961" s="7"/>
      <c r="L1961" s="8">
        <f>IFERROR(__xludf.DUMMYFUNCTION("""COMPUTED_VALUE"""),45867.0)</f>
        <v>45867</v>
      </c>
      <c r="M1961" s="7" t="str">
        <f>IFERROR(__xludf.DUMMYFUNCTION("""COMPUTED_VALUE"""),"10:30-12:00")</f>
        <v>10:30-12:00</v>
      </c>
      <c r="N1961" s="7"/>
    </row>
    <row r="1962">
      <c r="A1962" s="7" t="str">
        <f>IFERROR(__xludf.DUMMYFUNCTION("""COMPUTED_VALUE"""),"784-MAIN")</f>
        <v>784-MAIN</v>
      </c>
      <c r="B1962" s="7" t="str">
        <f>IFERROR(__xludf.DUMMYFUNCTION("""COMPUTED_VALUE"""),"The UD-NewsCrawl Treebank: Reflections and Challenges from a Large-scale Tagalog Syntactic Annotation Project")</f>
        <v>The UD-NewsCrawl Treebank: Reflections and Challenges from a Large-scale Tagalog Syntactic Annotation Project</v>
      </c>
      <c r="C1962" s="7" t="str">
        <f>IFERROR(__xludf.DUMMYFUNCTION("""COMPUTED_VALUE"""),"This paper presents UD-NewsCrawl, the largest Tagalog treebank to date, containing 15.6k trees manually annotated according to
the Universal Dependencies framework. We detail our treebank development process, including data collection, pre-processing, man"&amp;"ual annotation, and quality assurance procedures. We provide baseline evaluations using multiple transformer-based models to assess the performance of state-of-the-art dependency parsers on Tagalog. We also highlight challenges in the syntactic analysis o"&amp;"f Tagalog given its distinctive grammatical properties, and discuss its implications for the annotation of this treebank. We anticipate that UD-NewsCrawl and our baseline model implementations will serve as valuable resources for advancing computational l"&amp;"inguistics research in underrepresented languages like Tagalog.")</f>
        <v>This paper presents UD-NewsCrawl, the largest Tagalog treebank to date, containing 15.6k trees manually annotated according to
the Universal Dependencies framework. We detail our treebank development process, including data collection, pre-processing, manual annotation, and quality assurance procedures. We provide baseline evaluations using multiple transformer-based models to assess the performance of state-of-the-art dependency parsers on Tagalog. We also highlight challenges in the syntactic analysis of Tagalog given its distinctive grammatical properties, and discuss its implications for the annotation of this treebank. We anticipate that UD-NewsCrawl and our baseline model implementations will serve as valuable resources for advancing computational linguistics research in underrepresented languages like Tagalog.</v>
      </c>
      <c r="D1962" s="7" t="str">
        <f>IFERROR(__xludf.DUMMYFUNCTION("""COMPUTED_VALUE"""),"Lester James Validad Miranda")</f>
        <v>Lester James Validad Miranda</v>
      </c>
      <c r="E1962" s="7" t="str">
        <f>IFERROR(__xludf.DUMMYFUNCTION("""COMPUTED_VALUE"""),"Yes")</f>
        <v>Yes</v>
      </c>
      <c r="F1962" s="7" t="str">
        <f>IFERROR(__xludf.DUMMYFUNCTION("""COMPUTED_VALUE"""),"IP-Poster")</f>
        <v>IP-Poster</v>
      </c>
      <c r="G1962" s="7" t="str">
        <f>IFERROR(__xludf.DUMMYFUNCTION("""COMPUTED_VALUE"""),"In-Person")</f>
        <v>In-Person</v>
      </c>
      <c r="H1962" s="7" t="str">
        <f>IFERROR(__xludf.DUMMYFUNCTION("""COMPUTED_VALUE"""),"Hall 4/5")</f>
        <v>Hall 4/5</v>
      </c>
      <c r="I1962" s="7" t="str">
        <f>IFERROR(__xludf.DUMMYFUNCTION("""COMPUTED_VALUE"""),"Session 7: IP-Posters")</f>
        <v>Session 7: IP-Posters</v>
      </c>
      <c r="J1962" s="7" t="str">
        <f>IFERROR(__xludf.DUMMYFUNCTION("""COMPUTED_VALUE"""),"Poster Session 2")</f>
        <v>Poster Session 2</v>
      </c>
      <c r="K1962" s="7"/>
      <c r="L1962" s="8">
        <f>IFERROR(__xludf.DUMMYFUNCTION("""COMPUTED_VALUE"""),45867.0)</f>
        <v>45867</v>
      </c>
      <c r="M1962" s="7" t="str">
        <f>IFERROR(__xludf.DUMMYFUNCTION("""COMPUTED_VALUE"""),"10:30-12:00")</f>
        <v>10:30-12:00</v>
      </c>
      <c r="N1962" s="7"/>
    </row>
    <row r="1963">
      <c r="A1963" s="7" t="str">
        <f>IFERROR(__xludf.DUMMYFUNCTION("""COMPUTED_VALUE"""),"785-MAIN")</f>
        <v>785-MAIN</v>
      </c>
      <c r="B1963" s="7" t="str">
        <f>IFERROR(__xludf.DUMMYFUNCTION("""COMPUTED_VALUE"""),"DRAG: Distilling RAG for SLMs from LLMs to Transfer Knowledge and Mitigate Hallucination via Evidence and Graph-based Distillation")</f>
        <v>DRAG: Distilling RAG for SLMs from LLMs to Transfer Knowledge and Mitigate Hallucination via Evidence and Graph-based Distillation</v>
      </c>
      <c r="C1963" s="7" t="str">
        <f>IFERROR(__xludf.DUMMYFUNCTION("""COMPUTED_VALUE"""),"Retrieval-Augmented Generation (RAG) methods have proven highly effective for tasks requiring factual consistency and robust knowledge retrieval. However, large-scale RAG systems consume significant computational resources and are prone to generating ""ha"&amp;"llucinated"" content from Humans. In this work, we introduce DRAG, a novel framework for distilling RAG knowledge from large-scale Language Models (LLMs) into small LMs (SLMs). Our approach leverages evidence- and knowledge graph–based distillation, ensur"&amp;"ing that the distilled model retains critical factual knowledge while significantly reducing model size and computational cost. By aligning the smaller model's predictions with a structured knowledge graph and ranked evidence, DRAG effectively mitigates h"&amp;"allucinations and improves factual accuracy. We further present a case demonstrating how our framework mitigates user privacy risks and introduce a corresponding benchmark. Experimental evaluations on multiple benchmarks demonstrate that our method outper"&amp;"forms the prior competitive RAG methods like MiniRAG for SLMs by up to 27.7% using the same models, preserving high-level efficiency and reliability. With DRAG, we provide a practical and resource-efficient roadmap to deploying enhanced retrieval and gene"&amp;"ration capabilities in small-size LLMs. Code is available at https://github.com/VILA-Lab/DRAG.")</f>
        <v>Retrieval-Augmented Generation (RAG) methods have proven highly effective for tasks requiring factual consistency and robust knowledge retrieval. However, large-scale RAG systems consume significant computational resources and are prone to generating "hallucinated" content from Humans. In this work, we introduce DRAG, a novel framework for distilling RAG knowledge from large-scale Language Models (LLMs) into small LMs (SLMs). Our approach leverages evidence- and knowledge graph–based distillation, ensuring that the distilled model retains critical factual knowledge while significantly reducing model size and computational cost. By aligning the smaller model's predictions with a structured knowledge graph and ranked evidence, DRAG effectively mitigates hallucinations and improves factual accuracy. We further present a case demonstrating how our framework mitigates user privacy risks and introduce a corresponding benchmark. Experimental evaluations on multiple benchmarks demonstrate that our method outperforms the prior competitive RAG methods like MiniRAG for SLMs by up to 27.7% using the same models, preserving high-level efficiency and reliability. With DRAG, we provide a practical and resource-efficient roadmap to deploying enhanced retrieval and generation capabilities in small-size LLMs. Code is available at https://github.com/VILA-Lab/DRAG.</v>
      </c>
      <c r="D1963" s="7" t="str">
        <f>IFERROR(__xludf.DUMMYFUNCTION("""COMPUTED_VALUE"""),"Aidar Myrzakhan")</f>
        <v>Aidar Myrzakhan</v>
      </c>
      <c r="E1963" s="7" t="str">
        <f>IFERROR(__xludf.DUMMYFUNCTION("""COMPUTED_VALUE"""),"Yes")</f>
        <v>Yes</v>
      </c>
      <c r="F1963" s="7" t="str">
        <f>IFERROR(__xludf.DUMMYFUNCTION("""COMPUTED_VALUE"""),"IP-Poster")</f>
        <v>IP-Poster</v>
      </c>
      <c r="G1963" s="7" t="str">
        <f>IFERROR(__xludf.DUMMYFUNCTION("""COMPUTED_VALUE"""),"In-Person")</f>
        <v>In-Person</v>
      </c>
      <c r="H1963" s="7" t="str">
        <f>IFERROR(__xludf.DUMMYFUNCTION("""COMPUTED_VALUE"""),"Hall 4/5")</f>
        <v>Hall 4/5</v>
      </c>
      <c r="I1963" s="7" t="str">
        <f>IFERROR(__xludf.DUMMYFUNCTION("""COMPUTED_VALUE"""),"Session 2: IP-Posters ")</f>
        <v>Session 2: IP-Posters </v>
      </c>
      <c r="J1963" s="7" t="str">
        <f>IFERROR(__xludf.DUMMYFUNCTION("""COMPUTED_VALUE"""),"Poster Session 1")</f>
        <v>Poster Session 1</v>
      </c>
      <c r="K1963" s="7"/>
      <c r="L1963" s="8">
        <f>IFERROR(__xludf.DUMMYFUNCTION("""COMPUTED_VALUE"""),45866.0)</f>
        <v>45866</v>
      </c>
      <c r="M1963" s="7" t="str">
        <f>IFERROR(__xludf.DUMMYFUNCTION("""COMPUTED_VALUE"""),"11:00-12:30")</f>
        <v>11:00-12:30</v>
      </c>
      <c r="N1963" s="7"/>
    </row>
    <row r="1964">
      <c r="A1964" s="7" t="str">
        <f>IFERROR(__xludf.DUMMYFUNCTION("""COMPUTED_VALUE"""),"789-MAIN")</f>
        <v>789-MAIN</v>
      </c>
      <c r="B1964" s="7" t="str">
        <f>IFERROR(__xludf.DUMMYFUNCTION("""COMPUTED_VALUE"""),"G-Safeguard: A Topology-Guided Security Lens and Treatment on LLM-based Multi-agent Systems")</f>
        <v>G-Safeguard: A Topology-Guided Security Lens and Treatment on LLM-based Multi-agent Systems</v>
      </c>
      <c r="C1964" s="7" t="str">
        <f>IFERROR(__xludf.DUMMYFUNCTION("""COMPUTED_VALUE"""),"Large Language Model (LLM)-based Multi-agent Systems (MAS) have demonstrated remarkable capabilities in various complex tasks, ranging from collaborative problem-solving to autonomous decision-making. However, as these systems become increasingly integrat"&amp;"ed into critical applications, their vulnerability to \textit{adversarial attacks}, \textit{misinformation propagation}, and \textit{unintended behaviors} have raised significant concerns. To address this challenge, we introduce G-Safeguard, a topology-gu"&amp;"ided security lens and treatment for robust LLM-MAS, which leverages graph neural networks to detect anomalies on the multi-agent utterance graph and employ topological intervention for attack remediation. Extensive experiments demonstrate that G-Safeguar"&amp;"d: (I) exhibits significant effectiveness under various attack strategies, recovering over 40% of the performance for prompt injection; (II) is highly adaptable to diverse LLM backbones and large-scale MAS; (III) can seamlessly combine with mainstream MAS"&amp;" with security guarantees.")</f>
        <v>Large Language Model (LLM)-based Multi-agent Systems (MAS) have demonstrated remarkable capabilities in various complex tasks, ranging from collaborative problem-solving to autonomous decision-making. However, as these systems become increasingly integrated into critical applications, their vulnerability to \textit{adversarial attacks}, \textit{misinformation propagation}, and \textit{unintended behaviors} have raised significant concerns. To address this challenge, we introduce G-Safeguard, a topology-guided security lens and treatment for robust LLM-MAS, which leverages graph neural networks to detect anomalies on the multi-agent utterance graph and employ topological intervention for attack remediation. Extensive experiments demonstrate that G-Safeguard: (I) exhibits significant effectiveness under various attack strategies, recovering over 40% of the performance for prompt injection; (II) is highly adaptable to diverse LLM backbones and large-scale MAS; (III) can seamlessly combine with mainstream MAS with security guarantees.</v>
      </c>
      <c r="D1964" s="7" t="str">
        <f>IFERROR(__xludf.DUMMYFUNCTION("""COMPUTED_VALUE"""),"Guibin Zhang")</f>
        <v>Guibin Zhang</v>
      </c>
      <c r="E1964" s="7" t="str">
        <f>IFERROR(__xludf.DUMMYFUNCTION("""COMPUTED_VALUE"""),"Yes")</f>
        <v>Yes</v>
      </c>
      <c r="F1964" s="7" t="str">
        <f>IFERROR(__xludf.DUMMYFUNCTION("""COMPUTED_VALUE"""),"V-Presentation")</f>
        <v>V-Presentation</v>
      </c>
      <c r="G1964" s="7" t="str">
        <f>IFERROR(__xludf.DUMMYFUNCTION("""COMPUTED_VALUE"""),"Virtual/Gather")</f>
        <v>Virtual/Gather</v>
      </c>
      <c r="H1964" s="7" t="str">
        <f>IFERROR(__xludf.DUMMYFUNCTION("""COMPUTED_VALUE"""),"Zoom")</f>
        <v>Zoom</v>
      </c>
      <c r="I1964" s="7" t="str">
        <f>IFERROR(__xludf.DUMMYFUNCTION("""COMPUTED_VALUE"""),"Session 7: V--Presentations ")</f>
        <v>Session 7: V--Presentations </v>
      </c>
      <c r="J1964" s="7" t="str">
        <f>IFERROR(__xludf.DUMMYFUNCTION("""COMPUTED_VALUE"""),"Virtual Presentations 2")</f>
        <v>Virtual Presentations 2</v>
      </c>
      <c r="K1964" s="7"/>
      <c r="L1964" s="8">
        <f>IFERROR(__xludf.DUMMYFUNCTION("""COMPUTED_VALUE"""),45867.0)</f>
        <v>45867</v>
      </c>
      <c r="M1964" s="7" t="str">
        <f>IFERROR(__xludf.DUMMYFUNCTION("""COMPUTED_VALUE"""),"10:30-12:00")</f>
        <v>10:30-12:00</v>
      </c>
      <c r="N1964" s="7"/>
    </row>
    <row r="1965">
      <c r="A1965" s="7" t="str">
        <f>IFERROR(__xludf.DUMMYFUNCTION("""COMPUTED_VALUE"""),"793-MAIN")</f>
        <v>793-MAIN</v>
      </c>
      <c r="B1965" s="7" t="str">
        <f>IFERROR(__xludf.DUMMYFUNCTION("""COMPUTED_VALUE"""),"Deontological Keyword Bias: The Impact of Modal Verbs on Normative Judgments of Language Models")</f>
        <v>Deontological Keyword Bias: The Impact of Modal Verbs on Normative Judgments of Language Models</v>
      </c>
      <c r="C1965" s="7" t="str">
        <f>IFERROR(__xludf.DUMMYFUNCTION("""COMPUTED_VALUE"""),"Large language models (LLMs) are increasingly engaging in moral and ethical reasoning, where criteria for judgment are often unclear, even for humans. While LLM alignment studies cover many areas, one important yet underexplored area is how LLMs make judg"&amp;"ments about obligations. This work reveals a strong tendency in LLMs to judge non-obligatory contexts as obligations when prompts are augmented with modal expressions such as \textit{must} or \textit{ought to}. We introduce this phenomenon as Deontologica"&amp;"l Keyword Bias (DKB). We find that LLMs judge over 90\% of commonsense scenarios as obligations when modal expressions are present. This tendency is consist across various LLM families, question types, and answer formats. To mitigate DKB, we propose a jud"&amp;"gment strategy that integrates few-shot examples with reasoning prompts. This study sheds light on how modal expressions, as a form of linguistic framing, influence the normative decisions of LLMs and underscores the importance of addressing such biases t"&amp;"o ensure judgment alignment.")</f>
        <v>Large language models (LLMs) are increasingly engaging in moral and ethical reasoning, where criteria for judgment are often unclear, even for humans. While LLM alignment studies cover many areas, one important yet underexplored area is how LLMs make judgments about obligations. This work reveals a strong tendency in LLMs to judge non-obligatory contexts as obligations when prompts are augmented with modal expressions such as \textit{must} or \textit{ought to}. We introduce this phenomenon as Deontological Keyword Bias (DKB). We find that LLMs judge over 90\% of commonsense scenarios as obligations when modal expressions are present. This tendency is consist across various LLM families, question types, and answer formats. To mitigate DKB, we propose a judgment strategy that integrates few-shot examples with reasoning prompts. This study sheds light on how modal expressions, as a form of linguistic framing, influence the normative decisions of LLMs and underscores the importance of addressing such biases to ensure judgment alignment.</v>
      </c>
      <c r="D1965" s="7" t="str">
        <f>IFERROR(__xludf.DUMMYFUNCTION("""COMPUTED_VALUE"""),"Jinsil Lee")</f>
        <v>Jinsil Lee</v>
      </c>
      <c r="E1965" s="7" t="str">
        <f>IFERROR(__xludf.DUMMYFUNCTION("""COMPUTED_VALUE"""),"Yes")</f>
        <v>Yes</v>
      </c>
      <c r="F1965" s="7" t="str">
        <f>IFERROR(__xludf.DUMMYFUNCTION("""COMPUTED_VALUE"""),"IP-Poster")</f>
        <v>IP-Poster</v>
      </c>
      <c r="G1965" s="7" t="str">
        <f>IFERROR(__xludf.DUMMYFUNCTION("""COMPUTED_VALUE"""),"In-Person")</f>
        <v>In-Person</v>
      </c>
      <c r="H1965" s="7" t="str">
        <f>IFERROR(__xludf.DUMMYFUNCTION("""COMPUTED_VALUE"""),"Hall 4/5")</f>
        <v>Hall 4/5</v>
      </c>
      <c r="I1965" s="7" t="str">
        <f>IFERROR(__xludf.DUMMYFUNCTION("""COMPUTED_VALUE"""),"Session 10: IP-Posters")</f>
        <v>Session 10: IP-Posters</v>
      </c>
      <c r="J1965" s="7" t="str">
        <f>IFERROR(__xludf.DUMMYFUNCTION("""COMPUTED_VALUE"""),"Poster Session 3")</f>
        <v>Poster Session 3</v>
      </c>
      <c r="K1965" s="7"/>
      <c r="L1965" s="8">
        <f>IFERROR(__xludf.DUMMYFUNCTION("""COMPUTED_VALUE"""),45867.0)</f>
        <v>45867</v>
      </c>
      <c r="M1965" s="7" t="str">
        <f>IFERROR(__xludf.DUMMYFUNCTION("""COMPUTED_VALUE"""),"16:00-17:30")</f>
        <v>16:00-17:30</v>
      </c>
      <c r="N1965" s="7"/>
    </row>
    <row r="1966">
      <c r="A1966" s="7" t="str">
        <f>IFERROR(__xludf.DUMMYFUNCTION("""COMPUTED_VALUE"""),"797-MAIN")</f>
        <v>797-MAIN</v>
      </c>
      <c r="B1966" s="7" t="str">
        <f>IFERROR(__xludf.DUMMYFUNCTION("""COMPUTED_VALUE"""),"LegalReasoner: Step-wised Verification-Correction for Legal Judgment Reasoning")</f>
        <v>LegalReasoner: Step-wised Verification-Correction for Legal Judgment Reasoning</v>
      </c>
      <c r="C1966" s="7" t="str">
        <f>IFERROR(__xludf.DUMMYFUNCTION("""COMPUTED_VALUE"""),"Legal judgment prediction (LJP) aims to function as a judge by making final rulings based on case claims and facts, which plays a vital role in the judicial domain for supporting court decision-making and improving judicial efficiency. However, existing m"&amp;"ethods often struggle with logical errors when conducting complex legal reasoning. We propose LegalReasoner, which enhances LJP reliability through step-wise verification and correction of the reasoning process. Specifically, it first identifies dispute p"&amp;"oints to decompose complex cases, and then conducts step-wise reasoning while employing a process verifier to validate each step's logic from correctness, progressiveness, and potential perspectives. When errors are detected, expert-designed attribution a"&amp;"nd resolution strategies are applied for correction. To fine-tune LegalReasoner, we release the LegalHK dataset, containing 58,130 Hong Kong court cases with detailed annotations of dispute points, step-by-step reasoning chains, and process verification l"&amp;"abels. Experiments demonstrate that LegalReasoner significantly improves concordance with court decisions from 72.37 to 80.27 on LLAMA-3.1-70B. The data is available at https://huggingface.co/datasets/weijiezz/LegalHK.")</f>
        <v>Legal judgment prediction (LJP) aims to function as a judge by making final rulings based on case claims and facts, which plays a vital role in the judicial domain for supporting court decision-making and improving judicial efficiency. However, existing methods often struggle with logical errors when conducting complex legal reasoning. We propose LegalReasoner, which enhances LJP reliability through step-wise verification and correction of the reasoning process. Specifically, it first identifies dispute points to decompose complex cases, and then conducts step-wise reasoning while employing a process verifier to validate each step's logic from correctness, progressiveness, and potential perspectives. When errors are detected, expert-designed attribution and resolution strategies are applied for correction. To fine-tune LegalReasoner, we release the LegalHK dataset, containing 58,130 Hong Kong court cases with detailed annotations of dispute points, step-by-step reasoning chains, and process verification labels. Experiments demonstrate that LegalReasoner significantly improves concordance with court decisions from 72.37 to 80.27 on LLAMA-3.1-70B. The data is available at https://huggingface.co/datasets/weijiezz/LegalHK.</v>
      </c>
      <c r="D1966" s="7" t="str">
        <f>IFERROR(__xludf.DUMMYFUNCTION("""COMPUTED_VALUE"""),"Weijie Shi")</f>
        <v>Weijie Shi</v>
      </c>
      <c r="E1966" s="7" t="str">
        <f>IFERROR(__xludf.DUMMYFUNCTION("""COMPUTED_VALUE"""),"Yes")</f>
        <v>Yes</v>
      </c>
      <c r="F1966" s="7" t="str">
        <f>IFERROR(__xludf.DUMMYFUNCTION("""COMPUTED_VALUE"""),"V-Presentation")</f>
        <v>V-Presentation</v>
      </c>
      <c r="G1966" s="7" t="str">
        <f>IFERROR(__xludf.DUMMYFUNCTION("""COMPUTED_VALUE"""),"Virtual/Gather")</f>
        <v>Virtual/Gather</v>
      </c>
      <c r="H1966" s="7" t="str">
        <f>IFERROR(__xludf.DUMMYFUNCTION("""COMPUTED_VALUE"""),"Zoom")</f>
        <v>Zoom</v>
      </c>
      <c r="I1966" s="7" t="str">
        <f>IFERROR(__xludf.DUMMYFUNCTION("""COMPUTED_VALUE"""),"Session 7: V--Presentations ")</f>
        <v>Session 7: V--Presentations </v>
      </c>
      <c r="J1966" s="7" t="str">
        <f>IFERROR(__xludf.DUMMYFUNCTION("""COMPUTED_VALUE"""),"Virtual Presentations 2")</f>
        <v>Virtual Presentations 2</v>
      </c>
      <c r="K1966" s="7"/>
      <c r="L1966" s="8"/>
      <c r="M1966" s="7" t="str">
        <f>IFERROR(__xludf.DUMMYFUNCTION("""COMPUTED_VALUE"""),"10:30-12:00")</f>
        <v>10:30-12:00</v>
      </c>
      <c r="N1966" s="7"/>
    </row>
    <row r="1967">
      <c r="A1967" s="7" t="str">
        <f>IFERROR(__xludf.DUMMYFUNCTION("""COMPUTED_VALUE"""),"799-MAIN")</f>
        <v>799-MAIN</v>
      </c>
      <c r="B1967" s="7" t="str">
        <f>IFERROR(__xludf.DUMMYFUNCTION("""COMPUTED_VALUE"""),"Rolling the DICE on Idiomaticity: How LLMs Fail to Grasp Context")</f>
        <v>Rolling the DICE on Idiomaticity: How LLMs Fail to Grasp Context</v>
      </c>
      <c r="C1967" s="7" t="str">
        <f>IFERROR(__xludf.DUMMYFUNCTION("""COMPUTED_VALUE"""),"Human processing of idioms heavily depends on interpreting the surrounding context in which they appear. While large language models (LLMs) have achieved impressive performance on idiomaticity detection benchmarks, this success may be driven by reasoning "&amp;"shortcuts present in existing datasets. To address this, we introduce a novel, controlled contrastive dataset (DICE) specifically designed to assess whether LLMs can effectively leverage context to disambiguate idiomatic meanings. Furthermore, we investig"&amp;"ate the influence of collocational frequency and sentence probability—proxies for human processing known to affect idiom resolution—on model performance. Our results show that LLMs frequently fail to resolve idiomaticity when it depends on contextual unde"&amp;"rstanding, performing better on sentences deemed more likely by the model. Additionally, idiom frequency influences performance but does not guarantee accurate interpretation. Our findings emphasize the limitations of current models in grasping contextual"&amp;" meaning and highlight the need for more context-sensitive evaluation.")</f>
        <v>Human processing of idioms heavily depends on interpreting the surrounding context in which they appear. While large language models (LLMs) have achieved impressive performance on idiomaticity detection benchmarks, this success may be driven by reasoning shortcuts present in existing datasets. To address this, we introduce a novel, controlled contrastive dataset (DICE) specifically designed to assess whether LLMs can effectively leverage context to disambiguate idiomatic meanings. Furthermore, we investigate the influence of collocational frequency and sentence probability—proxies for human processing known to affect idiom resolution—on model performance. Our results show that LLMs frequently fail to resolve idiomaticity when it depends on contextual understanding, performing better on sentences deemed more likely by the model. Additionally, idiom frequency influences performance but does not guarantee accurate interpretation. Our findings emphasize the limitations of current models in grasping contextual meaning and highlight the need for more context-sensitive evaluation.</v>
      </c>
      <c r="D1967" s="7" t="str">
        <f>IFERROR(__xludf.DUMMYFUNCTION("""COMPUTED_VALUE"""),"Ziya Mi")</f>
        <v>Ziya Mi</v>
      </c>
      <c r="E1967" s="7" t="str">
        <f>IFERROR(__xludf.DUMMYFUNCTION("""COMPUTED_VALUE"""),"Yes")</f>
        <v>Yes</v>
      </c>
      <c r="F1967" s="7" t="str">
        <f>IFERROR(__xludf.DUMMYFUNCTION("""COMPUTED_VALUE"""),"IP-Oral")</f>
        <v>IP-Oral</v>
      </c>
      <c r="G1967" s="7" t="str">
        <f>IFERROR(__xludf.DUMMYFUNCTION("""COMPUTED_VALUE"""),"In-Person")</f>
        <v>In-Person</v>
      </c>
      <c r="H1967" s="7" t="str">
        <f>IFERROR(__xludf.DUMMYFUNCTION("""COMPUTED_VALUE"""),"Room 1.61")</f>
        <v>Room 1.61</v>
      </c>
      <c r="I1967" s="7" t="str">
        <f>IFERROR(__xludf.DUMMYFUNCTION("""COMPUTED_VALUE"""),"Session 3: IP-Orals")</f>
        <v>Session 3: IP-Orals</v>
      </c>
      <c r="J1967" s="7" t="str">
        <f>IFERROR(__xludf.DUMMYFUNCTION("""COMPUTED_VALUE"""),"Linguistic Theories and Cognitive Modeling")</f>
        <v>Linguistic Theories and Cognitive Modeling</v>
      </c>
      <c r="K1967" s="7"/>
      <c r="L1967" s="8">
        <f>IFERROR(__xludf.DUMMYFUNCTION("""COMPUTED_VALUE"""),45866.0)</f>
        <v>45866</v>
      </c>
      <c r="M1967" s="7" t="str">
        <f>IFERROR(__xludf.DUMMYFUNCTION("""COMPUTED_VALUE"""),"14:00-15:30")</f>
        <v>14:00-15:30</v>
      </c>
      <c r="N1967" s="7">
        <f>IFERROR(__xludf.DUMMYFUNCTION("""COMPUTED_VALUE"""),2.0)</f>
        <v>2</v>
      </c>
    </row>
    <row r="1968">
      <c r="A1968" s="7" t="str">
        <f>IFERROR(__xludf.DUMMYFUNCTION("""COMPUTED_VALUE"""),"801-MAIN")</f>
        <v>801-MAIN</v>
      </c>
      <c r="B1968" s="7" t="str">
        <f>IFERROR(__xludf.DUMMYFUNCTION("""COMPUTED_VALUE"""),"ChartCoder: Advancing Multimodal Large Language Model for Chart-to-Code Generation")</f>
        <v>ChartCoder: Advancing Multimodal Large Language Model for Chart-to-Code Generation</v>
      </c>
      <c r="C1968" s="7" t="str">
        <f>IFERROR(__xludf.DUMMYFUNCTION("""COMPUTED_VALUE"""),"Multimodal Large Language Models (MLLMs) have demonstrated remarkable capabilities in chart understanding tasks. 
However, interpreting charts with textual descriptions often leads to information loss, as it fails to fully capture the dense information em"&amp;"bedded in charts. 
In contrast, parsing charts into code provides lossless representations that can effectively contain all critical details. Although existing open-source MLLMs have achieved success in chart understanding tasks, they still face two major"&amp;" challenges when applied to chart-to-code tasks: (1) Low executability and poor restoration of chart details in the generated code and (2) Lack of large-scale and diverse training data. To address these challenges, we propose \textbf{ChartCoder}, the firs"&amp;"t dedicated chart-to-code MLLM, which leverages Code LLMs as the language backbone to enhance the executability of the generated code. Furthermore, we introduce \textbf{Chart2Code-160k}, the first large-scale and diverse dataset for chart-to-code generati"&amp;"on, and propose the \textbf{Snippet-of-Thought (SoT)} method, which transforms direct chart-to-code generation data into step-by-step generation. Experiments demonstrate that ChartCoder, with only 7B parameters, surpasses existing open-source MLLMs on cha"&amp;"rt-to-code benchmarks, achieving superior chart restoration and code excitability. Our code is available at \url{https://github.com/thunlp/ChartCoder}.")</f>
        <v>Multimodal Large Language Models (MLLMs) have demonstrated remarkable capabilities in chart understanding tasks. 
However, interpreting charts with textual descriptions often leads to information loss, as it fails to fully capture the dense information embedded in charts. 
In contrast, parsing charts into code provides lossless representations that can effectively contain all critical details. Although existing open-source MLLMs have achieved success in chart understanding tasks, they still face two major challenges when applied to chart-to-code tasks: (1) Low executability and poor restoration of chart details in the generated code and (2) Lack of large-scale and diverse training data. To address these challenges, we propose \textbf{ChartCoder}, the first dedicated chart-to-code MLLM, which leverages Code LLMs as the language backbone to enhance the executability of the generated code. Furthermore, we introduce \textbf{Chart2Code-160k}, the first large-scale and diverse dataset for chart-to-code generation, and propose the \textbf{Snippet-of-Thought (SoT)} method, which transforms direct chart-to-code generation data into step-by-step generation. Experiments demonstrate that ChartCoder, with only 7B parameters, surpasses existing open-source MLLMs on chart-to-code benchmarks, achieving superior chart restoration and code excitability. Our code is available at \url{https://github.com/thunlp/ChartCoder}.</v>
      </c>
      <c r="D1968" s="7" t="str">
        <f>IFERROR(__xludf.DUMMYFUNCTION("""COMPUTED_VALUE"""),"Xuanle Zhao")</f>
        <v>Xuanle Zhao</v>
      </c>
      <c r="E1968" s="7" t="str">
        <f>IFERROR(__xludf.DUMMYFUNCTION("""COMPUTED_VALUE"""),"Yes")</f>
        <v>Yes</v>
      </c>
      <c r="F1968" s="7" t="str">
        <f>IFERROR(__xludf.DUMMYFUNCTION("""COMPUTED_VALUE"""),"IP-Poster")</f>
        <v>IP-Poster</v>
      </c>
      <c r="G1968" s="7" t="str">
        <f>IFERROR(__xludf.DUMMYFUNCTION("""COMPUTED_VALUE"""),"In-Person")</f>
        <v>In-Person</v>
      </c>
      <c r="H1968" s="7" t="str">
        <f>IFERROR(__xludf.DUMMYFUNCTION("""COMPUTED_VALUE"""),"Hall 4/5")</f>
        <v>Hall 4/5</v>
      </c>
      <c r="I1968" s="7" t="str">
        <f>IFERROR(__xludf.DUMMYFUNCTION("""COMPUTED_VALUE"""),"Session 2: IP-Posters ")</f>
        <v>Session 2: IP-Posters </v>
      </c>
      <c r="J1968" s="7" t="str">
        <f>IFERROR(__xludf.DUMMYFUNCTION("""COMPUTED_VALUE"""),"Poster Session 1")</f>
        <v>Poster Session 1</v>
      </c>
      <c r="K1968" s="7"/>
      <c r="L1968" s="8">
        <f>IFERROR(__xludf.DUMMYFUNCTION("""COMPUTED_VALUE"""),45866.0)</f>
        <v>45866</v>
      </c>
      <c r="M1968" s="7" t="str">
        <f>IFERROR(__xludf.DUMMYFUNCTION("""COMPUTED_VALUE"""),"11:00-12:30")</f>
        <v>11:00-12:30</v>
      </c>
      <c r="N1968" s="7"/>
    </row>
    <row r="1969">
      <c r="A1969" s="7" t="str">
        <f>IFERROR(__xludf.DUMMYFUNCTION("""COMPUTED_VALUE"""),"807-MAIN")</f>
        <v>807-MAIN</v>
      </c>
      <c r="B1969" s="7" t="str">
        <f>IFERROR(__xludf.DUMMYFUNCTION("""COMPUTED_VALUE"""),"The Cross-linguistic Role of Animacy in Grammar Structures")</f>
        <v>The Cross-linguistic Role of Animacy in Grammar Structures</v>
      </c>
      <c r="C1969" s="7" t="str">
        <f>IFERROR(__xludf.DUMMYFUNCTION("""COMPUTED_VALUE"""),"Animacy is a semantic feature of nominals and follows a hierarchy: personal pronouns &gt; human &gt; animate &gt; inanimate. In several languages, animacy imposes hard constraints on grammar. While it has been argued that these constraints may emerge from universa"&amp;"l soft tendencies, it has been difficult to provide empirical evidence for this conjecture due to the lack of data annotated with animacy classes. In this work, we first propose a method to reliably classify animacy classes of nominals in 11 languages fro"&amp;"m 5 families, leveraging multilingual large language models (LLMs) and word sense disambiguation datasets. Then, through this newly acquired data, we verify that animacy displays consistent cross-linguistic tendencies in terms of preferred morphosyntactic"&amp;" constructions, although not always in line with received wisdom: animacy in nouns correlates with the alignment role of agent, early positions in a clause, and syntactic pivot (e.g., for relativisation), but not necessarily with grammatical subjecthood. "&amp;"Furthermore, the behaviour of personal pronouns in the hierarchy is idiosyncratic as they are rarely plural and relativised, contrary to high-animacy nouns.")</f>
        <v>Animacy is a semantic feature of nominals and follows a hierarchy: personal pronouns &gt; human &gt; animate &gt; inanimate. In several languages, animacy imposes hard constraints on grammar. While it has been argued that these constraints may emerge from universal soft tendencies, it has been difficult to provide empirical evidence for this conjecture due to the lack of data annotated with animacy classes. In this work, we first propose a method to reliably classify animacy classes of nominals in 11 languages from 5 families, leveraging multilingual large language models (LLMs) and word sense disambiguation datasets. Then, through this newly acquired data, we verify that animacy displays consistent cross-linguistic tendencies in terms of preferred morphosyntactic constructions, although not always in line with received wisdom: animacy in nouns correlates with the alignment role of agent, early positions in a clause, and syntactic pivot (e.g., for relativisation), but not necessarily with grammatical subjecthood. Furthermore, the behaviour of personal pronouns in the hierarchy is idiosyncratic as they are rarely plural and relativised, contrary to high-animacy nouns.</v>
      </c>
      <c r="D1969" s="7" t="str">
        <f>IFERROR(__xludf.DUMMYFUNCTION("""COMPUTED_VALUE"""),"Nina Gregorio")</f>
        <v>Nina Gregorio</v>
      </c>
      <c r="E1969" s="7" t="str">
        <f>IFERROR(__xludf.DUMMYFUNCTION("""COMPUTED_VALUE"""),"Yes")</f>
        <v>Yes</v>
      </c>
      <c r="F1969" s="7" t="str">
        <f>IFERROR(__xludf.DUMMYFUNCTION("""COMPUTED_VALUE"""),"IP-Poster")</f>
        <v>IP-Poster</v>
      </c>
      <c r="G1969" s="7" t="str">
        <f>IFERROR(__xludf.DUMMYFUNCTION("""COMPUTED_VALUE"""),"In-Person")</f>
        <v>In-Person</v>
      </c>
      <c r="H1969" s="7" t="str">
        <f>IFERROR(__xludf.DUMMYFUNCTION("""COMPUTED_VALUE"""),"Hall 4/5")</f>
        <v>Hall 4/5</v>
      </c>
      <c r="I1969" s="7" t="str">
        <f>IFERROR(__xludf.DUMMYFUNCTION("""COMPUTED_VALUE"""),"Session 12: IP-Posters")</f>
        <v>Session 12: IP-Posters</v>
      </c>
      <c r="J1969" s="7" t="str">
        <f>IFERROR(__xludf.DUMMYFUNCTION("""COMPUTED_VALUE"""),"Poster Session 4")</f>
        <v>Poster Session 4</v>
      </c>
      <c r="K1969" s="7"/>
      <c r="L1969" s="8">
        <f>IFERROR(__xludf.DUMMYFUNCTION("""COMPUTED_VALUE"""),45868.0)</f>
        <v>45868</v>
      </c>
      <c r="M1969" s="7" t="str">
        <f>IFERROR(__xludf.DUMMYFUNCTION("""COMPUTED_VALUE"""),"11:00-12:30")</f>
        <v>11:00-12:30</v>
      </c>
      <c r="N1969" s="7"/>
    </row>
    <row r="1970">
      <c r="A1970" s="7" t="str">
        <f>IFERROR(__xludf.DUMMYFUNCTION("""COMPUTED_VALUE"""),"808-MAIN")</f>
        <v>808-MAIN</v>
      </c>
      <c r="B1970" s="7" t="str">
        <f>IFERROR(__xludf.DUMMYFUNCTION("""COMPUTED_VALUE"""),"LexGen: Domain-aware Multilingual Lexicon Generation")</f>
        <v>LexGen: Domain-aware Multilingual Lexicon Generation</v>
      </c>
      <c r="C1970" s="7" t="str">
        <f>IFERROR(__xludf.DUMMYFUNCTION("""COMPUTED_VALUE"""),"Lexicon or dictionary generation across domains has the potential for societal impact, as it can potentially enhance information accessibility for a diverse user base while preserving language identity. Prior work in the field primarily focuses on bilingu"&amp;"al lexical induction, which deals with word alignments using mapping-based or corpora-based approaches. However, these approaches do not cater to domain-specific lexicon generation that consists of domain-specific terminology. This task becomes particular"&amp;"ly important in specialized medical, engineering, and other technical domains, owing to the highly infrequent usage of the terms and scarcity of data involving domain-specific terms especially for low-resource languages. We propose a new model to generate"&amp;" dictionary words for 6 Indian languages in the multi-domain setting. Our model consists of domain-specific and domain-generic layers that encode information, and these layers are invoked via a learnable routing technique. We also release a new benchmark "&amp;"dataset consisting of &gt;75K translation pairs across 6 Indian languages spanning 8 diverse domains. We conduct both zero-shot and few-shot experiments across multiple domains to show the efficacy of our proposed model in generalizing to unseen domains and "&amp;"unseen languages. Additionally, we also perform a human post-hoc evaluation on unseen languages.  The source code and dataset is present at https://github.com/Atulkmrsingh/lexgen.")</f>
        <v>Lexicon or dictionary generation across domains has the potential for societal impact, as it can potentially enhance information accessibility for a diverse user base while preserving language identity. Prior work in the field primarily focuses on bilingual lexical induction, which deals with word alignments using mapping-based or corpora-based approaches. However, these approaches do not cater to domain-specific lexicon generation that consists of domain-specific terminology. This task becomes particularly important in specialized medical, engineering, and other technical domains, owing to the highly infrequent usage of the terms and scarcity of data involving domain-specific terms especially for low-resource languages. We propose a new model to generate dictionary words for 6 Indian languages in the multi-domain setting. Our model consists of domain-specific and domain-generic layers that encode information, and these layers are invoked via a learnable routing technique. We also release a new benchmark dataset consisting of &gt;75K translation pairs across 6 Indian languages spanning 8 diverse domains. We conduct both zero-shot and few-shot experiments across multiple domains to show the efficacy of our proposed model in generalizing to unseen domains and unseen languages. Additionally, we also perform a human post-hoc evaluation on unseen languages.  The source code and dataset is present at https://github.com/Atulkmrsingh/lexgen.</v>
      </c>
      <c r="D1970" s="7" t="str">
        <f>IFERROR(__xludf.DUMMYFUNCTION("""COMPUTED_VALUE"""),"Karthika N J")</f>
        <v>Karthika N J</v>
      </c>
      <c r="E1970" s="7" t="str">
        <f>IFERROR(__xludf.DUMMYFUNCTION("""COMPUTED_VALUE"""),"Yes")</f>
        <v>Yes</v>
      </c>
      <c r="F1970" s="7" t="str">
        <f>IFERROR(__xludf.DUMMYFUNCTION("""COMPUTED_VALUE"""),"V-Presentation")</f>
        <v>V-Presentation</v>
      </c>
      <c r="G1970" s="7" t="str">
        <f>IFERROR(__xludf.DUMMYFUNCTION("""COMPUTED_VALUE"""),"Virtual/Gather")</f>
        <v>Virtual/Gather</v>
      </c>
      <c r="H1970" s="7" t="str">
        <f>IFERROR(__xludf.DUMMYFUNCTION("""COMPUTED_VALUE"""),"Zoom")</f>
        <v>Zoom</v>
      </c>
      <c r="I1970" s="7" t="str">
        <f>IFERROR(__xludf.DUMMYFUNCTION("""COMPUTED_VALUE"""),"Session 12: V-Presentations")</f>
        <v>Session 12: V-Presentations</v>
      </c>
      <c r="J1970" s="7" t="str">
        <f>IFERROR(__xludf.DUMMYFUNCTION("""COMPUTED_VALUE"""),"Virtual Presentations 4")</f>
        <v>Virtual Presentations 4</v>
      </c>
      <c r="K1970" s="7"/>
      <c r="L1970" s="8">
        <f>IFERROR(__xludf.DUMMYFUNCTION("""COMPUTED_VALUE"""),45868.0)</f>
        <v>45868</v>
      </c>
      <c r="M1970" s="7" t="str">
        <f>IFERROR(__xludf.DUMMYFUNCTION("""COMPUTED_VALUE"""),"11:00-12:30")</f>
        <v>11:00-12:30</v>
      </c>
      <c r="N1970" s="7"/>
    </row>
    <row r="1971">
      <c r="A1971" s="7" t="str">
        <f>IFERROR(__xludf.DUMMYFUNCTION("""COMPUTED_VALUE"""),"809-MAIN")</f>
        <v>809-MAIN</v>
      </c>
      <c r="B1971" s="7" t="str">
        <f>IFERROR(__xludf.DUMMYFUNCTION("""COMPUTED_VALUE"""),"How to Train Long-Context Language Models (Effectively)")</f>
        <v>How to Train Long-Context Language Models (Effectively)</v>
      </c>
      <c r="C1971" s="7" t="str">
        <f>IFERROR(__xludf.DUMMYFUNCTION("""COMPUTED_VALUE"""),"We study continued training and supervised fine-tuning (SFT) of a language model (LM) to make effective use of long-context information. We first establish a reliable evaluation protocol to guide model development—instead of perplexity or simple needle-in"&amp;"-a-haystack (NIAH) tests, we use a broad set of long-context downstream tasks, and we evaluate models after SFT as this better reveals long-context abilities. Supported by our robust evaluations, we run thorough experiments to decide the data mix for cont"&amp;"inued pre-training, the instruction tuning dataset, and many other design choices such as position extrapolation. We find that (1) code repositories and books are excellent sources of long data, but it is crucial to combine them with high-quality short-co"&amp;"ntext data; (2) training with a sequence length beyond the evaluation length boosts long-context performance; (3) for SFT, using only short instruction datasets yields strong performance on long-context tasks. Our final model, ProLong-8B, which is initial"&amp;"ized from Llama-3 and trained on 40B tokens, demonstrates state-of-the-art long-context performance among similarly sized models at a length of 128K. ProLong outperforms Llama-3.1-8B-Instruct on the majority of long-context tasks despite using only 5% as "&amp;"many tokens during long-context training. Additionally, ProLong can effectively process up to 512K tokens, one of the longest context windows of publicly available LMs.")</f>
        <v>We study continued training and supervised fine-tuning (SFT) of a language model (LM) to make effective use of long-context information. We first establish a reliable evaluation protocol to guide model development—instead of perplexity or simple needle-in-a-haystack (NIAH) tests, we use a broad set of long-context downstream tasks, and we evaluate models after SFT as this better reveals long-context abilities. Supported by our robust evaluations, we run thorough experiments to decide the data mix for continued pre-training, the instruction tuning dataset, and many other design choices such as position extrapolation. We find that (1) code repositories and books are excellent sources of long data, but it is crucial to combine them with high-quality short-context data; (2) training with a sequence length beyond the evaluation length boosts long-context performance; (3) for SFT, using only short instruction datasets yields strong performance on long-context tasks. Our final model, ProLong-8B, which is initialized from Llama-3 and trained on 40B tokens, demonstrates state-of-the-art long-context performance among similarly sized models at a length of 128K. ProLong outperforms Llama-3.1-8B-Instruct on the majority of long-context tasks despite using only 5% as many tokens during long-context training. Additionally, ProLong can effectively process up to 512K tokens, one of the longest context windows of publicly available LMs.</v>
      </c>
      <c r="D1971" s="7" t="str">
        <f>IFERROR(__xludf.DUMMYFUNCTION("""COMPUTED_VALUE"""),"Tianyu Gao")</f>
        <v>Tianyu Gao</v>
      </c>
      <c r="E1971" s="7" t="str">
        <f>IFERROR(__xludf.DUMMYFUNCTION("""COMPUTED_VALUE"""),"Yes")</f>
        <v>Yes</v>
      </c>
      <c r="F1971" s="7" t="str">
        <f>IFERROR(__xludf.DUMMYFUNCTION("""COMPUTED_VALUE"""),"V-Presentation")</f>
        <v>V-Presentation</v>
      </c>
      <c r="G1971" s="7" t="str">
        <f>IFERROR(__xludf.DUMMYFUNCTION("""COMPUTED_VALUE"""),"Virtual/Gather")</f>
        <v>Virtual/Gather</v>
      </c>
      <c r="H1971" s="7" t="str">
        <f>IFERROR(__xludf.DUMMYFUNCTION("""COMPUTED_VALUE"""),"Zoom")</f>
        <v>Zoom</v>
      </c>
      <c r="I1971" s="7" t="str">
        <f>IFERROR(__xludf.DUMMYFUNCTION("""COMPUTED_VALUE"""),"Session 10: V-Presenations")</f>
        <v>Session 10: V-Presenations</v>
      </c>
      <c r="J1971" s="7" t="str">
        <f>IFERROR(__xludf.DUMMYFUNCTION("""COMPUTED_VALUE"""),"Virtual Presentations 3")</f>
        <v>Virtual Presentations 3</v>
      </c>
      <c r="K1971" s="7"/>
      <c r="L1971" s="8">
        <f>IFERROR(__xludf.DUMMYFUNCTION("""COMPUTED_VALUE"""),45867.0)</f>
        <v>45867</v>
      </c>
      <c r="M1971" s="7" t="str">
        <f>IFERROR(__xludf.DUMMYFUNCTION("""COMPUTED_VALUE"""),"16:00-17:30")</f>
        <v>16:00-17:30</v>
      </c>
      <c r="N1971" s="7"/>
    </row>
    <row r="1972">
      <c r="A1972" s="7" t="str">
        <f>IFERROR(__xludf.DUMMYFUNCTION("""COMPUTED_VALUE"""),"811-MAIN")</f>
        <v>811-MAIN</v>
      </c>
      <c r="B1972" s="7" t="str">
        <f>IFERROR(__xludf.DUMMYFUNCTION("""COMPUTED_VALUE"""),"MathFusion: Enhancing Mathematical Problem-solving of LLM through Instruction Fusion")</f>
        <v>MathFusion: Enhancing Mathematical Problem-solving of LLM through Instruction Fusion</v>
      </c>
      <c r="C1972" s="7" t="str">
        <f>IFERROR(__xludf.DUMMYFUNCTION("""COMPUTED_VALUE"""),"Large Language Models (LLMs) have shown impressive progress in mathematical reasoning. While data augmentation is promising to enhance mathematical problem-solving ability, current approaches are predominantly limited to instance-level modifications—such "&amp;"as rephrasing or generating syntactic variations—which fail to capture and leverage the intrinsic relational structures inherent in mathematical knowledge. Inspired by human learning processes, where mathematical proficiency develops through systematic ex"&amp;"posure to interconnected concepts, we introduce \textbf{\mbox{MathFusion}}, a novel framework that enhances mathematical reasoning through cross-problem instruction synthesis. MathFusion implements this through three fusion strategies: (1) \textit{sequent"&amp;"ial fusion}, which chains related problems to model solution dependencies; (2) \textit{parallel fusion}, which combines analogous problems to reinforce conceptual understanding; and (3) \textit{conditional fusion}, which creates context-aware selective pr"&amp;"oblems to enhance reasoning flexibility. By applying these strategies, we generate a new dataset, \textbf{MathFusionQA}, followed by fine-tuning models (DeepSeekMath-7B, Mistral-7B, Llama3-8B) on it. Experimental results demonstrate that MathFusion achiev"&amp;"es substantial improvements in mathematical reasoning while maintaining high data efficiency, boosting performance by 18.0 points in accuracy across diverse benchmarks while requiring only 45K additional synthetic instructions, representing a substantial "&amp;"improvement over traditional single-instruction approaches.")</f>
        <v>Large Language Models (LLMs) have shown impressive progress in mathematical reasoning. While data augmentation is promising to enhance mathematical problem-solving ability, current approaches are predominantly limited to instance-level modifications—such as rephrasing or generating syntactic variations—which fail to capture and leverage the intrinsic relational structures inherent in mathematical knowledge. Inspired by human learning processes, where mathematical proficiency develops through systematic exposure to interconnected concepts, we introduce \textbf{\mbox{MathFusion}}, a novel framework that enhances mathematical reasoning through cross-problem instruction synthesis. MathFusion implements this through three fusion strategies: (1) \textit{sequential fusion}, which chains related problems to model solution dependencies; (2) \textit{parallel fusion}, which combines analogous problems to reinforce conceptual understanding; and (3) \textit{conditional fusion}, which creates context-aware selective problems to enhance reasoning flexibility. By applying these strategies, we generate a new dataset, \textbf{MathFusionQA}, followed by fine-tuning models (DeepSeekMath-7B, Mistral-7B, Llama3-8B) on it. Experimental results demonstrate that MathFusion achieves substantial improvements in mathematical reasoning while maintaining high data efficiency, boosting performance by 18.0 points in accuracy across diverse benchmarks while requiring only 45K additional synthetic instructions, representing a substantial improvement over traditional single-instruction approaches.</v>
      </c>
      <c r="D1972" s="7" t="str">
        <f>IFERROR(__xludf.DUMMYFUNCTION("""COMPUTED_VALUE"""),"Qizhi Pei")</f>
        <v>Qizhi Pei</v>
      </c>
      <c r="E1972" s="7" t="str">
        <f>IFERROR(__xludf.DUMMYFUNCTION("""COMPUTED_VALUE"""),"Yes")</f>
        <v>Yes</v>
      </c>
      <c r="F1972" s="7" t="str">
        <f>IFERROR(__xludf.DUMMYFUNCTION("""COMPUTED_VALUE"""),"IP-Poster")</f>
        <v>IP-Poster</v>
      </c>
      <c r="G1972" s="7" t="str">
        <f>IFERROR(__xludf.DUMMYFUNCTION("""COMPUTED_VALUE"""),"In-Person")</f>
        <v>In-Person</v>
      </c>
      <c r="H1972" s="7" t="str">
        <f>IFERROR(__xludf.DUMMYFUNCTION("""COMPUTED_VALUE"""),"Hall 4/5")</f>
        <v>Hall 4/5</v>
      </c>
      <c r="I1972" s="7" t="str">
        <f>IFERROR(__xludf.DUMMYFUNCTION("""COMPUTED_VALUE"""),"Session 7: IP-Posters")</f>
        <v>Session 7: IP-Posters</v>
      </c>
      <c r="J1972" s="7" t="str">
        <f>IFERROR(__xludf.DUMMYFUNCTION("""COMPUTED_VALUE"""),"Poster Session 2")</f>
        <v>Poster Session 2</v>
      </c>
      <c r="K1972" s="7"/>
      <c r="L1972" s="8">
        <f>IFERROR(__xludf.DUMMYFUNCTION("""COMPUTED_VALUE"""),45867.0)</f>
        <v>45867</v>
      </c>
      <c r="M1972" s="7" t="str">
        <f>IFERROR(__xludf.DUMMYFUNCTION("""COMPUTED_VALUE"""),"10:30-12:00")</f>
        <v>10:30-12:00</v>
      </c>
      <c r="N1972" s="7"/>
    </row>
    <row r="1973">
      <c r="A1973" s="7" t="str">
        <f>IFERROR(__xludf.DUMMYFUNCTION("""COMPUTED_VALUE"""),"814-MAIN")</f>
        <v>814-MAIN</v>
      </c>
      <c r="B1973" s="7" t="str">
        <f>IFERROR(__xludf.DUMMYFUNCTION("""COMPUTED_VALUE"""),"Mining Complex Patterns of Argumentative Reasoning in Natural Language Dialogue")</f>
        <v>Mining Complex Patterns of Argumentative Reasoning in Natural Language Dialogue</v>
      </c>
      <c r="C1973" s="7" t="str">
        <f>IFERROR(__xludf.DUMMYFUNCTION("""COMPUTED_VALUE"""),"Argumentation scheme mining is the task of automatically identifying reasoning mechanisms behind argument inferences. These mechanisms provide insights into underlying argument structures and guide the assessment of natural language arguments. Research on"&amp;" argumentation scheme mining, however, has always been limited by the scarcity of large enough publicly available corpora containing scheme annotations. In this paper, we present the first state-of-the-art results for mining argumentation schemes in natur"&amp;"al language dialogue. For this purpose, we create QT-Schemes, a new corpus of 441 arguments annotated with 24 argumentation schemes. Using this corpus, we leverage the capabilities of LLMs and Transformer-based models, pre-training them on a large corpus "&amp;"containing textbook-like argumentation schemes and validating their applicability in real-world scenarios.")</f>
        <v>Argumentation scheme mining is the task of automatically identifying reasoning mechanisms behind argument inferences. These mechanisms provide insights into underlying argument structures and guide the assessment of natural language arguments. Research on argumentation scheme mining, however, has always been limited by the scarcity of large enough publicly available corpora containing scheme annotations. In this paper, we present the first state-of-the-art results for mining argumentation schemes in natural language dialogue. For this purpose, we create QT-Schemes, a new corpus of 441 arguments annotated with 24 argumentation schemes. Using this corpus, we leverage the capabilities of LLMs and Transformer-based models, pre-training them on a large corpus containing textbook-like argumentation schemes and validating their applicability in real-world scenarios.</v>
      </c>
      <c r="D1973" s="7" t="str">
        <f>IFERROR(__xludf.DUMMYFUNCTION("""COMPUTED_VALUE"""),"Ramon Ruiz-Dolz")</f>
        <v>Ramon Ruiz-Dolz</v>
      </c>
      <c r="E1973" s="7" t="str">
        <f>IFERROR(__xludf.DUMMYFUNCTION("""COMPUTED_VALUE"""),"Yes")</f>
        <v>Yes</v>
      </c>
      <c r="F1973" s="7" t="str">
        <f>IFERROR(__xludf.DUMMYFUNCTION("""COMPUTED_VALUE"""),"IP-Oral")</f>
        <v>IP-Oral</v>
      </c>
      <c r="G1973" s="7" t="str">
        <f>IFERROR(__xludf.DUMMYFUNCTION("""COMPUTED_VALUE"""),"In-Person")</f>
        <v>In-Person</v>
      </c>
      <c r="H1973" s="7" t="str">
        <f>IFERROR(__xludf.DUMMYFUNCTION("""COMPUTED_VALUE"""),"Room 1.62")</f>
        <v>Room 1.62</v>
      </c>
      <c r="I1973" s="7" t="str">
        <f>IFERROR(__xludf.DUMMYFUNCTION("""COMPUTED_VALUE"""),"Session 9: IP-Orals")</f>
        <v>Session 9: IP-Orals</v>
      </c>
      <c r="J1973" s="7" t="str">
        <f>IFERROR(__xludf.DUMMYFUNCTION("""COMPUTED_VALUE"""),"Sentiment, Style and Argumentation Analysis")</f>
        <v>Sentiment, Style and Argumentation Analysis</v>
      </c>
      <c r="K1973" s="7"/>
      <c r="L1973" s="8">
        <f>IFERROR(__xludf.DUMMYFUNCTION("""COMPUTED_VALUE"""),45867.0)</f>
        <v>45867</v>
      </c>
      <c r="M1973" s="7" t="str">
        <f>IFERROR(__xludf.DUMMYFUNCTION("""COMPUTED_VALUE"""),"14:00-15:30")</f>
        <v>14:00-15:30</v>
      </c>
      <c r="N1973" s="7">
        <f>IFERROR(__xludf.DUMMYFUNCTION("""COMPUTED_VALUE"""),1.0)</f>
        <v>1</v>
      </c>
    </row>
    <row r="1974">
      <c r="A1974" s="7" t="str">
        <f>IFERROR(__xludf.DUMMYFUNCTION("""COMPUTED_VALUE"""),"817-MAIN")</f>
        <v>817-MAIN</v>
      </c>
      <c r="B1974" s="7" t="str">
        <f>IFERROR(__xludf.DUMMYFUNCTION("""COMPUTED_VALUE"""),"OS Agents: A Survey on MLLM-based Agents for Computer, Phone and Browser Use")</f>
        <v>OS Agents: A Survey on MLLM-based Agents for Computer, Phone and Browser Use</v>
      </c>
      <c r="C1974" s="7" t="str">
        <f>IFERROR(__xludf.DUMMYFUNCTION("""COMPUTED_VALUE"""),"The dream to create AI assistants as capable and versatile as the fictional J.A.R.V.I.S from Iron Man has long captivated imaginations. With the evolution of multi-modal large language models ((M)LLMs), this dream is closer to reality, as (M)LLM-based Age"&amp;"nts using computers, mobile phones and web browsers by operating within the environments and interfaces (e.g., Graphical User Interface (GUI) and Command Line Interface (CLI)) provided by operating systems (OS) to automate tasks have significantly advance"&amp;"d. This paper presents a comprehensive survey on these advanced agents, designated as OS Agents. We begin by elucidating the fundamentals of OS Agents, exploring their key components and capabilities. We then examine methodologies for constructing OS Agen"&amp;"ts, focusing on domain-specific foundation models and agent frameworks. A detailed review of evaluation metrics and benchmarks highlights how OS Agents are assessed across diverse platforms and tasks. Finally, we discuss current challenges and identify pr"&amp;"omising directions for future research. An open-source GitHub repository is maintained as a dynamic resource to foster further innovation in this field.")</f>
        <v>The dream to create AI assistants as capable and versatile as the fictional J.A.R.V.I.S from Iron Man has long captivated imaginations. With the evolution of multi-modal large language models ((M)LLMs), this dream is closer to reality, as (M)LLM-based Agents using computers, mobile phones and web browsers by operating within the environments and interfaces (e.g., Graphical User Interface (GUI) and Command Line Interface (CLI)) provided by operating systems (OS) to automate tasks have significantly advanced. This paper presents a comprehensive survey on these advanced agents, designated as OS Agents. We begin by elucidating the fundamentals of OS Agents, exploring their key components and capabilities. We then examine methodologies for constructing OS Agents, focusing on domain-specific foundation models and agent frameworks. A detailed review of evaluation metrics and benchmarks highlights how OS Agents are assessed across diverse platforms and tasks. Finally, we discuss current challenges and identify promising directions for future research. An open-source GitHub repository is maintained as a dynamic resource to foster further innovation in this field.</v>
      </c>
      <c r="D1974" s="7" t="str">
        <f>IFERROR(__xludf.DUMMYFUNCTION("""COMPUTED_VALUE"""),"Xueyu Hu")</f>
        <v>Xueyu Hu</v>
      </c>
      <c r="E1974" s="7" t="str">
        <f>IFERROR(__xludf.DUMMYFUNCTION("""COMPUTED_VALUE"""),"Yes")</f>
        <v>Yes</v>
      </c>
      <c r="F1974" s="7" t="str">
        <f>IFERROR(__xludf.DUMMYFUNCTION("""COMPUTED_VALUE"""),"IP-Oral")</f>
        <v>IP-Oral</v>
      </c>
      <c r="G1974" s="7" t="str">
        <f>IFERROR(__xludf.DUMMYFUNCTION("""COMPUTED_VALUE"""),"In-Person")</f>
        <v>In-Person</v>
      </c>
      <c r="H1974" s="7" t="str">
        <f>IFERROR(__xludf.DUMMYFUNCTION("""COMPUTED_VALUE"""),"Hall C")</f>
        <v>Hall C</v>
      </c>
      <c r="I1974" s="7" t="str">
        <f>IFERROR(__xludf.DUMMYFUNCTION("""COMPUTED_VALUE"""),"Session 3: IP-Orals")</f>
        <v>Session 3: IP-Orals</v>
      </c>
      <c r="J1974" s="7" t="str">
        <f>IFERROR(__xludf.DUMMYFUNCTION("""COMPUTED_VALUE"""),"Multimodality and Language Grounding 1")</f>
        <v>Multimodality and Language Grounding 1</v>
      </c>
      <c r="K1974" s="7"/>
      <c r="L1974" s="8">
        <f>IFERROR(__xludf.DUMMYFUNCTION("""COMPUTED_VALUE"""),45866.0)</f>
        <v>45866</v>
      </c>
      <c r="M1974" s="7" t="str">
        <f>IFERROR(__xludf.DUMMYFUNCTION("""COMPUTED_VALUE"""),"14:00-15:30")</f>
        <v>14:00-15:30</v>
      </c>
      <c r="N1974" s="7">
        <f>IFERROR(__xludf.DUMMYFUNCTION("""COMPUTED_VALUE"""),4.0)</f>
        <v>4</v>
      </c>
    </row>
    <row r="1975">
      <c r="A1975" s="7" t="str">
        <f>IFERROR(__xludf.DUMMYFUNCTION("""COMPUTED_VALUE"""),"822-MAIN")</f>
        <v>822-MAIN</v>
      </c>
      <c r="B1975" s="7" t="str">
        <f>IFERROR(__xludf.DUMMYFUNCTION("""COMPUTED_VALUE"""),"Data Quality Issues in Multilingual Speech Datasets: The Need for Sociolinguistic Awareness and Proactive Language Planning")</f>
        <v>Data Quality Issues in Multilingual Speech Datasets: The Need for Sociolinguistic Awareness and Proactive Language Planning</v>
      </c>
      <c r="C1975" s="7" t="str">
        <f>IFERROR(__xludf.DUMMYFUNCTION("""COMPUTED_VALUE"""),"Our quality audit for three widely used public multilingual speech datasets Mozilla Common Voice 17.0, FLEURS, and VoxPopuli shows that in some languages, these datasets suffer from significant quality issues. We believe addressing these issues will make "&amp;"these datasets more useful as evaluation sets, and improve downstream models. We divide these quality issues into two categories: micro-level and macro-level. We find that macro-level issues are more prevalent in less institutionalized, often under-resour"&amp;"ced languages. We provide a case analysis of Taiwanese Southern Min (nan_tw}) that highlights the need for proactive language planning (e.g. orthography prescriptions, dialect boundary definition) and enhanced data quality control in the process of Automa"&amp;"tic Speech Recognition (ASR) dataset creation. We conclude by proposing guidelines and recommendations to mitigate these issues in future dataset development, emphasizing the importance of sociolinguistic awareness in creating robust and reliable speech d"&amp;"ata resources.")</f>
        <v>Our quality audit for three widely used public multilingual speech datasets Mozilla Common Voice 17.0, FLEURS, and VoxPopuli shows that in some languages, these datasets suffer from significant quality issues. We believe addressing these issues will make these datasets more useful as evaluation sets, and improve downstream models. We divide these quality issues into two categories: micro-level and macro-level. We find that macro-level issues are more prevalent in less institutionalized, often under-resourced languages. We provide a case analysis of Taiwanese Southern Min (nan_tw}) that highlights the need for proactive language planning (e.g. orthography prescriptions, dialect boundary definition) and enhanced data quality control in the process of Automatic Speech Recognition (ASR) dataset creation. We conclude by proposing guidelines and recommendations to mitigate these issues in future dataset development, emphasizing the importance of sociolinguistic awareness in creating robust and reliable speech data resources.</v>
      </c>
      <c r="D1975" s="7" t="str">
        <f>IFERROR(__xludf.DUMMYFUNCTION("""COMPUTED_VALUE"""),"Mingfei Lau")</f>
        <v>Mingfei Lau</v>
      </c>
      <c r="E1975" s="7" t="str">
        <f>IFERROR(__xludf.DUMMYFUNCTION("""COMPUTED_VALUE"""),"Yes")</f>
        <v>Yes</v>
      </c>
      <c r="F1975" s="7" t="str">
        <f>IFERROR(__xludf.DUMMYFUNCTION("""COMPUTED_VALUE"""),"IP-Oral")</f>
        <v>IP-Oral</v>
      </c>
      <c r="G1975" s="7" t="str">
        <f>IFERROR(__xludf.DUMMYFUNCTION("""COMPUTED_VALUE"""),"In-Person")</f>
        <v>In-Person</v>
      </c>
      <c r="H1975" s="7" t="str">
        <f>IFERROR(__xludf.DUMMYFUNCTION("""COMPUTED_VALUE"""),"Room 1.15-16")</f>
        <v>Room 1.15-16</v>
      </c>
      <c r="I1975" s="7" t="str">
        <f>IFERROR(__xludf.DUMMYFUNCTION("""COMPUTED_VALUE"""),"Session 9: IP-Orals")</f>
        <v>Session 9: IP-Orals</v>
      </c>
      <c r="J1975" s="7" t="str">
        <f>IFERROR(__xludf.DUMMYFUNCTION("""COMPUTED_VALUE"""),"Multilingualism and Cross-Lingual NLP")</f>
        <v>Multilingualism and Cross-Lingual NLP</v>
      </c>
      <c r="K1975" s="7"/>
      <c r="L1975" s="8">
        <f>IFERROR(__xludf.DUMMYFUNCTION("""COMPUTED_VALUE"""),45867.0)</f>
        <v>45867</v>
      </c>
      <c r="M1975" s="7" t="str">
        <f>IFERROR(__xludf.DUMMYFUNCTION("""COMPUTED_VALUE"""),"14:00-15:30")</f>
        <v>14:00-15:30</v>
      </c>
      <c r="N1975" s="7">
        <f>IFERROR(__xludf.DUMMYFUNCTION("""COMPUTED_VALUE"""),2.0)</f>
        <v>2</v>
      </c>
    </row>
    <row r="1976">
      <c r="A1976" s="7" t="str">
        <f>IFERROR(__xludf.DUMMYFUNCTION("""COMPUTED_VALUE"""),"823-MAIN")</f>
        <v>823-MAIN</v>
      </c>
      <c r="B1976" s="7" t="str">
        <f>IFERROR(__xludf.DUMMYFUNCTION("""COMPUTED_VALUE"""),"LLM as a Broken Telephone: Iterative Generation Distorts Information")</f>
        <v>LLM as a Broken Telephone: Iterative Generation Distorts Information</v>
      </c>
      <c r="C1976" s="7" t="str">
        <f>IFERROR(__xludf.DUMMYFUNCTION("""COMPUTED_VALUE"""),"As large language models are increasingly responsible for online content, concerns arise about the impact of repeatedly processing their own outputs.
Inspired by the ""broken telephone"" effect in chained human communication, this study investigates wheth"&amp;"er LLMs similarly distort information through iterative generation.
Through translation-based experiments, we find that distortion accumulates over time, influenced by language choice and chain complexity. 
While degradation is inevitable, it can be mitig"&amp;"ated through strategic prompting techniques. 
These findings contribute to discussions on the long-term effects of AI-mediated information propagation, raising important questions about the reliability of LLM-generated content in iterative workflows.")</f>
        <v>As large language models are increasingly responsible for online content, concerns arise about the impact of repeatedly processing their own outputs.
Inspired by the "broken telephone" effect in chained human communication, this study investigates whether LLMs similarly distort information through iterative generation.
Through translation-based experiments, we find that distortion accumulates over time, influenced by language choice and chain complexity. 
While degradation is inevitable, it can be mitigated through strategic prompting techniques. 
These findings contribute to discussions on the long-term effects of AI-mediated information propagation, raising important questions about the reliability of LLM-generated content in iterative workflows.</v>
      </c>
      <c r="D1976" s="7" t="str">
        <f>IFERROR(__xludf.DUMMYFUNCTION("""COMPUTED_VALUE"""),"Amr Mohamed")</f>
        <v>Amr Mohamed</v>
      </c>
      <c r="E1976" s="7" t="str">
        <f>IFERROR(__xludf.DUMMYFUNCTION("""COMPUTED_VALUE"""),"Yes")</f>
        <v>Yes</v>
      </c>
      <c r="F1976" s="7" t="str">
        <f>IFERROR(__xludf.DUMMYFUNCTION("""COMPUTED_VALUE"""),"IP-Poster")</f>
        <v>IP-Poster</v>
      </c>
      <c r="G1976" s="7" t="str">
        <f>IFERROR(__xludf.DUMMYFUNCTION("""COMPUTED_VALUE"""),"In-Person")</f>
        <v>In-Person</v>
      </c>
      <c r="H1976" s="7" t="str">
        <f>IFERROR(__xludf.DUMMYFUNCTION("""COMPUTED_VALUE"""),"Hall 4/5")</f>
        <v>Hall 4/5</v>
      </c>
      <c r="I1976" s="7" t="str">
        <f>IFERROR(__xludf.DUMMYFUNCTION("""COMPUTED_VALUE"""),"Session 2: IP-Posters ")</f>
        <v>Session 2: IP-Posters </v>
      </c>
      <c r="J1976" s="7" t="str">
        <f>IFERROR(__xludf.DUMMYFUNCTION("""COMPUTED_VALUE"""),"Poster Session 1")</f>
        <v>Poster Session 1</v>
      </c>
      <c r="K1976" s="7"/>
      <c r="L1976" s="8">
        <f>IFERROR(__xludf.DUMMYFUNCTION("""COMPUTED_VALUE"""),45866.0)</f>
        <v>45866</v>
      </c>
      <c r="M1976" s="7" t="str">
        <f>IFERROR(__xludf.DUMMYFUNCTION("""COMPUTED_VALUE"""),"11:00-12:30")</f>
        <v>11:00-12:30</v>
      </c>
      <c r="N1976" s="7"/>
    </row>
    <row r="1977">
      <c r="A1977" s="7" t="str">
        <f>IFERROR(__xludf.DUMMYFUNCTION("""COMPUTED_VALUE"""),"825-MAIN")</f>
        <v>825-MAIN</v>
      </c>
      <c r="B1977" s="7" t="str">
        <f>IFERROR(__xludf.DUMMYFUNCTION("""COMPUTED_VALUE"""),"VLM2-Bench: A Closer Look at How Well VLMs Implicitly Link Explicit Matching Visual Cues")</f>
        <v>VLM2-Bench: A Closer Look at How Well VLMs Implicitly Link Explicit Matching Visual Cues</v>
      </c>
      <c r="C1977" s="7" t="str">
        <f>IFERROR(__xludf.DUMMYFUNCTION("""COMPUTED_VALUE"""),"Visually linking matching cues is a crucial ability in daily life, such as identifying the same person in multiple photos based on their cues, even without knowing who they are. Despite the extensive knowledge that vision-language models (VLMs) possess, i"&amp;"t remains largely unexplored whether they are capable of performing this fundamental task. To address this, we introduce VLM2-Bench, a benchmark designed to assess whether VLMs can Visually Link Matching cues, with 9 subtasks and over 3,000 test cases. Co"&amp;"mprehensive evaluation across twelve VLMs, along with further analysis of various language-side and vision-side prompting methods, leads to a total of eight key findings. We identify critical challenges in models' ability to link visual cues, highlighting"&amp;" a significant performance gap. Based on these insights, we advocate for (i) enhancing core visual capabilities to improve adaptability and reduce reliance on prior knowledge, (ii) establishing clearer principles for integrating language-based reasoning i"&amp;"n vision-centric tasks to prevent unnecessary biases, and (iii) shifting vision-text training paradigms toward fostering models' ability to independently structure and infer relationships among visual cues.")</f>
        <v>Visually linking matching cues is a crucial ability in daily life, such as identifying the same person in multiple photos based on their cues, even without knowing who they are. Despite the extensive knowledge that vision-language models (VLMs) possess, it remains largely unexplored whether they are capable of performing this fundamental task. To address this, we introduce VLM2-Bench, a benchmark designed to assess whether VLMs can Visually Link Matching cues, with 9 subtasks and over 3,000 test cases. Comprehensive evaluation across twelve VLMs, along with further analysis of various language-side and vision-side prompting methods, leads to a total of eight key findings. We identify critical challenges in models' ability to link visual cues, highlighting a significant performance gap. Based on these insights, we advocate for (i) enhancing core visual capabilities to improve adaptability and reduce reliance on prior knowledge, (ii) establishing clearer principles for integrating language-based reasoning in vision-centric tasks to prevent unnecessary biases, and (iii) shifting vision-text training paradigms toward fostering models' ability to independently structure and infer relationships among visual cues.</v>
      </c>
      <c r="D1977" s="7" t="str">
        <f>IFERROR(__xludf.DUMMYFUNCTION("""COMPUTED_VALUE"""),"Yi R. (May) Fung")</f>
        <v>Yi R. (May) Fung</v>
      </c>
      <c r="E1977" s="7" t="str">
        <f>IFERROR(__xludf.DUMMYFUNCTION("""COMPUTED_VALUE"""),"Yes")</f>
        <v>Yes</v>
      </c>
      <c r="F1977" s="7" t="str">
        <f>IFERROR(__xludf.DUMMYFUNCTION("""COMPUTED_VALUE"""),"IP-Poster")</f>
        <v>IP-Poster</v>
      </c>
      <c r="G1977" s="7" t="str">
        <f>IFERROR(__xludf.DUMMYFUNCTION("""COMPUTED_VALUE"""),"In-Person")</f>
        <v>In-Person</v>
      </c>
      <c r="H1977" s="7" t="str">
        <f>IFERROR(__xludf.DUMMYFUNCTION("""COMPUTED_VALUE"""),"Hall 4/5")</f>
        <v>Hall 4/5</v>
      </c>
      <c r="I1977" s="7" t="str">
        <f>IFERROR(__xludf.DUMMYFUNCTION("""COMPUTED_VALUE"""),"Session 12: IP-Posters")</f>
        <v>Session 12: IP-Posters</v>
      </c>
      <c r="J1977" s="7" t="str">
        <f>IFERROR(__xludf.DUMMYFUNCTION("""COMPUTED_VALUE"""),"Poster Session 4")</f>
        <v>Poster Session 4</v>
      </c>
      <c r="K1977" s="7"/>
      <c r="L1977" s="8">
        <f>IFERROR(__xludf.DUMMYFUNCTION("""COMPUTED_VALUE"""),45868.0)</f>
        <v>45868</v>
      </c>
      <c r="M1977" s="7" t="str">
        <f>IFERROR(__xludf.DUMMYFUNCTION("""COMPUTED_VALUE"""),"11:00-12:30")</f>
        <v>11:00-12:30</v>
      </c>
      <c r="N1977" s="7"/>
    </row>
    <row r="1978">
      <c r="A1978" s="7" t="str">
        <f>IFERROR(__xludf.DUMMYFUNCTION("""COMPUTED_VALUE"""),"829-MAIN")</f>
        <v>829-MAIN</v>
      </c>
      <c r="B1978" s="7" t="str">
        <f>IFERROR(__xludf.DUMMYFUNCTION("""COMPUTED_VALUE"""),"Alleviating Distribution Shift in Synthetic Data for Machine Translation Quality Estimation")</f>
        <v>Alleviating Distribution Shift in Synthetic Data for Machine Translation Quality Estimation</v>
      </c>
      <c r="C1978" s="7" t="str">
        <f>IFERROR(__xludf.DUMMYFUNCTION("""COMPUTED_VALUE"""),"Quality Estimation (QE) models evaluate the quality of machine translations without reference translations, serving as the reward models for the translation task.
Due to the data scarcity, synthetic data generation has emerged as a promising solution.
How"&amp;"ever, synthetic QE data often suffers from distribution shift, which can manifest as discrepancies between pseudo and real translations, or in pseudo labels that do not align with human preferences.
To tackle this issue, we introduce DCSQE, a novel framew"&amp;"ork for alleviating distribution shift in synthetic QE data.
To reduce the difference between pseudo and real translations, we employ the constrained beam search algorithm and enhance translation diversity through the use of distinct generation models.
DC"&amp;"SQE uses references—i.e., translation supervision signals—to guide both the generation and annotation processes, enhancing the quality of token-level labels.
DCSQE further identifies the shortest phrase covering consecutive error tokens, mimicking human a"&amp;"nnotation behavior, to assign the final phrase-level labels.
Specially, we underscore that the translation model can not annotate translations of itself accurately.
Extensive experiments demonstrate that DCSQE outperforms SOTA baselines like CometKiwi in "&amp;"both supervised and unsupervised settings.
Further analysis offers insights into synthetic data generation that could benefit reward models for other tasks.
The code is available at https://github.com/NJUNLP/njuqe.")</f>
        <v>Quality Estimation (QE) models evaluate the quality of machine translations without reference translations, serving as the reward models for the translation task.
Due to the data scarcity, synthetic data generation has emerged as a promising solution.
However, synthetic QE data often suffers from distribution shift, which can manifest as discrepancies between pseudo and real translations, or in pseudo labels that do not align with human preferences.
To tackle this issue, we introduce DCSQE, a novel framework for alleviating distribution shift in synthetic QE data.
To reduce the difference between pseudo and real translations, we employ the constrained beam search algorithm and enhance translation diversity through the use of distinct generation models.
DCSQE uses references—i.e., translation supervision signals—to guide both the generation and annotation processes, enhancing the quality of token-level labels.
DCSQE further identifies the shortest phrase covering consecutive error tokens, mimicking human annotation behavior, to assign the final phrase-level labels.
Specially, we underscore that the translation model can not annotate translations of itself accurately.
Extensive experiments demonstrate that DCSQE outperforms SOTA baselines like CometKiwi in both supervised and unsupervised settings.
Further analysis offers insights into synthetic data generation that could benefit reward models for other tasks.
The code is available at https://github.com/NJUNLP/njuqe.</v>
      </c>
      <c r="D1978" s="7" t="str">
        <f>IFERROR(__xludf.DUMMYFUNCTION("""COMPUTED_VALUE"""),"Zhejian Lai")</f>
        <v>Zhejian Lai</v>
      </c>
      <c r="E1978" s="7" t="str">
        <f>IFERROR(__xludf.DUMMYFUNCTION("""COMPUTED_VALUE"""),"Yes")</f>
        <v>Yes</v>
      </c>
      <c r="F1978" s="7" t="str">
        <f>IFERROR(__xludf.DUMMYFUNCTION("""COMPUTED_VALUE"""),"IP-Poster")</f>
        <v>IP-Poster</v>
      </c>
      <c r="G1978" s="7" t="str">
        <f>IFERROR(__xludf.DUMMYFUNCTION("""COMPUTED_VALUE"""),"In-Person")</f>
        <v>In-Person</v>
      </c>
      <c r="H1978" s="7" t="str">
        <f>IFERROR(__xludf.DUMMYFUNCTION("""COMPUTED_VALUE"""),"Hall 4/5")</f>
        <v>Hall 4/5</v>
      </c>
      <c r="I1978" s="7" t="str">
        <f>IFERROR(__xludf.DUMMYFUNCTION("""COMPUTED_VALUE"""),"Session 10: IP-Posters")</f>
        <v>Session 10: IP-Posters</v>
      </c>
      <c r="J1978" s="7" t="str">
        <f>IFERROR(__xludf.DUMMYFUNCTION("""COMPUTED_VALUE"""),"Poster Session 3")</f>
        <v>Poster Session 3</v>
      </c>
      <c r="K1978" s="7"/>
      <c r="L1978" s="8">
        <f>IFERROR(__xludf.DUMMYFUNCTION("""COMPUTED_VALUE"""),45867.0)</f>
        <v>45867</v>
      </c>
      <c r="M1978" s="7" t="str">
        <f>IFERROR(__xludf.DUMMYFUNCTION("""COMPUTED_VALUE"""),"16:00-17:30")</f>
        <v>16:00-17:30</v>
      </c>
      <c r="N1978" s="7"/>
    </row>
    <row r="1979">
      <c r="A1979" s="7" t="str">
        <f>IFERROR(__xludf.DUMMYFUNCTION("""COMPUTED_VALUE"""),"833-MAIN")</f>
        <v>833-MAIN</v>
      </c>
      <c r="B1979" s="7" t="str">
        <f>IFERROR(__xludf.DUMMYFUNCTION("""COMPUTED_VALUE"""),"Combining Domain and Alignment Vectors Provides Better Knowledge-Safety Trade-offs in LLMs")</f>
        <v>Combining Domain and Alignment Vectors Provides Better Knowledge-Safety Trade-offs in LLMs</v>
      </c>
      <c r="C1979" s="7" t="str">
        <f>IFERROR(__xludf.DUMMYFUNCTION("""COMPUTED_VALUE"""),"There is a growing interest in training domain-expert LLMs that excel in specific technical fields compared to their general-purpose instruction-tuned counterparts. However, these expert models are not either explicitly trained to be safe, or experience a"&amp;" loss in their safety abilities in the process, making them capable of generating harmful content. We observe that simple interpolation between the domain and alignment delta parameters leads to safer domain-specific models that preserve their utility. Bu"&amp;"ilding on this, we introduce MergeAlign, a simple, efficient, and effective model merging-based alignment method. We apply MergeAlign on Llama3 models that are experts in medicine and finance, obtaining substantial safety alignment improvements with minim"&amp;"al to no degradation on domain-specific benchmarks. We study the impact of model merging through model similarity metrics and contributions of individual models being merged, as well as the applicability of MergeAlign on more general code and math expert "&amp;"models using the Qwen-2.5 series of models. We hope our findings open new research avenues towards efficient development and deployment of safe expert LLMs.")</f>
        <v>There is a growing interest in training domain-expert LLMs that excel in specific technical fields compared to their general-purpose instruction-tuned counterparts. However, these expert models are not either explicitly trained to be safe, or experience a loss in their safety abilities in the process, making them capable of generating harmful content. We observe that simple interpolation between the domain and alignment delta parameters leads to safer domain-specific models that preserve their utility. Building on this, we introduce MergeAlign, a simple, efficient, and effective model merging-based alignment method. We apply MergeAlign on Llama3 models that are experts in medicine and finance, obtaining substantial safety alignment improvements with minimal to no degradation on domain-specific benchmarks. We study the impact of model merging through model similarity metrics and contributions of individual models being merged, as well as the applicability of MergeAlign on more general code and math expert models using the Qwen-2.5 series of models. We hope our findings open new research avenues towards efficient development and deployment of safe expert LLMs.</v>
      </c>
      <c r="D1979" s="7" t="str">
        <f>IFERROR(__xludf.DUMMYFUNCTION("""COMPUTED_VALUE"""),"Megh Vipul Thakkar")</f>
        <v>Megh Vipul Thakkar</v>
      </c>
      <c r="E1979" s="7" t="str">
        <f>IFERROR(__xludf.DUMMYFUNCTION("""COMPUTED_VALUE"""),"Yes")</f>
        <v>Yes</v>
      </c>
      <c r="F1979" s="7" t="str">
        <f>IFERROR(__xludf.DUMMYFUNCTION("""COMPUTED_VALUE"""),"IP-Poster")</f>
        <v>IP-Poster</v>
      </c>
      <c r="G1979" s="7" t="str">
        <f>IFERROR(__xludf.DUMMYFUNCTION("""COMPUTED_VALUE"""),"In-Person")</f>
        <v>In-Person</v>
      </c>
      <c r="H1979" s="7" t="str">
        <f>IFERROR(__xludf.DUMMYFUNCTION("""COMPUTED_VALUE"""),"Hall 4/5")</f>
        <v>Hall 4/5</v>
      </c>
      <c r="I1979" s="7" t="str">
        <f>IFERROR(__xludf.DUMMYFUNCTION("""COMPUTED_VALUE"""),"Session 2: IP-Posters ")</f>
        <v>Session 2: IP-Posters </v>
      </c>
      <c r="J1979" s="7" t="str">
        <f>IFERROR(__xludf.DUMMYFUNCTION("""COMPUTED_VALUE"""),"Poster Session 1")</f>
        <v>Poster Session 1</v>
      </c>
      <c r="K1979" s="7"/>
      <c r="L1979" s="8">
        <f>IFERROR(__xludf.DUMMYFUNCTION("""COMPUTED_VALUE"""),45866.0)</f>
        <v>45866</v>
      </c>
      <c r="M1979" s="7" t="str">
        <f>IFERROR(__xludf.DUMMYFUNCTION("""COMPUTED_VALUE"""),"11:00-12:30")</f>
        <v>11:00-12:30</v>
      </c>
      <c r="N1979" s="7"/>
    </row>
    <row r="1980">
      <c r="A1980" s="7" t="str">
        <f>IFERROR(__xludf.DUMMYFUNCTION("""COMPUTED_VALUE"""),"836-MAIN")</f>
        <v>836-MAIN</v>
      </c>
      <c r="B1980" s="7" t="str">
        <f>IFERROR(__xludf.DUMMYFUNCTION("""COMPUTED_VALUE"""),"Can Uniform Meaning Representation Help GPT-4 Translate from Indigenous Languages?")</f>
        <v>Can Uniform Meaning Representation Help GPT-4 Translate from Indigenous Languages?</v>
      </c>
      <c r="C1980" s="7" t="str">
        <f>IFERROR(__xludf.DUMMYFUNCTION("""COMPUTED_VALUE"""),"While ChatGPT and GPT-based models are able to effectively perform many tasks without additional fine-tuning, they struggle with tasks related to extremely low-resource languages and indigenous languages. Uniform Meaning Representation (UMR), a semantic r"&amp;"epresentation designed to capture the meaning of texts in many languages, is well-positioned to be leveraged in the development of low-resource language technologies. In this work, we explore the downstream utility of UMR for low-resource languages by inc"&amp;"orporating it into GPT-4 prompts. Specifically, we examine the ability of GPT-4 to perform translation from three indigenous languages (Navajo, Arápaho, and Kukama), with and without demonstrations, as well as with and without UMR annotations. Ultimately,"&amp;" we find that in the majority of our test cases, integrating UMR into the prompt results in a statistically significant increase in performance, which is a promising indication of future applications of the UMR formalism.")</f>
        <v>While ChatGPT and GPT-based models are able to effectively perform many tasks without additional fine-tuning, they struggle with tasks related to extremely low-resource languages and indigenous languages. Uniform Meaning Representation (UMR), a semantic representation designed to capture the meaning of texts in many languages, is well-positioned to be leveraged in the development of low-resource language technologies. In this work, we explore the downstream utility of UMR for low-resource languages by incorporating it into GPT-4 prompts. Specifically, we examine the ability of GPT-4 to perform translation from three indigenous languages (Navajo, Arápaho, and Kukama), with and without demonstrations, as well as with and without UMR annotations. Ultimately, we find that in the majority of our test cases, integrating UMR into the prompt results in a statistically significant increase in performance, which is a promising indication of future applications of the UMR formalism.</v>
      </c>
      <c r="D1980" s="7" t="str">
        <f>IFERROR(__xludf.DUMMYFUNCTION("""COMPUTED_VALUE"""),"Shira Wein")</f>
        <v>Shira Wein</v>
      </c>
      <c r="E1980" s="7" t="str">
        <f>IFERROR(__xludf.DUMMYFUNCTION("""COMPUTED_VALUE"""),"Yes")</f>
        <v>Yes</v>
      </c>
      <c r="F1980" s="7" t="str">
        <f>IFERROR(__xludf.DUMMYFUNCTION("""COMPUTED_VALUE"""),"IP-Poster")</f>
        <v>IP-Poster</v>
      </c>
      <c r="G1980" s="7" t="str">
        <f>IFERROR(__xludf.DUMMYFUNCTION("""COMPUTED_VALUE"""),"In-Person")</f>
        <v>In-Person</v>
      </c>
      <c r="H1980" s="7" t="str">
        <f>IFERROR(__xludf.DUMMYFUNCTION("""COMPUTED_VALUE"""),"Hall 4/5")</f>
        <v>Hall 4/5</v>
      </c>
      <c r="I1980" s="7" t="str">
        <f>IFERROR(__xludf.DUMMYFUNCTION("""COMPUTED_VALUE"""),"Session 7: IP-Posters")</f>
        <v>Session 7: IP-Posters</v>
      </c>
      <c r="J1980" s="7" t="str">
        <f>IFERROR(__xludf.DUMMYFUNCTION("""COMPUTED_VALUE"""),"Poster Session 2")</f>
        <v>Poster Session 2</v>
      </c>
      <c r="K1980" s="7"/>
      <c r="L1980" s="8">
        <f>IFERROR(__xludf.DUMMYFUNCTION("""COMPUTED_VALUE"""),45867.0)</f>
        <v>45867</v>
      </c>
      <c r="M1980" s="7" t="str">
        <f>IFERROR(__xludf.DUMMYFUNCTION("""COMPUTED_VALUE"""),"10:30-12:00")</f>
        <v>10:30-12:00</v>
      </c>
      <c r="N1980" s="7"/>
    </row>
    <row r="1981">
      <c r="A1981" s="7" t="str">
        <f>IFERROR(__xludf.DUMMYFUNCTION("""COMPUTED_VALUE"""),"839-MAIN")</f>
        <v>839-MAIN</v>
      </c>
      <c r="B1981" s="7" t="str">
        <f>IFERROR(__xludf.DUMMYFUNCTION("""COMPUTED_VALUE"""),"Evaluation Agent: Efficient and Promptable Evaluation Framework for Visual Generative Models")</f>
        <v>Evaluation Agent: Efficient and Promptable Evaluation Framework for Visual Generative Models</v>
      </c>
      <c r="C1981" s="7" t="str">
        <f>IFERROR(__xludf.DUMMYFUNCTION("""COMPUTED_VALUE"""),"Recent advancements in visual generative models have enabled high-quality image and video generation, opening diverse applications. However, evaluating these models often demands sampling hundreds or thousands of images or videos, making the process compu"&amp;"tationally expensive, especially for diffusion-based models with inherently slow sampling. Moreover, existing evaluation methods rely on rigid pipelines that overlook specific user needs and provide numerical results without clear explanations. In contras"&amp;"t, humans can quickly form impressions of a model's capabilities by observing only a few samples. To mimic this, we propose the Evaluation Agent framework, which employs human-like strategies for efficient, dynamic, multi-round evaluations using only a fe"&amp;"w samples per round, while offering detailed, user-tailored analyses. It offers four key advantages: 1) efficiency, 2) promptable evaluation tailored to diverse user needs, 3) explainability beyond single numerical scores, and 4) scalability across variou"&amp;"s models and tools. Experiments show that Evaluation Agent reduces evaluation time to 10% of traditional methods while delivering comparable results. The Evaluation Agent framework is fully open-sourced to advance research in visual generative models and "&amp;"their efficient evaluation.")</f>
        <v>Recent advancements in visual generative models have enabled high-quality image and video generation, opening diverse applications. However, evaluating these models often demands sampling hundreds or thousands of images or videos, making the process computationally expensive, especially for diffusion-based models with inherently slow sampling. Moreover, existing evaluation methods rely on rigid pipelines that overlook specific user needs and provide numerical results without clear explanations. In contrast, humans can quickly form impressions of a model's capabilities by observing only a few samples. To mimic this, we propose the Evaluation Agent framework, which employs human-like strategies for efficient, dynamic, multi-round evaluations using only a few samples per round, while offering detailed, user-tailored analyses. It offers four key advantages: 1) efficiency, 2) promptable evaluation tailored to diverse user needs, 3) explainability beyond single numerical scores, and 4) scalability across various models and tools. Experiments show that Evaluation Agent reduces evaluation time to 10% of traditional methods while delivering comparable results. The Evaluation Agent framework is fully open-sourced to advance research in visual generative models and their efficient evaluation.</v>
      </c>
      <c r="D1981" s="7" t="str">
        <f>IFERROR(__xludf.DUMMYFUNCTION("""COMPUTED_VALUE"""),"Shulin Tian")</f>
        <v>Shulin Tian</v>
      </c>
      <c r="E1981" s="7" t="str">
        <f>IFERROR(__xludf.DUMMYFUNCTION("""COMPUTED_VALUE"""),"Yes")</f>
        <v>Yes</v>
      </c>
      <c r="F1981" s="7" t="str">
        <f>IFERROR(__xludf.DUMMYFUNCTION("""COMPUTED_VALUE"""),"V-Presentation")</f>
        <v>V-Presentation</v>
      </c>
      <c r="G1981" s="7" t="str">
        <f>IFERROR(__xludf.DUMMYFUNCTION("""COMPUTED_VALUE"""),"Virtual/Gather")</f>
        <v>Virtual/Gather</v>
      </c>
      <c r="H1981" s="7" t="str">
        <f>IFERROR(__xludf.DUMMYFUNCTION("""COMPUTED_VALUE"""),"Zoom")</f>
        <v>Zoom</v>
      </c>
      <c r="I1981" s="7" t="str">
        <f>IFERROR(__xludf.DUMMYFUNCTION("""COMPUTED_VALUE"""),"Session 7: V--Presentations ")</f>
        <v>Session 7: V--Presentations </v>
      </c>
      <c r="J1981" s="7" t="str">
        <f>IFERROR(__xludf.DUMMYFUNCTION("""COMPUTED_VALUE"""),"Virtual Presentations 2")</f>
        <v>Virtual Presentations 2</v>
      </c>
      <c r="K1981" s="7"/>
      <c r="L1981" s="8"/>
      <c r="M1981" s="7" t="str">
        <f>IFERROR(__xludf.DUMMYFUNCTION("""COMPUTED_VALUE"""),"10:30-12:00")</f>
        <v>10:30-12:00</v>
      </c>
      <c r="N1981" s="7">
        <f>IFERROR(__xludf.DUMMYFUNCTION("""COMPUTED_VALUE"""),3.0)</f>
        <v>3</v>
      </c>
    </row>
    <row r="1982">
      <c r="A1982" s="7" t="str">
        <f>IFERROR(__xludf.DUMMYFUNCTION("""COMPUTED_VALUE"""),"842-MAIN")</f>
        <v>842-MAIN</v>
      </c>
      <c r="B1982" s="7" t="str">
        <f>IFERROR(__xludf.DUMMYFUNCTION("""COMPUTED_VALUE"""),"LLMs Struggle to Describe the Haystack without Human Help: A Social Science-Inspired Evaluation of Topic Models")</f>
        <v>LLMs Struggle to Describe the Haystack without Human Help: A Social Science-Inspired Evaluation of Topic Models</v>
      </c>
      <c r="C1982" s="7" t="str">
        <f>IFERROR(__xludf.DUMMYFUNCTION("""COMPUTED_VALUE"""),"A common use of NLP is to facilitate the understanding of large document collections, with models based on Large Language Models (LLMs) replacing probabilistic topic models. Yet the effectiveness of LLM-based approaches in real-world applications remains "&amp;"under explored. This study measures the knowledge users acquire with topic models—including traditional, unsupervised and supervised LLM- based approaches—on two datasets. While LLM-based methods generate more human- readable topics and show higher averag"&amp;"e win probabilities than traditional models for data exploration, they produce overly generic topics for domain-specific datasets that do not easily allow users to learn much about the documents. Adding human supervision to LLM-based topic models improves"&amp;" data exploration by addressing hallucination and genericity but requires more human efforts. In contrast, traditional models like Latent Dirichlet Allocation (LDA) remain effective for exploration but are less user-friendly. This paper provides best prac"&amp;"tices—there is no one right model, the choice of models is situation-specific—and suggests potential improvements for scalable LLM- based topic models.")</f>
        <v>A common use of NLP is to facilitate the understanding of large document collections, with models based on Large Language Models (LLMs) replacing probabilistic topic models. Yet the effectiveness of LLM-based approaches in real-world applications remains under explored. This study measures the knowledge users acquire with topic models—including traditional, unsupervised and supervised LLM- based approaches—on two datasets. While LLM-based methods generate more human- readable topics and show higher average win probabilities than traditional models for data exploration, they produce overly generic topics for domain-specific datasets that do not easily allow users to learn much about the documents. Adding human supervision to LLM-based topic models improves data exploration by addressing hallucination and genericity but requires more human efforts. In contrast, traditional models like Latent Dirichlet Allocation (LDA) remain effective for exploration but are less user-friendly. This paper provides best practices—there is no one right model, the choice of models is situation-specific—and suggests potential improvements for scalable LLM- based topic models.</v>
      </c>
      <c r="D1982" s="7" t="str">
        <f>IFERROR(__xludf.DUMMYFUNCTION("""COMPUTED_VALUE"""),"Jordan Boyd-Graber")</f>
        <v>Jordan Boyd-Graber</v>
      </c>
      <c r="E1982" s="7" t="str">
        <f>IFERROR(__xludf.DUMMYFUNCTION("""COMPUTED_VALUE"""),"Yes")</f>
        <v>Yes</v>
      </c>
      <c r="F1982" s="7" t="str">
        <f>IFERROR(__xludf.DUMMYFUNCTION("""COMPUTED_VALUE"""),"IP-Poster")</f>
        <v>IP-Poster</v>
      </c>
      <c r="G1982" s="7" t="str">
        <f>IFERROR(__xludf.DUMMYFUNCTION("""COMPUTED_VALUE"""),"In-Person")</f>
        <v>In-Person</v>
      </c>
      <c r="H1982" s="7" t="str">
        <f>IFERROR(__xludf.DUMMYFUNCTION("""COMPUTED_VALUE"""),"Hall 4/5")</f>
        <v>Hall 4/5</v>
      </c>
      <c r="I1982" s="7" t="str">
        <f>IFERROR(__xludf.DUMMYFUNCTION("""COMPUTED_VALUE"""),"Session 7: IP-Posters")</f>
        <v>Session 7: IP-Posters</v>
      </c>
      <c r="J1982" s="7" t="str">
        <f>IFERROR(__xludf.DUMMYFUNCTION("""COMPUTED_VALUE"""),"Poster Session 2")</f>
        <v>Poster Session 2</v>
      </c>
      <c r="K1982" s="7"/>
      <c r="L1982" s="8">
        <f>IFERROR(__xludf.DUMMYFUNCTION("""COMPUTED_VALUE"""),45867.0)</f>
        <v>45867</v>
      </c>
      <c r="M1982" s="7" t="str">
        <f>IFERROR(__xludf.DUMMYFUNCTION("""COMPUTED_VALUE"""),"10:30-12:00")</f>
        <v>10:30-12:00</v>
      </c>
      <c r="N1982" s="7"/>
    </row>
    <row r="1983">
      <c r="A1983" s="7" t="str">
        <f>IFERROR(__xludf.DUMMYFUNCTION("""COMPUTED_VALUE"""),"843-MAIN")</f>
        <v>843-MAIN</v>
      </c>
      <c r="B1983" s="7" t="str">
        <f>IFERROR(__xludf.DUMMYFUNCTION("""COMPUTED_VALUE"""),"ActiView: Evaluating Active Perception Ability for Multimodal Large Language Models")</f>
        <v>ActiView: Evaluating Active Perception Ability for Multimodal Large Language Models</v>
      </c>
      <c r="C1983" s="7" t="str">
        <f>IFERROR(__xludf.DUMMYFUNCTION("""COMPUTED_VALUE"""),"Active perception, a crucial human capability, involves setting a goal based on the current understanding of the environment and performing actions to achieve that goal. Despite significant efforts in evaluating Multimodal Large Language Models (MLLMs), a"&amp;"ctive perception has been largely overlooked. To address this gap, we propose a novel benchmark named ActiView to evaluate active perception in MLLMs. We focus on a specialized form of Visual Question Answering (VQA) that eases and quantifies the evaluati"&amp;"on yet challenging for existing MLLMs. Meanwhile, intermediate reasoning behaviors of models are also discussed. Given an image, we restrict the perceptual field of a model, requiring it to actively zoom or shift its perceptual field based on reasoning to"&amp;" answer the question successfully. We conduct extensive evaluation over 30 models, including proprietary and open-source models, and observe that restricted perceptual fields play a significant role in enabling active perception. Results reveal a signific"&amp;"ant gap in the active perception capability of MLLMs, indicating that this area deserves more attention. We hope that ActiView could help develop methods for MLLMs to understand multimodal inputs in more natural and holistic ways.")</f>
        <v>Active perception, a crucial human capability, involves setting a goal based on the current understanding of the environment and performing actions to achieve that goal. Despite significant efforts in evaluating Multimodal Large Language Models (MLLMs), active perception has been largely overlooked. To address this gap, we propose a novel benchmark named ActiView to evaluate active perception in MLLMs. We focus on a specialized form of Visual Question Answering (VQA) that eases and quantifies the evaluation yet challenging for existing MLLMs. Meanwhile, intermediate reasoning behaviors of models are also discussed. Given an image, we restrict the perceptual field of a model, requiring it to actively zoom or shift its perceptual field based on reasoning to answer the question successfully. We conduct extensive evaluation over 30 models, including proprietary and open-source models, and observe that restricted perceptual fields play a significant role in enabling active perception. Results reveal a significant gap in the active perception capability of MLLMs, indicating that this area deserves more attention. We hope that ActiView could help develop methods for MLLMs to understand multimodal inputs in more natural and holistic ways.</v>
      </c>
      <c r="D1983" s="7" t="str">
        <f>IFERROR(__xludf.DUMMYFUNCTION("""COMPUTED_VALUE"""),"Ziyue Wang")</f>
        <v>Ziyue Wang</v>
      </c>
      <c r="E1983" s="7" t="str">
        <f>IFERROR(__xludf.DUMMYFUNCTION("""COMPUTED_VALUE"""),"Yes")</f>
        <v>Yes</v>
      </c>
      <c r="F1983" s="7" t="str">
        <f>IFERROR(__xludf.DUMMYFUNCTION("""COMPUTED_VALUE"""),"IP-Poster")</f>
        <v>IP-Poster</v>
      </c>
      <c r="G1983" s="7" t="str">
        <f>IFERROR(__xludf.DUMMYFUNCTION("""COMPUTED_VALUE"""),"In-Person")</f>
        <v>In-Person</v>
      </c>
      <c r="H1983" s="7" t="str">
        <f>IFERROR(__xludf.DUMMYFUNCTION("""COMPUTED_VALUE"""),"Hall 4/5")</f>
        <v>Hall 4/5</v>
      </c>
      <c r="I1983" s="7" t="str">
        <f>IFERROR(__xludf.DUMMYFUNCTION("""COMPUTED_VALUE"""),"Session 2: IP-Posters ")</f>
        <v>Session 2: IP-Posters </v>
      </c>
      <c r="J1983" s="7" t="str">
        <f>IFERROR(__xludf.DUMMYFUNCTION("""COMPUTED_VALUE"""),"Poster Session 1")</f>
        <v>Poster Session 1</v>
      </c>
      <c r="K1983" s="7"/>
      <c r="L1983" s="8">
        <f>IFERROR(__xludf.DUMMYFUNCTION("""COMPUTED_VALUE"""),45866.0)</f>
        <v>45866</v>
      </c>
      <c r="M1983" s="7" t="str">
        <f>IFERROR(__xludf.DUMMYFUNCTION("""COMPUTED_VALUE"""),"11:00-12:30")</f>
        <v>11:00-12:30</v>
      </c>
      <c r="N1983" s="7"/>
    </row>
    <row r="1984">
      <c r="A1984" s="7" t="str">
        <f>IFERROR(__xludf.DUMMYFUNCTION("""COMPUTED_VALUE"""),"845-MAIN")</f>
        <v>845-MAIN</v>
      </c>
      <c r="B1984" s="7" t="str">
        <f>IFERROR(__xludf.DUMMYFUNCTION("""COMPUTED_VALUE"""),"Enough Coin Flips Can Make LLMs Act Bayesian")</f>
        <v>Enough Coin Flips Can Make LLMs Act Bayesian</v>
      </c>
      <c r="C1984" s="7" t="str">
        <f>IFERROR(__xludf.DUMMYFUNCTION("""COMPUTED_VALUE"""),"Large language models (LLMs) exhibit the ability to generalize given few-shot examples in their input prompt, an emergent capability known as in-context learning (ICL). We investigate whether LLMs use ICL to perform structured reasoning in ways that are c"&amp;"onsistent with a Bayesian framework or rely on pattern matching. Using a controlled setting of biased coin flips, we find that: (1) LLMs often possess biased priors, causing initial divergence in zero-shot settings, (2) in-context evidence outweighs expli"&amp;"cit bias instructions, (3) LLMs broadly follow Bayesian posterior updates, with deviations primarily due to miscalibrated priors rather than flawed updates, and (4) attention magnitude has negligible effect on Bayesian inference. With sufficient demonstra"&amp;"tions of biased coin flips via ICL, LLMs update their priors in a Bayesian manner. Code and visualizations are available on the [project page](https://ai-climate.berkeley.edu/llm-coin-flips/).")</f>
        <v>Large language models (LLMs) exhibit the ability to generalize given few-shot examples in their input prompt, an emergent capability known as in-context learning (ICL). We investigate whether LLMs use ICL to perform structured reasoning in ways that are consistent with a Bayesian framework or rely on pattern matching. Using a controlled setting of biased coin flips, we find that: (1) LLMs often possess biased priors, causing initial divergence in zero-shot settings, (2) in-context evidence outweighs explicit bias instructions, (3) LLMs broadly follow Bayesian posterior updates, with deviations primarily due to miscalibrated priors rather than flawed updates, and (4) attention magnitude has negligible effect on Bayesian inference. With sufficient demonstrations of biased coin flips via ICL, LLMs update their priors in a Bayesian manner. Code and visualizations are available on the [project page](https://ai-climate.berkeley.edu/llm-coin-flips/).</v>
      </c>
      <c r="D1984" s="7" t="str">
        <f>IFERROR(__xludf.DUMMYFUNCTION("""COMPUTED_VALUE"""),"Ritwik Gupta")</f>
        <v>Ritwik Gupta</v>
      </c>
      <c r="E1984" s="7" t="str">
        <f>IFERROR(__xludf.DUMMYFUNCTION("""COMPUTED_VALUE"""),"Yes")</f>
        <v>Yes</v>
      </c>
      <c r="F1984" s="7" t="str">
        <f>IFERROR(__xludf.DUMMYFUNCTION("""COMPUTED_VALUE"""),"IP-Poster")</f>
        <v>IP-Poster</v>
      </c>
      <c r="G1984" s="7" t="str">
        <f>IFERROR(__xludf.DUMMYFUNCTION("""COMPUTED_VALUE"""),"In-Person")</f>
        <v>In-Person</v>
      </c>
      <c r="H1984" s="7" t="str">
        <f>IFERROR(__xludf.DUMMYFUNCTION("""COMPUTED_VALUE"""),"Hall 4/5")</f>
        <v>Hall 4/5</v>
      </c>
      <c r="I1984" s="7" t="str">
        <f>IFERROR(__xludf.DUMMYFUNCTION("""COMPUTED_VALUE"""),"Session 12: IP-Posters")</f>
        <v>Session 12: IP-Posters</v>
      </c>
      <c r="J1984" s="7" t="str">
        <f>IFERROR(__xludf.DUMMYFUNCTION("""COMPUTED_VALUE"""),"Poster Session 4")</f>
        <v>Poster Session 4</v>
      </c>
      <c r="K1984" s="7"/>
      <c r="L1984" s="8">
        <f>IFERROR(__xludf.DUMMYFUNCTION("""COMPUTED_VALUE"""),45868.0)</f>
        <v>45868</v>
      </c>
      <c r="M1984" s="7" t="str">
        <f>IFERROR(__xludf.DUMMYFUNCTION("""COMPUTED_VALUE"""),"11:00-12:30")</f>
        <v>11:00-12:30</v>
      </c>
      <c r="N1984" s="7"/>
    </row>
    <row r="1985">
      <c r="A1985" s="7" t="str">
        <f>IFERROR(__xludf.DUMMYFUNCTION("""COMPUTED_VALUE"""),"847-MAIN")</f>
        <v>847-MAIN</v>
      </c>
      <c r="B1985" s="7" t="str">
        <f>IFERROR(__xludf.DUMMYFUNCTION("""COMPUTED_VALUE"""),"Beyond Outcomes: Transparent Assessment of LLM Reasoning in Games")</f>
        <v>Beyond Outcomes: Transparent Assessment of LLM Reasoning in Games</v>
      </c>
      <c r="C1985" s="7" t="str">
        <f>IFERROR(__xludf.DUMMYFUNCTION("""COMPUTED_VALUE"""),"Large Language Models (LLMs) are increasingly deployed in real-world applications that demand complex reasoning. To track progress, robust benchmarks are required to evaluate their capabilities beyond superficial pattern recognition. However, current LLM "&amp;"reasoning benchmarks often face challenges such as insufficient interpretability, performance saturation or data contamination. To address these challenges, we introduce GAMEBoT, a gaming arena designed for rigorous and transparent assessment of LLM reaso"&amp;"ning capabilities. GAMEBoT decompose complex reasoning in games into predefined modular subproblems. This decomposition allows us to design a suite of Chain-of-Thought (CoT) prompts infused with domain knowledge to guide LLMs in addressing these subproble"&amp;"ms before action selection. Furthermore, we develop a suite of rule-based algorithms to generate ground truth for these subproblems, enabling rigorous validation of the LLMs’ intermediate reasoning steps. This approach facilitates evaluation of both the q"&amp;"uality of final actions and the accuracy of the underlying reasoning process. GAMEBoT also naturally alleviates the risk of data contamination through dynamic games and head-to-head LLM competitions. We benchmark 17 prominent LLMs across eight games, enco"&amp;"mpassing various strategic abilities and game characteristics. Our results suggest that GAMEBoT presents a significant challenge, even when LLMs are provided with detailed CoT prompts.")</f>
        <v>Large Language Models (LLMs) are increasingly deployed in real-world applications that demand complex reasoning. To track progress, robust benchmarks are required to evaluate their capabilities beyond superficial pattern recognition. However, current LLM reasoning benchmarks often face challenges such as insufficient interpretability, performance saturation or data contamination. To address these challenges, we introduce GAMEBoT, a gaming arena designed for rigorous and transparent assessment of LLM reasoning capabilities. GAMEBoT decompose complex reasoning in games into predefined modular subproblems. This decomposition allows us to design a suite of Chain-of-Thought (CoT) prompts infused with domain knowledge to guide LLMs in addressing these subproblems before action selection. Furthermore, we develop a suite of rule-based algorithms to generate ground truth for these subproblems, enabling rigorous validation of the LLMs’ intermediate reasoning steps. This approach facilitates evaluation of both the quality of final actions and the accuracy of the underlying reasoning process. GAMEBoT also naturally alleviates the risk of data contamination through dynamic games and head-to-head LLM competitions. We benchmark 17 prominent LLMs across eight games, encompassing various strategic abilities and game characteristics. Our results suggest that GAMEBoT presents a significant challenge, even when LLMs are provided with detailed CoT prompts.</v>
      </c>
      <c r="D1985" s="7" t="str">
        <f>IFERROR(__xludf.DUMMYFUNCTION("""COMPUTED_VALUE"""),"Wenye Lin")</f>
        <v>Wenye Lin</v>
      </c>
      <c r="E1985" s="7" t="str">
        <f>IFERROR(__xludf.DUMMYFUNCTION("""COMPUTED_VALUE"""),"Yes")</f>
        <v>Yes</v>
      </c>
      <c r="F1985" s="7" t="str">
        <f>IFERROR(__xludf.DUMMYFUNCTION("""COMPUTED_VALUE"""),"IP-Poster")</f>
        <v>IP-Poster</v>
      </c>
      <c r="G1985" s="7" t="str">
        <f>IFERROR(__xludf.DUMMYFUNCTION("""COMPUTED_VALUE"""),"In-Person")</f>
        <v>In-Person</v>
      </c>
      <c r="H1985" s="7" t="str">
        <f>IFERROR(__xludf.DUMMYFUNCTION("""COMPUTED_VALUE"""),"Hall 4/5")</f>
        <v>Hall 4/5</v>
      </c>
      <c r="I1985" s="7" t="str">
        <f>IFERROR(__xludf.DUMMYFUNCTION("""COMPUTED_VALUE"""),"Session 7: IP-Posters")</f>
        <v>Session 7: IP-Posters</v>
      </c>
      <c r="J1985" s="7" t="str">
        <f>IFERROR(__xludf.DUMMYFUNCTION("""COMPUTED_VALUE"""),"Poster Session 2")</f>
        <v>Poster Session 2</v>
      </c>
      <c r="K1985" s="7"/>
      <c r="L1985" s="8">
        <f>IFERROR(__xludf.DUMMYFUNCTION("""COMPUTED_VALUE"""),45867.0)</f>
        <v>45867</v>
      </c>
      <c r="M1985" s="7" t="str">
        <f>IFERROR(__xludf.DUMMYFUNCTION("""COMPUTED_VALUE"""),"10:30-12:00")</f>
        <v>10:30-12:00</v>
      </c>
      <c r="N1985" s="7"/>
    </row>
    <row r="1986">
      <c r="A1986" s="7" t="str">
        <f>IFERROR(__xludf.DUMMYFUNCTION("""COMPUTED_VALUE"""),"849-MAIN")</f>
        <v>849-MAIN</v>
      </c>
      <c r="B1986" s="7" t="str">
        <f>IFERROR(__xludf.DUMMYFUNCTION("""COMPUTED_VALUE"""),"A Text is Worth Several Tokens: Text Embedding from LLMs Secretly Aligns Well with The Key Tokens")</f>
        <v>A Text is Worth Several Tokens: Text Embedding from LLMs Secretly Aligns Well with The Key Tokens</v>
      </c>
      <c r="C1986" s="7" t="str">
        <f>IFERROR(__xludf.DUMMYFUNCTION("""COMPUTED_VALUE"""),"Text embeddings from large language models (LLMs) have achieved excellent results in tasks such as information retrieval, semantic textual similarity, etc. In this work, we show an interesting finding: when feeding a text into the LLM-based embedder, the "&amp;"obtained text embedding will be able to be aligned with the key tokens in the input text. We first fully analyze this phenomenon on eight LLM-based embedders and show that this phenomenon is universal and is not affected by model architecture, training st"&amp;"rategy, and embedding method. With a deeper analysis, we find that the main change in embedding space between these embedders and their LLM backbones is in the first principal component. By adjusting the first principal component, we can align text embedd"&amp;"ing with the key tokens. Finally, we give several examples to demonstrate the vast application potential of this finding: (1) we propose a simple and practical sparse retrieval method based on the aligned tokens, which can achieve 80% of the dense retriev"&amp;"al effect of the same model while reducing the computation significantly; (2) we show that our findings provide a novel perspective to help understand novel technologies (e.g., instruction-following embedding) and fuzzy concepts (e.g., semantic relatednes"&amp;"s vs. similarity) in this field.")</f>
        <v>Text embeddings from large language models (LLMs) have achieved excellent results in tasks such as information retrieval, semantic textual similarity, etc. In this work, we show an interesting finding: when feeding a text into the LLM-based embedder, the obtained text embedding will be able to be aligned with the key tokens in the input text. We first fully analyze this phenomenon on eight LLM-based embedders and show that this phenomenon is universal and is not affected by model architecture, training strategy, and embedding method. With a deeper analysis, we find that the main change in embedding space between these embedders and their LLM backbones is in the first principal component. By adjusting the first principal component, we can align text embedding with the key tokens. Finally, we give several examples to demonstrate the vast application potential of this finding: (1) we propose a simple and practical sparse retrieval method based on the aligned tokens, which can achieve 80% of the dense retrieval effect of the same model while reducing the computation significantly; (2) we show that our findings provide a novel perspective to help understand novel technologies (e.g., instruction-following embedding) and fuzzy concepts (e.g., semantic relatedness vs. similarity) in this field.</v>
      </c>
      <c r="D1986" s="7" t="str">
        <f>IFERROR(__xludf.DUMMYFUNCTION("""COMPUTED_VALUE"""),"Zhijie Nie")</f>
        <v>Zhijie Nie</v>
      </c>
      <c r="E1986" s="7" t="str">
        <f>IFERROR(__xludf.DUMMYFUNCTION("""COMPUTED_VALUE"""),"Yes")</f>
        <v>Yes</v>
      </c>
      <c r="F1986" s="7" t="str">
        <f>IFERROR(__xludf.DUMMYFUNCTION("""COMPUTED_VALUE"""),"IP-Oral")</f>
        <v>IP-Oral</v>
      </c>
      <c r="G1986" s="7" t="str">
        <f>IFERROR(__xludf.DUMMYFUNCTION("""COMPUTED_VALUE"""),"In-Person")</f>
        <v>In-Person</v>
      </c>
      <c r="H1986" s="7" t="str">
        <f>IFERROR(__xludf.DUMMYFUNCTION("""COMPUTED_VALUE"""),"Room 1.86")</f>
        <v>Room 1.86</v>
      </c>
      <c r="I1986" s="7" t="str">
        <f>IFERROR(__xludf.DUMMYFUNCTION("""COMPUTED_VALUE"""),"Session 3: IP-Orals")</f>
        <v>Session 3: IP-Orals</v>
      </c>
      <c r="J1986" s="7" t="str">
        <f>IFERROR(__xludf.DUMMYFUNCTION("""COMPUTED_VALUE"""),"Semantics")</f>
        <v>Semantics</v>
      </c>
      <c r="K1986" s="7"/>
      <c r="L1986" s="8">
        <f>IFERROR(__xludf.DUMMYFUNCTION("""COMPUTED_VALUE"""),45866.0)</f>
        <v>45866</v>
      </c>
      <c r="M1986" s="7" t="str">
        <f>IFERROR(__xludf.DUMMYFUNCTION("""COMPUTED_VALUE"""),"14:00-15:30")</f>
        <v>14:00-15:30</v>
      </c>
      <c r="N1986" s="7">
        <f>IFERROR(__xludf.DUMMYFUNCTION("""COMPUTED_VALUE"""),2.0)</f>
        <v>2</v>
      </c>
    </row>
    <row r="1987">
      <c r="A1987" s="7" t="str">
        <f>IFERROR(__xludf.DUMMYFUNCTION("""COMPUTED_VALUE"""),"850-MAIN")</f>
        <v>850-MAIN</v>
      </c>
      <c r="B1987" s="7" t="str">
        <f>IFERROR(__xludf.DUMMYFUNCTION("""COMPUTED_VALUE"""),"Commonsense Reasoning in Arab Culture")</f>
        <v>Commonsense Reasoning in Arab Culture</v>
      </c>
      <c r="C1987" s="7" t="str">
        <f>IFERROR(__xludf.DUMMYFUNCTION("""COMPUTED_VALUE"""),"Despite progress in Arabic large language models, such as Jais and AceGPT, their evaluation on commonsense reasoning has largely relied on machine-translated datasets, which lack cultural depth and may introduce Anglocentric biases. Commonsense reasoning "&amp;"is shaped by geographical and cultural contexts, and existing English datasets fail to capture the diversity of the Arab world. To address this, we introduce \datasetname, a commonsense reasoning dataset in Modern Standard Arabic (MSA), covering cultures "&amp;"of 13 countries across the Gulf, Levant, North Africa, and the Nile Valley. The dataset was built from scratch by engaging native speakers to write and validate culturally relevant questions for their respective countries. \datasetname spans 12 daily life"&amp;" domains with 54 fine-grained subtopics, reflecting various aspects of social norms, traditions, and everyday experiences. Zero-shot evaluations show that open-weight language models with up to 32B parameters struggle to comprehend diverse Arab cultures, "&amp;"with performance varying across regions. These findings highlight the need for more culturally aware models and datasets tailored to the Arabic-speaking world.")</f>
        <v>Despite progress in Arabic large language models, such as Jais and AceGPT, their evaluation on commonsense reasoning has largely relied on machine-translated datasets, which lack cultural depth and may introduce Anglocentric biases. Commonsense reasoning is shaped by geographical and cultural contexts, and existing English datasets fail to capture the diversity of the Arab world. To address this, we introduce \datasetname, a commonsense reasoning dataset in Modern Standard Arabic (MSA), covering cultures of 13 countries across the Gulf, Levant, North Africa, and the Nile Valley. The dataset was built from scratch by engaging native speakers to write and validate culturally relevant questions for their respective countries. \datasetname spans 12 daily life domains with 54 fine-grained subtopics, reflecting various aspects of social norms, traditions, and everyday experiences. Zero-shot evaluations show that open-weight language models with up to 32B parameters struggle to comprehend diverse Arab cultures, with performance varying across regions. These findings highlight the need for more culturally aware models and datasets tailored to the Arabic-speaking world.</v>
      </c>
      <c r="D1987" s="7" t="str">
        <f>IFERROR(__xludf.DUMMYFUNCTION("""COMPUTED_VALUE"""),"Abdelrahman Sadallah")</f>
        <v>Abdelrahman Sadallah</v>
      </c>
      <c r="E1987" s="7" t="str">
        <f>IFERROR(__xludf.DUMMYFUNCTION("""COMPUTED_VALUE"""),"Yes")</f>
        <v>Yes</v>
      </c>
      <c r="F1987" s="7" t="str">
        <f>IFERROR(__xludf.DUMMYFUNCTION("""COMPUTED_VALUE"""),"IP-Poster")</f>
        <v>IP-Poster</v>
      </c>
      <c r="G1987" s="7" t="str">
        <f>IFERROR(__xludf.DUMMYFUNCTION("""COMPUTED_VALUE"""),"In-Person")</f>
        <v>In-Person</v>
      </c>
      <c r="H1987" s="7" t="str">
        <f>IFERROR(__xludf.DUMMYFUNCTION("""COMPUTED_VALUE"""),"Hall 4/5")</f>
        <v>Hall 4/5</v>
      </c>
      <c r="I1987" s="7" t="str">
        <f>IFERROR(__xludf.DUMMYFUNCTION("""COMPUTED_VALUE"""),"Session 7: IP-Posters")</f>
        <v>Session 7: IP-Posters</v>
      </c>
      <c r="J1987" s="7" t="str">
        <f>IFERROR(__xludf.DUMMYFUNCTION("""COMPUTED_VALUE"""),"Poster Session 2")</f>
        <v>Poster Session 2</v>
      </c>
      <c r="K1987" s="7"/>
      <c r="L1987" s="8">
        <f>IFERROR(__xludf.DUMMYFUNCTION("""COMPUTED_VALUE"""),45867.0)</f>
        <v>45867</v>
      </c>
      <c r="M1987" s="7" t="str">
        <f>IFERROR(__xludf.DUMMYFUNCTION("""COMPUTED_VALUE"""),"10:30-12:00")</f>
        <v>10:30-12:00</v>
      </c>
      <c r="N1987" s="7"/>
    </row>
    <row r="1988">
      <c r="A1988" s="7" t="str">
        <f>IFERROR(__xludf.DUMMYFUNCTION("""COMPUTED_VALUE"""),"853-MAIN")</f>
        <v>853-MAIN</v>
      </c>
      <c r="B1988" s="7" t="str">
        <f>IFERROR(__xludf.DUMMYFUNCTION("""COMPUTED_VALUE"""),"AXIS: Efficient Human-Agent-Computer Interaction with API-First LLM-Based Agents")</f>
        <v>AXIS: Efficient Human-Agent-Computer Interaction with API-First LLM-Based Agents</v>
      </c>
      <c r="C1988" s="7" t="str">
        <f>IFERROR(__xludf.DUMMYFUNCTION("""COMPUTED_VALUE"""),"Multimodal large language models (MLLMs) have enabled LLM-based agents to directly interact with application user interfaces (UIs), enhancing agents' performance in complex tasks. However, these agents often suffer from high latency and low reliability du"&amp;"e to the extensive sequential UI interactions. To address this issue, we propose AXIS, a novel LLM-based agents framework that prioritize actions through application programming interfaces (APIs) over UI actions. This framework also facilitates the creati"&amp;"on and expansion of APIs through automated exploration of applications. Our experiments on Microsoft Word demonstrate that AXIS reduces task completion time by 65%-70% and cognitive workload by 38%-53%, while maintaining accuracy of 97%-98% compared to hu"&amp;"mans. Our work contributes to a new human-agent-computer interaction (HACI) framework and explores a fresh UI design principle for application providers to turn applications into agents in the era of LLMs, paving the way towards an agent-centric operating"&amp;" system (Agent OS). The code and dataset will be available at https://aka.ms/haci_axis.")</f>
        <v>Multimodal large language models (MLLMs) have enabled LLM-based agents to directly interact with application user interfaces (UIs), enhancing agents' performance in complex tasks. However, these agents often suffer from high latency and low reliability due to the extensive sequential UI interactions. To address this issue, we propose AXIS, a novel LLM-based agents framework that prioritize actions through application programming interfaces (APIs) over UI actions. This framework also facilitates the creation and expansion of APIs through automated exploration of applications. Our experiments on Microsoft Word demonstrate that AXIS reduces task completion time by 65%-70% and cognitive workload by 38%-53%, while maintaining accuracy of 97%-98% compared to humans. Our work contributes to a new human-agent-computer interaction (HACI) framework and explores a fresh UI design principle for application providers to turn applications into agents in the era of LLMs, paving the way towards an agent-centric operating system (Agent OS). The code and dataset will be available at https://aka.ms/haci_axis.</v>
      </c>
      <c r="D1988" s="7" t="str">
        <f>IFERROR(__xludf.DUMMYFUNCTION("""COMPUTED_VALUE"""),"Junting Lu")</f>
        <v>Junting Lu</v>
      </c>
      <c r="E1988" s="7" t="str">
        <f>IFERROR(__xludf.DUMMYFUNCTION("""COMPUTED_VALUE"""),"Yes")</f>
        <v>Yes</v>
      </c>
      <c r="F1988" s="7" t="str">
        <f>IFERROR(__xludf.DUMMYFUNCTION("""COMPUTED_VALUE"""),"V-Presentation")</f>
        <v>V-Presentation</v>
      </c>
      <c r="G1988" s="7" t="str">
        <f>IFERROR(__xludf.DUMMYFUNCTION("""COMPUTED_VALUE"""),"Virtual/Gather")</f>
        <v>Virtual/Gather</v>
      </c>
      <c r="H1988" s="7" t="str">
        <f>IFERROR(__xludf.DUMMYFUNCTION("""COMPUTED_VALUE"""),"Zoom")</f>
        <v>Zoom</v>
      </c>
      <c r="I1988" s="7" t="str">
        <f>IFERROR(__xludf.DUMMYFUNCTION("""COMPUTED_VALUE"""),"Session 2: V-Presentations")</f>
        <v>Session 2: V-Presentations</v>
      </c>
      <c r="J1988" s="7" t="str">
        <f>IFERROR(__xludf.DUMMYFUNCTION("""COMPUTED_VALUE"""),"Virtual Presentations 1")</f>
        <v>Virtual Presentations 1</v>
      </c>
      <c r="K1988" s="7"/>
      <c r="L1988" s="8">
        <f>IFERROR(__xludf.DUMMYFUNCTION("""COMPUTED_VALUE"""),45866.0)</f>
        <v>45866</v>
      </c>
      <c r="M1988" s="7" t="str">
        <f>IFERROR(__xludf.DUMMYFUNCTION("""COMPUTED_VALUE"""),"11:00-12:30")</f>
        <v>11:00-12:30</v>
      </c>
      <c r="N1988" s="7"/>
    </row>
    <row r="1989">
      <c r="A1989" s="7" t="str">
        <f>IFERROR(__xludf.DUMMYFUNCTION("""COMPUTED_VALUE"""),"855-MAIN")</f>
        <v>855-MAIN</v>
      </c>
      <c r="B1989" s="7" t="str">
        <f>IFERROR(__xludf.DUMMYFUNCTION("""COMPUTED_VALUE"""),"Translation and Fusion Improves Cross-lingual Information Extraction")</f>
        <v>Translation and Fusion Improves Cross-lingual Information Extraction</v>
      </c>
      <c r="C1989" s="7" t="str">
        <f>IFERROR(__xludf.DUMMYFUNCTION("""COMPUTED_VALUE"""),"Large language models (LLMs) combined with instruction tuning have shown significant progress in information extraction (IE) tasks, exhibiting strong generalization capabilities to unseen datasets by following annotation guidelines. However, their applica"&amp;"bility to low-resource languages remains limited due to lack of both labeled data for fine-tuning, and unlabeled text for pre-training. In this paper, we propose TransFusion, a framework in which models are fine-tuned to use English translations of low-re"&amp;"source language data, enabling more precise predictions through annotation fusion. Based on TransFusion, we introduce GoLLIE-TF, a cross-lingual instruction-tuned LLM for IE tasks, designed to close the performance gap between high and low-resource langua"&amp;"ges. Our experiments across twelve multilingual IE datasets spanning 50 languages demonstrate that GoLLIE-TF achieves better cross-lingual transfer over the base model. In addition, we show that TransFusion significantly improves low-resource language nam"&amp;"ed entity recognition when applied to proprietary models such as GPT-4 (+5 F1) with a prompting approach, or fine-tuning different language models including decoder-only (+14 F1) and encoder-only (+13 F1) architectures.")</f>
        <v>Large language models (LLMs) combined with instruction tuning have shown significant progress in information extraction (IE) tasks, exhibiting strong generalization capabilities to unseen datasets by following annotation guidelines. However, their applicability to low-resource languages remains limited due to lack of both labeled data for fine-tuning, and unlabeled text for pre-training. In this paper, we propose TransFusion, a framework in which models are fine-tuned to use English translations of low-resource language data, enabling more precise predictions through annotation fusion. Based on TransFusion, we introduce GoLLIE-TF, a cross-lingual instruction-tuned LLM for IE tasks, designed to close the performance gap between high and low-resource languages. Our experiments across twelve multilingual IE datasets spanning 50 languages demonstrate that GoLLIE-TF achieves better cross-lingual transfer over the base model. In addition, we show that TransFusion significantly improves low-resource language named entity recognition when applied to proprietary models such as GPT-4 (+5 F1) with a prompting approach, or fine-tuning different language models including decoder-only (+14 F1) and encoder-only (+13 F1) architectures.</v>
      </c>
      <c r="D1989" s="7" t="str">
        <f>IFERROR(__xludf.DUMMYFUNCTION("""COMPUTED_VALUE"""),"Yang Chen")</f>
        <v>Yang Chen</v>
      </c>
      <c r="E1989" s="7" t="str">
        <f>IFERROR(__xludf.DUMMYFUNCTION("""COMPUTED_VALUE"""),"Yes")</f>
        <v>Yes</v>
      </c>
      <c r="F1989" s="7" t="str">
        <f>IFERROR(__xludf.DUMMYFUNCTION("""COMPUTED_VALUE"""),"V-Presentation")</f>
        <v>V-Presentation</v>
      </c>
      <c r="G1989" s="7" t="str">
        <f>IFERROR(__xludf.DUMMYFUNCTION("""COMPUTED_VALUE"""),"Virtual/Gather")</f>
        <v>Virtual/Gather</v>
      </c>
      <c r="H1989" s="7" t="str">
        <f>IFERROR(__xludf.DUMMYFUNCTION("""COMPUTED_VALUE"""),"Zoom")</f>
        <v>Zoom</v>
      </c>
      <c r="I1989" s="7" t="str">
        <f>IFERROR(__xludf.DUMMYFUNCTION("""COMPUTED_VALUE"""),"Session 10: V-Presenations")</f>
        <v>Session 10: V-Presenations</v>
      </c>
      <c r="J1989" s="7" t="str">
        <f>IFERROR(__xludf.DUMMYFUNCTION("""COMPUTED_VALUE"""),"Virtual Presentations 3")</f>
        <v>Virtual Presentations 3</v>
      </c>
      <c r="K1989" s="7"/>
      <c r="L1989" s="8">
        <f>IFERROR(__xludf.DUMMYFUNCTION("""COMPUTED_VALUE"""),45867.0)</f>
        <v>45867</v>
      </c>
      <c r="M1989" s="7" t="str">
        <f>IFERROR(__xludf.DUMMYFUNCTION("""COMPUTED_VALUE"""),"16:00-17:30")</f>
        <v>16:00-17:30</v>
      </c>
      <c r="N1989" s="7"/>
    </row>
    <row r="1990">
      <c r="A1990" s="7" t="str">
        <f>IFERROR(__xludf.DUMMYFUNCTION("""COMPUTED_VALUE"""),"856-MAIN")</f>
        <v>856-MAIN</v>
      </c>
      <c r="B1990" s="7" t="str">
        <f>IFERROR(__xludf.DUMMYFUNCTION("""COMPUTED_VALUE"""),"Conditional Dichotomy Quantification via Geometric Embedding")</f>
        <v>Conditional Dichotomy Quantification via Geometric Embedding</v>
      </c>
      <c r="C1990" s="7" t="str">
        <f>IFERROR(__xludf.DUMMYFUNCTION("""COMPUTED_VALUE"""),"Conditional dichotomy, the contrast between two outputs conditioned on the same context, is vital for applications such as debate, defeasible inference, and causal reasoning. Existing methods that rely on semantic similarity often fail to capture the nuan"&amp;"ced oppositional dynamics essential for these applications. Motivated by these limitations, we introduce a novel task, Conditional Dichotomy Quantification (ConDQ), which formalizes the direct measurement of conditional dichotomy and provides carefully co"&amp;"nstructed datasets covering debate, defeasible natural language inference, and causal reasoning scenarios. To address this task, we develop the Dichotomy-oriented Geometric Embedding (DoGE) framework, which leverages complex-valued embeddings and a dichot"&amp;"omous objective to model and quantify these oppositional relationships effectively. Extensive experiments validate the effectiveness and versatility of DoGE, demonstrating its potential in understanding and quantifying conditional dichotomy across diverse"&amp;" NLP applications. Our code and datasets are available at https://github.com/cui-shaobo/conditional-dichotomy-quantification.")</f>
        <v>Conditional dichotomy, the contrast between two outputs conditioned on the same context, is vital for applications such as debate, defeasible inference, and causal reasoning. Existing methods that rely on semantic similarity often fail to capture the nuanced oppositional dynamics essential for these applications. Motivated by these limitations, we introduce a novel task, Conditional Dichotomy Quantification (ConDQ), which formalizes the direct measurement of conditional dichotomy and provides carefully constructed datasets covering debate, defeasible natural language inference, and causal reasoning scenarios. To address this task, we develop the Dichotomy-oriented Geometric Embedding (DoGE) framework, which leverages complex-valued embeddings and a dichotomous objective to model and quantify these oppositional relationships effectively. Extensive experiments validate the effectiveness and versatility of DoGE, demonstrating its potential in understanding and quantifying conditional dichotomy across diverse NLP applications. Our code and datasets are available at https://github.com/cui-shaobo/conditional-dichotomy-quantification.</v>
      </c>
      <c r="D1990" s="7" t="str">
        <f>IFERROR(__xludf.DUMMYFUNCTION("""COMPUTED_VALUE"""),"Shaobo Cui")</f>
        <v>Shaobo Cui</v>
      </c>
      <c r="E1990" s="7" t="str">
        <f>IFERROR(__xludf.DUMMYFUNCTION("""COMPUTED_VALUE"""),"Yes")</f>
        <v>Yes</v>
      </c>
      <c r="F1990" s="7" t="str">
        <f>IFERROR(__xludf.DUMMYFUNCTION("""COMPUTED_VALUE"""),"IP-Oral")</f>
        <v>IP-Oral</v>
      </c>
      <c r="G1990" s="7" t="str">
        <f>IFERROR(__xludf.DUMMYFUNCTION("""COMPUTED_VALUE"""),"In-Person")</f>
        <v>In-Person</v>
      </c>
      <c r="H1990" s="7" t="str">
        <f>IFERROR(__xludf.DUMMYFUNCTION("""COMPUTED_VALUE"""),"Room 1.86")</f>
        <v>Room 1.86</v>
      </c>
      <c r="I1990" s="7" t="str">
        <f>IFERROR(__xludf.DUMMYFUNCTION("""COMPUTED_VALUE"""),"Session 3: IP-Orals")</f>
        <v>Session 3: IP-Orals</v>
      </c>
      <c r="J1990" s="7" t="str">
        <f>IFERROR(__xludf.DUMMYFUNCTION("""COMPUTED_VALUE"""),"Semantics")</f>
        <v>Semantics</v>
      </c>
      <c r="K1990" s="7"/>
      <c r="L1990" s="8">
        <f>IFERROR(__xludf.DUMMYFUNCTION("""COMPUTED_VALUE"""),45866.0)</f>
        <v>45866</v>
      </c>
      <c r="M1990" s="7" t="str">
        <f>IFERROR(__xludf.DUMMYFUNCTION("""COMPUTED_VALUE"""),"14:00-15:30")</f>
        <v>14:00-15:30</v>
      </c>
      <c r="N1990" s="7">
        <f>IFERROR(__xludf.DUMMYFUNCTION("""COMPUTED_VALUE"""),3.0)</f>
        <v>3</v>
      </c>
    </row>
    <row r="1991">
      <c r="A1991" s="7" t="str">
        <f>IFERROR(__xludf.DUMMYFUNCTION("""COMPUTED_VALUE"""),"858-MAIN")</f>
        <v>858-MAIN</v>
      </c>
      <c r="B1991" s="7" t="str">
        <f>IFERROR(__xludf.DUMMYFUNCTION("""COMPUTED_VALUE"""),"Aligning Large Language Models with Implicit Preferences from User-Generated Content")</f>
        <v>Aligning Large Language Models with Implicit Preferences from User-Generated Content</v>
      </c>
      <c r="C1991" s="7" t="str">
        <f>IFERROR(__xludf.DUMMYFUNCTION("""COMPUTED_VALUE"""),"Learning from preference feedback is essential for aligning large language models (LLMs) with human values and improving the quality of generated responses. However, existing preference learning methods rely heavily on curated data from humans or advanced"&amp;" LLMs, which is costly and difficult to scale. In this work, we present PUGC, a novel framework that leverages implicit human Preferences in unlabeled User-Generated Content (UGC) to generate preference data. Although UGC is not explicitly created to guid"&amp;"e LLMs in generating human-preferred responses, it often reflects valuable insights and implicit preferences from its creators that has the potential to address readers' questions. PUGC transforms UGC into user queries and generates responses from the pol"&amp;"icy model. The UGC is then leveraged as a reference text for response scoring, aligning the model with these implicit preferences. This approach improves the quality of preference data while enabling scalable, domain-specific alignment. Experimental resul"&amp;"ts on Alpaca Eval 2 show that models trained with DPO and PUGC achieve a 9.37% performance improvement over traditional methods, setting a 35.93% state-of-the-art length-controlled win rate using Mistral-7B-Instruct. Further studies highlight gains in rew"&amp;"ard quality, domain-specific alignment effectiveness, robustness against UGC quality, and theory of mind capabilities. Our code and dataset are available at https://zhaoxuan.info/PUGC.github.io/.")</f>
        <v>Learning from preference feedback is essential for aligning large language models (LLMs) with human values and improving the quality of generated responses. However, existing preference learning methods rely heavily on curated data from humans or advanced LLMs, which is costly and difficult to scale. In this work, we present PUGC, a novel framework that leverages implicit human Preferences in unlabeled User-Generated Content (UGC) to generate preference data. Although UGC is not explicitly created to guide LLMs in generating human-preferred responses, it often reflects valuable insights and implicit preferences from its creators that has the potential to address readers' questions. PUGC transforms UGC into user queries and generates responses from the policy model. The UGC is then leveraged as a reference text for response scoring, aligning the model with these implicit preferences. This approach improves the quality of preference data while enabling scalable, domain-specific alignment. Experimental results on Alpaca Eval 2 show that models trained with DPO and PUGC achieve a 9.37% performance improvement over traditional methods, setting a 35.93% state-of-the-art length-controlled win rate using Mistral-7B-Instruct. Further studies highlight gains in reward quality, domain-specific alignment effectiveness, robustness against UGC quality, and theory of mind capabilities. Our code and dataset are available at https://zhaoxuan.info/PUGC.github.io/.</v>
      </c>
      <c r="D1991" s="7" t="str">
        <f>IFERROR(__xludf.DUMMYFUNCTION("""COMPUTED_VALUE"""),"Zhaoxuan Tan")</f>
        <v>Zhaoxuan Tan</v>
      </c>
      <c r="E1991" s="7" t="str">
        <f>IFERROR(__xludf.DUMMYFUNCTION("""COMPUTED_VALUE"""),"Yes")</f>
        <v>Yes</v>
      </c>
      <c r="F1991" s="7" t="str">
        <f>IFERROR(__xludf.DUMMYFUNCTION("""COMPUTED_VALUE"""),"IP-Poster")</f>
        <v>IP-Poster</v>
      </c>
      <c r="G1991" s="7" t="str">
        <f>IFERROR(__xludf.DUMMYFUNCTION("""COMPUTED_VALUE"""),"In-Person")</f>
        <v>In-Person</v>
      </c>
      <c r="H1991" s="7" t="str">
        <f>IFERROR(__xludf.DUMMYFUNCTION("""COMPUTED_VALUE"""),"Hall 4/5")</f>
        <v>Hall 4/5</v>
      </c>
      <c r="I1991" s="7" t="str">
        <f>IFERROR(__xludf.DUMMYFUNCTION("""COMPUTED_VALUE"""),"Session 7: IP-Posters")</f>
        <v>Session 7: IP-Posters</v>
      </c>
      <c r="J1991" s="7" t="str">
        <f>IFERROR(__xludf.DUMMYFUNCTION("""COMPUTED_VALUE"""),"Poster Session 2")</f>
        <v>Poster Session 2</v>
      </c>
      <c r="K1991" s="7"/>
      <c r="L1991" s="8">
        <f>IFERROR(__xludf.DUMMYFUNCTION("""COMPUTED_VALUE"""),45867.0)</f>
        <v>45867</v>
      </c>
      <c r="M1991" s="7" t="str">
        <f>IFERROR(__xludf.DUMMYFUNCTION("""COMPUTED_VALUE"""),"10:30-12:00")</f>
        <v>10:30-12:00</v>
      </c>
      <c r="N1991" s="7"/>
    </row>
    <row r="1992">
      <c r="A1992" s="7" t="str">
        <f>IFERROR(__xludf.DUMMYFUNCTION("""COMPUTED_VALUE"""),"859-MAIN")</f>
        <v>859-MAIN</v>
      </c>
      <c r="B1992" s="7" t="str">
        <f>IFERROR(__xludf.DUMMYFUNCTION("""COMPUTED_VALUE"""),"VQAGuider: Guiding Multimodal Large Language Models to Answer Complex Video Questions")</f>
        <v>VQAGuider: Guiding Multimodal Large Language Models to Answer Complex Video Questions</v>
      </c>
      <c r="C1992" s="7" t="str">
        <f>IFERROR(__xludf.DUMMYFUNCTION("""COMPUTED_VALUE"""),"Complex video question-answering (VQA) requires in-depth understanding of video contents including object and action recognition as well as video classification and summarization, which exhibits great potential in emerging applications in education and en"&amp;"tertainment, etc. Multimodal large language models (MLLMs) may accomplish this task by grasping the intention of a question and decomposing it to a series of visual recognition sub-tasks to find out the answer with the help of an agent. To tackle this tas"&amp;"k, we first collect a new dedicated Complex VQA dataset named CVQA and then propose VQAGuider, an innovative framework planning a few atomic visual recognition tools by video-related API matching. VQAGuider facilitates a deep engagement with video content"&amp;" and precise responses to complex video-related questions by MLLMs, which is beyond aligning visual and language features for simple VQA tasks. Our experiments demonstrate VQAGuider is capable of navigating the complex VQA tasks by MLLMs and improves the "&amp;"accuracy by 29.6\% and 17.2\% on CVQA and the existing VQA datasets, respectively, highlighting its potential in advancing MLLMs’s capabilities in video understanding.")</f>
        <v>Complex video question-answering (VQA) requires in-depth understanding of video contents including object and action recognition as well as video classification and summarization, which exhibits great potential in emerging applications in education and entertainment, etc. Multimodal large language models (MLLMs) may accomplish this task by grasping the intention of a question and decomposing it to a series of visual recognition sub-tasks to find out the answer with the help of an agent. To tackle this task, we first collect a new dedicated Complex VQA dataset named CVQA and then propose VQAGuider, an innovative framework planning a few atomic visual recognition tools by video-related API matching. VQAGuider facilitates a deep engagement with video content and precise responses to complex video-related questions by MLLMs, which is beyond aligning visual and language features for simple VQA tasks. Our experiments demonstrate VQAGuider is capable of navigating the complex VQA tasks by MLLMs and improves the accuracy by 29.6\% and 17.2\% on CVQA and the existing VQA datasets, respectively, highlighting its potential in advancing MLLMs’s capabilities in video understanding.</v>
      </c>
      <c r="D1992" s="7" t="str">
        <f>IFERROR(__xludf.DUMMYFUNCTION("""COMPUTED_VALUE"""),"Yuyan Chen")</f>
        <v>Yuyan Chen</v>
      </c>
      <c r="E1992" s="7" t="str">
        <f>IFERROR(__xludf.DUMMYFUNCTION("""COMPUTED_VALUE"""),"Yes")</f>
        <v>Yes</v>
      </c>
      <c r="F1992" s="7" t="str">
        <f>IFERROR(__xludf.DUMMYFUNCTION("""COMPUTED_VALUE"""),"IP-Poster")</f>
        <v>IP-Poster</v>
      </c>
      <c r="G1992" s="7" t="str">
        <f>IFERROR(__xludf.DUMMYFUNCTION("""COMPUTED_VALUE"""),"In-Person")</f>
        <v>In-Person</v>
      </c>
      <c r="H1992" s="7" t="str">
        <f>IFERROR(__xludf.DUMMYFUNCTION("""COMPUTED_VALUE"""),"Hall 4/5")</f>
        <v>Hall 4/5</v>
      </c>
      <c r="I1992" s="7" t="str">
        <f>IFERROR(__xludf.DUMMYFUNCTION("""COMPUTED_VALUE"""),"Session 12: IP-Posters")</f>
        <v>Session 12: IP-Posters</v>
      </c>
      <c r="J1992" s="7" t="str">
        <f>IFERROR(__xludf.DUMMYFUNCTION("""COMPUTED_VALUE"""),"Poster Session 4")</f>
        <v>Poster Session 4</v>
      </c>
      <c r="K1992" s="7"/>
      <c r="L1992" s="8">
        <f>IFERROR(__xludf.DUMMYFUNCTION("""COMPUTED_VALUE"""),45868.0)</f>
        <v>45868</v>
      </c>
      <c r="M1992" s="7" t="str">
        <f>IFERROR(__xludf.DUMMYFUNCTION("""COMPUTED_VALUE"""),"11:00-12:30")</f>
        <v>11:00-12:30</v>
      </c>
      <c r="N1992" s="7"/>
    </row>
    <row r="1993">
      <c r="A1993" s="7" t="str">
        <f>IFERROR(__xludf.DUMMYFUNCTION("""COMPUTED_VALUE"""),"862-MAIN")</f>
        <v>862-MAIN</v>
      </c>
      <c r="B1993" s="7" t="str">
        <f>IFERROR(__xludf.DUMMYFUNCTION("""COMPUTED_VALUE"""),"Large Language Models are Good Relational Learners")</f>
        <v>Large Language Models are Good Relational Learners</v>
      </c>
      <c r="C1993" s="7" t="str">
        <f>IFERROR(__xludf.DUMMYFUNCTION("""COMPUTED_VALUE"""),"Large language models (LLMs) have demonstrated remarkable capabilities across various domains, yet their application to relational deep learning (RDL) remains underexplored. Existing approaches adapt LLMs by traversing relational links between entities in"&amp;" a database and converting the structured data into flat text documents, but this text-based serialization disregards critical relational structures, introduces redundancy, and often exceeds standard LLM context lengths. We introduce Rel-LLM, a novel arch"&amp;"itecture that employs a graph neural network (GNN) based encoder to create structured relational prompts for LLMs within a retrieval-augmented generation (RAG) framework. Unlike traditional text-based serialization approaches, our method preserves the inh"&amp;"erent relational structure of databases while enabling LLMs to effectively process and reason over complex entity relationships. 
Specifically, the GNN encoder extracts a local subgraph around an entity to build feature representations that contain releva"&amp;"nt entity relationships and temporal dependencies. These representations are transformed into structured prompts using a denormalization process, effectively allowing the LLM to reason over relational structures. Through extensive experiments, we demonstr"&amp;"ate that Rel-LLM outperforms existing methods on key RDL tasks, offering a scalable and efficient approach to integrating LLMs with structured data sources. Code is available at~\url{https://github.com/smiles724/Rel-LLM}.")</f>
        <v>Large language models (LLMs) have demonstrated remarkable capabilities across various domains, yet their application to relational deep learning (RDL) remains underexplored. Existing approaches adapt LLMs by traversing relational links between entities in a database and converting the structured data into flat text documents, but this text-based serialization disregards critical relational structures, introduces redundancy, and often exceeds standard LLM context lengths. We introduce Rel-LLM, a novel architecture that employs a graph neural network (GNN) based encoder to create structured relational prompts for LLMs within a retrieval-augmented generation (RAG) framework. Unlike traditional text-based serialization approaches, our method preserves the inherent relational structure of databases while enabling LLMs to effectively process and reason over complex entity relationships. 
Specifically, the GNN encoder extracts a local subgraph around an entity to build feature representations that contain relevant entity relationships and temporal dependencies. These representations are transformed into structured prompts using a denormalization process, effectively allowing the LLM to reason over relational structures. Through extensive experiments, we demonstrate that Rel-LLM outperforms existing methods on key RDL tasks, offering a scalable and efficient approach to integrating LLMs with structured data sources. Code is available at~\url{https://github.com/smiles724/Rel-LLM}.</v>
      </c>
      <c r="D1993" s="7" t="str">
        <f>IFERROR(__xludf.DUMMYFUNCTION("""COMPUTED_VALUE"""),"Fang Wu")</f>
        <v>Fang Wu</v>
      </c>
      <c r="E1993" s="7" t="str">
        <f>IFERROR(__xludf.DUMMYFUNCTION("""COMPUTED_VALUE"""),"Yes")</f>
        <v>Yes</v>
      </c>
      <c r="F1993" s="7" t="str">
        <f>IFERROR(__xludf.DUMMYFUNCTION("""COMPUTED_VALUE"""),"V-Presentation")</f>
        <v>V-Presentation</v>
      </c>
      <c r="G1993" s="7" t="str">
        <f>IFERROR(__xludf.DUMMYFUNCTION("""COMPUTED_VALUE"""),"Virtual/Gather")</f>
        <v>Virtual/Gather</v>
      </c>
      <c r="H1993" s="7" t="str">
        <f>IFERROR(__xludf.DUMMYFUNCTION("""COMPUTED_VALUE"""),"Zoom")</f>
        <v>Zoom</v>
      </c>
      <c r="I1993" s="7" t="str">
        <f>IFERROR(__xludf.DUMMYFUNCTION("""COMPUTED_VALUE"""),"Session 10: V-Presenations")</f>
        <v>Session 10: V-Presenations</v>
      </c>
      <c r="J1993" s="7" t="str">
        <f>IFERROR(__xludf.DUMMYFUNCTION("""COMPUTED_VALUE"""),"Virtual Presentations 3")</f>
        <v>Virtual Presentations 3</v>
      </c>
      <c r="K1993" s="7"/>
      <c r="L1993" s="8">
        <f>IFERROR(__xludf.DUMMYFUNCTION("""COMPUTED_VALUE"""),45867.0)</f>
        <v>45867</v>
      </c>
      <c r="M1993" s="7" t="str">
        <f>IFERROR(__xludf.DUMMYFUNCTION("""COMPUTED_VALUE"""),"16:00-17:30")</f>
        <v>16:00-17:30</v>
      </c>
      <c r="N1993" s="7"/>
    </row>
    <row r="1994">
      <c r="A1994" s="7" t="str">
        <f>IFERROR(__xludf.DUMMYFUNCTION("""COMPUTED_VALUE"""),"864-MAIN")</f>
        <v>864-MAIN</v>
      </c>
      <c r="B1994" s="7" t="str">
        <f>IFERROR(__xludf.DUMMYFUNCTION("""COMPUTED_VALUE"""),"SpaRE: Enhancing Spatial Reasoning in Vision-Language Models with Synthetic Data")</f>
        <v>SpaRE: Enhancing Spatial Reasoning in Vision-Language Models with Synthetic Data</v>
      </c>
      <c r="C1994" s="7" t="str">
        <f>IFERROR(__xludf.DUMMYFUNCTION("""COMPUTED_VALUE"""),"Vision-language models (VLMs) work well in tasks ranging from image captioning to visual question answering (VQA), yet they struggle with spatial reasoning, a key skill for understanding our physical world that humans excel at. We find that spatial relati"&amp;"ons are generally rare in widely used VL datasets, with only a few being well represented, while most form a long tail of underrepresented relations. This gap leaves VLMs ill-equipped to handle diverse spatial relationships. To bridge it, we construct a s"&amp;"ynthetic VQA dataset focused on spatial reasoning generated from hyper-detailed image descriptions in Localized Narratives, DOCCI, and PixMo-Cap. Our dataset consists of 455k samples containing 3.4 million QA pairs. Trained on this dataset, our Spatial-Re"&amp;"asoning Enhanced (SpaRE) VLMs show strong improvements on spatial reasoning benchmarks, achieving up to a 49% performance gain on the What's Up benchmark, while maintaining strong results on general tasks. Our work narrows the gap between human and VLM sp"&amp;"atial reasoning and makes VLMs more capable in real-world tasks such as robotics and navigation. We plan to share our code and dataset in due course.")</f>
        <v>Vision-language models (VLMs) work well in tasks ranging from image captioning to visual question answering (VQA), yet they struggle with spatial reasoning, a key skill for understanding our physical world that humans excel at. We find that spatial relations are generally rare in widely used VL datasets, with only a few being well represented, while most form a long tail of underrepresented relations. This gap leaves VLMs ill-equipped to handle diverse spatial relationships. To bridge it, we construct a synthetic VQA dataset focused on spatial reasoning generated from hyper-detailed image descriptions in Localized Narratives, DOCCI, and PixMo-Cap. Our dataset consists of 455k samples containing 3.4 million QA pairs. Trained on this dataset, our Spatial-Reasoning Enhanced (SpaRE) VLMs show strong improvements on spatial reasoning benchmarks, achieving up to a 49% performance gain on the What's Up benchmark, while maintaining strong results on general tasks. Our work narrows the gap between human and VLM spatial reasoning and makes VLMs more capable in real-world tasks such as robotics and navigation. We plan to share our code and dataset in due course.</v>
      </c>
      <c r="D1994" s="7" t="str">
        <f>IFERROR(__xludf.DUMMYFUNCTION("""COMPUTED_VALUE"""),"Freda Shi")</f>
        <v>Freda Shi</v>
      </c>
      <c r="E1994" s="7" t="str">
        <f>IFERROR(__xludf.DUMMYFUNCTION("""COMPUTED_VALUE"""),"Yes")</f>
        <v>Yes</v>
      </c>
      <c r="F1994" s="7" t="str">
        <f>IFERROR(__xludf.DUMMYFUNCTION("""COMPUTED_VALUE"""),"IP-Oral")</f>
        <v>IP-Oral</v>
      </c>
      <c r="G1994" s="7" t="str">
        <f>IFERROR(__xludf.DUMMYFUNCTION("""COMPUTED_VALUE"""),"In-Person")</f>
        <v>In-Person</v>
      </c>
      <c r="H1994" s="7" t="str">
        <f>IFERROR(__xludf.DUMMYFUNCTION("""COMPUTED_VALUE"""),"Hall M.2")</f>
        <v>Hall M.2</v>
      </c>
      <c r="I1994" s="7" t="str">
        <f>IFERROR(__xludf.DUMMYFUNCTION("""COMPUTED_VALUE"""),"Session 11: IP-Orals ")</f>
        <v>Session 11: IP-Orals </v>
      </c>
      <c r="J1994" s="7" t="str">
        <f>IFERROR(__xludf.DUMMYFUNCTION("""COMPUTED_VALUE"""),"Multimodality and Language Grounding 2")</f>
        <v>Multimodality and Language Grounding 2</v>
      </c>
      <c r="K1994" s="7"/>
      <c r="L1994" s="8">
        <f>IFERROR(__xludf.DUMMYFUNCTION("""COMPUTED_VALUE"""),45868.0)</f>
        <v>45868</v>
      </c>
      <c r="M1994" s="7" t="str">
        <f>IFERROR(__xludf.DUMMYFUNCTION("""COMPUTED_VALUE"""),"09:00-10:30")</f>
        <v>09:00-10:30</v>
      </c>
      <c r="N1994" s="7">
        <f>IFERROR(__xludf.DUMMYFUNCTION("""COMPUTED_VALUE"""),2.0)</f>
        <v>2</v>
      </c>
    </row>
    <row r="1995">
      <c r="A1995" s="7" t="str">
        <f>IFERROR(__xludf.DUMMYFUNCTION("""COMPUTED_VALUE"""),"867-MAIN")</f>
        <v>867-MAIN</v>
      </c>
      <c r="B1995" s="7" t="str">
        <f>IFERROR(__xludf.DUMMYFUNCTION("""COMPUTED_VALUE"""),"Distilling an End-to-End Voice Assistant Without Instruction Training Data")</f>
        <v>Distilling an End-to-End Voice Assistant Without Instruction Training Data</v>
      </c>
      <c r="C1995" s="7" t="str">
        <f>IFERROR(__xludf.DUMMYFUNCTION("""COMPUTED_VALUE"""),"Voice assistants, such as Siri and Google Assistant, typically model audio and text separately, resulting in lost speech information and increased complexity. Recent efforts to address this with end-to-end Speech Large Language Models (speech-in, text-out"&amp;") trained with supervised finetuning (SFT) have led to models ``forgetting"" capabilities from text-only LLMs. Our work proposes an alternative paradigm for training Speech LLMs without instruction data, using the response of a text-only LLM to transcript"&amp;"s as self-supervision. Importantly, this process can be performed without annotated responses. We show that our Distilled Voice Assistant (DiVA) generalizes to Spoken Question Answering, Classification, and Translation. Furthermore, DiVA better matches us"&amp;"er preferences, achieving a 72\% win rate compared with state-of-the-art models like Qwen 2 Audio, despite using $&gt;$100x less training compute.")</f>
        <v>Voice assistants, such as Siri and Google Assistant, typically model audio and text separately, resulting in lost speech information and increased complexity. Recent efforts to address this with end-to-end Speech Large Language Models (speech-in, text-out) trained with supervised finetuning (SFT) have led to models ``forgetting" capabilities from text-only LLMs. Our work proposes an alternative paradigm for training Speech LLMs without instruction data, using the response of a text-only LLM to transcripts as self-supervision. Importantly, this process can be performed without annotated responses. We show that our Distilled Voice Assistant (DiVA) generalizes to Spoken Question Answering, Classification, and Translation. Furthermore, DiVA better matches user preferences, achieving a 72\% win rate compared with state-of-the-art models like Qwen 2 Audio, despite using $&gt;$100x less training compute.</v>
      </c>
      <c r="D1995" s="7" t="str">
        <f>IFERROR(__xludf.DUMMYFUNCTION("""COMPUTED_VALUE"""),"William Held")</f>
        <v>William Held</v>
      </c>
      <c r="E1995" s="7" t="str">
        <f>IFERROR(__xludf.DUMMYFUNCTION("""COMPUTED_VALUE"""),"Yes")</f>
        <v>Yes</v>
      </c>
      <c r="F1995" s="7" t="str">
        <f>IFERROR(__xludf.DUMMYFUNCTION("""COMPUTED_VALUE"""),"IP-Oral")</f>
        <v>IP-Oral</v>
      </c>
      <c r="G1995" s="7" t="str">
        <f>IFERROR(__xludf.DUMMYFUNCTION("""COMPUTED_VALUE"""),"In-Person")</f>
        <v>In-Person</v>
      </c>
      <c r="H1995" s="7" t="str">
        <f>IFERROR(__xludf.DUMMYFUNCTION("""COMPUTED_VALUE"""),"Room 1.61")</f>
        <v>Room 1.61</v>
      </c>
      <c r="I1995" s="7" t="str">
        <f>IFERROR(__xludf.DUMMYFUNCTION("""COMPUTED_VALUE"""),"Session 9: IP-Orals")</f>
        <v>Session 9: IP-Orals</v>
      </c>
      <c r="J1995" s="7" t="str">
        <f>IFERROR(__xludf.DUMMYFUNCTION("""COMPUTED_VALUE"""),"Speech Processing ")</f>
        <v>Speech Processing </v>
      </c>
      <c r="K1995" s="7"/>
      <c r="L1995" s="8">
        <f>IFERROR(__xludf.DUMMYFUNCTION("""COMPUTED_VALUE"""),45867.0)</f>
        <v>45867</v>
      </c>
      <c r="M1995" s="7" t="str">
        <f>IFERROR(__xludf.DUMMYFUNCTION("""COMPUTED_VALUE"""),"14:00-15:30")</f>
        <v>14:00-15:30</v>
      </c>
      <c r="N1995" s="7">
        <f>IFERROR(__xludf.DUMMYFUNCTION("""COMPUTED_VALUE"""),2.0)</f>
        <v>2</v>
      </c>
    </row>
    <row r="1996">
      <c r="A1996" s="7" t="str">
        <f>IFERROR(__xludf.DUMMYFUNCTION("""COMPUTED_VALUE"""),"868-MAIN")</f>
        <v>868-MAIN</v>
      </c>
      <c r="B1996" s="7" t="str">
        <f>IFERROR(__xludf.DUMMYFUNCTION("""COMPUTED_VALUE"""),"CoMet: Metaphor-Driven Covert Communication for Multi-Agent Language Games")</f>
        <v>CoMet: Metaphor-Driven Covert Communication for Multi-Agent Language Games</v>
      </c>
      <c r="C1996" s="7" t="str">
        <f>IFERROR(__xludf.DUMMYFUNCTION("""COMPUTED_VALUE"""),"Metaphors are a crucial way for humans to express complex or subtle ideas by comparing one concept to another, often from a different domain. However, many large language models (LLMs) struggle to interpret and apply metaphors in multi-agent language game"&amp;"s, hindering their ability to engage in covert communication and semantic evasion, which are crucial for strategic communication. To address this challenge, we introduce CoMet, a framework that enables LLM-based agents to engage in metaphor processing. Co"&amp;"Met combines a hypothesis-based metaphor reasoner with a metaphor generator that improves through self-reflection and knowledge integration. This enhances the agents' ability to interpret and apply metaphors, improving the strategic and nuanced quality of"&amp;" their interactions. We evaluate CoMet on two multi-agent language games—Undercover and Adversarial Taboo—which emphasize ""covert communication'' and ""semantic evasion''. Experimental results demonstrate that CoMet significantly enhances the agents' abi"&amp;"lity to communicate strategically using metaphors.")</f>
        <v>Metaphors are a crucial way for humans to express complex or subtle ideas by comparing one concept to another, often from a different domain. However, many large language models (LLMs) struggle to interpret and apply metaphors in multi-agent language games, hindering their ability to engage in covert communication and semantic evasion, which are crucial for strategic communication. To address this challenge, we introduce CoMet, a framework that enables LLM-based agents to engage in metaphor processing. CoMet combines a hypothesis-based metaphor reasoner with a metaphor generator that improves through self-reflection and knowledge integration. This enhances the agents' ability to interpret and apply metaphors, improving the strategic and nuanced quality of their interactions. We evaluate CoMet on two multi-agent language games—Undercover and Adversarial Taboo—which emphasize "covert communication'' and "semantic evasion''. Experimental results demonstrate that CoMet significantly enhances the agents' ability to communicate strategically using metaphors.</v>
      </c>
      <c r="D1996" s="7" t="str">
        <f>IFERROR(__xludf.DUMMYFUNCTION("""COMPUTED_VALUE"""),"Shuhang Xu")</f>
        <v>Shuhang Xu</v>
      </c>
      <c r="E1996" s="7" t="str">
        <f>IFERROR(__xludf.DUMMYFUNCTION("""COMPUTED_VALUE"""),"Yes")</f>
        <v>Yes</v>
      </c>
      <c r="F1996" s="7" t="str">
        <f>IFERROR(__xludf.DUMMYFUNCTION("""COMPUTED_VALUE"""),"IP-Oral")</f>
        <v>IP-Oral</v>
      </c>
      <c r="G1996" s="7" t="str">
        <f>IFERROR(__xludf.DUMMYFUNCTION("""COMPUTED_VALUE"""),"In-Person")</f>
        <v>In-Person</v>
      </c>
      <c r="H1996" s="7" t="str">
        <f>IFERROR(__xludf.DUMMYFUNCTION("""COMPUTED_VALUE"""),"Hall N.1")</f>
        <v>Hall N.1</v>
      </c>
      <c r="I1996" s="7" t="str">
        <f>IFERROR(__xludf.DUMMYFUNCTION("""COMPUTED_VALUE"""),"Session 9: IP-Orals")</f>
        <v>Session 9: IP-Orals</v>
      </c>
      <c r="J1996" s="7" t="str">
        <f>IFERROR(__xludf.DUMMYFUNCTION("""COMPUTED_VALUE"""),"Dialogue and Interactive Systems")</f>
        <v>Dialogue and Interactive Systems</v>
      </c>
      <c r="K1996" s="7"/>
      <c r="L1996" s="8">
        <f>IFERROR(__xludf.DUMMYFUNCTION("""COMPUTED_VALUE"""),45867.0)</f>
        <v>45867</v>
      </c>
      <c r="M1996" s="7" t="str">
        <f>IFERROR(__xludf.DUMMYFUNCTION("""COMPUTED_VALUE"""),"14:00-15:30")</f>
        <v>14:00-15:30</v>
      </c>
      <c r="N1996" s="7">
        <f>IFERROR(__xludf.DUMMYFUNCTION("""COMPUTED_VALUE"""),1.0)</f>
        <v>1</v>
      </c>
    </row>
    <row r="1997">
      <c r="A1997" s="7" t="str">
        <f>IFERROR(__xludf.DUMMYFUNCTION("""COMPUTED_VALUE"""),"872-MAIN")</f>
        <v>872-MAIN</v>
      </c>
      <c r="B1997" s="7" t="str">
        <f>IFERROR(__xludf.DUMMYFUNCTION("""COMPUTED_VALUE"""),"CER: Confidence Enhanced Reasoning in LLMs")</f>
        <v>CER: Confidence Enhanced Reasoning in LLMs</v>
      </c>
      <c r="C1997" s="7" t="str">
        <f>IFERROR(__xludf.DUMMYFUNCTION("""COMPUTED_VALUE"""),"Ensuring the reliability of Large Language Models (LLMs) in complex reasoning tasks remains a formidable challenge, particularly in scenarios that demand precise mathematical calculations and knowledge-intensive open-domain generation. In this work, we in"&amp;"troduce an uncertainty-aware framework designed to enhance the accuracy of LLM responses by systematically incorporating model confidence at critical decision points. We propose an approach that encourages multi-step reasoning in LLMs and quantify the con"&amp;"fidence of intermediate answers such as numerical results in mathematical reasoning and proper nouns in open-domain generation. Then, the overall confidence of each reasoning chain is evaluated based on confidence of these critical intermediate steps. Fin"&amp;"ally, we aggregate the answer of generated response paths in a way that reflects the reliability of each generated content (as opposed to self-consistency in which each generated chain contributes equally to majority voting). We conducted extensive experi"&amp;"ments in five datasets, three mathematical datasets and two open-domain datasets, using four LLMs. The results consistently validate the effectiveness of our novel confidence-aggregation method, leading to an accuracy improvement of up to 7.4\% and 5.8\% "&amp;"over baseline approaches in math and open-domain generation tasks, respectively. Code is publicly available at https://github.com/sharif-ml-lab/CER.")</f>
        <v>Ensuring the reliability of Large Language Models (LLMs) in complex reasoning tasks remains a formidable challenge, particularly in scenarios that demand precise mathematical calculations and knowledge-intensive open-domain generation. In this work, we introduce an uncertainty-aware framework designed to enhance the accuracy of LLM responses by systematically incorporating model confidence at critical decision points. We propose an approach that encourages multi-step reasoning in LLMs and quantify the confidence of intermediate answers such as numerical results in mathematical reasoning and proper nouns in open-domain generation. Then, the overall confidence of each reasoning chain is evaluated based on confidence of these critical intermediate steps. Finally, we aggregate the answer of generated response paths in a way that reflects the reliability of each generated content (as opposed to self-consistency in which each generated chain contributes equally to majority voting). We conducted extensive experiments in five datasets, three mathematical datasets and two open-domain datasets, using four LLMs. The results consistently validate the effectiveness of our novel confidence-aggregation method, leading to an accuracy improvement of up to 7.4\% and 5.8\% over baseline approaches in math and open-domain generation tasks, respectively. Code is publicly available at https://github.com/sharif-ml-lab/CER.</v>
      </c>
      <c r="D1997" s="7" t="str">
        <f>IFERROR(__xludf.DUMMYFUNCTION("""COMPUTED_VALUE"""),"Ali Razghandi")</f>
        <v>Ali Razghandi</v>
      </c>
      <c r="E1997" s="7" t="str">
        <f>IFERROR(__xludf.DUMMYFUNCTION("""COMPUTED_VALUE"""),"Yes")</f>
        <v>Yes</v>
      </c>
      <c r="F1997" s="7" t="str">
        <f>IFERROR(__xludf.DUMMYFUNCTION("""COMPUTED_VALUE"""),"V-Presentation")</f>
        <v>V-Presentation</v>
      </c>
      <c r="G1997" s="7" t="str">
        <f>IFERROR(__xludf.DUMMYFUNCTION("""COMPUTED_VALUE"""),"Virtual/Gather")</f>
        <v>Virtual/Gather</v>
      </c>
      <c r="H1997" s="7" t="str">
        <f>IFERROR(__xludf.DUMMYFUNCTION("""COMPUTED_VALUE"""),"Zoom")</f>
        <v>Zoom</v>
      </c>
      <c r="I1997" s="7" t="str">
        <f>IFERROR(__xludf.DUMMYFUNCTION("""COMPUTED_VALUE"""),"Session 12: V-Presentations")</f>
        <v>Session 12: V-Presentations</v>
      </c>
      <c r="J1997" s="7" t="str">
        <f>IFERROR(__xludf.DUMMYFUNCTION("""COMPUTED_VALUE"""),"Virtual Presentations 4")</f>
        <v>Virtual Presentations 4</v>
      </c>
      <c r="K1997" s="7"/>
      <c r="L1997" s="8">
        <f>IFERROR(__xludf.DUMMYFUNCTION("""COMPUTED_VALUE"""),45868.0)</f>
        <v>45868</v>
      </c>
      <c r="M1997" s="7" t="str">
        <f>IFERROR(__xludf.DUMMYFUNCTION("""COMPUTED_VALUE"""),"11:00-12:30")</f>
        <v>11:00-12:30</v>
      </c>
      <c r="N1997" s="7"/>
    </row>
    <row r="1998">
      <c r="A1998" s="7" t="str">
        <f>IFERROR(__xludf.DUMMYFUNCTION("""COMPUTED_VALUE"""),"882-MAIN")</f>
        <v>882-MAIN</v>
      </c>
      <c r="B1998" s="7" t="str">
        <f>IFERROR(__xludf.DUMMYFUNCTION("""COMPUTED_VALUE"""),"Watermarking Large Language Models: An Unbiased and Low-risk Method")</f>
        <v>Watermarking Large Language Models: An Unbiased and Low-risk Method</v>
      </c>
      <c r="C1998" s="7" t="str">
        <f>IFERROR(__xludf.DUMMYFUNCTION("""COMPUTED_VALUE"""),"Recent advancements in large language models (LLMs) have highlighted the risk of misusing them, raising the need for accurate detection of LLM-generated content. In response, a viable solution is to inject imperceptible identifiers into LLMs, known as wat"&amp;"ermarks. Our research extends the existing watermarking methods by proposing the novel Sampling One Then Accepting (STA-1) method. STA-1 is an unbiased watermark that preserves the original token distribution in expectation and has a lower risk of produci"&amp;"ng unsatisfactory outputs in low-entropy scenarios compared to existing unbiased watermarks. In watermark detection, STA-1 does not require prompts or a white-box LLM, provides statistical guarantees, demonstrates high efficiency in detection time, and re"&amp;"mains robust against various watermarking attacks. Experimental results on low-entropy and high-entropy datasets demonstrate that STA-1 achieves the above properties simultaneously, making it a desirable solution for watermarking LLMs. Implementation code"&amp;"s for this study are available online.")</f>
        <v>Recent advancements in large language models (LLMs) have highlighted the risk of misusing them, raising the need for accurate detection of LLM-generated content. In response, a viable solution is to inject imperceptible identifiers into LLMs, known as watermarks. Our research extends the existing watermarking methods by proposing the novel Sampling One Then Accepting (STA-1) method. STA-1 is an unbiased watermark that preserves the original token distribution in expectation and has a lower risk of producing unsatisfactory outputs in low-entropy scenarios compared to existing unbiased watermarks. In watermark detection, STA-1 does not require prompts or a white-box LLM, provides statistical guarantees, demonstrates high efficiency in detection time, and remains robust against various watermarking attacks. Experimental results on low-entropy and high-entropy datasets demonstrate that STA-1 achieves the above properties simultaneously, making it a desirable solution for watermarking LLMs. Implementation codes for this study are available online.</v>
      </c>
      <c r="D1998" s="7" t="str">
        <f>IFERROR(__xludf.DUMMYFUNCTION("""COMPUTED_VALUE"""),"Dongjun Wei")</f>
        <v>Dongjun Wei</v>
      </c>
      <c r="E1998" s="7" t="str">
        <f>IFERROR(__xludf.DUMMYFUNCTION("""COMPUTED_VALUE"""),"Yes")</f>
        <v>Yes</v>
      </c>
      <c r="F1998" s="7" t="str">
        <f>IFERROR(__xludf.DUMMYFUNCTION("""COMPUTED_VALUE"""),"V-Presentation")</f>
        <v>V-Presentation</v>
      </c>
      <c r="G1998" s="7" t="str">
        <f>IFERROR(__xludf.DUMMYFUNCTION("""COMPUTED_VALUE"""),"Virtual/Gather")</f>
        <v>Virtual/Gather</v>
      </c>
      <c r="H1998" s="7" t="str">
        <f>IFERROR(__xludf.DUMMYFUNCTION("""COMPUTED_VALUE"""),"Zoom")</f>
        <v>Zoom</v>
      </c>
      <c r="I1998" s="7" t="str">
        <f>IFERROR(__xludf.DUMMYFUNCTION("""COMPUTED_VALUE"""),"Session 2: V-Presentations")</f>
        <v>Session 2: V-Presentations</v>
      </c>
      <c r="J1998" s="7" t="str">
        <f>IFERROR(__xludf.DUMMYFUNCTION("""COMPUTED_VALUE"""),"Virtual Presentations 1")</f>
        <v>Virtual Presentations 1</v>
      </c>
      <c r="K1998" s="7"/>
      <c r="L1998" s="8">
        <f>IFERROR(__xludf.DUMMYFUNCTION("""COMPUTED_VALUE"""),45866.0)</f>
        <v>45866</v>
      </c>
      <c r="M1998" s="7" t="str">
        <f>IFERROR(__xludf.DUMMYFUNCTION("""COMPUTED_VALUE"""),"11:00-12:30")</f>
        <v>11:00-12:30</v>
      </c>
      <c r="N1998" s="7"/>
    </row>
    <row r="1999">
      <c r="A1999" s="7" t="str">
        <f>IFERROR(__xludf.DUMMYFUNCTION("""COMPUTED_VALUE"""),"883-MAIN")</f>
        <v>883-MAIN</v>
      </c>
      <c r="B1999" s="7" t="str">
        <f>IFERROR(__xludf.DUMMYFUNCTION("""COMPUTED_VALUE"""),"On Synthetic Data Strategies for Domain-Specific Generative Retrieval")</f>
        <v>On Synthetic Data Strategies for Domain-Specific Generative Retrieval</v>
      </c>
      <c r="C1999" s="7" t="str">
        <f>IFERROR(__xludf.DUMMYFUNCTION("""COMPUTED_VALUE"""),"This paper investigates synthetic data generation strategies in developing generative retrieval models for domain-specific corpora, thereby addressing the scalability challenges inherent in manually annotating in-domain queries. We study the data strategi"&amp;"es for a two-stage training framework: in the first stage, which focuses on learning to decode document identifiers from queries, we investigate LLM-generated queries across multiple granularity (e.g. chunks, sentences) and domain-relevant search constrai"&amp;"nts that can better capture nuanced relevancy signals. In the second stage, which aims to refine document ranking through preference learning, we explore the strategies for mining hard negatives based on the initial model's predictions. Experiments on pub"&amp;"lic datasets over diverse domains demonstrate the effectiveness of our synthetic data generation and hard negative sampling approach.")</f>
        <v>This paper investigates synthetic data generation strategies in developing generative retrieval models for domain-specific corpora, thereby addressing the scalability challenges inherent in manually annotating in-domain queries. We study the data strategies for a two-stage training framework: in the first stage, which focuses on learning to decode document identifiers from queries, we investigate LLM-generated queries across multiple granularity (e.g. chunks, sentences) and domain-relevant search constraints that can better capture nuanced relevancy signals. In the second stage, which aims to refine document ranking through preference learning, we explore the strategies for mining hard negatives based on the initial model's predictions. Experiments on public datasets over diverse domains demonstrate the effectiveness of our synthetic data generation and hard negative sampling approach.</v>
      </c>
      <c r="D1999" s="7" t="str">
        <f>IFERROR(__xludf.DUMMYFUNCTION("""COMPUTED_VALUE"""),"Haoyang Wen")</f>
        <v>Haoyang Wen</v>
      </c>
      <c r="E1999" s="7" t="str">
        <f>IFERROR(__xludf.DUMMYFUNCTION("""COMPUTED_VALUE"""),"Yes")</f>
        <v>Yes</v>
      </c>
      <c r="F1999" s="7" t="str">
        <f>IFERROR(__xludf.DUMMYFUNCTION("""COMPUTED_VALUE"""),"IP-Poster")</f>
        <v>IP-Poster</v>
      </c>
      <c r="G1999" s="7" t="str">
        <f>IFERROR(__xludf.DUMMYFUNCTION("""COMPUTED_VALUE"""),"In-Person")</f>
        <v>In-Person</v>
      </c>
      <c r="H1999" s="7" t="str">
        <f>IFERROR(__xludf.DUMMYFUNCTION("""COMPUTED_VALUE"""),"Hall 4/5")</f>
        <v>Hall 4/5</v>
      </c>
      <c r="I1999" s="7" t="str">
        <f>IFERROR(__xludf.DUMMYFUNCTION("""COMPUTED_VALUE"""),"Session 2: IP-Posters ")</f>
        <v>Session 2: IP-Posters </v>
      </c>
      <c r="J1999" s="7" t="str">
        <f>IFERROR(__xludf.DUMMYFUNCTION("""COMPUTED_VALUE"""),"Poster Session 1")</f>
        <v>Poster Session 1</v>
      </c>
      <c r="K1999" s="7"/>
      <c r="L1999" s="8">
        <f>IFERROR(__xludf.DUMMYFUNCTION("""COMPUTED_VALUE"""),45866.0)</f>
        <v>45866</v>
      </c>
      <c r="M1999" s="7" t="str">
        <f>IFERROR(__xludf.DUMMYFUNCTION("""COMPUTED_VALUE"""),"11:00-12:30")</f>
        <v>11:00-12:30</v>
      </c>
      <c r="N1999" s="7"/>
    </row>
    <row r="2000">
      <c r="A2000" s="7" t="str">
        <f>IFERROR(__xludf.DUMMYFUNCTION("""COMPUTED_VALUE"""),"885-MAIN")</f>
        <v>885-MAIN</v>
      </c>
      <c r="B2000" s="7" t="str">
        <f>IFERROR(__xludf.DUMMYFUNCTION("""COMPUTED_VALUE"""),"LLM Braces: Straightening Out LLM Predictions with Relevant Sub-Updates")</f>
        <v>LLM Braces: Straightening Out LLM Predictions with Relevant Sub-Updates</v>
      </c>
      <c r="C2000" s="7" t="str">
        <f>IFERROR(__xludf.DUMMYFUNCTION("""COMPUTED_VALUE"""),"Recent findings reveal that much of the knowledge in a Transformer-based Large Language Model (LLM) is encoded in its feed-forward (FFN) layers, where each FNN layer can be interpreted as the summation of sub-updates, each corresponding to a weighted colu"&amp;"mn vector from the FFN's value parameter matrix that often encodes human-interpretable concepts. In light of this, we hypothesize that model performance and behaviors can be further enhanced and controlled by modulating the contributions of these sub-upda"&amp;"tes based on their relevance to the input or target output style, and propose LLMBraces, a novel and efficient method that computes relevance scores associated with value vectors in FFN layers and leverages these scores to dynamically adjust the contribut"&amp;"ion of sub-updates. By optimizing sub-update contributions, LLMBraces refines the prediction process, leading to more accurate and reliable outputs, much like a `brace' providing support and stability. Moreover, LLMBraces can be extended to support condit"&amp;"ional control over generation characteristics, such as sentiment, thereby offering fine-grained steering of LLM outputs. Extensive experiments on various LLMs—including Qwen2.5-1.5B, Llama2-7B, and Llama3-8B—demonstrate that LLMBraces outperforms baseline"&amp;" approaches in both fine-tuning and zero-shot settings while requiring significantly fewer tunable parameters, up to 75% fewer compared to LoRA. Furthermore, LLMBraces excels in sentiment-controlled generation and toxicity reduction, highlighting its pote"&amp;"ntial for flexible, controlled text generation across applications.")</f>
        <v>Recent findings reveal that much of the knowledge in a Transformer-based Large Language Model (LLM) is encoded in its feed-forward (FFN) layers, where each FNN layer can be interpreted as the summation of sub-updates, each corresponding to a weighted column vector from the FFN's value parameter matrix that often encodes human-interpretable concepts. In light of this, we hypothesize that model performance and behaviors can be further enhanced and controlled by modulating the contributions of these sub-updates based on their relevance to the input or target output style, and propose LLMBraces, a novel and efficient method that computes relevance scores associated with value vectors in FFN layers and leverages these scores to dynamically adjust the contribution of sub-updates. By optimizing sub-update contributions, LLMBraces refines the prediction process, leading to more accurate and reliable outputs, much like a `brace' providing support and stability. Moreover, LLMBraces can be extended to support conditional control over generation characteristics, such as sentiment, thereby offering fine-grained steering of LLM outputs. Extensive experiments on various LLMs—including Qwen2.5-1.5B, Llama2-7B, and Llama3-8B—demonstrate that LLMBraces outperforms baseline approaches in both fine-tuning and zero-shot settings while requiring significantly fewer tunable parameters, up to 75% fewer compared to LoRA. Furthermore, LLMBraces excels in sentiment-controlled generation and toxicity reduction, highlighting its potential for flexible, controlled text generation across applications.</v>
      </c>
      <c r="D2000" s="7" t="str">
        <f>IFERROR(__xludf.DUMMYFUNCTION("""COMPUTED_VALUE"""),"Ying Shen")</f>
        <v>Ying Shen</v>
      </c>
      <c r="E2000" s="7" t="str">
        <f>IFERROR(__xludf.DUMMYFUNCTION("""COMPUTED_VALUE"""),"Yes")</f>
        <v>Yes</v>
      </c>
      <c r="F2000" s="7" t="str">
        <f>IFERROR(__xludf.DUMMYFUNCTION("""COMPUTED_VALUE"""),"V-Presentation")</f>
        <v>V-Presentation</v>
      </c>
      <c r="G2000" s="7" t="str">
        <f>IFERROR(__xludf.DUMMYFUNCTION("""COMPUTED_VALUE"""),"Virtual/Gather")</f>
        <v>Virtual/Gather</v>
      </c>
      <c r="H2000" s="7" t="str">
        <f>IFERROR(__xludf.DUMMYFUNCTION("""COMPUTED_VALUE"""),"Zoom")</f>
        <v>Zoom</v>
      </c>
      <c r="I2000" s="7" t="str">
        <f>IFERROR(__xludf.DUMMYFUNCTION("""COMPUTED_VALUE"""),"Session 10: V-Presenations")</f>
        <v>Session 10: V-Presenations</v>
      </c>
      <c r="J2000" s="7" t="str">
        <f>IFERROR(__xludf.DUMMYFUNCTION("""COMPUTED_VALUE"""),"Virtual Presentations 3")</f>
        <v>Virtual Presentations 3</v>
      </c>
      <c r="K2000" s="7"/>
      <c r="L2000" s="8">
        <f>IFERROR(__xludf.DUMMYFUNCTION("""COMPUTED_VALUE"""),45867.0)</f>
        <v>45867</v>
      </c>
      <c r="M2000" s="7" t="str">
        <f>IFERROR(__xludf.DUMMYFUNCTION("""COMPUTED_VALUE"""),"16:00-17:30")</f>
        <v>16:00-17:30</v>
      </c>
      <c r="N2000" s="7"/>
    </row>
    <row r="2001">
      <c r="A2001" s="7" t="str">
        <f>IFERROR(__xludf.DUMMYFUNCTION("""COMPUTED_VALUE"""),"887-MAIN")</f>
        <v>887-MAIN</v>
      </c>
      <c r="B2001" s="7" t="str">
        <f>IFERROR(__xludf.DUMMYFUNCTION("""COMPUTED_VALUE"""),"CONFETTI: Conversational Function-Calling Evaluation Through Turn-Level Interactions")</f>
        <v>CONFETTI: Conversational Function-Calling Evaluation Through Turn-Level Interactions</v>
      </c>
      <c r="C2001" s="7" t="str">
        <f>IFERROR(__xludf.DUMMYFUNCTION("""COMPUTED_VALUE"""),"We introduce Conversational Function-Calling Evaluation Through Turn-Level Interactions (CONFETTI), a conversational benchmark designed to evaluate the function-calling capabilities and response quality of large language models (LLMs). Current benchmarks "&amp;"lack comprehensive assessment of LLMs in complex conversational scenarios. CONFETTI addresses this gap through 109 human-simulated conversations, comprising 313 user turns and covering 86 APIs. These conversations explicitly target various conversational "&amp;"complexities, such as follow-ups, goal correction and switching, ambiguous and implicit goals. We perform off-policy turn-level evaluation using this benchmark targeting function-calling. Our benchmark also incorporates dialog act annotations to assess ag"&amp;"ent responses. We evaluate a series of state-of-the-art LLMs and analyze their performance with respect to the number of available APIs, conversation lengths, and chained function calling. Our results reveal that while some models are able to handle long "&amp;"conversations, and leverage more than 20+ APIs successfully, other models struggle with longer context or when increasing the number of APIs. We also report that the performance on chained function-calls is severely limited across the models. Overall, the"&amp;" top performing models on
CONFETTI are Nova Pro (40.01%), Claude Sonnet v3.5 (35.46%) and Llama 3.1 405B (33.19%) followed by command-r-plus (31.18%) and Mistral-Large-2407 (30.07%).")</f>
        <v>We introduce Conversational Function-Calling Evaluation Through Turn-Level Interactions (CONFETTI), a conversational benchmark designed to evaluate the function-calling capabilities and response quality of large language models (LLMs). Current benchmarks lack comprehensive assessment of LLMs in complex conversational scenarios. CONFETTI addresses this gap through 109 human-simulated conversations, comprising 313 user turns and covering 86 APIs. These conversations explicitly target various conversational complexities, such as follow-ups, goal correction and switching, ambiguous and implicit goals. We perform off-policy turn-level evaluation using this benchmark targeting function-calling. Our benchmark also incorporates dialog act annotations to assess agent responses. We evaluate a series of state-of-the-art LLMs and analyze their performance with respect to the number of available APIs, conversation lengths, and chained function calling. Our results reveal that while some models are able to handle long conversations, and leverage more than 20+ APIs successfully, other models struggle with longer context or when increasing the number of APIs. We also report that the performance on chained function-calls is severely limited across the models. Overall, the top performing models on
CONFETTI are Nova Pro (40.01%), Claude Sonnet v3.5 (35.46%) and Llama 3.1 405B (33.19%) followed by command-r-plus (31.18%) and Mistral-Large-2407 (30.07%).</v>
      </c>
      <c r="D2001" s="7" t="str">
        <f>IFERROR(__xludf.DUMMYFUNCTION("""COMPUTED_VALUE"""),"Tamer Alkhouli")</f>
        <v>Tamer Alkhouli</v>
      </c>
      <c r="E2001" s="7" t="str">
        <f>IFERROR(__xludf.DUMMYFUNCTION("""COMPUTED_VALUE"""),"Yes")</f>
        <v>Yes</v>
      </c>
      <c r="F2001" s="7" t="str">
        <f>IFERROR(__xludf.DUMMYFUNCTION("""COMPUTED_VALUE"""),"IP-Poster")</f>
        <v>IP-Poster</v>
      </c>
      <c r="G2001" s="7" t="str">
        <f>IFERROR(__xludf.DUMMYFUNCTION("""COMPUTED_VALUE"""),"In-Person")</f>
        <v>In-Person</v>
      </c>
      <c r="H2001" s="7" t="str">
        <f>IFERROR(__xludf.DUMMYFUNCTION("""COMPUTED_VALUE"""),"Hall 4/5")</f>
        <v>Hall 4/5</v>
      </c>
      <c r="I2001" s="7" t="str">
        <f>IFERROR(__xludf.DUMMYFUNCTION("""COMPUTED_VALUE"""),"Session 2: IP-Posters ")</f>
        <v>Session 2: IP-Posters </v>
      </c>
      <c r="J2001" s="7" t="str">
        <f>IFERROR(__xludf.DUMMYFUNCTION("""COMPUTED_VALUE"""),"Poster Session 1")</f>
        <v>Poster Session 1</v>
      </c>
      <c r="K2001" s="7"/>
      <c r="L2001" s="8">
        <f>IFERROR(__xludf.DUMMYFUNCTION("""COMPUTED_VALUE"""),45866.0)</f>
        <v>45866</v>
      </c>
      <c r="M2001" s="7" t="str">
        <f>IFERROR(__xludf.DUMMYFUNCTION("""COMPUTED_VALUE"""),"11:00-12:30")</f>
        <v>11:00-12:30</v>
      </c>
      <c r="N2001" s="7"/>
    </row>
    <row r="2002">
      <c r="A2002" s="7" t="str">
        <f>IFERROR(__xludf.DUMMYFUNCTION("""COMPUTED_VALUE"""),"888-MAIN")</f>
        <v>888-MAIN</v>
      </c>
      <c r="B2002" s="7" t="str">
        <f>IFERROR(__xludf.DUMMYFUNCTION("""COMPUTED_VALUE"""),"Evaluating Theory of (an uncertain) Mind: Predicting the Uncertain Beliefs of Others from Conversational Cues")</f>
        <v>Evaluating Theory of (an uncertain) Mind: Predicting the Uncertain Beliefs of Others from Conversational Cues</v>
      </c>
      <c r="C2002" s="7" t="str">
        <f>IFERROR(__xludf.DUMMYFUNCTION("""COMPUTED_VALUE"""),"Typically, when evaluating Theory of Mind, we consider the beliefs of others to be binary: held or not held. But what if someone is unsure about their own beliefs? How can we quantify this uncertainty? We propose a new suite of tasks, challenging language"&amp;" models (LMs) to model the uncertainty of participants in a dialogue. We design these tasks around conversation forecasting, where the goal is to predict the probability of an unobserved conversation outcome. Uniquely, we view conversation agents themselv"&amp;"es as forecasters, asking an LM to predict the uncertainty of an individual from their language use. We experiment with scaling methods, bagging, and demographic context for this regression task, conducting experiments on three dialogue corpora (social, n"&amp;"egotiation, task-oriented) with eight LMs. While LMs can explain up to 7% variance in the uncertainty of others, we highlight the difficulty of the tasks and room for future work, especially in tasks that require explicit shifts in perspective.")</f>
        <v>Typically, when evaluating Theory of Mind, we consider the beliefs of others to be binary: held or not held. But what if someone is unsure about their own beliefs? How can we quantify this uncertainty? We propose a new suite of tasks, challenging language models (LMs) to model the uncertainty of participants in a dialogue. We design these tasks around conversation forecasting, where the goal is to predict the probability of an unobserved conversation outcome. Uniquely, we view conversation agents themselves as forecasters, asking an LM to predict the uncertainty of an individual from their language use. We experiment with scaling methods, bagging, and demographic context for this regression task, conducting experiments on three dialogue corpora (social, negotiation, task-oriented) with eight LMs. While LMs can explain up to 7% variance in the uncertainty of others, we highlight the difficulty of the tasks and room for future work, especially in tasks that require explicit shifts in perspective.</v>
      </c>
      <c r="D2002" s="7" t="str">
        <f>IFERROR(__xludf.DUMMYFUNCTION("""COMPUTED_VALUE"""),"Malihe Alikhani")</f>
        <v>Malihe Alikhani</v>
      </c>
      <c r="E2002" s="7" t="str">
        <f>IFERROR(__xludf.DUMMYFUNCTION("""COMPUTED_VALUE"""),"Yes")</f>
        <v>Yes</v>
      </c>
      <c r="F2002" s="7" t="str">
        <f>IFERROR(__xludf.DUMMYFUNCTION("""COMPUTED_VALUE"""),"V-Presentation")</f>
        <v>V-Presentation</v>
      </c>
      <c r="G2002" s="7" t="str">
        <f>IFERROR(__xludf.DUMMYFUNCTION("""COMPUTED_VALUE"""),"Virtual/Gather")</f>
        <v>Virtual/Gather</v>
      </c>
      <c r="H2002" s="7" t="str">
        <f>IFERROR(__xludf.DUMMYFUNCTION("""COMPUTED_VALUE"""),"Zoom")</f>
        <v>Zoom</v>
      </c>
      <c r="I2002" s="7" t="str">
        <f>IFERROR(__xludf.DUMMYFUNCTION("""COMPUTED_VALUE"""),"Session 2: V-Presentations")</f>
        <v>Session 2: V-Presentations</v>
      </c>
      <c r="J2002" s="7" t="str">
        <f>IFERROR(__xludf.DUMMYFUNCTION("""COMPUTED_VALUE"""),"Virtual Presentations 1")</f>
        <v>Virtual Presentations 1</v>
      </c>
      <c r="K2002" s="7"/>
      <c r="L2002" s="8">
        <f>IFERROR(__xludf.DUMMYFUNCTION("""COMPUTED_VALUE"""),45866.0)</f>
        <v>45866</v>
      </c>
      <c r="M2002" s="7" t="str">
        <f>IFERROR(__xludf.DUMMYFUNCTION("""COMPUTED_VALUE"""),"11:00-12:30")</f>
        <v>11:00-12:30</v>
      </c>
      <c r="N2002" s="7"/>
    </row>
    <row r="2003">
      <c r="A2003" s="7" t="str">
        <f>IFERROR(__xludf.DUMMYFUNCTION("""COMPUTED_VALUE"""),"891-MAIN")</f>
        <v>891-MAIN</v>
      </c>
      <c r="B2003" s="7" t="str">
        <f>IFERROR(__xludf.DUMMYFUNCTION("""COMPUTED_VALUE"""),"Uncertainty in Causality: A New Frontier")</f>
        <v>Uncertainty in Causality: A New Frontier</v>
      </c>
      <c r="C2003" s="7" t="str">
        <f>IFERROR(__xludf.DUMMYFUNCTION("""COMPUTED_VALUE"""),"Understanding uncertainty in causality is vital in various domains, including core NLP tasks like event causality extraction, commonsense reasoning, and counterfactual text generation. However, existing literature lacks a comprehensive examination of this"&amp;" area. This survey aims to fill this gap by thoroughly reviewing uncertainty in causality. We first introduce a novel trichotomy, categorizing causal uncertainty into aleatoric (inherent randomness in causal data), epistemic (causal model limitations), an"&amp;"d ontological (existence of causal links) uncertainty. We then survey methods for quantifying uncertainty in causal analysis and highlight the complementary relationship between causal uncertainty and causal strength. Furthermore, we examine the challenge"&amp;"s that large language models (LLMs) face in handling causal uncertainty, such as hallucinations and inconsistencies, and propose key traits for an optimal causal LLM. Our paper reviews current approaches and outlines future research directions, aiming to "&amp;"serve as a practical guide for researchers and practitioners in this emerging field.")</f>
        <v>Understanding uncertainty in causality is vital in various domains, including core NLP tasks like event causality extraction, commonsense reasoning, and counterfactual text generation. However, existing literature lacks a comprehensive examination of this area. This survey aims to fill this gap by thoroughly reviewing uncertainty in causality. We first introduce a novel trichotomy, categorizing causal uncertainty into aleatoric (inherent randomness in causal data), epistemic (causal model limitations), and ontological (existence of causal links) uncertainty. We then survey methods for quantifying uncertainty in causal analysis and highlight the complementary relationship between causal uncertainty and causal strength. Furthermore, we examine the challenges that large language models (LLMs) face in handling causal uncertainty, such as hallucinations and inconsistencies, and propose key traits for an optimal causal LLM. Our paper reviews current approaches and outlines future research directions, aiming to serve as a practical guide for researchers and practitioners in this emerging field.</v>
      </c>
      <c r="D2003" s="7" t="str">
        <f>IFERROR(__xludf.DUMMYFUNCTION("""COMPUTED_VALUE"""),"Shaobo Cui")</f>
        <v>Shaobo Cui</v>
      </c>
      <c r="E2003" s="7" t="str">
        <f>IFERROR(__xludf.DUMMYFUNCTION("""COMPUTED_VALUE"""),"Yes")</f>
        <v>Yes</v>
      </c>
      <c r="F2003" s="7" t="str">
        <f>IFERROR(__xludf.DUMMYFUNCTION("""COMPUTED_VALUE"""),"IP-Poster")</f>
        <v>IP-Poster</v>
      </c>
      <c r="G2003" s="7" t="str">
        <f>IFERROR(__xludf.DUMMYFUNCTION("""COMPUTED_VALUE"""),"In-Person")</f>
        <v>In-Person</v>
      </c>
      <c r="H2003" s="7" t="str">
        <f>IFERROR(__xludf.DUMMYFUNCTION("""COMPUTED_VALUE"""),"Hall 4/5")</f>
        <v>Hall 4/5</v>
      </c>
      <c r="I2003" s="7" t="str">
        <f>IFERROR(__xludf.DUMMYFUNCTION("""COMPUTED_VALUE"""),"Session 2: IP-Posters ")</f>
        <v>Session 2: IP-Posters </v>
      </c>
      <c r="J2003" s="7" t="str">
        <f>IFERROR(__xludf.DUMMYFUNCTION("""COMPUTED_VALUE"""),"Poster Session 1")</f>
        <v>Poster Session 1</v>
      </c>
      <c r="K2003" s="7"/>
      <c r="L2003" s="8">
        <f>IFERROR(__xludf.DUMMYFUNCTION("""COMPUTED_VALUE"""),45866.0)</f>
        <v>45866</v>
      </c>
      <c r="M2003" s="7" t="str">
        <f>IFERROR(__xludf.DUMMYFUNCTION("""COMPUTED_VALUE"""),"11:00-12:30")</f>
        <v>11:00-12:30</v>
      </c>
      <c r="N2003" s="7"/>
    </row>
    <row r="2004">
      <c r="A2004" s="7" t="str">
        <f>IFERROR(__xludf.DUMMYFUNCTION("""COMPUTED_VALUE"""),"893-MAIN")</f>
        <v>893-MAIN</v>
      </c>
      <c r="B2004" s="7" t="str">
        <f>IFERROR(__xludf.DUMMYFUNCTION("""COMPUTED_VALUE"""),"SynthesizeMe! Inducing Persona-Guided Prompts for Personalized Reward Models in LLMs")</f>
        <v>SynthesizeMe! Inducing Persona-Guided Prompts for Personalized Reward Models in LLMs</v>
      </c>
      <c r="C2004" s="7" t="str">
        <f>IFERROR(__xludf.DUMMYFUNCTION("""COMPUTED_VALUE"""),"Recent calls for pluralistic alignment of Large Language Models (LLMs) encourage adapting models to diverse user preferences.  However, most prior work on personalized reward models heavily rely on additional identity information, such as demographic deta"&amp;"ils or a predefined set of preference categories.  To this end, we introduce SynthesizeMe, an approach to inducing synthetic user personas from user interactions for personalized reward modeling. SynthesizeMe first generates and verifies reasoning to expl"&amp;"ain user preferences, then induces synthetic user personas from that reasoning, and finally filters to informative prior user interactions in order to build personalized prompts for a particular user.  We show that using SynthesizeMe induced prompts impro"&amp;"ves personalized LLM-as-a-judge accuracy by 4.4% on Chatbot Arena.  Combining SynthesizeMe derived prompts with a reward model achieves top performance on PersonalRewardBench: a new curation of user-stratified interactions with chatbots collected from 854"&amp;" users of Chatbot Arena and PRISM.")</f>
        <v>Recent calls for pluralistic alignment of Large Language Models (LLMs) encourage adapting models to diverse user preferences.  However, most prior work on personalized reward models heavily rely on additional identity information, such as demographic details or a predefined set of preference categories.  To this end, we introduce SynthesizeMe, an approach to inducing synthetic user personas from user interactions for personalized reward modeling. SynthesizeMe first generates and verifies reasoning to explain user preferences, then induces synthetic user personas from that reasoning, and finally filters to informative prior user interactions in order to build personalized prompts for a particular user.  We show that using SynthesizeMe induced prompts improves personalized LLM-as-a-judge accuracy by 4.4% on Chatbot Arena.  Combining SynthesizeMe derived prompts with a reward model achieves top performance on PersonalRewardBench: a new curation of user-stratified interactions with chatbots collected from 854 users of Chatbot Arena and PRISM.</v>
      </c>
      <c r="D2004" s="7" t="str">
        <f>IFERROR(__xludf.DUMMYFUNCTION("""COMPUTED_VALUE"""),"Michael J. Ryan")</f>
        <v>Michael J. Ryan</v>
      </c>
      <c r="E2004" s="7" t="str">
        <f>IFERROR(__xludf.DUMMYFUNCTION("""COMPUTED_VALUE"""),"Yes")</f>
        <v>Yes</v>
      </c>
      <c r="F2004" s="7" t="str">
        <f>IFERROR(__xludf.DUMMYFUNCTION("""COMPUTED_VALUE"""),"IP-Poster")</f>
        <v>IP-Poster</v>
      </c>
      <c r="G2004" s="7" t="str">
        <f>IFERROR(__xludf.DUMMYFUNCTION("""COMPUTED_VALUE"""),"In-Person")</f>
        <v>In-Person</v>
      </c>
      <c r="H2004" s="7" t="str">
        <f>IFERROR(__xludf.DUMMYFUNCTION("""COMPUTED_VALUE"""),"Hall 4/5")</f>
        <v>Hall 4/5</v>
      </c>
      <c r="I2004" s="7" t="str">
        <f>IFERROR(__xludf.DUMMYFUNCTION("""COMPUTED_VALUE"""),"Session 7: IP-Posters")</f>
        <v>Session 7: IP-Posters</v>
      </c>
      <c r="J2004" s="7" t="str">
        <f>IFERROR(__xludf.DUMMYFUNCTION("""COMPUTED_VALUE"""),"Poster Session 2")</f>
        <v>Poster Session 2</v>
      </c>
      <c r="K2004" s="7"/>
      <c r="L2004" s="8">
        <f>IFERROR(__xludf.DUMMYFUNCTION("""COMPUTED_VALUE"""),45867.0)</f>
        <v>45867</v>
      </c>
      <c r="M2004" s="7" t="str">
        <f>IFERROR(__xludf.DUMMYFUNCTION("""COMPUTED_VALUE"""),"10:30-12:00")</f>
        <v>10:30-12:00</v>
      </c>
      <c r="N2004" s="7"/>
    </row>
    <row r="2005">
      <c r="A2005" s="7" t="str">
        <f>IFERROR(__xludf.DUMMYFUNCTION("""COMPUTED_VALUE"""),"899-MAIN")</f>
        <v>899-MAIN</v>
      </c>
      <c r="B2005" s="7" t="str">
        <f>IFERROR(__xludf.DUMMYFUNCTION("""COMPUTED_VALUE"""),"When People are Floods: Analyzing Dehumanizing Metaphors in Immigration Discourse with Large Language Models")</f>
        <v>When People are Floods: Analyzing Dehumanizing Metaphors in Immigration Discourse with Large Language Models</v>
      </c>
      <c r="C2005" s="7" t="str">
        <f>IFERROR(__xludf.DUMMYFUNCTION("""COMPUTED_VALUE"""),"Metaphor, discussing one concept in terms of another, is abundant in politics and can shape how people understand important issues. We develop a computational approach to measure metaphorical language, focusing on immigration discourse on social media. Gr"&amp;"ounded in qualitative social science research, we identify seven concepts evoked in immigration discourse (e.g. water or vermin). We propose and evaluate a novel technique that leverages both word-level and document-level signals to measure metaphor with "&amp;"respect to these concepts. We then study the relationship between metaphor, political ideology, and user engagement in 400K US tweets about immigration. While conservatives tend to use dehumanizing metaphors more than liberals, this effect varies widely a"&amp;"cross concepts. Moreover, creature-related metaphor is associated with more retweets, especially for liberal authors. Our work highlights the potential for computational methods to complement qualitative approaches in understanding subtle and implicit lan"&amp;"guage in political discourse.")</f>
        <v>Metaphor, discussing one concept in terms of another, is abundant in politics and can shape how people understand important issues. We develop a computational approach to measure metaphorical language, focusing on immigration discourse on social media. Grounded in qualitative social science research, we identify seven concepts evoked in immigration discourse (e.g. water or vermin). We propose and evaluate a novel technique that leverages both word-level and document-level signals to measure metaphor with respect to these concepts. We then study the relationship between metaphor, political ideology, and user engagement in 400K US tweets about immigration. While conservatives tend to use dehumanizing metaphors more than liberals, this effect varies widely across concepts. Moreover, creature-related metaphor is associated with more retweets, especially for liberal authors. Our work highlights the potential for computational methods to complement qualitative approaches in understanding subtle and implicit language in political discourse.</v>
      </c>
      <c r="D2005" s="7" t="str">
        <f>IFERROR(__xludf.DUMMYFUNCTION("""COMPUTED_VALUE"""),"Julia Mendelsohn")</f>
        <v>Julia Mendelsohn</v>
      </c>
      <c r="E2005" s="7" t="str">
        <f>IFERROR(__xludf.DUMMYFUNCTION("""COMPUTED_VALUE"""),"Yes")</f>
        <v>Yes</v>
      </c>
      <c r="F2005" s="7" t="str">
        <f>IFERROR(__xludf.DUMMYFUNCTION("""COMPUTED_VALUE"""),"IP-Poster")</f>
        <v>IP-Poster</v>
      </c>
      <c r="G2005" s="7" t="str">
        <f>IFERROR(__xludf.DUMMYFUNCTION("""COMPUTED_VALUE"""),"In-Person")</f>
        <v>In-Person</v>
      </c>
      <c r="H2005" s="7" t="str">
        <f>IFERROR(__xludf.DUMMYFUNCTION("""COMPUTED_VALUE"""),"Hall 4/5")</f>
        <v>Hall 4/5</v>
      </c>
      <c r="I2005" s="7" t="str">
        <f>IFERROR(__xludf.DUMMYFUNCTION("""COMPUTED_VALUE"""),"Session 12: IP-Posters")</f>
        <v>Session 12: IP-Posters</v>
      </c>
      <c r="J2005" s="7" t="str">
        <f>IFERROR(__xludf.DUMMYFUNCTION("""COMPUTED_VALUE"""),"Poster Session 4")</f>
        <v>Poster Session 4</v>
      </c>
      <c r="K2005" s="7"/>
      <c r="L2005" s="8">
        <f>IFERROR(__xludf.DUMMYFUNCTION("""COMPUTED_VALUE"""),45868.0)</f>
        <v>45868</v>
      </c>
      <c r="M2005" s="7" t="str">
        <f>IFERROR(__xludf.DUMMYFUNCTION("""COMPUTED_VALUE"""),"11:00-12:30")</f>
        <v>11:00-12:30</v>
      </c>
      <c r="N2005" s="7"/>
    </row>
    <row r="2006">
      <c r="A2006" s="7" t="str">
        <f>IFERROR(__xludf.DUMMYFUNCTION("""COMPUTED_VALUE"""),"901-MAIN")</f>
        <v>901-MAIN</v>
      </c>
      <c r="B2006" s="7" t="str">
        <f>IFERROR(__xludf.DUMMYFUNCTION("""COMPUTED_VALUE"""),"AGrail: A Lifelong Agent Guardrail with Effective and Adaptive Safety Detection")</f>
        <v>AGrail: A Lifelong Agent Guardrail with Effective and Adaptive Safety Detection</v>
      </c>
      <c r="C2006" s="7" t="str">
        <f>IFERROR(__xludf.DUMMYFUNCTION("""COMPUTED_VALUE"""),"The rapid advancements in Large Language Models (LLMs) have enabled their deployment as autonomous agents for handling complex tasks in dynamic environments. These LLMs demonstrate strong problem-solving capabilities and adaptability to multifaceted scena"&amp;"rios. However, their use as agents also introduces significant risks, including task-specific risks, which are identified by the agent administrator based on the specific task requirements and constraints, and systemic risks, which stem from vulnerabiliti"&amp;"es in their design or interactions, potentially compromising confidentiality, integrity, or availability (CIA) of information and triggering security risks. Existing defense agencies fail to adaptively and effectively mitigate these risks. In this paper, "&amp;"we propose AGrail, a lifelong agent guardrail to enhance LLM agent safety, which features adaptive safety check generation, effective safety check optimization, and tool compatibility &amp; flexibility. Extensive experiments demonstrate that AGrail not only a"&amp;"chieves strong performance against task-specific and system risks but also exhibits transferability across different LLM agents' tasks.")</f>
        <v>The rapid advancements in Large Language Models (LLMs) have enabled their deployment as autonomous agents for handling complex tasks in dynamic environments. These LLMs demonstrate strong problem-solving capabilities and adaptability to multifaceted scenarios. However, their use as agents also introduces significant risks, including task-specific risks, which are identified by the agent administrator based on the specific task requirements and constraints, and systemic risks, which stem from vulnerabilities in their design or interactions, potentially compromising confidentiality, integrity, or availability (CIA) of information and triggering security risks. Existing defense agencies fail to adaptively and effectively mitigate these risks. In this paper, we propose AGrail, a lifelong agent guardrail to enhance LLM agent safety, which features adaptive safety check generation, effective safety check optimization, and tool compatibility &amp; flexibility. Extensive experiments demonstrate that AGrail not only achieves strong performance against task-specific and system risks but also exhibits transferability across different LLM agents' tasks.</v>
      </c>
      <c r="D2006" s="7" t="str">
        <f>IFERROR(__xludf.DUMMYFUNCTION("""COMPUTED_VALUE"""),"Weidi Luo")</f>
        <v>Weidi Luo</v>
      </c>
      <c r="E2006" s="7" t="str">
        <f>IFERROR(__xludf.DUMMYFUNCTION("""COMPUTED_VALUE"""),"Yes")</f>
        <v>Yes</v>
      </c>
      <c r="F2006" s="7" t="str">
        <f>IFERROR(__xludf.DUMMYFUNCTION("""COMPUTED_VALUE"""),"V-Presentation")</f>
        <v>V-Presentation</v>
      </c>
      <c r="G2006" s="7" t="str">
        <f>IFERROR(__xludf.DUMMYFUNCTION("""COMPUTED_VALUE"""),"Virtual/Gather")</f>
        <v>Virtual/Gather</v>
      </c>
      <c r="H2006" s="7" t="str">
        <f>IFERROR(__xludf.DUMMYFUNCTION("""COMPUTED_VALUE"""),"Zoom")</f>
        <v>Zoom</v>
      </c>
      <c r="I2006" s="7" t="str">
        <f>IFERROR(__xludf.DUMMYFUNCTION("""COMPUTED_VALUE"""),"Session 10: V-Presenations")</f>
        <v>Session 10: V-Presenations</v>
      </c>
      <c r="J2006" s="7" t="str">
        <f>IFERROR(__xludf.DUMMYFUNCTION("""COMPUTED_VALUE"""),"Virtual Presentations 3")</f>
        <v>Virtual Presentations 3</v>
      </c>
      <c r="K2006" s="7"/>
      <c r="L2006" s="8">
        <f>IFERROR(__xludf.DUMMYFUNCTION("""COMPUTED_VALUE"""),45867.0)</f>
        <v>45867</v>
      </c>
      <c r="M2006" s="7" t="str">
        <f>IFERROR(__xludf.DUMMYFUNCTION("""COMPUTED_VALUE"""),"16:00-17:30")</f>
        <v>16:00-17:30</v>
      </c>
      <c r="N2006" s="7"/>
    </row>
    <row r="2007">
      <c r="A2007" s="7" t="str">
        <f>IFERROR(__xludf.DUMMYFUNCTION("""COMPUTED_VALUE"""),"904-MAIN")</f>
        <v>904-MAIN</v>
      </c>
      <c r="B2007" s="7" t="str">
        <f>IFERROR(__xludf.DUMMYFUNCTION("""COMPUTED_VALUE"""),"Improving Model Factuality with Fine-grained Critique-based Evaluator")</f>
        <v>Improving Model Factuality with Fine-grained Critique-based Evaluator</v>
      </c>
      <c r="C2007" s="7" t="str">
        <f>IFERROR(__xludf.DUMMYFUNCTION("""COMPUTED_VALUE"""),"Factuality evaluation aims to detect factual errors produced by language models (LMs) and hence guide the development of more factual models. Towards this goal, we train a factuality evaluator, FenCE, that provides LM generators with claim-level factualit"&amp;"y feedback. In particular, we train FenCE to (1) generate textual critiques along with scores and (2) make claim-level judgment based on diverse source documents obtained by various tools, via data augmentation on a combination of public judgment datasets"&amp;". We then present a framework that leverages FenCE to improve the factuality of LM generators by constructing training data. Specifically, we generate a set of candidate responses, ask FenCE to revise and score each response without introducing lesser-kno"&amp;"wn facts, and train the generator by preferring highly scored revised responses. Experiments show that our data augmentation methods improve the evaluator’s accuracy by 2.9% on LLM-AggreFact. With FenCE, we improve Llama2-7B-chat/Llama3-8B-chat’s factuali"&amp;"ty rate by 16.86%/14.45% on FActScore, outperforming state-of-the-art factuality finetuning methods by 8.83%/6.96%.")</f>
        <v>Factuality evaluation aims to detect factual errors produced by language models (LMs) and hence guide the development of more factual models. Towards this goal, we train a factuality evaluator, FenCE, that provides LM generators with claim-level factuality feedback. In particular, we train FenCE to (1) generate textual critiques along with scores and (2) make claim-level judgment based on diverse source documents obtained by various tools, via data augmentation on a combination of public judgment datasets. We then present a framework that leverages FenCE to improve the factuality of LM generators by constructing training data. Specifically, we generate a set of candidate responses, ask FenCE to revise and score each response without introducing lesser-known facts, and train the generator by preferring highly scored revised responses. Experiments show that our data augmentation methods improve the evaluator’s accuracy by 2.9% on LLM-AggreFact. With FenCE, we improve Llama2-7B-chat/Llama3-8B-chat’s factuality rate by 16.86%/14.45% on FActScore, outperforming state-of-the-art factuality finetuning methods by 8.83%/6.96%.</v>
      </c>
      <c r="D2007" s="7" t="str">
        <f>IFERROR(__xludf.DUMMYFUNCTION("""COMPUTED_VALUE"""),"Yiqing Xie")</f>
        <v>Yiqing Xie</v>
      </c>
      <c r="E2007" s="7" t="str">
        <f>IFERROR(__xludf.DUMMYFUNCTION("""COMPUTED_VALUE"""),"Yes")</f>
        <v>Yes</v>
      </c>
      <c r="F2007" s="7" t="str">
        <f>IFERROR(__xludf.DUMMYFUNCTION("""COMPUTED_VALUE"""),"IP-Poster")</f>
        <v>IP-Poster</v>
      </c>
      <c r="G2007" s="7" t="str">
        <f>IFERROR(__xludf.DUMMYFUNCTION("""COMPUTED_VALUE"""),"In-Person")</f>
        <v>In-Person</v>
      </c>
      <c r="H2007" s="7" t="str">
        <f>IFERROR(__xludf.DUMMYFUNCTION("""COMPUTED_VALUE"""),"Hall 4/5")</f>
        <v>Hall 4/5</v>
      </c>
      <c r="I2007" s="7" t="str">
        <f>IFERROR(__xludf.DUMMYFUNCTION("""COMPUTED_VALUE"""),"Session 2: IP-Posters ")</f>
        <v>Session 2: IP-Posters </v>
      </c>
      <c r="J2007" s="7" t="str">
        <f>IFERROR(__xludf.DUMMYFUNCTION("""COMPUTED_VALUE"""),"Poster Session 1")</f>
        <v>Poster Session 1</v>
      </c>
      <c r="K2007" s="7"/>
      <c r="L2007" s="8">
        <f>IFERROR(__xludf.DUMMYFUNCTION("""COMPUTED_VALUE"""),45866.0)</f>
        <v>45866</v>
      </c>
      <c r="M2007" s="7" t="str">
        <f>IFERROR(__xludf.DUMMYFUNCTION("""COMPUTED_VALUE"""),"11:00-12:30")</f>
        <v>11:00-12:30</v>
      </c>
      <c r="N2007" s="7"/>
    </row>
    <row r="2008">
      <c r="A2008" s="7" t="str">
        <f>IFERROR(__xludf.DUMMYFUNCTION("""COMPUTED_VALUE"""),"906-MAIN")</f>
        <v>906-MAIN</v>
      </c>
      <c r="B2008" s="7" t="str">
        <f>IFERROR(__xludf.DUMMYFUNCTION("""COMPUTED_VALUE"""),"Building a Long Text Privacy Policy Corpus with Multi-Class Labels")</f>
        <v>Building a Long Text Privacy Policy Corpus with Multi-Class Labels</v>
      </c>
      <c r="C2008" s="7" t="str">
        <f>IFERROR(__xludf.DUMMYFUNCTION("""COMPUTED_VALUE"""),"Legal text poses distinctive challenges for natural language processing. The legal import of a term may depend on omissions, cross-references, or silence, Further, legal text is often susceptible to multiple valid, conflicting interpretations; as the sayi"&amp;"ng goes: a good lawyer's answer to any question is ""it depends.""
This work introduces a new, hand-coded dataset for the interpretation of privacy policies. It includes privacy policies from 149 firms, including materials incorporated by reference. The "&amp;"policies are annotated across 64 dimension that reflect the applicable legal rules and contested terms from EU and US privacy regulation and litigation. Our annotation methodology is designed to capture the capture core challenges peculiar to legal langua"&amp;"ge, including indeterminacy, interdependence between clauses, meaningful silence, and the implications of legal defaults. We present a set of baseline results for the dataset using current large language models.")</f>
        <v>Legal text poses distinctive challenges for natural language processing. The legal import of a term may depend on omissions, cross-references, or silence, Further, legal text is often susceptible to multiple valid, conflicting interpretations; as the saying goes: a good lawyer's answer to any question is "it depends."
This work introduces a new, hand-coded dataset for the interpretation of privacy policies. It includes privacy policies from 149 firms, including materials incorporated by reference. The policies are annotated across 64 dimension that reflect the applicable legal rules and contested terms from EU and US privacy regulation and litigation. Our annotation methodology is designed to capture the capture core challenges peculiar to legal language, including indeterminacy, interdependence between clauses, meaningful silence, and the implications of legal defaults. We present a set of baseline results for the dataset using current large language models.</v>
      </c>
      <c r="D2008" s="7" t="str">
        <f>IFERROR(__xludf.DUMMYFUNCTION("""COMPUTED_VALUE"""),"David Stein")</f>
        <v>David Stein</v>
      </c>
      <c r="E2008" s="7" t="str">
        <f>IFERROR(__xludf.DUMMYFUNCTION("""COMPUTED_VALUE"""),"Yes")</f>
        <v>Yes</v>
      </c>
      <c r="F2008" s="7" t="str">
        <f>IFERROR(__xludf.DUMMYFUNCTION("""COMPUTED_VALUE"""),"IP-Poster")</f>
        <v>IP-Poster</v>
      </c>
      <c r="G2008" s="7" t="str">
        <f>IFERROR(__xludf.DUMMYFUNCTION("""COMPUTED_VALUE"""),"In-Person")</f>
        <v>In-Person</v>
      </c>
      <c r="H2008" s="7" t="str">
        <f>IFERROR(__xludf.DUMMYFUNCTION("""COMPUTED_VALUE"""),"Hall 4/5")</f>
        <v>Hall 4/5</v>
      </c>
      <c r="I2008" s="7" t="str">
        <f>IFERROR(__xludf.DUMMYFUNCTION("""COMPUTED_VALUE"""),"Session 7: IP-Posters")</f>
        <v>Session 7: IP-Posters</v>
      </c>
      <c r="J2008" s="7" t="str">
        <f>IFERROR(__xludf.DUMMYFUNCTION("""COMPUTED_VALUE"""),"Poster Session 2")</f>
        <v>Poster Session 2</v>
      </c>
      <c r="K2008" s="7"/>
      <c r="L2008" s="8">
        <f>IFERROR(__xludf.DUMMYFUNCTION("""COMPUTED_VALUE"""),45867.0)</f>
        <v>45867</v>
      </c>
      <c r="M2008" s="7" t="str">
        <f>IFERROR(__xludf.DUMMYFUNCTION("""COMPUTED_VALUE"""),"10:30-12:00")</f>
        <v>10:30-12:00</v>
      </c>
      <c r="N2008" s="7"/>
    </row>
    <row r="2009">
      <c r="A2009" s="7" t="str">
        <f>IFERROR(__xludf.DUMMYFUNCTION("""COMPUTED_VALUE"""),"908-MAIN")</f>
        <v>908-MAIN</v>
      </c>
      <c r="B2009" s="7" t="str">
        <f>IFERROR(__xludf.DUMMYFUNCTION("""COMPUTED_VALUE"""),"x-SAL: Leading Symbolic Reasoning across Languages via Cross-lingual Symbolic-Aided Language Model")</f>
        <v>x-SAL: Leading Symbolic Reasoning across Languages via Cross-lingual Symbolic-Aided Language Model</v>
      </c>
      <c r="C2009" s="7" t="str">
        <f>IFERROR(__xludf.DUMMYFUNCTION("""COMPUTED_VALUE"""),"Reasoning is an intricate process that transcends both language and vision; yet, despite its inherently modality-agnostic nature, develop-
ing effective multilingual and multimodal reasoning capabilities remains a substantial challenge for Multimodal Larg"&amp;"e Language Models (MLLMs). They struggle to activate complex reasoning behaviours, delivering step-wise explanation, questioning and reflection, particularly in multilingual settings where high-quality supervision across languages is lacking. Recent works"&amp;" have introduced eclectic strategies to enhance MLLMs’ reasoning; however, they remain related to a single language.
To make MLLMs’ reasoning capabilities aligned among languages and improve modality performances, we propose R2-MultiOmnia, a modular appro"&amp;"ach that instructs the models to abstract key elements of the reasoning process and then refine reasoning trajectories via self-correction. Specifically, we instruct the models producing multimodal synthetic resources by bridging modalities and then self-"&amp;"improving their capabilities. To stabilise learning and the reasoning processes structure, we propose Curriculum Learning Reasoning Stabilisation with structured output rewards to gradually refine the models’ capabilities to learn and deliver robust reaso"&amp;"ning processes. Experiments show that R2-MultiOmnia improves multimodal reasoning, gets aligned performances among the languages approaching strong models.")</f>
        <v>Reasoning is an intricate process that transcends both language and vision; yet, despite its inherently modality-agnostic nature, develop-
ing effective multilingual and multimodal reasoning capabilities remains a substantial challenge for Multimodal Large Language Models (MLLMs). They struggle to activate complex reasoning behaviours, delivering step-wise explanation, questioning and reflection, particularly in multilingual settings where high-quality supervision across languages is lacking. Recent works have introduced eclectic strategies to enhance MLLMs’ reasoning; however, they remain related to a single language.
To make MLLMs’ reasoning capabilities aligned among languages and improve modality performances, we propose R2-MultiOmnia, a modular approach that instructs the models to abstract key elements of the reasoning process and then refine reasoning trajectories via self-correction. Specifically, we instruct the models producing multimodal synthetic resources by bridging modalities and then self-improving their capabilities. To stabilise learning and the reasoning processes structure, we propose Curriculum Learning Reasoning Stabilisation with structured output rewards to gradually refine the models’ capabilities to learn and deliver robust reasoning processes. Experiments show that R2-MultiOmnia improves multimodal reasoning, gets aligned performances among the languages approaching strong models.</v>
      </c>
      <c r="D2009" s="7" t="str">
        <f>IFERROR(__xludf.DUMMYFUNCTION("""COMPUTED_VALUE"""),"Leonardo Ranaldi")</f>
        <v>Leonardo Ranaldi</v>
      </c>
      <c r="E2009" s="7" t="str">
        <f>IFERROR(__xludf.DUMMYFUNCTION("""COMPUTED_VALUE"""),"Yes")</f>
        <v>Yes</v>
      </c>
      <c r="F2009" s="7" t="str">
        <f>IFERROR(__xludf.DUMMYFUNCTION("""COMPUTED_VALUE"""),"IP-Poster")</f>
        <v>IP-Poster</v>
      </c>
      <c r="G2009" s="7" t="str">
        <f>IFERROR(__xludf.DUMMYFUNCTION("""COMPUTED_VALUE"""),"In-Person")</f>
        <v>In-Person</v>
      </c>
      <c r="H2009" s="7" t="str">
        <f>IFERROR(__xludf.DUMMYFUNCTION("""COMPUTED_VALUE"""),"Hall 4/5")</f>
        <v>Hall 4/5</v>
      </c>
      <c r="I2009" s="7" t="str">
        <f>IFERROR(__xludf.DUMMYFUNCTION("""COMPUTED_VALUE"""),"Session 7: IP-Posters")</f>
        <v>Session 7: IP-Posters</v>
      </c>
      <c r="J2009" s="7" t="str">
        <f>IFERROR(__xludf.DUMMYFUNCTION("""COMPUTED_VALUE"""),"Poster Session 2")</f>
        <v>Poster Session 2</v>
      </c>
      <c r="K2009" s="7"/>
      <c r="L2009" s="8">
        <f>IFERROR(__xludf.DUMMYFUNCTION("""COMPUTED_VALUE"""),45867.0)</f>
        <v>45867</v>
      </c>
      <c r="M2009" s="7" t="str">
        <f>IFERROR(__xludf.DUMMYFUNCTION("""COMPUTED_VALUE"""),"10:30-12:00")</f>
        <v>10:30-12:00</v>
      </c>
      <c r="N2009" s="7"/>
    </row>
    <row r="2010">
      <c r="A2010" s="7" t="str">
        <f>IFERROR(__xludf.DUMMYFUNCTION("""COMPUTED_VALUE"""),"911-MAIN")</f>
        <v>911-MAIN</v>
      </c>
      <c r="B2010" s="7" t="str">
        <f>IFERROR(__xludf.DUMMYFUNCTION("""COMPUTED_VALUE"""),"When the LM misunderstood the human chuckled: Analyzing garden path effects in humans and language models")</f>
        <v>When the LM misunderstood the human chuckled: Analyzing garden path effects in humans and language models</v>
      </c>
      <c r="C2010" s="7" t="str">
        <f>IFERROR(__xludf.DUMMYFUNCTION("""COMPUTED_VALUE"""),"Modern Large Language Models (LLMs) have shown human-like abilities in many language tasks, sparking interest in comparing LLMs' and humans' language processing. In this paper, we try to answer two questions: 1. What makes garden-path sentences hard to un"&amp;"derstand for humans? 2. Do the same reasons make garden-path sentences hard for LLMs as well?  Based on psycholinguistic research, we formulate hypotheses on why garden-path sentences are hard, and test these hypotheses on human participants and a large s"&amp;"uite of LLMs using comprehension questions. Our findings reveal that both LLMs and humans struggle with specific syntactic complexities, with some models showing high correlation with human comprehension. To complement our findings, we test LLM comprehens"&amp;"ion of garden-path constructions with paraphrasing and text-to-image generation tasks, and find that the results mirror the sentence comprehension question results, further validating our findings on LLM understanding of these constructions.")</f>
        <v>Modern Large Language Models (LLMs) have shown human-like abilities in many language tasks, sparking interest in comparing LLMs' and humans' language processing. In this paper, we try to answer two questions: 1. What makes garden-path sentences hard to understand for humans? 2. Do the same reasons make garden-path sentences hard for LLMs as well?  Based on psycholinguistic research, we formulate hypotheses on why garden-path sentences are hard, and test these hypotheses on human participants and a large suite of LLMs using comprehension questions. Our findings reveal that both LLMs and humans struggle with specific syntactic complexities, with some models showing high correlation with human comprehension. To complement our findings, we test LLM comprehension of garden-path constructions with paraphrasing and text-to-image generation tasks, and find that the results mirror the sentence comprehension question results, further validating our findings on LLM understanding of these constructions.</v>
      </c>
      <c r="D2010" s="7" t="str">
        <f>IFERROR(__xludf.DUMMYFUNCTION("""COMPUTED_VALUE"""),"Samuel Joseph Amouyal")</f>
        <v>Samuel Joseph Amouyal</v>
      </c>
      <c r="E2010" s="7" t="str">
        <f>IFERROR(__xludf.DUMMYFUNCTION("""COMPUTED_VALUE"""),"Yes")</f>
        <v>Yes</v>
      </c>
      <c r="F2010" s="7" t="str">
        <f>IFERROR(__xludf.DUMMYFUNCTION("""COMPUTED_VALUE"""),"IP-Oral")</f>
        <v>IP-Oral</v>
      </c>
      <c r="G2010" s="7" t="str">
        <f>IFERROR(__xludf.DUMMYFUNCTION("""COMPUTED_VALUE"""),"In-Person")</f>
        <v>In-Person</v>
      </c>
      <c r="H2010" s="7" t="str">
        <f>IFERROR(__xludf.DUMMYFUNCTION("""COMPUTED_VALUE"""),"Room 1.61")</f>
        <v>Room 1.61</v>
      </c>
      <c r="I2010" s="7" t="str">
        <f>IFERROR(__xludf.DUMMYFUNCTION("""COMPUTED_VALUE"""),"Session 3: IP-Orals")</f>
        <v>Session 3: IP-Orals</v>
      </c>
      <c r="J2010" s="7" t="str">
        <f>IFERROR(__xludf.DUMMYFUNCTION("""COMPUTED_VALUE"""),"Linguistic Theories and Cognitive Modeling")</f>
        <v>Linguistic Theories and Cognitive Modeling</v>
      </c>
      <c r="K2010" s="7"/>
      <c r="L2010" s="8">
        <f>IFERROR(__xludf.DUMMYFUNCTION("""COMPUTED_VALUE"""),45866.0)</f>
        <v>45866</v>
      </c>
      <c r="M2010" s="7" t="str">
        <f>IFERROR(__xludf.DUMMYFUNCTION("""COMPUTED_VALUE"""),"14:00-15:30")</f>
        <v>14:00-15:30</v>
      </c>
      <c r="N2010" s="7">
        <f>IFERROR(__xludf.DUMMYFUNCTION("""COMPUTED_VALUE"""),3.0)</f>
        <v>3</v>
      </c>
    </row>
    <row r="2011">
      <c r="A2011" s="7" t="str">
        <f>IFERROR(__xludf.DUMMYFUNCTION("""COMPUTED_VALUE"""),"912-MAIN")</f>
        <v>912-MAIN</v>
      </c>
      <c r="B2011" s="7" t="str">
        <f>IFERROR(__xludf.DUMMYFUNCTION("""COMPUTED_VALUE"""),"Cross-Lingual Pitfalls: Automatic Probing Cross-Lingual Weakness of Multilingual Large Language Models")</f>
        <v>Cross-Lingual Pitfalls: Automatic Probing Cross-Lingual Weakness of Multilingual Large Language Models</v>
      </c>
      <c r="C2011" s="7" t="str">
        <f>IFERROR(__xludf.DUMMYFUNCTION("""COMPUTED_VALUE"""),"Large Language Models (LLMs) have achieved remarkable success in Natural Language Processing (NLP), yet their cross-lingual consistency remains a significant challenge. This paper introduces a novel methodology for efficiently identifying inherent cross-l"&amp;"ingual weaknesses in LLMs. Our approach leverages beam search and LLM-based simulation to generate bilingual question pairs that expose performance discrepancies between English and target languages. We construct a new dataset of over 6,000 bilingual pair"&amp;"s across 16 languages using this methodology, demonstrating its effectiveness in revealing weaknesses even in state-of-the-art models. The extensive experiments demonstrate that our method precisely and cost-effectively pinpoints cross-lingual weaknesses,"&amp;" consistently revealing over 50% accuracy drops in target languages across a wide range of models. Moreover, further experiments investigate the relationship between linguistic similarity and cross-lingual weaknesses, revealing that linguistically related"&amp;" languages share similar performance patterns and benefit from targeted post-training. Code is available at https://github.com/xzx34/Cross-Lingual-Pitfalls.")</f>
        <v>Large Language Models (LLMs) have achieved remarkable success in Natural Language Processing (NLP), yet their cross-lingual consistency remains a significant challenge. This paper introduces a novel methodology for efficiently identifying inherent cross-lingual weaknesses in LLMs. Our approach leverages beam search and LLM-based simulation to generate bilingual question pairs that expose performance discrepancies between English and target languages. We construct a new dataset of over 6,000 bilingual pairs across 16 languages using this methodology, demonstrating its effectiveness in revealing weaknesses even in state-of-the-art models. The extensive experiments demonstrate that our method precisely and cost-effectively pinpoints cross-lingual weaknesses, consistently revealing over 50% accuracy drops in target languages across a wide range of models. Moreover, further experiments investigate the relationship between linguistic similarity and cross-lingual weaknesses, revealing that linguistically related languages share similar performance patterns and benefit from targeted post-training. Code is available at https://github.com/xzx34/Cross-Lingual-Pitfalls.</v>
      </c>
      <c r="D2011" s="7" t="str">
        <f>IFERROR(__xludf.DUMMYFUNCTION("""COMPUTED_VALUE"""),"Zixiang Xu")</f>
        <v>Zixiang Xu</v>
      </c>
      <c r="E2011" s="7" t="str">
        <f>IFERROR(__xludf.DUMMYFUNCTION("""COMPUTED_VALUE"""),"Yes")</f>
        <v>Yes</v>
      </c>
      <c r="F2011" s="7" t="str">
        <f>IFERROR(__xludf.DUMMYFUNCTION("""COMPUTED_VALUE"""),"IP-Poster")</f>
        <v>IP-Poster</v>
      </c>
      <c r="G2011" s="7" t="str">
        <f>IFERROR(__xludf.DUMMYFUNCTION("""COMPUTED_VALUE"""),"In-Person")</f>
        <v>In-Person</v>
      </c>
      <c r="H2011" s="7" t="str">
        <f>IFERROR(__xludf.DUMMYFUNCTION("""COMPUTED_VALUE"""),"Hall 4/5")</f>
        <v>Hall 4/5</v>
      </c>
      <c r="I2011" s="7" t="str">
        <f>IFERROR(__xludf.DUMMYFUNCTION("""COMPUTED_VALUE"""),"Session 7: IP-Posters")</f>
        <v>Session 7: IP-Posters</v>
      </c>
      <c r="J2011" s="7" t="str">
        <f>IFERROR(__xludf.DUMMYFUNCTION("""COMPUTED_VALUE"""),"Poster Session 2")</f>
        <v>Poster Session 2</v>
      </c>
      <c r="K2011" s="7"/>
      <c r="L2011" s="8">
        <f>IFERROR(__xludf.DUMMYFUNCTION("""COMPUTED_VALUE"""),45867.0)</f>
        <v>45867</v>
      </c>
      <c r="M2011" s="7" t="str">
        <f>IFERROR(__xludf.DUMMYFUNCTION("""COMPUTED_VALUE"""),"10:30-12:00")</f>
        <v>10:30-12:00</v>
      </c>
      <c r="N2011" s="7"/>
    </row>
    <row r="2012">
      <c r="A2012" s="7" t="str">
        <f>IFERROR(__xludf.DUMMYFUNCTION("""COMPUTED_VALUE"""),"913-MAIN")</f>
        <v>913-MAIN</v>
      </c>
      <c r="B2012" s="7" t="str">
        <f>IFERROR(__xludf.DUMMYFUNCTION("""COMPUTED_VALUE"""),"VLSBench: Unveiling Visual Leakage in Multimodal Safety")</f>
        <v>VLSBench: Unveiling Visual Leakage in Multimodal Safety</v>
      </c>
      <c r="C2012" s="7" t="str">
        <f>IFERROR(__xludf.DUMMYFUNCTION("""COMPUTED_VALUE"""),"Safety concerns of Multimodal large language models (MLLMs) have gradually become an important problem in various applications. Surprisingly, previous works indicate a counterintuitive phenomenon that using textual unlearning to align MLLMs achieves compa"&amp;"rable safety performances with MLLMs aligned with image-text pairs. To explain such a phenomenon, we discover a $\textit{\textbf{V}isual \textbf{S}afety \textbf{I}nformation \textbf{L}eakage} (\textbf{VSIL})$ problem in existing multimodal safety benchmar"&amp;"ks, $\textit{i.e.}$, the potentially risky content in the image has been revealed in the textual query. Thus, MLLMs can easily refuse these sensitive image-text pairs according to textual queries only, leading to \textbf{unreliable cross-modality safety e"&amp;"valuation of MLLMs}. We also conduct a further comparison experiment between textual alignment and multimodal alignment to highlight this drawback. To this end, we construct $\textit{\textbf{V}isual \textbf{L}eakless \textbf{S}afety \textbf{B}ench} (\text"&amp;"bf{VLSBench})$ with 2.2k image-text pairs through an automated data pipeline. Experimental results indicate that VLSBench poses a significant challenge to both open-source and close-source MLLMs, $\textit{i.e.}$, LLaVA, Qwen2-VL and GPT-4o. Besides, we em"&amp;"pirically compare textual and multimodal alignment methods on VLSBench and find that textual alignment is effective enough for multimodal safety scenarios with VSIL, while multimodal alignment is preferable for safety scenarios without VSIL.")</f>
        <v>Safety concerns of Multimodal large language models (MLLMs) have gradually become an important problem in various applications. Surprisingly, previous works indicate a counterintuitive phenomenon that using textual unlearning to align MLLMs achieves comparable safety performances with MLLMs aligned with image-text pairs. To explain such a phenomenon, we discover a $\textit{\textbf{V}isual \textbf{S}afety \textbf{I}nformation \textbf{L}eakage} (\textbf{VSIL})$ problem in existing multimodal safety benchmarks, $\textit{i.e.}$, the potentially risky content in the image has been revealed in the textual query. Thus, MLLMs can easily refuse these sensitive image-text pairs according to textual queries only, leading to \textbf{unreliable cross-modality safety evaluation of MLLMs}. We also conduct a further comparison experiment between textual alignment and multimodal alignment to highlight this drawback. To this end, we construct $\textit{\textbf{V}isual \textbf{L}eakless \textbf{S}afety \textbf{B}ench} (\textbf{VLSBench})$ with 2.2k image-text pairs through an automated data pipeline. Experimental results indicate that VLSBench poses a significant challenge to both open-source and close-source MLLMs, $\textit{i.e.}$, LLaVA, Qwen2-VL and GPT-4o. Besides, we empirically compare textual and multimodal alignment methods on VLSBench and find that textual alignment is effective enough for multimodal safety scenarios with VSIL, while multimodal alignment is preferable for safety scenarios without VSIL.</v>
      </c>
      <c r="D2012" s="7" t="str">
        <f>IFERROR(__xludf.DUMMYFUNCTION("""COMPUTED_VALUE"""),"Xuhao Hu")</f>
        <v>Xuhao Hu</v>
      </c>
      <c r="E2012" s="7" t="str">
        <f>IFERROR(__xludf.DUMMYFUNCTION("""COMPUTED_VALUE"""),"Yes")</f>
        <v>Yes</v>
      </c>
      <c r="F2012" s="7" t="str">
        <f>IFERROR(__xludf.DUMMYFUNCTION("""COMPUTED_VALUE"""),"IP-Poster")</f>
        <v>IP-Poster</v>
      </c>
      <c r="G2012" s="7" t="str">
        <f>IFERROR(__xludf.DUMMYFUNCTION("""COMPUTED_VALUE"""),"In-Person")</f>
        <v>In-Person</v>
      </c>
      <c r="H2012" s="7" t="str">
        <f>IFERROR(__xludf.DUMMYFUNCTION("""COMPUTED_VALUE"""),"Hall 4/5")</f>
        <v>Hall 4/5</v>
      </c>
      <c r="I2012" s="7" t="str">
        <f>IFERROR(__xludf.DUMMYFUNCTION("""COMPUTED_VALUE"""),"Session 10: IP-Posters")</f>
        <v>Session 10: IP-Posters</v>
      </c>
      <c r="J2012" s="7" t="str">
        <f>IFERROR(__xludf.DUMMYFUNCTION("""COMPUTED_VALUE"""),"Poster Session 3")</f>
        <v>Poster Session 3</v>
      </c>
      <c r="K2012" s="7"/>
      <c r="L2012" s="8">
        <f>IFERROR(__xludf.DUMMYFUNCTION("""COMPUTED_VALUE"""),45867.0)</f>
        <v>45867</v>
      </c>
      <c r="M2012" s="7" t="str">
        <f>IFERROR(__xludf.DUMMYFUNCTION("""COMPUTED_VALUE"""),"16:00-17:30")</f>
        <v>16:00-17:30</v>
      </c>
      <c r="N2012" s="7"/>
    </row>
    <row r="2013">
      <c r="A2013" s="7" t="str">
        <f>IFERROR(__xludf.DUMMYFUNCTION("""COMPUTED_VALUE"""),"918-MAIN")</f>
        <v>918-MAIN</v>
      </c>
      <c r="B2013" s="7" t="str">
        <f>IFERROR(__xludf.DUMMYFUNCTION("""COMPUTED_VALUE"""),"Browsing Lost Unformed Recollections: A Benchmark for Tip-of-the-Tongue Search and Reasoning")</f>
        <v>Browsing Lost Unformed Recollections: A Benchmark for Tip-of-the-Tongue Search and Reasoning</v>
      </c>
      <c r="C2013" s="7" t="str">
        <f>IFERROR(__xludf.DUMMYFUNCTION("""COMPUTED_VALUE"""),"We introduce Browsing Lost Unformed Recollections, a tip-of-the-tongue known-item search and reasoning benchmark for general AI assistants. BLUR introduces a set of 573 real-world validated questions that demand searching and reasoning across multimodal a"&amp;"nd multilingual inputs, as well as proficient tool use, in order to excel on. Humans easily ace these questions (scoring on average 98%), while the best-performing system scores around 56%. To facilitate progress toward addressing this challenging and asp"&amp;"irational use case for general AI assistants, we release 350 questions through a public leaderboard, retain the answers to 250 of them, and have the rest as a private test set.")</f>
        <v>We introduce Browsing Lost Unformed Recollections, a tip-of-the-tongue known-item search and reasoning benchmark for general AI assistants. BLUR introduces a set of 573 real-world validated questions that demand searching and reasoning across multimodal and multilingual inputs, as well as proficient tool use, in order to excel on. Humans easily ace these questions (scoring on average 98%), while the best-performing system scores around 56%. To facilitate progress toward addressing this challenging and aspirational use case for general AI assistants, we release 350 questions through a public leaderboard, retain the answers to 250 of them, and have the rest as a private test set.</v>
      </c>
      <c r="D2013" s="7" t="str">
        <f>IFERROR(__xludf.DUMMYFUNCTION("""COMPUTED_VALUE"""),"Sky CH-Wang")</f>
        <v>Sky CH-Wang</v>
      </c>
      <c r="E2013" s="7" t="str">
        <f>IFERROR(__xludf.DUMMYFUNCTION("""COMPUTED_VALUE"""),"Yes")</f>
        <v>Yes</v>
      </c>
      <c r="F2013" s="7" t="str">
        <f>IFERROR(__xludf.DUMMYFUNCTION("""COMPUTED_VALUE"""),"IP-Poster")</f>
        <v>IP-Poster</v>
      </c>
      <c r="G2013" s="7" t="str">
        <f>IFERROR(__xludf.DUMMYFUNCTION("""COMPUTED_VALUE"""),"In-Person")</f>
        <v>In-Person</v>
      </c>
      <c r="H2013" s="7" t="str">
        <f>IFERROR(__xludf.DUMMYFUNCTION("""COMPUTED_VALUE"""),"Hall 4/5")</f>
        <v>Hall 4/5</v>
      </c>
      <c r="I2013" s="7" t="str">
        <f>IFERROR(__xludf.DUMMYFUNCTION("""COMPUTED_VALUE"""),"Session 7: IP-Posters")</f>
        <v>Session 7: IP-Posters</v>
      </c>
      <c r="J2013" s="7" t="str">
        <f>IFERROR(__xludf.DUMMYFUNCTION("""COMPUTED_VALUE"""),"Poster Session 2")</f>
        <v>Poster Session 2</v>
      </c>
      <c r="K2013" s="7"/>
      <c r="L2013" s="8">
        <f>IFERROR(__xludf.DUMMYFUNCTION("""COMPUTED_VALUE"""),45867.0)</f>
        <v>45867</v>
      </c>
      <c r="M2013" s="7" t="str">
        <f>IFERROR(__xludf.DUMMYFUNCTION("""COMPUTED_VALUE"""),"10:30-12:00")</f>
        <v>10:30-12:00</v>
      </c>
      <c r="N2013" s="7"/>
    </row>
    <row r="2014">
      <c r="A2014" s="7" t="str">
        <f>IFERROR(__xludf.DUMMYFUNCTION("""COMPUTED_VALUE"""),"920-MAIN")</f>
        <v>920-MAIN</v>
      </c>
      <c r="B2014" s="7" t="str">
        <f>IFERROR(__xludf.DUMMYFUNCTION("""COMPUTED_VALUE"""),"Subword models struggle with word learning, but surprisal hides it")</f>
        <v>Subword models struggle with word learning, but surprisal hides it</v>
      </c>
      <c r="C2014" s="7" t="str">
        <f>IFERROR(__xludf.DUMMYFUNCTION("""COMPUTED_VALUE"""),"We study word learning in subword and character language models with the psycholinguistic lexical decision task. While subword LMs struggle to discern words and non-words with high accuracy, character LMs solve this task easily and consistently. Only when"&amp;" supplied with further contexts do subword LMs perform similarly to character models. Additionally, when looking at word-level and syntactic learning trajectories, we find that both processes are separable in character LMs. Word learning happens before sy"&amp;"ntactic learning, whereas both occur simultaneously in subword LMs. This raises questions about the adequacy of subword LMs for modeling language acquisition and positions character LMs as a viable alternative to study processes below the syntactic level.")</f>
        <v>We study word learning in subword and character language models with the psycholinguistic lexical decision task. While subword LMs struggle to discern words and non-words with high accuracy, character LMs solve this task easily and consistently. Only when supplied with further contexts do subword LMs perform similarly to character models. Additionally, when looking at word-level and syntactic learning trajectories, we find that both processes are separable in character LMs. Word learning happens before syntactic learning, whereas both occur simultaneously in subword LMs. This raises questions about the adequacy of subword LMs for modeling language acquisition and positions character LMs as a viable alternative to study processes below the syntactic level.</v>
      </c>
      <c r="D2014" s="7" t="str">
        <f>IFERROR(__xludf.DUMMYFUNCTION("""COMPUTED_VALUE"""),"Bastian Bunzeck")</f>
        <v>Bastian Bunzeck</v>
      </c>
      <c r="E2014" s="7" t="str">
        <f>IFERROR(__xludf.DUMMYFUNCTION("""COMPUTED_VALUE"""),"Yes")</f>
        <v>Yes</v>
      </c>
      <c r="F2014" s="7" t="str">
        <f>IFERROR(__xludf.DUMMYFUNCTION("""COMPUTED_VALUE"""),"IP-Poster")</f>
        <v>IP-Poster</v>
      </c>
      <c r="G2014" s="7" t="str">
        <f>IFERROR(__xludf.DUMMYFUNCTION("""COMPUTED_VALUE"""),"In-Person")</f>
        <v>In-Person</v>
      </c>
      <c r="H2014" s="7" t="str">
        <f>IFERROR(__xludf.DUMMYFUNCTION("""COMPUTED_VALUE"""),"Hall 4/5")</f>
        <v>Hall 4/5</v>
      </c>
      <c r="I2014" s="7" t="str">
        <f>IFERROR(__xludf.DUMMYFUNCTION("""COMPUTED_VALUE"""),"Session 12: IP-Posters")</f>
        <v>Session 12: IP-Posters</v>
      </c>
      <c r="J2014" s="7" t="str">
        <f>IFERROR(__xludf.DUMMYFUNCTION("""COMPUTED_VALUE"""),"Poster Session 4")</f>
        <v>Poster Session 4</v>
      </c>
      <c r="K2014" s="7"/>
      <c r="L2014" s="8">
        <f>IFERROR(__xludf.DUMMYFUNCTION("""COMPUTED_VALUE"""),45868.0)</f>
        <v>45868</v>
      </c>
      <c r="M2014" s="7" t="str">
        <f>IFERROR(__xludf.DUMMYFUNCTION("""COMPUTED_VALUE"""),"11:00-12:30")</f>
        <v>11:00-12:30</v>
      </c>
      <c r="N2014" s="7"/>
    </row>
    <row r="2015">
      <c r="A2015" s="7" t="str">
        <f>IFERROR(__xludf.DUMMYFUNCTION("""COMPUTED_VALUE"""),"924-MAIN")</f>
        <v>924-MAIN</v>
      </c>
      <c r="B2015" s="7" t="str">
        <f>IFERROR(__xludf.DUMMYFUNCTION("""COMPUTED_VALUE"""),"Data Laundering: Artificially Boosting Benchmark Results through Knowledge Distillation")</f>
        <v>Data Laundering: Artificially Boosting Benchmark Results through Knowledge Distillation</v>
      </c>
      <c r="C2015" s="7" t="str">
        <f>IFERROR(__xludf.DUMMYFUNCTION("""COMPUTED_VALUE"""),"In this paper, we show that knowledge distillation can be subverted to manipulate language model benchmark scores, revealing a critical vulnerability in current evaluation practices. We introduce ""Data Laundering,"" a process that enables the covert tran"&amp;"sfer of benchmark-specific knowledge through seemingly legitimate intermediate training steps. Through extensive experiments with a 2-layer BERT student model, we show how this approach can achieve substantial improvements in benchmark accuracy (up to 75\"&amp;"% on GPQA) without developing genuine reasoning capabilities. Notably, this method can be exploited intentionally or even unintentionally, as researchers may inadvertently adopt this method and inflate scores without realising the implications. While our "&amp;"findings demonstrate the effectiveness of this technique, we present them as a cautionary tale highlighting the urgent need for more robust evaluation methods in AI. This work aims to contribute to the ongoing discussion about evaluation integrity in AI d"&amp;"evelopment and the need for benchmarks that more accurately reflect true model capabilities. The code is available at \url{https://github.com/mbzuai-nlp/data_laundering}.")</f>
        <v>In this paper, we show that knowledge distillation can be subverted to manipulate language model benchmark scores, revealing a critical vulnerability in current evaluation practices. We introduce "Data Laundering," a process that enables the covert transfer of benchmark-specific knowledge through seemingly legitimate intermediate training steps. Through extensive experiments with a 2-layer BERT student model, we show how this approach can achieve substantial improvements in benchmark accuracy (up to 75\% on GPQA) without developing genuine reasoning capabilities. Notably, this method can be exploited intentionally or even unintentionally, as researchers may inadvertently adopt this method and inflate scores without realising the implications. While our findings demonstrate the effectiveness of this technique, we present them as a cautionary tale highlighting the urgent need for more robust evaluation methods in AI. This work aims to contribute to the ongoing discussion about evaluation integrity in AI development and the need for benchmarks that more accurately reflect true model capabilities. The code is available at \url{https://github.com/mbzuai-nlp/data_laundering}.</v>
      </c>
      <c r="D2015" s="7" t="str">
        <f>IFERROR(__xludf.DUMMYFUNCTION("""COMPUTED_VALUE"""),"Jonibek Mansurov")</f>
        <v>Jonibek Mansurov</v>
      </c>
      <c r="E2015" s="7" t="str">
        <f>IFERROR(__xludf.DUMMYFUNCTION("""COMPUTED_VALUE"""),"Yes")</f>
        <v>Yes</v>
      </c>
      <c r="F2015" s="7" t="str">
        <f>IFERROR(__xludf.DUMMYFUNCTION("""COMPUTED_VALUE"""),"IP-Oral")</f>
        <v>IP-Oral</v>
      </c>
      <c r="G2015" s="7" t="str">
        <f>IFERROR(__xludf.DUMMYFUNCTION("""COMPUTED_VALUE"""),"In-Person")</f>
        <v>In-Person</v>
      </c>
      <c r="H2015" s="7" t="str">
        <f>IFERROR(__xludf.DUMMYFUNCTION("""COMPUTED_VALUE"""),"Hall B")</f>
        <v>Hall B</v>
      </c>
      <c r="I2015" s="7" t="str">
        <f>IFERROR(__xludf.DUMMYFUNCTION("""COMPUTED_VALUE"""),"Session 9: IP-Orals")</f>
        <v>Session 9: IP-Orals</v>
      </c>
      <c r="J2015" s="7" t="str">
        <f>IFERROR(__xludf.DUMMYFUNCTION("""COMPUTED_VALUE"""),"Resources and Evaluation 2")</f>
        <v>Resources and Evaluation 2</v>
      </c>
      <c r="K2015" s="7"/>
      <c r="L2015" s="8">
        <f>IFERROR(__xludf.DUMMYFUNCTION("""COMPUTED_VALUE"""),45867.0)</f>
        <v>45867</v>
      </c>
      <c r="M2015" s="7" t="str">
        <f>IFERROR(__xludf.DUMMYFUNCTION("""COMPUTED_VALUE"""),"14:00-15:30")</f>
        <v>14:00-15:30</v>
      </c>
      <c r="N2015" s="7">
        <f>IFERROR(__xludf.DUMMYFUNCTION("""COMPUTED_VALUE"""),5.0)</f>
        <v>5</v>
      </c>
    </row>
    <row r="2016">
      <c r="A2016" s="7" t="str">
        <f>IFERROR(__xludf.DUMMYFUNCTION("""COMPUTED_VALUE"""),"925-MAIN")</f>
        <v>925-MAIN</v>
      </c>
      <c r="B2016" s="7" t="str">
        <f>IFERROR(__xludf.DUMMYFUNCTION("""COMPUTED_VALUE"""),"Conspiracy Theories and Where to Find Them on TikTok")</f>
        <v>Conspiracy Theories and Where to Find Them on TikTok</v>
      </c>
      <c r="C2016" s="7" t="str">
        <f>IFERROR(__xludf.DUMMYFUNCTION("""COMPUTED_VALUE"""),"TikTok has skyrocketed in popularity over recent years, especially among younger audiences. However, there are public concerns about the potential of this platform to promote and amplify harmful content. 
This study presents the first systematic analysis "&amp;"of conspiracy theories on TikTok. By leveraging the official TikTok Research API we collect a longitudinal dataset of 1.5M videos shared in the U.S. over three years. 
We estimate a lower bound on the prevalence of conspiratorial videos (up to 1000 new vi"&amp;"deos per month) and evaluate the effects of TikTok's Creativity Program for monetization, observing an overall increase in video duration regardless of content. 
Lastly, we evaluate the capabilities of state-of-the-art open-weight Large Language Models to"&amp;" identify conspiracy theories from audio transcriptions of videos. 
While these models achieve high precision in detecting harmful content (up to 96%), their overall performance remains comparable to fine-tuned traditional models such as RoBERTa. Our find"&amp;"ings suggest that Large Language Models can serve as an effective tool for supporting content moderation strategies aimed at reducing the spread of harmful content on TikTok.")</f>
        <v>TikTok has skyrocketed in popularity over recent years, especially among younger audiences. However, there are public concerns about the potential of this platform to promote and amplify harmful content. 
This study presents the first systematic analysis of conspiracy theories on TikTok. By leveraging the official TikTok Research API we collect a longitudinal dataset of 1.5M videos shared in the U.S. over three years. 
We estimate a lower bound on the prevalence of conspiratorial videos (up to 1000 new videos per month) and evaluate the effects of TikTok's Creativity Program for monetization, observing an overall increase in video duration regardless of content. 
Lastly, we evaluate the capabilities of state-of-the-art open-weight Large Language Models to identify conspiracy theories from audio transcriptions of videos. 
While these models achieve high precision in detecting harmful content (up to 96%), their overall performance remains comparable to fine-tuned traditional models such as RoBERTa. Our findings suggest that Large Language Models can serve as an effective tool for supporting content moderation strategies aimed at reducing the spread of harmful content on TikTok.</v>
      </c>
      <c r="D2016" s="7" t="str">
        <f>IFERROR(__xludf.DUMMYFUNCTION("""COMPUTED_VALUE"""),"Francesco Corso")</f>
        <v>Francesco Corso</v>
      </c>
      <c r="E2016" s="7" t="str">
        <f>IFERROR(__xludf.DUMMYFUNCTION("""COMPUTED_VALUE"""),"Yes")</f>
        <v>Yes</v>
      </c>
      <c r="F2016" s="7" t="str">
        <f>IFERROR(__xludf.DUMMYFUNCTION("""COMPUTED_VALUE"""),"IP-Poster")</f>
        <v>IP-Poster</v>
      </c>
      <c r="G2016" s="7" t="str">
        <f>IFERROR(__xludf.DUMMYFUNCTION("""COMPUTED_VALUE"""),"In-Person")</f>
        <v>In-Person</v>
      </c>
      <c r="H2016" s="7" t="str">
        <f>IFERROR(__xludf.DUMMYFUNCTION("""COMPUTED_VALUE"""),"Hall 4/5")</f>
        <v>Hall 4/5</v>
      </c>
      <c r="I2016" s="7" t="str">
        <f>IFERROR(__xludf.DUMMYFUNCTION("""COMPUTED_VALUE"""),"Session 12: IP-Posters")</f>
        <v>Session 12: IP-Posters</v>
      </c>
      <c r="J2016" s="7" t="str">
        <f>IFERROR(__xludf.DUMMYFUNCTION("""COMPUTED_VALUE"""),"Poster Session 4")</f>
        <v>Poster Session 4</v>
      </c>
      <c r="K2016" s="7"/>
      <c r="L2016" s="8">
        <f>IFERROR(__xludf.DUMMYFUNCTION("""COMPUTED_VALUE"""),45868.0)</f>
        <v>45868</v>
      </c>
      <c r="M2016" s="7" t="str">
        <f>IFERROR(__xludf.DUMMYFUNCTION("""COMPUTED_VALUE"""),"11:00-12:30")</f>
        <v>11:00-12:30</v>
      </c>
      <c r="N2016" s="7"/>
    </row>
    <row r="2017">
      <c r="A2017" s="7" t="str">
        <f>IFERROR(__xludf.DUMMYFUNCTION("""COMPUTED_VALUE"""),"928-MAIN")</f>
        <v>928-MAIN</v>
      </c>
      <c r="B2017" s="7" t="str">
        <f>IFERROR(__xludf.DUMMYFUNCTION("""COMPUTED_VALUE"""),"Growing Through Experience: Scaling Episodic Grounding in Language Models")</f>
        <v>Growing Through Experience: Scaling Episodic Grounding in Language Models</v>
      </c>
      <c r="C2017" s="7" t="str">
        <f>IFERROR(__xludf.DUMMYFUNCTION("""COMPUTED_VALUE"""),"Language models (LMs) require effective episodic grounding—the ability to learn from and apply past experiences—to perform well at physical planning tasks. While current approaches struggle with scalability and integration of episodic memory, which is par"&amp;"ticularly limited for medium-sized LMs (7B parameters), larger LMs (70-405B) offer untapped potential through their hierarchical representations and extensive pre-trained knowledge. Therefore, to unlock larger LMs' potential for grounding, we present a sc"&amp;"alable weak-to-strong episodic learning framework that efficiently transfers episodic behaviors from smaller to larger LMs. It uses Monte Carlo tree search for structured experience collection with a novel distillation method that preserves LM capabilitie"&amp;"s while incorporating episodic memory. This enables larger LMs to leverage their inherent advantages for improved physical planning. Experiments show our solution outperforms top proprietary LMs by 3.45\% across diverse planning and question-answering tas"&amp;"ks. Layer-wise probing reveals systematic improvements in task alignment, particularly in later LM layers. It shows stable generalization to even unseen scenarios, even as planning steps increase, whereas baselines deteriorate sharply beyond a complexity "&amp;"threshold of four planning steps.")</f>
        <v>Language models (LMs) require effective episodic grounding—the ability to learn from and apply past experiences—to perform well at physical planning tasks. While current approaches struggle with scalability and integration of episodic memory, which is particularly limited for medium-sized LMs (7B parameters), larger LMs (70-405B) offer untapped potential through their hierarchical representations and extensive pre-trained knowledge. Therefore, to unlock larger LMs' potential for grounding, we present a scalable weak-to-strong episodic learning framework that efficiently transfers episodic behaviors from smaller to larger LMs. It uses Monte Carlo tree search for structured experience collection with a novel distillation method that preserves LM capabilities while incorporating episodic memory. This enables larger LMs to leverage their inherent advantages for improved physical planning. Experiments show our solution outperforms top proprietary LMs by 3.45\% across diverse planning and question-answering tasks. Layer-wise probing reveals systematic improvements in task alignment, particularly in later LM layers. It shows stable generalization to even unseen scenarios, even as planning steps increase, whereas baselines deteriorate sharply beyond a complexity threshold of four planning steps.</v>
      </c>
      <c r="D2017" s="7" t="str">
        <f>IFERROR(__xludf.DUMMYFUNCTION("""COMPUTED_VALUE"""),"Soroush Vosoughi")</f>
        <v>Soroush Vosoughi</v>
      </c>
      <c r="E2017" s="7" t="str">
        <f>IFERROR(__xludf.DUMMYFUNCTION("""COMPUTED_VALUE"""),"Yes")</f>
        <v>Yes</v>
      </c>
      <c r="F2017" s="7" t="str">
        <f>IFERROR(__xludf.DUMMYFUNCTION("""COMPUTED_VALUE"""),"IP-Oral")</f>
        <v>IP-Oral</v>
      </c>
      <c r="G2017" s="7" t="str">
        <f>IFERROR(__xludf.DUMMYFUNCTION("""COMPUTED_VALUE"""),"In-Person")</f>
        <v>In-Person</v>
      </c>
      <c r="H2017" s="7" t="str">
        <f>IFERROR(__xludf.DUMMYFUNCTION("""COMPUTED_VALUE"""),"Room 1.61")</f>
        <v>Room 1.61</v>
      </c>
      <c r="I2017" s="7" t="str">
        <f>IFERROR(__xludf.DUMMYFUNCTION("""COMPUTED_VALUE"""),"Session 3: IP-Orals")</f>
        <v>Session 3: IP-Orals</v>
      </c>
      <c r="J2017" s="7" t="str">
        <f>IFERROR(__xludf.DUMMYFUNCTION("""COMPUTED_VALUE"""),"Linguistic Theories and Cognitive Modeling")</f>
        <v>Linguistic Theories and Cognitive Modeling</v>
      </c>
      <c r="K2017" s="7"/>
      <c r="L2017" s="8">
        <f>IFERROR(__xludf.DUMMYFUNCTION("""COMPUTED_VALUE"""),45866.0)</f>
        <v>45866</v>
      </c>
      <c r="M2017" s="7" t="str">
        <f>IFERROR(__xludf.DUMMYFUNCTION("""COMPUTED_VALUE"""),"14:00-15:30")</f>
        <v>14:00-15:30</v>
      </c>
      <c r="N2017" s="7">
        <f>IFERROR(__xludf.DUMMYFUNCTION("""COMPUTED_VALUE"""),4.0)</f>
        <v>4</v>
      </c>
    </row>
    <row r="2018">
      <c r="A2018" s="7" t="str">
        <f>IFERROR(__xludf.DUMMYFUNCTION("""COMPUTED_VALUE"""),"929-MAIN")</f>
        <v>929-MAIN</v>
      </c>
      <c r="B2018" s="7" t="str">
        <f>IFERROR(__xludf.DUMMYFUNCTION("""COMPUTED_VALUE"""),"LLM as Entity Disambiguator for Biomedical Entity-Linking")</f>
        <v>LLM as Entity Disambiguator for Biomedical Entity-Linking</v>
      </c>
      <c r="C2018" s="7" t="str">
        <f>IFERROR(__xludf.DUMMYFUNCTION("""COMPUTED_VALUE"""),"Entity linking involves normalizing a mention in medical text to a unique identifier in a knowledge base, such as UMLS or MeSH. Most entity linkers follow a two-stage process: first, a candidate generation step selects high-quality candidates, and then a "&amp;"named entity disambiguation phase determines the best candidate for final linking. This study demonstrates that leveraging a large language model (LLM) as an entity disambiguator significantly enhances entity linking models' accuracy and recall. Specifica"&amp;"lly, the LLM disambiguator achieves remarkable improvements when applied to alias-matching entity linking methods. Without any fine-tuning, our approach establishes a new state-of-the-art (SOTA), surpassing previous methods on multiple prevalent biomedica"&amp;"l datasets by up to 16 points in accuracy. We released our code on GitHub at https://github.com/ChristopheYe/llm_disambiguator")</f>
        <v>Entity linking involves normalizing a mention in medical text to a unique identifier in a knowledge base, such as UMLS or MeSH. Most entity linkers follow a two-stage process: first, a candidate generation step selects high-quality candidates, and then a named entity disambiguation phase determines the best candidate for final linking. This study demonstrates that leveraging a large language model (LLM) as an entity disambiguator significantly enhances entity linking models' accuracy and recall. Specifically, the LLM disambiguator achieves remarkable improvements when applied to alias-matching entity linking methods. Without any fine-tuning, our approach establishes a new state-of-the-art (SOTA), surpassing previous methods on multiple prevalent biomedical datasets by up to 16 points in accuracy. We released our code on GitHub at https://github.com/ChristopheYe/llm_disambiguator</v>
      </c>
      <c r="D2018" s="7" t="str">
        <f>IFERROR(__xludf.DUMMYFUNCTION("""COMPUTED_VALUE"""),"Christophe Ye")</f>
        <v>Christophe Ye</v>
      </c>
      <c r="E2018" s="7" t="str">
        <f>IFERROR(__xludf.DUMMYFUNCTION("""COMPUTED_VALUE"""),"Yes")</f>
        <v>Yes</v>
      </c>
      <c r="F2018" s="7" t="str">
        <f>IFERROR(__xludf.DUMMYFUNCTION("""COMPUTED_VALUE"""),"V-Presentation")</f>
        <v>V-Presentation</v>
      </c>
      <c r="G2018" s="7" t="str">
        <f>IFERROR(__xludf.DUMMYFUNCTION("""COMPUTED_VALUE"""),"Virtual/Gather")</f>
        <v>Virtual/Gather</v>
      </c>
      <c r="H2018" s="7" t="str">
        <f>IFERROR(__xludf.DUMMYFUNCTION("""COMPUTED_VALUE"""),"Zoom")</f>
        <v>Zoom</v>
      </c>
      <c r="I2018" s="7" t="str">
        <f>IFERROR(__xludf.DUMMYFUNCTION("""COMPUTED_VALUE"""),"Session 10: V-Presenations")</f>
        <v>Session 10: V-Presenations</v>
      </c>
      <c r="J2018" s="7" t="str">
        <f>IFERROR(__xludf.DUMMYFUNCTION("""COMPUTED_VALUE"""),"Virtual Presentations 3")</f>
        <v>Virtual Presentations 3</v>
      </c>
      <c r="K2018" s="7"/>
      <c r="L2018" s="8">
        <f>IFERROR(__xludf.DUMMYFUNCTION("""COMPUTED_VALUE"""),45867.0)</f>
        <v>45867</v>
      </c>
      <c r="M2018" s="7" t="str">
        <f>IFERROR(__xludf.DUMMYFUNCTION("""COMPUTED_VALUE"""),"16:00-17:30")</f>
        <v>16:00-17:30</v>
      </c>
      <c r="N2018" s="7"/>
    </row>
    <row r="2019">
      <c r="A2019" s="7" t="str">
        <f>IFERROR(__xludf.DUMMYFUNCTION("""COMPUTED_VALUE"""),"931-MAIN")</f>
        <v>931-MAIN</v>
      </c>
      <c r="B2019" s="7" t="str">
        <f>IFERROR(__xludf.DUMMYFUNCTION("""COMPUTED_VALUE"""),"Exploiting the Shadows: Unveiling Privacy Leaks through Lower-Ranked Tokens in Large Language Models")</f>
        <v>Exploiting the Shadows: Unveiling Privacy Leaks through Lower-Ranked Tokens in Large Language Models</v>
      </c>
      <c r="C2019" s="7" t="str">
        <f>IFERROR(__xludf.DUMMYFUNCTION("""COMPUTED_VALUE"""),"Large language models (LLMs) play a crucial role in modern applications but face vulnerabilities related to the extraction of sensitive information. This includes unauthorized accesses to internal prompts and retrieval of personally identifiable informati"&amp;"on (PII) (e.g., in Retrieval-Augmented Generation based agentic applications). We examine these vulnerabilities in a question-answering (QA) setting where LLMs use retrieved documents or training knowledge as few-shot prompts. Although these documents rem"&amp;"ain confidential under normal use, adversaries can manipulate input queries to extract private content. In this paper, we propose a novel attack method by exploiting the model’s lower-ranked output tokens to leak sensitive information. We systematically e"&amp;"valuate our method, demonstrating its effectiveness in both the agentic application privacy extraction setting and the direct training data extraction. These findings reveal critical privacy risks in LLMs and emphasize the urgent need for enhanced safegua"&amp;"rds against information leakage.")</f>
        <v>Large language models (LLMs) play a crucial role in modern applications but face vulnerabilities related to the extraction of sensitive information. This includes unauthorized accesses to internal prompts and retrieval of personally identifiable information (PII) (e.g., in Retrieval-Augmented Generation based agentic applications). We examine these vulnerabilities in a question-answering (QA) setting where LLMs use retrieved documents or training knowledge as few-shot prompts. Although these documents remain confidential under normal use, adversaries can manipulate input queries to extract private content. In this paper, we propose a novel attack method by exploiting the model’s lower-ranked output tokens to leak sensitive information. We systematically evaluate our method, demonstrating its effectiveness in both the agentic application privacy extraction setting and the direct training data extraction. These findings reveal critical privacy risks in LLMs and emphasize the urgent need for enhanced safeguards against information leakage.</v>
      </c>
      <c r="D2019" s="7" t="str">
        <f>IFERROR(__xludf.DUMMYFUNCTION("""COMPUTED_VALUE"""),"Yuan Zhou")</f>
        <v>Yuan Zhou</v>
      </c>
      <c r="E2019" s="7" t="str">
        <f>IFERROR(__xludf.DUMMYFUNCTION("""COMPUTED_VALUE"""),"Yes")</f>
        <v>Yes</v>
      </c>
      <c r="F2019" s="7" t="str">
        <f>IFERROR(__xludf.DUMMYFUNCTION("""COMPUTED_VALUE"""),"V-Presentation")</f>
        <v>V-Presentation</v>
      </c>
      <c r="G2019" s="7" t="str">
        <f>IFERROR(__xludf.DUMMYFUNCTION("""COMPUTED_VALUE"""),"Virtual/Gather")</f>
        <v>Virtual/Gather</v>
      </c>
      <c r="H2019" s="7" t="str">
        <f>IFERROR(__xludf.DUMMYFUNCTION("""COMPUTED_VALUE"""),"Zoom")</f>
        <v>Zoom</v>
      </c>
      <c r="I2019" s="7" t="str">
        <f>IFERROR(__xludf.DUMMYFUNCTION("""COMPUTED_VALUE"""),"Session 10: V-Presenations")</f>
        <v>Session 10: V-Presenations</v>
      </c>
      <c r="J2019" s="7" t="str">
        <f>IFERROR(__xludf.DUMMYFUNCTION("""COMPUTED_VALUE"""),"Virtual Presentations 3")</f>
        <v>Virtual Presentations 3</v>
      </c>
      <c r="K2019" s="7"/>
      <c r="L2019" s="8">
        <f>IFERROR(__xludf.DUMMYFUNCTION("""COMPUTED_VALUE"""),45867.0)</f>
        <v>45867</v>
      </c>
      <c r="M2019" s="7" t="str">
        <f>IFERROR(__xludf.DUMMYFUNCTION("""COMPUTED_VALUE"""),"16:00-17:30")</f>
        <v>16:00-17:30</v>
      </c>
      <c r="N2019" s="7"/>
    </row>
    <row r="2020">
      <c r="A2020" s="7" t="str">
        <f>IFERROR(__xludf.DUMMYFUNCTION("""COMPUTED_VALUE"""),"934-MAIN")</f>
        <v>934-MAIN</v>
      </c>
      <c r="B2020" s="7" t="str">
        <f>IFERROR(__xludf.DUMMYFUNCTION("""COMPUTED_VALUE"""),"Towards Geo-Culturally Grounded LLM Generations")</f>
        <v>Towards Geo-Culturally Grounded LLM Generations</v>
      </c>
      <c r="C2020" s="7" t="str">
        <f>IFERROR(__xludf.DUMMYFUNCTION("""COMPUTED_VALUE"""),"Generative large language models (LLMs) have demonstrated gaps in diverse cultural awareness across the globe. We investigate the effect of retrieval augmented generation and search-grounding techniques on LLMs' ability to display familiarity with various"&amp;" national cultures. Specifically, we compare the performance of standard LLMs, LLMs augmented with retrievals from a bespoke knowledge base (i.e., KB grounding), and LLMs augmented with retrievals from a web search (i.e., search grounding) on multiple cul"&amp;"tural awareness benchmarks. We find that search grounding significantly improves the LLM performance on multiple-choice benchmarks that test propositional knowledge (e.g., cultural norms, artifacts, and institutions), while KB grounding's effectiveness is"&amp;" limited by inadequate knowledge base coverage and a suboptimal retriever. However, search grounding also increases the risk of stereotypical judgments by language models and fails to improve evaluators' judgments of cultural familiarity in a human evalua"&amp;"tion with adequate statistical power. These results highlight the distinction between propositional cultural knowledge and open-ended cultural fluency when it comes to evaluating LLMs' cultural awareness.")</f>
        <v>Generative large language models (LLMs) have demonstrated gaps in diverse cultural awareness across the globe. We investigate the effect of retrieval augmented generation and search-grounding techniques on LLMs' ability to display familiarity with various national cultures. Specifically, we compare the performance of standard LLMs, LLMs augmented with retrievals from a bespoke knowledge base (i.e., KB grounding), and LLMs augmented with retrievals from a web search (i.e., search grounding) on multiple cultural awareness benchmarks. We find that search grounding significantly improves the LLM performance on multiple-choice benchmarks that test propositional knowledge (e.g., cultural norms, artifacts, and institutions), while KB grounding's effectiveness is limited by inadequate knowledge base coverage and a suboptimal retriever. However, search grounding also increases the risk of stereotypical judgments by language models and fails to improve evaluators' judgments of cultural familiarity in a human evaluation with adequate statistical power. These results highlight the distinction between propositional cultural knowledge and open-ended cultural fluency when it comes to evaluating LLMs' cultural awareness.</v>
      </c>
      <c r="D2020" s="7" t="str">
        <f>IFERROR(__xludf.DUMMYFUNCTION("""COMPUTED_VALUE"""),"Piyawat Lertvittayakumjorn")</f>
        <v>Piyawat Lertvittayakumjorn</v>
      </c>
      <c r="E2020" s="7" t="str">
        <f>IFERROR(__xludf.DUMMYFUNCTION("""COMPUTED_VALUE"""),"Yes")</f>
        <v>Yes</v>
      </c>
      <c r="F2020" s="7" t="str">
        <f>IFERROR(__xludf.DUMMYFUNCTION("""COMPUTED_VALUE"""),"IP-Poster")</f>
        <v>IP-Poster</v>
      </c>
      <c r="G2020" s="7" t="str">
        <f>IFERROR(__xludf.DUMMYFUNCTION("""COMPUTED_VALUE"""),"In-Person")</f>
        <v>In-Person</v>
      </c>
      <c r="H2020" s="7" t="str">
        <f>IFERROR(__xludf.DUMMYFUNCTION("""COMPUTED_VALUE"""),"Hall 4/5")</f>
        <v>Hall 4/5</v>
      </c>
      <c r="I2020" s="7" t="str">
        <f>IFERROR(__xludf.DUMMYFUNCTION("""COMPUTED_VALUE"""),"Session 10: IP-Posters")</f>
        <v>Session 10: IP-Posters</v>
      </c>
      <c r="J2020" s="7" t="str">
        <f>IFERROR(__xludf.DUMMYFUNCTION("""COMPUTED_VALUE"""),"Poster Session 3")</f>
        <v>Poster Session 3</v>
      </c>
      <c r="K2020" s="7"/>
      <c r="L2020" s="8">
        <f>IFERROR(__xludf.DUMMYFUNCTION("""COMPUTED_VALUE"""),45867.0)</f>
        <v>45867</v>
      </c>
      <c r="M2020" s="7" t="str">
        <f>IFERROR(__xludf.DUMMYFUNCTION("""COMPUTED_VALUE"""),"16:00-17:30")</f>
        <v>16:00-17:30</v>
      </c>
      <c r="N2020" s="7"/>
    </row>
    <row r="2021">
      <c r="A2021" s="7" t="str">
        <f>IFERROR(__xludf.DUMMYFUNCTION("""COMPUTED_VALUE"""),"936-MAIN")</f>
        <v>936-MAIN</v>
      </c>
      <c r="B2021" s="7" t="str">
        <f>IFERROR(__xludf.DUMMYFUNCTION("""COMPUTED_VALUE"""),"Attacking Vision-Language Computer Agents via Pop-ups")</f>
        <v>Attacking Vision-Language Computer Agents via Pop-ups</v>
      </c>
      <c r="C2021" s="7" t="str">
        <f>IFERROR(__xludf.DUMMYFUNCTION("""COMPUTED_VALUE"""),"Autonomous agents powered by large vision and language models (VLM) have demonstrated significant potential in completing daily computer tasks, such as browsing the web to book travel and operating desktop software, which requires agents to understand the"&amp;"se interfaces. Despite such visual inputs becoming more integrated into agentic applications, what types of risks and attacks exist around them still remain unclear. In this work, we demonstrate that VLM agents can be easily attacked by a set of carefully"&amp;" designed adversarial pop-ups, which human users would typically recognize and ignore. This distraction leads agents to click these pop-ups instead of performing their tasks as usual. Integrating these pop-ups into existing agent testing environments like"&amp;" OSWorld and VisualWebArena leads to an attack success rate (the frequency of the agent clicking the pop-ups) of 86% on average and decreases the task success rate by 47%. Basic defense techniques, such as asking the agent to ignore pop-ups or including a"&amp;"n advertisement notice, are ineffective against the attack. Code is available at [this link](https://github.com/SALT-NLP/PopupAttack).")</f>
        <v>Autonomous agents powered by large vision and language models (VLM) have demonstrated significant potential in completing daily computer tasks, such as browsing the web to book travel and operating desktop software, which requires agents to understand these interfaces. Despite such visual inputs becoming more integrated into agentic applications, what types of risks and attacks exist around them still remain unclear. In this work, we demonstrate that VLM agents can be easily attacked by a set of carefully designed adversarial pop-ups, which human users would typically recognize and ignore. This distraction leads agents to click these pop-ups instead of performing their tasks as usual. Integrating these pop-ups into existing agent testing environments like OSWorld and VisualWebArena leads to an attack success rate (the frequency of the agent clicking the pop-ups) of 86% on average and decreases the task success rate by 47%. Basic defense techniques, such as asking the agent to ignore pop-ups or including an advertisement notice, are ineffective against the attack. Code is available at [this link](https://github.com/SALT-NLP/PopupAttack).</v>
      </c>
      <c r="D2021" s="7" t="str">
        <f>IFERROR(__xludf.DUMMYFUNCTION("""COMPUTED_VALUE"""),"Yanzhe Zhang")</f>
        <v>Yanzhe Zhang</v>
      </c>
      <c r="E2021" s="7" t="str">
        <f>IFERROR(__xludf.DUMMYFUNCTION("""COMPUTED_VALUE"""),"Yes")</f>
        <v>Yes</v>
      </c>
      <c r="F2021" s="7" t="str">
        <f>IFERROR(__xludf.DUMMYFUNCTION("""COMPUTED_VALUE"""),"IP-Poster")</f>
        <v>IP-Poster</v>
      </c>
      <c r="G2021" s="7" t="str">
        <f>IFERROR(__xludf.DUMMYFUNCTION("""COMPUTED_VALUE"""),"In-Person")</f>
        <v>In-Person</v>
      </c>
      <c r="H2021" s="7" t="str">
        <f>IFERROR(__xludf.DUMMYFUNCTION("""COMPUTED_VALUE"""),"Hall 4/5")</f>
        <v>Hall 4/5</v>
      </c>
      <c r="I2021" s="7" t="str">
        <f>IFERROR(__xludf.DUMMYFUNCTION("""COMPUTED_VALUE"""),"Session 2: IP-Posters ")</f>
        <v>Session 2: IP-Posters </v>
      </c>
      <c r="J2021" s="7" t="str">
        <f>IFERROR(__xludf.DUMMYFUNCTION("""COMPUTED_VALUE"""),"Poster Session 1")</f>
        <v>Poster Session 1</v>
      </c>
      <c r="K2021" s="7"/>
      <c r="L2021" s="8">
        <f>IFERROR(__xludf.DUMMYFUNCTION("""COMPUTED_VALUE"""),45866.0)</f>
        <v>45866</v>
      </c>
      <c r="M2021" s="7" t="str">
        <f>IFERROR(__xludf.DUMMYFUNCTION("""COMPUTED_VALUE"""),"11:00-12:30")</f>
        <v>11:00-12:30</v>
      </c>
      <c r="N2021" s="7"/>
    </row>
    <row r="2022">
      <c r="A2022" s="7" t="str">
        <f>IFERROR(__xludf.DUMMYFUNCTION("""COMPUTED_VALUE"""),"939-MAIN")</f>
        <v>939-MAIN</v>
      </c>
      <c r="B2022" s="7" t="str">
        <f>IFERROR(__xludf.DUMMYFUNCTION("""COMPUTED_VALUE"""),"Explicit and Implicit Data Augmentation for Social Event Detection")</f>
        <v>Explicit and Implicit Data Augmentation for Social Event Detection</v>
      </c>
      <c r="C2022" s="7" t="str">
        <f>IFERROR(__xludf.DUMMYFUNCTION("""COMPUTED_VALUE"""),"Social event detection involves identifying and categorizing important events from social media, which relies on labeled data, but annotation is costly and labor-intensive. To address this problem, we propose Augmentation framework for Social Event Detect"&amp;"ion (SED-Aug), a plug-and-play dual augmentation framework, which combines explicit text-based and implicit feature-space augmentation to enhance data diversity and model robustness. The explicit augmentation utilizes LLMs to enhance textual information t"&amp;"hrough five diverse generation strategies. For implicit augmentation, we design five novel perturbation techniques that operate in the feature space on structural fused embeddings. These perturbations are crafted to keep the semantic and relational proper"&amp;"ties of the embeddings and make them more diverse. Specifically, SED-Aug outperforms the best baseline model by approximately 17.67% on the Twitter2012 dataset and by about 15.57% on the Twitter2018 dataset in terms of the average F1 score.")</f>
        <v>Social event detection involves identifying and categorizing important events from social media, which relies on labeled data, but annotation is costly and labor-intensive. To address this problem, we propose Augmentation framework for Social Event Detection (SED-Aug), a plug-and-play dual augmentation framework, which combines explicit text-based and implicit feature-space augmentation to enhance data diversity and model robustness. The explicit augmentation utilizes LLMs to enhance textual information through five diverse generation strategies. For implicit augmentation, we design five novel perturbation techniques that operate in the feature space on structural fused embeddings. These perturbations are crafted to keep the semantic and relational properties of the embeddings and make them more diverse. Specifically, SED-Aug outperforms the best baseline model by approximately 17.67% on the Twitter2012 dataset and by about 15.57% on the Twitter2018 dataset in terms of the average F1 score.</v>
      </c>
      <c r="D2022" s="7" t="str">
        <f>IFERROR(__xludf.DUMMYFUNCTION("""COMPUTED_VALUE"""),"Congbo Ma, Hu Wang")</f>
        <v>Congbo Ma, Hu Wang</v>
      </c>
      <c r="E2022" s="7" t="str">
        <f>IFERROR(__xludf.DUMMYFUNCTION("""COMPUTED_VALUE"""),"Yes")</f>
        <v>Yes</v>
      </c>
      <c r="F2022" s="7" t="str">
        <f>IFERROR(__xludf.DUMMYFUNCTION("""COMPUTED_VALUE"""),"IP-Poster")</f>
        <v>IP-Poster</v>
      </c>
      <c r="G2022" s="7" t="str">
        <f>IFERROR(__xludf.DUMMYFUNCTION("""COMPUTED_VALUE"""),"In-Person")</f>
        <v>In-Person</v>
      </c>
      <c r="H2022" s="7" t="str">
        <f>IFERROR(__xludf.DUMMYFUNCTION("""COMPUTED_VALUE"""),"Hall 4/5")</f>
        <v>Hall 4/5</v>
      </c>
      <c r="I2022" s="7" t="str">
        <f>IFERROR(__xludf.DUMMYFUNCTION("""COMPUTED_VALUE"""),"Session 12: IP-Posters")</f>
        <v>Session 12: IP-Posters</v>
      </c>
      <c r="J2022" s="7" t="str">
        <f>IFERROR(__xludf.DUMMYFUNCTION("""COMPUTED_VALUE"""),"Poster Session 4")</f>
        <v>Poster Session 4</v>
      </c>
      <c r="K2022" s="7"/>
      <c r="L2022" s="8">
        <f>IFERROR(__xludf.DUMMYFUNCTION("""COMPUTED_VALUE"""),45868.0)</f>
        <v>45868</v>
      </c>
      <c r="M2022" s="7" t="str">
        <f>IFERROR(__xludf.DUMMYFUNCTION("""COMPUTED_VALUE"""),"11:00-12:30")</f>
        <v>11:00-12:30</v>
      </c>
      <c r="N2022" s="7"/>
    </row>
    <row r="2023">
      <c r="A2023" s="7" t="str">
        <f>IFERROR(__xludf.DUMMYFUNCTION("""COMPUTED_VALUE"""),"941-MAIN")</f>
        <v>941-MAIN</v>
      </c>
      <c r="B2023" s="7" t="str">
        <f>IFERROR(__xludf.DUMMYFUNCTION("""COMPUTED_VALUE"""),"In Prospect and Retrospect: Reflective Memory Management for Long-term Personalized Dialogue Agents")</f>
        <v>In Prospect and Retrospect: Reflective Memory Management for Long-term Personalized Dialogue Agents</v>
      </c>
      <c r="C2023" s="7" t="str">
        <f>IFERROR(__xludf.DUMMYFUNCTION("""COMPUTED_VALUE"""),"Large Language Models (LLMs) have made significant progress in open-ended dialogue, yet their inability to retain and retrieve relevant information from long-term interactions limits their effectiveness in applications requiring sustained personalization."&amp;" External memory mechanisms have been proposed to address this limitation, enabling LLMs to maintain conversational continuity. However, existing approaches struggle with two key challenges. First, rigid memory granularity fails to capture the natural sem"&amp;"antic structure of conversations, leading to fragmented and incomplete representations. Second, fixed retrieval mechanisms cannot adapt to diverse dialogue contexts and user interaction patterns. In this work, we propose Reflective Memory Management (RMM)"&amp;", a novel mechanism for long-term dialogue agents, integrating forward- and backward-looking reflections: (1) Prospective Reflection, which dynamically summarizes interactions across granularities—utterances, turns, and sessions—into a personalized memory"&amp;" bank for effective future retrieval, and (2) Retrospective Reflection, which iteratively refines the retrieval in an online reinforcement learning (RL) manner based on LLMs' cited evidence. Experiments show that RMM demonstrates consistent improvement ac"&amp;"ross various metrics and benchmarks. For example, RMM shows more than 10% accuracy improvement over the baseline without memory management on the LongMemEval dataset.")</f>
        <v>Large Language Models (LLMs) have made significant progress in open-ended dialogue, yet their inability to retain and retrieve relevant information from long-term interactions limits their effectiveness in applications requiring sustained personalization. External memory mechanisms have been proposed to address this limitation, enabling LLMs to maintain conversational continuity. However, existing approaches struggle with two key challenges. First, rigid memory granularity fails to capture the natural semantic structure of conversations, leading to fragmented and incomplete representations. Second, fixed retrieval mechanisms cannot adapt to diverse dialogue contexts and user interaction patterns. In this work, we propose Reflective Memory Management (RMM), a novel mechanism for long-term dialogue agents, integrating forward- and backward-looking reflections: (1) Prospective Reflection, which dynamically summarizes interactions across granularities—utterances, turns, and sessions—into a personalized memory bank for effective future retrieval, and (2) Retrospective Reflection, which iteratively refines the retrieval in an online reinforcement learning (RL) manner based on LLMs' cited evidence. Experiments show that RMM demonstrates consistent improvement across various metrics and benchmarks. For example, RMM shows more than 10% accuracy improvement over the baseline without memory management on the LongMemEval dataset.</v>
      </c>
      <c r="D2023" s="7" t="str">
        <f>IFERROR(__xludf.DUMMYFUNCTION("""COMPUTED_VALUE"""),"Yanfei Chen")</f>
        <v>Yanfei Chen</v>
      </c>
      <c r="E2023" s="7" t="str">
        <f>IFERROR(__xludf.DUMMYFUNCTION("""COMPUTED_VALUE"""),"Yes")</f>
        <v>Yes</v>
      </c>
      <c r="F2023" s="7" t="str">
        <f>IFERROR(__xludf.DUMMYFUNCTION("""COMPUTED_VALUE"""),"IP-Poster")</f>
        <v>IP-Poster</v>
      </c>
      <c r="G2023" s="7" t="str">
        <f>IFERROR(__xludf.DUMMYFUNCTION("""COMPUTED_VALUE"""),"In-Person")</f>
        <v>In-Person</v>
      </c>
      <c r="H2023" s="7" t="str">
        <f>IFERROR(__xludf.DUMMYFUNCTION("""COMPUTED_VALUE"""),"Hall 4/5")</f>
        <v>Hall 4/5</v>
      </c>
      <c r="I2023" s="7" t="str">
        <f>IFERROR(__xludf.DUMMYFUNCTION("""COMPUTED_VALUE"""),"Session 10: IP-Posters")</f>
        <v>Session 10: IP-Posters</v>
      </c>
      <c r="J2023" s="7" t="str">
        <f>IFERROR(__xludf.DUMMYFUNCTION("""COMPUTED_VALUE"""),"Poster Session 3")</f>
        <v>Poster Session 3</v>
      </c>
      <c r="K2023" s="7"/>
      <c r="L2023" s="8">
        <f>IFERROR(__xludf.DUMMYFUNCTION("""COMPUTED_VALUE"""),45867.0)</f>
        <v>45867</v>
      </c>
      <c r="M2023" s="7" t="str">
        <f>IFERROR(__xludf.DUMMYFUNCTION("""COMPUTED_VALUE"""),"16:00-17:30")</f>
        <v>16:00-17:30</v>
      </c>
      <c r="N2023" s="7"/>
    </row>
    <row r="2024">
      <c r="A2024" s="7" t="str">
        <f>IFERROR(__xludf.DUMMYFUNCTION("""COMPUTED_VALUE"""),"942-MAIN")</f>
        <v>942-MAIN</v>
      </c>
      <c r="B2024" s="7" t="str">
        <f>IFERROR(__xludf.DUMMYFUNCTION("""COMPUTED_VALUE"""),"Revisiting Classical Chinese Event Extraction with Ancient Literature Information")</f>
        <v>Revisiting Classical Chinese Event Extraction with Ancient Literature Information</v>
      </c>
      <c r="C2024" s="7" t="str">
        <f>IFERROR(__xludf.DUMMYFUNCTION("""COMPUTED_VALUE"""),"The research on classical Chinese event extraction trends to directly graft the complex modeling from English or modern Chinese works, neglecting the utilization of the unique characteristic of this language. We argue that, compared with grafting the soph"&amp;"isticated methods from other languages, focusing on classical Chinese's inimitable source of __Ancient Literature__ could provide us with extra and comprehensive semantics in event extraction. Motivated by this, we propose a Literary Vision-Language Model"&amp;" (VLM) for classical Chinese event extraction, integrating with literature annotations, historical background and character glyph to capture the inner- and outer-context information from the sequence. Extensive experiments build a new state-of-the-art per"&amp;"formance in the GuwenEE, CHED datasets, which underscores the effectiveness of our proposed VLM, and more importantly, these unique features can be obtained precisely at nearly zero cost.")</f>
        <v>The research on classical Chinese event extraction trends to directly graft the complex modeling from English or modern Chinese works, neglecting the utilization of the unique characteristic of this language. We argue that, compared with grafting the sophisticated methods from other languages, focusing on classical Chinese's inimitable source of __Ancient Literature__ could provide us with extra and comprehensive semantics in event extraction. Motivated by this, we propose a Literary Vision-Language Model (VLM) for classical Chinese event extraction, integrating with literature annotations, historical background and character glyph to capture the inner- and outer-context information from the sequence. Extensive experiments build a new state-of-the-art performance in the GuwenEE, CHED datasets, which underscores the effectiveness of our proposed VLM, and more importantly, these unique features can be obtained precisely at nearly zero cost.</v>
      </c>
      <c r="D2024" s="7" t="str">
        <f>IFERROR(__xludf.DUMMYFUNCTION("""COMPUTED_VALUE"""),"Xiaoyi BAO")</f>
        <v>Xiaoyi BAO</v>
      </c>
      <c r="E2024" s="7" t="str">
        <f>IFERROR(__xludf.DUMMYFUNCTION("""COMPUTED_VALUE"""),"Yes")</f>
        <v>Yes</v>
      </c>
      <c r="F2024" s="7" t="str">
        <f>IFERROR(__xludf.DUMMYFUNCTION("""COMPUTED_VALUE"""),"IP-Oral")</f>
        <v>IP-Oral</v>
      </c>
      <c r="G2024" s="7" t="str">
        <f>IFERROR(__xludf.DUMMYFUNCTION("""COMPUTED_VALUE"""),"In-Person")</f>
        <v>In-Person</v>
      </c>
      <c r="H2024" s="7" t="str">
        <f>IFERROR(__xludf.DUMMYFUNCTION("""COMPUTED_VALUE"""),"Hall N.2")</f>
        <v>Hall N.2</v>
      </c>
      <c r="I2024" s="7" t="str">
        <f>IFERROR(__xludf.DUMMYFUNCTION("""COMPUTED_VALUE"""),"Session 9: IP-Orals")</f>
        <v>Session 9: IP-Orals</v>
      </c>
      <c r="J2024" s="7" t="str">
        <f>IFERROR(__xludf.DUMMYFUNCTION("""COMPUTED_VALUE"""),"Summarization and Information Extraction ")</f>
        <v>Summarization and Information Extraction </v>
      </c>
      <c r="K2024" s="7"/>
      <c r="L2024" s="8">
        <f>IFERROR(__xludf.DUMMYFUNCTION("""COMPUTED_VALUE"""),45867.0)</f>
        <v>45867</v>
      </c>
      <c r="M2024" s="7" t="str">
        <f>IFERROR(__xludf.DUMMYFUNCTION("""COMPUTED_VALUE"""),"14:00-15:30")</f>
        <v>14:00-15:30</v>
      </c>
      <c r="N2024" s="7">
        <f>IFERROR(__xludf.DUMMYFUNCTION("""COMPUTED_VALUE"""),3.0)</f>
        <v>3</v>
      </c>
    </row>
    <row r="2025">
      <c r="A2025" s="7" t="str">
        <f>IFERROR(__xludf.DUMMYFUNCTION("""COMPUTED_VALUE"""),"943-MAIN")</f>
        <v>943-MAIN</v>
      </c>
      <c r="B2025" s="7" t="str">
        <f>IFERROR(__xludf.DUMMYFUNCTION("""COMPUTED_VALUE"""),"Unanswerability Evaluation for Retrieval Augmented Generation")</f>
        <v>Unanswerability Evaluation for Retrieval Augmented Generation</v>
      </c>
      <c r="C2025" s="7" t="str">
        <f>IFERROR(__xludf.DUMMYFUNCTION("""COMPUTED_VALUE"""),"Existing evaluation frameworks for retrieval-augmented generation (RAG) systems focus on answerable queries, but they overlook the importance of appropriately rejecting unanswerable requests. In this paper, we introduce UAEval4RAG, a comprehensive evaluat"&amp;"ion framework designed to evaluate whether RAG systems effectively handle unanswerable queries specific to a given knowledge base. We first define a taxonomy with six unanswerable categories, and UAEval4RAG automatically synthesizes diverse and challengin"&amp;"g queries for any given knowledge base and evaluate the RAG systems with unanswered ratio and acceptable ratio metrics. We also conduct experiments with various RAG components and prompting strategies across four datasets, which reveals that due to varyin"&amp;"g knowledge distribution across datasets, no single configuration consistently delivers optimal performance on both answerable and unanswerable requests across different knowledge bases. Our findings highlight the critical role of component selection and "&amp;"prompt design in optimizing RAG systems to balance the accuracy of answerable queries with high rejection rates of unanswerable ones. UAEval4RAG provides valuable insights and tools for developing more robust and reliable RAG systems.")</f>
        <v>Existing evaluation frameworks for retrieval-augmented generation (RAG) systems focus on answerable queries, but they overlook the importance of appropriately rejecting unanswerable requests. In this paper, we introduce UAEval4RAG, a comprehensive evaluation framework designed to evaluate whether RAG systems effectively handle unanswerable queries specific to a given knowledge base. We first define a taxonomy with six unanswerable categories, and UAEval4RAG automatically synthesizes diverse and challenging queries for any given knowledge base and evaluate the RAG systems with unanswered ratio and acceptable ratio metrics. We also conduct experiments with various RAG components and prompting strategies across four datasets, which reveals that due to varying knowledge distribution across datasets, no single configuration consistently delivers optimal performance on both answerable and unanswerable requests across different knowledge bases. Our findings highlight the critical role of component selection and prompt design in optimizing RAG systems to balance the accuracy of answerable queries with high rejection rates of unanswerable ones. UAEval4RAG provides valuable insights and tools for developing more robust and reliable RAG systems.</v>
      </c>
      <c r="D2025" s="7" t="str">
        <f>IFERROR(__xludf.DUMMYFUNCTION("""COMPUTED_VALUE"""),"Xiangyu Peng")</f>
        <v>Xiangyu Peng</v>
      </c>
      <c r="E2025" s="7" t="str">
        <f>IFERROR(__xludf.DUMMYFUNCTION("""COMPUTED_VALUE"""),"Yes")</f>
        <v>Yes</v>
      </c>
      <c r="F2025" s="7" t="str">
        <f>IFERROR(__xludf.DUMMYFUNCTION("""COMPUTED_VALUE"""),"V-Presentation")</f>
        <v>V-Presentation</v>
      </c>
      <c r="G2025" s="7" t="str">
        <f>IFERROR(__xludf.DUMMYFUNCTION("""COMPUTED_VALUE"""),"Virtual/Gather")</f>
        <v>Virtual/Gather</v>
      </c>
      <c r="H2025" s="7" t="str">
        <f>IFERROR(__xludf.DUMMYFUNCTION("""COMPUTED_VALUE"""),"Zoom")</f>
        <v>Zoom</v>
      </c>
      <c r="I2025" s="7" t="str">
        <f>IFERROR(__xludf.DUMMYFUNCTION("""COMPUTED_VALUE"""),"Session 10: V-Presenations")</f>
        <v>Session 10: V-Presenations</v>
      </c>
      <c r="J2025" s="7" t="str">
        <f>IFERROR(__xludf.DUMMYFUNCTION("""COMPUTED_VALUE"""),"Virtual Presentations 3")</f>
        <v>Virtual Presentations 3</v>
      </c>
      <c r="K2025" s="7"/>
      <c r="L2025" s="8">
        <f>IFERROR(__xludf.DUMMYFUNCTION("""COMPUTED_VALUE"""),45867.0)</f>
        <v>45867</v>
      </c>
      <c r="M2025" s="7" t="str">
        <f>IFERROR(__xludf.DUMMYFUNCTION("""COMPUTED_VALUE"""),"16:00-17:30")</f>
        <v>16:00-17:30</v>
      </c>
      <c r="N2025" s="7"/>
    </row>
    <row r="2026">
      <c r="A2026" s="7" t="str">
        <f>IFERROR(__xludf.DUMMYFUNCTION("""COMPUTED_VALUE"""),"948-MAIN")</f>
        <v>948-MAIN</v>
      </c>
      <c r="B2026" s="7" t="str">
        <f>IFERROR(__xludf.DUMMYFUNCTION("""COMPUTED_VALUE"""),"SCALE: Towards Collaborative Content Analysis in Social Science with Large Language Model Agents and Human Intervention")</f>
        <v>SCALE: Towards Collaborative Content Analysis in Social Science with Large Language Model Agents and Human Intervention</v>
      </c>
      <c r="C2026" s="7" t="str">
        <f>IFERROR(__xludf.DUMMYFUNCTION("""COMPUTED_VALUE"""),"Content analysis breaks down complex and unstructured texts into theory-informed numerical categories. Particularly, in social science, this process usually relies on multiple rounds of manual annotation, domain expert discussion, and rule-based refinemen"&amp;"t. In this paper, we introduce SCALE, a novel multi-agent framework that effectively $\underline{\textbf{S}}$imulates $\underline{\textbf{C}}$ontent $\underline{\textbf{A}}$nalysis via $\underline{\textbf{L}}$arge language model (LLM) ag$\underline{\textb"&amp;"f{E}}$nts. SCALE imitates key phases of content analysis, including text coding, collaborative discussion, and dynamic codebook evolution, capturing the reflective depth and adaptive discussions of human researchers. Furthermore, by integrating diverse mo"&amp;"des of human intervention, SCALE is augmented with expert input to further enhance its performance. Extensive evaluations on real-world datasets demonstrate that SCALE achieves human-approximated performance across various complex content analysis tasks, "&amp;"offering an innovative potential for future social science research.")</f>
        <v>Content analysis breaks down complex and unstructured texts into theory-informed numerical categories. Particularly, in social science, this process usually relies on multiple rounds of manual annotation, domain expert discussion, and rule-based refinement. In this paper, we introduce SCALE, a novel multi-agent framework that effectively $\underline{\textbf{S}}$imulates $\underline{\textbf{C}}$ontent $\underline{\textbf{A}}$nalysis via $\underline{\textbf{L}}$arge language model (LLM) ag$\underline{\textbf{E}}$nts. SCALE imitates key phases of content analysis, including text coding, collaborative discussion, and dynamic codebook evolution, capturing the reflective depth and adaptive discussions of human researchers. Furthermore, by integrating diverse modes of human intervention, SCALE is augmented with expert input to further enhance its performance. Extensive evaluations on real-world datasets demonstrate that SCALE achieves human-approximated performance across various complex content analysis tasks, offering an innovative potential for future social science research.</v>
      </c>
      <c r="D2026" s="7" t="str">
        <f>IFERROR(__xludf.DUMMYFUNCTION("""COMPUTED_VALUE"""),"Chengshuai Zhao")</f>
        <v>Chengshuai Zhao</v>
      </c>
      <c r="E2026" s="7" t="str">
        <f>IFERROR(__xludf.DUMMYFUNCTION("""COMPUTED_VALUE"""),"Yes")</f>
        <v>Yes</v>
      </c>
      <c r="F2026" s="7" t="str">
        <f>IFERROR(__xludf.DUMMYFUNCTION("""COMPUTED_VALUE"""),"V-Presentation")</f>
        <v>V-Presentation</v>
      </c>
      <c r="G2026" s="7" t="str">
        <f>IFERROR(__xludf.DUMMYFUNCTION("""COMPUTED_VALUE"""),"Virtual/Gather")</f>
        <v>Virtual/Gather</v>
      </c>
      <c r="H2026" s="7" t="str">
        <f>IFERROR(__xludf.DUMMYFUNCTION("""COMPUTED_VALUE"""),"Zoom")</f>
        <v>Zoom</v>
      </c>
      <c r="I2026" s="7" t="str">
        <f>IFERROR(__xludf.DUMMYFUNCTION("""COMPUTED_VALUE"""),"Session 10: V-Presenations")</f>
        <v>Session 10: V-Presenations</v>
      </c>
      <c r="J2026" s="7" t="str">
        <f>IFERROR(__xludf.DUMMYFUNCTION("""COMPUTED_VALUE"""),"Virtual Presentations 3")</f>
        <v>Virtual Presentations 3</v>
      </c>
      <c r="K2026" s="7"/>
      <c r="L2026" s="8">
        <f>IFERROR(__xludf.DUMMYFUNCTION("""COMPUTED_VALUE"""),45867.0)</f>
        <v>45867</v>
      </c>
      <c r="M2026" s="7" t="str">
        <f>IFERROR(__xludf.DUMMYFUNCTION("""COMPUTED_VALUE"""),"16:00-17:30")</f>
        <v>16:00-17:30</v>
      </c>
      <c r="N2026" s="7"/>
    </row>
    <row r="2027">
      <c r="A2027" s="7" t="str">
        <f>IFERROR(__xludf.DUMMYFUNCTION("""COMPUTED_VALUE"""),"950-MAIN")</f>
        <v>950-MAIN</v>
      </c>
      <c r="B2027" s="7" t="str">
        <f>IFERROR(__xludf.DUMMYFUNCTION("""COMPUTED_VALUE"""),"Self-Error-Instruct: Generalizing from Errors for LLMs Mathematical Reasoning")</f>
        <v>Self-Error-Instruct: Generalizing from Errors for LLMs Mathematical Reasoning</v>
      </c>
      <c r="C2027" s="7" t="str">
        <f>IFERROR(__xludf.DUMMYFUNCTION("""COMPUTED_VALUE"""),"Although large language models demonstrate strong performance across various domains, they still struggle with numerous bad cases in mathematical reasoning. Previous approaches to learning from errors synthesize training data by solely extrapolating from "&amp;"isolated bad cases, thereby failing to generalize the extensive patterns inherent within these cases. This paper presents Self-Error-Instruct (SEI), a framework that addresses these model weaknesses and synthesizes more generalized targeted training data."&amp;" Specifically, we explore a target model on two mathematical datasets, GSM8K and MATH, to pinpoint bad cases. Then, we generate error keyphrases for these cases based on the instructor model’s (GPT-4o) analysis and identify error types by clustering these"&amp;" keyphrases. Next, we sample a few bad cases during each generation for each identified error type and input them into the instructor model, which synthesizes additional training data using a self-instruct approach. This new data is refined through a one-"&amp;"shot learning process to ensure that only the most effective examples are kept. Finally, we use these curated data to fine-tune the target model, iteratively repeating the process to enhance performance. We apply our framework to various models and observ"&amp;"e improvements in their reasoning abilities across both in-domain and out-of-domain mathematics datasets. These results demonstrate the effectiveness of self-error instruction in improving LLMs’ mathematical reasoning through error generalization.")</f>
        <v>Although large language models demonstrate strong performance across various domains, they still struggle with numerous bad cases in mathematical reasoning. Previous approaches to learning from errors synthesize training data by solely extrapolating from isolated bad cases, thereby failing to generalize the extensive patterns inherent within these cases. This paper presents Self-Error-Instruct (SEI), a framework that addresses these model weaknesses and synthesizes more generalized targeted training data. Specifically, we explore a target model on two mathematical datasets, GSM8K and MATH, to pinpoint bad cases. Then, we generate error keyphrases for these cases based on the instructor model’s (GPT-4o) analysis and identify error types by clustering these keyphrases. Next, we sample a few bad cases during each generation for each identified error type and input them into the instructor model, which synthesizes additional training data using a self-instruct approach. This new data is refined through a one-shot learning process to ensure that only the most effective examples are kept. Finally, we use these curated data to fine-tune the target model, iteratively repeating the process to enhance performance. We apply our framework to various models and observe improvements in their reasoning abilities across both in-domain and out-of-domain mathematics datasets. These results demonstrate the effectiveness of self-error instruction in improving LLMs’ mathematical reasoning through error generalization.</v>
      </c>
      <c r="D2027" s="7" t="str">
        <f>IFERROR(__xludf.DUMMYFUNCTION("""COMPUTED_VALUE"""),"Erxin Yu")</f>
        <v>Erxin Yu</v>
      </c>
      <c r="E2027" s="7" t="str">
        <f>IFERROR(__xludf.DUMMYFUNCTION("""COMPUTED_VALUE"""),"Yes")</f>
        <v>Yes</v>
      </c>
      <c r="F2027" s="7" t="str">
        <f>IFERROR(__xludf.DUMMYFUNCTION("""COMPUTED_VALUE"""),"V-Presentation")</f>
        <v>V-Presentation</v>
      </c>
      <c r="G2027" s="7" t="str">
        <f>IFERROR(__xludf.DUMMYFUNCTION("""COMPUTED_VALUE"""),"In-Person")</f>
        <v>In-Person</v>
      </c>
      <c r="H2027" s="7" t="str">
        <f>IFERROR(__xludf.DUMMYFUNCTION("""COMPUTED_VALUE"""),"Zoom")</f>
        <v>Zoom</v>
      </c>
      <c r="I2027" s="7" t="str">
        <f>IFERROR(__xludf.DUMMYFUNCTION("""COMPUTED_VALUE"""),"Session 7: V--Presentations ")</f>
        <v>Session 7: V--Presentations </v>
      </c>
      <c r="J2027" s="7" t="str">
        <f>IFERROR(__xludf.DUMMYFUNCTION("""COMPUTED_VALUE"""),"Virtual Presentations 2")</f>
        <v>Virtual Presentations 2</v>
      </c>
      <c r="K2027" s="7"/>
      <c r="L2027" s="8"/>
      <c r="M2027" s="7" t="str">
        <f>IFERROR(__xludf.DUMMYFUNCTION("""COMPUTED_VALUE"""),"10:30-12:00")</f>
        <v>10:30-12:00</v>
      </c>
      <c r="N2027" s="7"/>
    </row>
    <row r="2028">
      <c r="A2028" s="7" t="str">
        <f>IFERROR(__xludf.DUMMYFUNCTION("""COMPUTED_VALUE"""),"954-MAIN")</f>
        <v>954-MAIN</v>
      </c>
      <c r="B2028" s="7" t="str">
        <f>IFERROR(__xludf.DUMMYFUNCTION("""COMPUTED_VALUE"""),"RAGEval: Scenario Specific RAG Evaluation Dataset Generation Framework")</f>
        <v>RAGEval: Scenario Specific RAG Evaluation Dataset Generation Framework</v>
      </c>
      <c r="C2028" s="7" t="str">
        <f>IFERROR(__xludf.DUMMYFUNCTION("""COMPUTED_VALUE"""),"Retrieval-Augmented Generation (RAG) is a powerful approach that enables large language models (LLMs) to incorporate external knowledge. However, evaluating the effectiveness of RAG systems in specialized scenarios remains challenging due to the high cost"&amp;"s of data construction and the lack of suitable evaluation metrics. This paper introduces RAGEval, a framework designed to assess RAG systems across diverse scenarios by generating high-quality documents, questions, answers, and references through a schem"&amp;"a-based pipeline. With a focus on factual accuracy, we propose three novel metrics—Completeness, Hallucination, and Irrelevance—to evaluate LLM-generated responses rigorously. Experimental results show that RAGEval outperforms zero-shot and one-shot metho"&amp;"ds in terms of clarity, safety, conformity, and richness of generated samples. Furthermore, the use of LLMs for scoring the proposed metrics demonstrates a high level of consistency with human evaluations. RAGEval establishes a new paradigm for evaluating"&amp;" RAG systems in real-world applications.  The code and dataset are released at https://github.com/OpenBMB/RAGEval.")</f>
        <v>Retrieval-Augmented Generation (RAG) is a powerful approach that enables large language models (LLMs) to incorporate external knowledge. However, evaluating the effectiveness of RAG systems in specialized scenarios remains challenging due to the high costs of data construction and the lack of suitable evaluation metrics. This paper introduces RAGEval, a framework designed to assess RAG systems across diverse scenarios by generating high-quality documents, questions, answers, and references through a schema-based pipeline. With a focus on factual accuracy, we propose three novel metrics—Completeness, Hallucination, and Irrelevance—to evaluate LLM-generated responses rigorously. Experimental results show that RAGEval outperforms zero-shot and one-shot methods in terms of clarity, safety, conformity, and richness of generated samples. Furthermore, the use of LLMs for scoring the proposed metrics demonstrates a high level of consistency with human evaluations. RAGEval establishes a new paradigm for evaluating RAG systems in real-world applications.  The code and dataset are released at https://github.com/OpenBMB/RAGEval.</v>
      </c>
      <c r="D2028" s="7" t="str">
        <f>IFERROR(__xludf.DUMMYFUNCTION("""COMPUTED_VALUE"""),"Yifan Luo 
Kunlun Zhu")</f>
        <v>Yifan Luo 
Kunlun Zhu</v>
      </c>
      <c r="E2028" s="7" t="str">
        <f>IFERROR(__xludf.DUMMYFUNCTION("""COMPUTED_VALUE"""),"Yes")</f>
        <v>Yes</v>
      </c>
      <c r="F2028" s="7" t="str">
        <f>IFERROR(__xludf.DUMMYFUNCTION("""COMPUTED_VALUE"""),"IP-Poster")</f>
        <v>IP-Poster</v>
      </c>
      <c r="G2028" s="7" t="str">
        <f>IFERROR(__xludf.DUMMYFUNCTION("""COMPUTED_VALUE"""),"In-Person")</f>
        <v>In-Person</v>
      </c>
      <c r="H2028" s="7" t="str">
        <f>IFERROR(__xludf.DUMMYFUNCTION("""COMPUTED_VALUE"""),"Hall 4/5")</f>
        <v>Hall 4/5</v>
      </c>
      <c r="I2028" s="7" t="str">
        <f>IFERROR(__xludf.DUMMYFUNCTION("""COMPUTED_VALUE"""),"Session 12: IP-Posters")</f>
        <v>Session 12: IP-Posters</v>
      </c>
      <c r="J2028" s="7" t="str">
        <f>IFERROR(__xludf.DUMMYFUNCTION("""COMPUTED_VALUE"""),"Poster Session 4")</f>
        <v>Poster Session 4</v>
      </c>
      <c r="K2028" s="7"/>
      <c r="L2028" s="8">
        <f>IFERROR(__xludf.DUMMYFUNCTION("""COMPUTED_VALUE"""),45868.0)</f>
        <v>45868</v>
      </c>
      <c r="M2028" s="7" t="str">
        <f>IFERROR(__xludf.DUMMYFUNCTION("""COMPUTED_VALUE"""),"11:00-12:30")</f>
        <v>11:00-12:30</v>
      </c>
      <c r="N2028" s="7"/>
    </row>
    <row r="2029">
      <c r="A2029" s="7" t="str">
        <f>IFERROR(__xludf.DUMMYFUNCTION("""COMPUTED_VALUE"""),"958-MAIN")</f>
        <v>958-MAIN</v>
      </c>
      <c r="B2029" s="7" t="str">
        <f>IFERROR(__xludf.DUMMYFUNCTION("""COMPUTED_VALUE"""),"A Survey on Patent Analysis: From NLP to Multimodal AI")</f>
        <v>A Survey on Patent Analysis: From NLP to Multimodal AI</v>
      </c>
      <c r="C2029" s="7" t="str">
        <f>IFERROR(__xludf.DUMMYFUNCTION("""COMPUTED_VALUE"""),"Recent advances in Pretrained Language Models (PLMs) and Large Language Models (LLMs) have demonstrated transformative capabilities across diverse domains. The field of patent analysis and innovation is not an exception, where natural language processing "&amp;"(NLP) techniques presents opportunities to streamline and enhance important tasks---such as patent classification and patent retrieval---in the patent cycle. This not only accelerates the efficiency of patent researchers and applicants, but also opens new"&amp;" avenues for technological innovation and discovery. Our survey provides a comprehensive summary of recent NLP-based methods---including multimodal ones---in patent analysis. We also introduce a novel taxonomy for categorization based on tasks in the pate"&amp;"nt life cycle, as well as the specifics of the methods. This interdisciplinary survey aims to serve as a comprehensive resource for researchers and practitioners who work at the intersection of NLP, Multimodal AI, and patent analysis, as well as patent of"&amp;"fices to build efficient patent systems.")</f>
        <v>Recent advances in Pretrained Language Models (PLMs) and Large Language Models (LLMs) have demonstrated transformative capabilities across diverse domains. The field of patent analysis and innovation is not an exception, where natural language processing (NLP) techniques presents opportunities to streamline and enhance important tasks---such as patent classification and patent retrieval---in the patent cycle. This not only accelerates the efficiency of patent researchers and applicants, but also opens new avenues for technological innovation and discovery. Our survey provides a comprehensive summary of recent NLP-based methods---including multimodal ones---in patent analysis. We also introduce a novel taxonomy for categorization based on tasks in the patent life cycle, as well as the specifics of the methods. This interdisciplinary survey aims to serve as a comprehensive resource for researchers and practitioners who work at the intersection of NLP, Multimodal AI, and patent analysis, as well as patent offices to build efficient patent systems.</v>
      </c>
      <c r="D2029" s="7" t="str">
        <f>IFERROR(__xludf.DUMMYFUNCTION("""COMPUTED_VALUE"""),"Homaira Huda Shomee")</f>
        <v>Homaira Huda Shomee</v>
      </c>
      <c r="E2029" s="7" t="str">
        <f>IFERROR(__xludf.DUMMYFUNCTION("""COMPUTED_VALUE"""),"Yes")</f>
        <v>Yes</v>
      </c>
      <c r="F2029" s="7" t="str">
        <f>IFERROR(__xludf.DUMMYFUNCTION("""COMPUTED_VALUE"""),"V-Presentation")</f>
        <v>V-Presentation</v>
      </c>
      <c r="G2029" s="7" t="str">
        <f>IFERROR(__xludf.DUMMYFUNCTION("""COMPUTED_VALUE"""),"Virtual/Gather")</f>
        <v>Virtual/Gather</v>
      </c>
      <c r="H2029" s="7" t="str">
        <f>IFERROR(__xludf.DUMMYFUNCTION("""COMPUTED_VALUE"""),"Zoom")</f>
        <v>Zoom</v>
      </c>
      <c r="I2029" s="7" t="str">
        <f>IFERROR(__xludf.DUMMYFUNCTION("""COMPUTED_VALUE"""),"Session 7: V--Presentations ")</f>
        <v>Session 7: V--Presentations </v>
      </c>
      <c r="J2029" s="7" t="str">
        <f>IFERROR(__xludf.DUMMYFUNCTION("""COMPUTED_VALUE"""),"Virtual Presentations 2")</f>
        <v>Virtual Presentations 2</v>
      </c>
      <c r="K2029" s="7"/>
      <c r="L2029" s="8"/>
      <c r="M2029" s="7" t="str">
        <f>IFERROR(__xludf.DUMMYFUNCTION("""COMPUTED_VALUE"""),"10:30-12:00")</f>
        <v>10:30-12:00</v>
      </c>
      <c r="N2029" s="7"/>
    </row>
    <row r="2030">
      <c r="A2030" s="7" t="str">
        <f>IFERROR(__xludf.DUMMYFUNCTION("""COMPUTED_VALUE"""),"961-MAIN")</f>
        <v>961-MAIN</v>
      </c>
      <c r="B2030" s="7" t="str">
        <f>IFERROR(__xludf.DUMMYFUNCTION("""COMPUTED_VALUE"""),"SciVer: Evaluating Foundation Models for Multimodal Scientific Claim Verification")</f>
        <v>SciVer: Evaluating Foundation Models for Multimodal Scientific Claim Verification</v>
      </c>
      <c r="C2030" s="7" t="str">
        <f>IFERROR(__xludf.DUMMYFUNCTION("""COMPUTED_VALUE"""),"We introduce SciVer, the first benchmark specifically designed to evaluate the ability of foundation models to verify claims within a multimodal scientific context.
SciVer consists of 3,000 expert-annotated examples over 1,113 scientific papers, covering "&amp;"four subsets, each representing a common reasoning type in multimodal scientific claim verification. 
To enable fine-grained evaluation, each example includes expert-annotated supporting evidence.
We assess the performance of 21 state-of-the-art multimoda"&amp;"l foundation models, including o4-mini, Gemini-2.5-Flash, Llama-3.2-Vision, and Qwen2.5-VL. 
Our experiment reveals a substantial performance gap between these models and human experts on SciVer.
Through an in-depth analysis of retrieval-augmented generat"&amp;"ion (RAG), and human-conducted error evaluations, we identify critical limitations in current open-source models, offering key insights to advance models' comprehension and reasoning in multimodal scientific literature tasks.")</f>
        <v>We introduce SciVer, the first benchmark specifically designed to evaluate the ability of foundation models to verify claims within a multimodal scientific context.
SciVer consists of 3,000 expert-annotated examples over 1,113 scientific papers, covering four subsets, each representing a common reasoning type in multimodal scientific claim verification. 
To enable fine-grained evaluation, each example includes expert-annotated supporting evidence.
We assess the performance of 21 state-of-the-art multimodal foundation models, including o4-mini, Gemini-2.5-Flash, Llama-3.2-Vision, and Qwen2.5-VL. 
Our experiment reveals a substantial performance gap between these models and human experts on SciVer.
Through an in-depth analysis of retrieval-augmented generation (RAG), and human-conducted error evaluations, we identify critical limitations in current open-source models, offering key insights to advance models' comprehension and reasoning in multimodal scientific literature tasks.</v>
      </c>
      <c r="D2030" s="7" t="str">
        <f>IFERROR(__xludf.DUMMYFUNCTION("""COMPUTED_VALUE"""),"Chengye Wang")</f>
        <v>Chengye Wang</v>
      </c>
      <c r="E2030" s="7" t="str">
        <f>IFERROR(__xludf.DUMMYFUNCTION("""COMPUTED_VALUE"""),"Yes")</f>
        <v>Yes</v>
      </c>
      <c r="F2030" s="7" t="str">
        <f>IFERROR(__xludf.DUMMYFUNCTION("""COMPUTED_VALUE"""),"V-Presentation")</f>
        <v>V-Presentation</v>
      </c>
      <c r="G2030" s="7" t="str">
        <f>IFERROR(__xludf.DUMMYFUNCTION("""COMPUTED_VALUE"""),"Virtual/Gather")</f>
        <v>Virtual/Gather</v>
      </c>
      <c r="H2030" s="7" t="str">
        <f>IFERROR(__xludf.DUMMYFUNCTION("""COMPUTED_VALUE"""),"Zoom")</f>
        <v>Zoom</v>
      </c>
      <c r="I2030" s="7" t="str">
        <f>IFERROR(__xludf.DUMMYFUNCTION("""COMPUTED_VALUE"""),"Session 10: V-Presenations")</f>
        <v>Session 10: V-Presenations</v>
      </c>
      <c r="J2030" s="7" t="str">
        <f>IFERROR(__xludf.DUMMYFUNCTION("""COMPUTED_VALUE"""),"Virtual Presentations 3")</f>
        <v>Virtual Presentations 3</v>
      </c>
      <c r="K2030" s="7"/>
      <c r="L2030" s="8">
        <f>IFERROR(__xludf.DUMMYFUNCTION("""COMPUTED_VALUE"""),45867.0)</f>
        <v>45867</v>
      </c>
      <c r="M2030" s="7" t="str">
        <f>IFERROR(__xludf.DUMMYFUNCTION("""COMPUTED_VALUE"""),"16:00-17:30")</f>
        <v>16:00-17:30</v>
      </c>
      <c r="N2030" s="7"/>
    </row>
    <row r="2031">
      <c r="A2031" s="7" t="str">
        <f>IFERROR(__xludf.DUMMYFUNCTION("""COMPUTED_VALUE"""),"962-MAIN")</f>
        <v>962-MAIN</v>
      </c>
      <c r="B2031" s="7" t="str">
        <f>IFERROR(__xludf.DUMMYFUNCTION("""COMPUTED_VALUE"""),"MultiAgentBench : Evaluating the Collaboration and Competition of LLM agents")</f>
        <v>MultiAgentBench : Evaluating the Collaboration and Competition of LLM agents</v>
      </c>
      <c r="C2031" s="7" t="str">
        <f>IFERROR(__xludf.DUMMYFUNCTION("""COMPUTED_VALUE"""),"Large Language Models (LLMs) have shown remarkable capabilities as autonomous agents; yet existing benchmarks either focus on single-agent tasks or are confined to narrow domains, failing to capture the dynamics of multi-agent coordination and competition"&amp;". In this paper, we introduce MultiAgentBench, a comprehensive benchmark designed to evaluate LLM-based multi-agent systems across diverse, interactive scenarios. Our framework measures not only task completion but also the quality of collaboration and co"&amp;"mpetition using novel, milestone-based key performance indicators. Moreover, we evaluate various coordination protocols (including star, chain, tree, and graph topologies) and innovative strategies such as group discussion and cognitive planning. Notably,"&amp;" cognitive planning improves milestone achievement rates by 3%. Code and dataset will be made publicly available. Code and datasets are publicavailable at 
 https://github.com/ulab-uiuc/MARBLE")</f>
        <v>Large Language Models (LLMs) have shown remarkable capabilities as autonomous agents; yet existing benchmarks either focus on single-agent tasks or are confined to narrow domains, failing to capture the dynamics of multi-agent coordination and competition. In this paper, we introduce MultiAgentBench, a comprehensive benchmark designed to evaluate LLM-based multi-agent systems across diverse, interactive scenarios. Our framework measures not only task completion but also the quality of collaboration and competition using novel, milestone-based key performance indicators. Moreover, we evaluate various coordination protocols (including star, chain, tree, and graph topologies) and innovative strategies such as group discussion and cognitive planning. Notably, cognitive planning improves milestone achievement rates by 3%. Code and dataset will be made publicly available. Code and datasets are publicavailable at 
 https://github.com/ulab-uiuc/MARBLE</v>
      </c>
      <c r="D2031" s="7" t="str">
        <f>IFERROR(__xludf.DUMMYFUNCTION("""COMPUTED_VALUE"""),"Kunlun Zhu")</f>
        <v>Kunlun Zhu</v>
      </c>
      <c r="E2031" s="7" t="str">
        <f>IFERROR(__xludf.DUMMYFUNCTION("""COMPUTED_VALUE"""),"Yes")</f>
        <v>Yes</v>
      </c>
      <c r="F2031" s="7" t="str">
        <f>IFERROR(__xludf.DUMMYFUNCTION("""COMPUTED_VALUE"""),"V-Presentation")</f>
        <v>V-Presentation</v>
      </c>
      <c r="G2031" s="7" t="str">
        <f>IFERROR(__xludf.DUMMYFUNCTION("""COMPUTED_VALUE"""),"Virtual/Gather")</f>
        <v>Virtual/Gather</v>
      </c>
      <c r="H2031" s="7" t="str">
        <f>IFERROR(__xludf.DUMMYFUNCTION("""COMPUTED_VALUE"""),"Zoom")</f>
        <v>Zoom</v>
      </c>
      <c r="I2031" s="7" t="str">
        <f>IFERROR(__xludf.DUMMYFUNCTION("""COMPUTED_VALUE"""),"Session 10: V-Presenations")</f>
        <v>Session 10: V-Presenations</v>
      </c>
      <c r="J2031" s="7" t="str">
        <f>IFERROR(__xludf.DUMMYFUNCTION("""COMPUTED_VALUE"""),"Virtual Presentations 3")</f>
        <v>Virtual Presentations 3</v>
      </c>
      <c r="K2031" s="7"/>
      <c r="L2031" s="8">
        <f>IFERROR(__xludf.DUMMYFUNCTION("""COMPUTED_VALUE"""),45867.0)</f>
        <v>45867</v>
      </c>
      <c r="M2031" s="7" t="str">
        <f>IFERROR(__xludf.DUMMYFUNCTION("""COMPUTED_VALUE"""),"16:00-17:30")</f>
        <v>16:00-17:30</v>
      </c>
      <c r="N2031" s="7"/>
    </row>
    <row r="2032">
      <c r="A2032" s="7" t="str">
        <f>IFERROR(__xludf.DUMMYFUNCTION("""COMPUTED_VALUE"""),"968-MAIN")</f>
        <v>968-MAIN</v>
      </c>
      <c r="B2032" s="7" t="str">
        <f>IFERROR(__xludf.DUMMYFUNCTION("""COMPUTED_VALUE"""),"Sinhala Encoder-only Language Models and Evaluation")</f>
        <v>Sinhala Encoder-only Language Models and Evaluation</v>
      </c>
      <c r="C2032" s="7" t="str">
        <f>IFERROR(__xludf.DUMMYFUNCTION("""COMPUTED_VALUE"""),"Recently, language models (LMs) have produced excellent results in many natural language processing (NLP) tasks. However, their effectiveness is highly dependent on available pre-training resources, which is particularly challenging for low-resource langu"&amp;"ages such as Sinhala. Furthermore, the scarcity of benchmarks to evaluate LMs is also a major concern for low-resource languages. In this paper, we address these two challenges for Sinhala by (i) collecting the largest monolingual corpus for Sinhala, (ii)"&amp;" training multiple LMs on this corpus and (iii) compiling the first Sinhala NLP benchmark (Sinhala-GLUE) and evaluating LMs on it. We show the Sinhala LMs trained in this paper outperform the popular multilingual LMs, such as XLM-R and existing Sinhala LM"&amp;"s in downstream NLP tasks. All the trained LMs are publicly available. We also make Sinhala-GLUE publicly available as a public leaderboard, and we hope that it will enable further advancements in developing and evaluating LMs for Sinhala.")</f>
        <v>Recently, language models (LMs) have produced excellent results in many natural language processing (NLP) tasks. However, their effectiveness is highly dependent on available pre-training resources, which is particularly challenging for low-resource languages such as Sinhala. Furthermore, the scarcity of benchmarks to evaluate LMs is also a major concern for low-resource languages. In this paper, we address these two challenges for Sinhala by (i) collecting the largest monolingual corpus for Sinhala, (ii) training multiple LMs on this corpus and (iii) compiling the first Sinhala NLP benchmark (Sinhala-GLUE) and evaluating LMs on it. We show the Sinhala LMs trained in this paper outperform the popular multilingual LMs, such as XLM-R and existing Sinhala LMs in downstream NLP tasks. All the trained LMs are publicly available. We also make Sinhala-GLUE publicly available as a public leaderboard, and we hope that it will enable further advancements in developing and evaluating LMs for Sinhala.</v>
      </c>
      <c r="D2032" s="7" t="str">
        <f>IFERROR(__xludf.DUMMYFUNCTION("""COMPUTED_VALUE"""),"Tharindu Ranasinghe")</f>
        <v>Tharindu Ranasinghe</v>
      </c>
      <c r="E2032" s="7" t="str">
        <f>IFERROR(__xludf.DUMMYFUNCTION("""COMPUTED_VALUE"""),"Yes")</f>
        <v>Yes</v>
      </c>
      <c r="F2032" s="7" t="str">
        <f>IFERROR(__xludf.DUMMYFUNCTION("""COMPUTED_VALUE"""),"IP-Poster")</f>
        <v>IP-Poster</v>
      </c>
      <c r="G2032" s="7" t="str">
        <f>IFERROR(__xludf.DUMMYFUNCTION("""COMPUTED_VALUE"""),"In-Person")</f>
        <v>In-Person</v>
      </c>
      <c r="H2032" s="7" t="str">
        <f>IFERROR(__xludf.DUMMYFUNCTION("""COMPUTED_VALUE"""),"Hall 4/5")</f>
        <v>Hall 4/5</v>
      </c>
      <c r="I2032" s="7" t="str">
        <f>IFERROR(__xludf.DUMMYFUNCTION("""COMPUTED_VALUE"""),"Session 12: IP-Posters")</f>
        <v>Session 12: IP-Posters</v>
      </c>
      <c r="J2032" s="7" t="str">
        <f>IFERROR(__xludf.DUMMYFUNCTION("""COMPUTED_VALUE"""),"Poster Session 4")</f>
        <v>Poster Session 4</v>
      </c>
      <c r="K2032" s="7"/>
      <c r="L2032" s="8">
        <f>IFERROR(__xludf.DUMMYFUNCTION("""COMPUTED_VALUE"""),45868.0)</f>
        <v>45868</v>
      </c>
      <c r="M2032" s="7" t="str">
        <f>IFERROR(__xludf.DUMMYFUNCTION("""COMPUTED_VALUE"""),"11:00-12:30")</f>
        <v>11:00-12:30</v>
      </c>
      <c r="N2032" s="7"/>
    </row>
    <row r="2033">
      <c r="A2033" s="7" t="str">
        <f>IFERROR(__xludf.DUMMYFUNCTION("""COMPUTED_VALUE"""),"978-MAIN")</f>
        <v>978-MAIN</v>
      </c>
      <c r="B2033" s="7" t="str">
        <f>IFERROR(__xludf.DUMMYFUNCTION("""COMPUTED_VALUE"""),"LLMs can Perform Multi-Dimensional Analytic Writing Assessments: A Case Study of L2 Graduate-Level Academic English Writing")</f>
        <v>LLMs can Perform Multi-Dimensional Analytic Writing Assessments: A Case Study of L2 Graduate-Level Academic English Writing</v>
      </c>
      <c r="C2033" s="7" t="str">
        <f>IFERROR(__xludf.DUMMYFUNCTION("""COMPUTED_VALUE"""),"The paper explores the performance of LLMs in the context of multi-dimensional analytic writing assessments, i.e. their ability to provide both scores and comments based on multiple assessment criteria. Using a corpus of literature reviews written by L2 g"&amp;"raduate students and assessed by human experts against 9 analytic criteria, we prompt several popular LLMs to perform the same task under various conditions. To evaluate the quality of feedback comments, we apply a novel feedback comment quality evaluatio"&amp;"n framework. This framework is interpretable, cost-efficient, scalable, and reproducible, compared to existing methods that rely on manual judgments. We find that LLMs can generate reasonably good and generally reliable multi-dimensional analytic assessme"&amp;"nts. We release our corpus and code for reproducibility.")</f>
        <v>The paper explores the performance of LLMs in the context of multi-dimensional analytic writing assessments, i.e. their ability to provide both scores and comments based on multiple assessment criteria. Using a corpus of literature reviews written by L2 graduate students and assessed by human experts against 9 analytic criteria, we prompt several popular LLMs to perform the same task under various conditions. To evaluate the quality of feedback comments, we apply a novel feedback comment quality evaluation framework. This framework is interpretable, cost-efficient, scalable, and reproducible, compared to existing methods that rely on manual judgments. We find that LLMs can generate reasonably good and generally reliable multi-dimensional analytic assessments. We release our corpus and code for reproducibility.</v>
      </c>
      <c r="D2033" s="7" t="str">
        <f>IFERROR(__xludf.DUMMYFUNCTION("""COMPUTED_VALUE"""),"Zhengxiang Wang")</f>
        <v>Zhengxiang Wang</v>
      </c>
      <c r="E2033" s="7" t="str">
        <f>IFERROR(__xludf.DUMMYFUNCTION("""COMPUTED_VALUE"""),"Yes")</f>
        <v>Yes</v>
      </c>
      <c r="F2033" s="7" t="str">
        <f>IFERROR(__xludf.DUMMYFUNCTION("""COMPUTED_VALUE"""),"IP-Poster")</f>
        <v>IP-Poster</v>
      </c>
      <c r="G2033" s="7" t="str">
        <f>IFERROR(__xludf.DUMMYFUNCTION("""COMPUTED_VALUE"""),"In-Person")</f>
        <v>In-Person</v>
      </c>
      <c r="H2033" s="7" t="str">
        <f>IFERROR(__xludf.DUMMYFUNCTION("""COMPUTED_VALUE"""),"Hall 4/5")</f>
        <v>Hall 4/5</v>
      </c>
      <c r="I2033" s="7" t="str">
        <f>IFERROR(__xludf.DUMMYFUNCTION("""COMPUTED_VALUE"""),"Session 7: IP-Posters")</f>
        <v>Session 7: IP-Posters</v>
      </c>
      <c r="J2033" s="7" t="str">
        <f>IFERROR(__xludf.DUMMYFUNCTION("""COMPUTED_VALUE"""),"Poster Session 2")</f>
        <v>Poster Session 2</v>
      </c>
      <c r="K2033" s="7"/>
      <c r="L2033" s="8">
        <f>IFERROR(__xludf.DUMMYFUNCTION("""COMPUTED_VALUE"""),45867.0)</f>
        <v>45867</v>
      </c>
      <c r="M2033" s="7" t="str">
        <f>IFERROR(__xludf.DUMMYFUNCTION("""COMPUTED_VALUE"""),"10:30-12:00")</f>
        <v>10:30-12:00</v>
      </c>
      <c r="N2033" s="7"/>
    </row>
    <row r="2034">
      <c r="A2034" s="7" t="str">
        <f>IFERROR(__xludf.DUMMYFUNCTION("""COMPUTED_VALUE"""),"979-MAIN")</f>
        <v>979-MAIN</v>
      </c>
      <c r="B2034" s="7" t="str">
        <f>IFERROR(__xludf.DUMMYFUNCTION("""COMPUTED_VALUE"""),"SEUF: Is Unlearning One Expert Enough for Mixture-of-Experts LLMs?")</f>
        <v>SEUF: Is Unlearning One Expert Enough for Mixture-of-Experts LLMs?</v>
      </c>
      <c r="C2034" s="7" t="str">
        <f>IFERROR(__xludf.DUMMYFUNCTION("""COMPUTED_VALUE"""),"Recent advancements in LLMs unlearning have shown remarkable success in removing unwanted data-model influences while preserving the model's utility for legitimate knowledge. Despite these strides, sparse Mixture-of-Experts (MoE) LLMs--a key subset of the"&amp;" LLM family--have remained unexplored in the context of unlearning. As MoE LLMs are celebrated for their exceptional performance, we ask:How can unlearning be performed effectively and efficiently on MoE LLMs? Our pilot study shows that the dynamic routin"&amp;"g nature of MoE LLMs introduces unique challenges, leading to excessive forgetting, uncontrolled knowledge erasure and substantial utility drops when existing unlearning methods are applied. To address this, we propose a novel Selected-Expert Unlearning F"&amp;"ramework (SEUF). Through expert attribution, unlearning is concentrated on the most actively engaged experts for the specified knowledge. Concurrently, an anchor loss is applied to the router to stabilize the active state of this targeted expert, ensuring"&amp;" focused and controlled unlearning. SEUF is compatible with various standard unlearning algorithms. Extensive experiments demonstrate that SEUF enhances both forget quality up to 5% and model utility by 35% on MoE LLMs across various benchmarks and LLM ar"&amp;"chitectures (compared to standard unlearning algorithms), while only unlearning 0.06% of the model parameters.")</f>
        <v>Recent advancements in LLMs unlearning have shown remarkable success in removing unwanted data-model influences while preserving the model's utility for legitimate knowledge. Despite these strides, sparse Mixture-of-Experts (MoE) LLMs--a key subset of the LLM family--have remained unexplored in the context of unlearning. As MoE LLMs are celebrated for their exceptional performance, we ask:How can unlearning be performed effectively and efficiently on MoE LLMs? Our pilot study shows that the dynamic routing nature of MoE LLMs introduces unique challenges, leading to excessive forgetting, uncontrolled knowledge erasure and substantial utility drops when existing unlearning methods are applied. To address this, we propose a novel Selected-Expert Unlearning Framework (SEUF). Through expert attribution, unlearning is concentrated on the most actively engaged experts for the specified knowledge. Concurrently, an anchor loss is applied to the router to stabilize the active state of this targeted expert, ensuring focused and controlled unlearning. SEUF is compatible with various standard unlearning algorithms. Extensive experiments demonstrate that SEUF enhances both forget quality up to 5% and model utility by 35% on MoE LLMs across various benchmarks and LLM architectures (compared to standard unlearning algorithms), while only unlearning 0.06% of the model parameters.</v>
      </c>
      <c r="D2034" s="7" t="str">
        <f>IFERROR(__xludf.DUMMYFUNCTION("""COMPUTED_VALUE"""),"Haomin Zhuang")</f>
        <v>Haomin Zhuang</v>
      </c>
      <c r="E2034" s="7" t="str">
        <f>IFERROR(__xludf.DUMMYFUNCTION("""COMPUTED_VALUE"""),"Yes")</f>
        <v>Yes</v>
      </c>
      <c r="F2034" s="7" t="str">
        <f>IFERROR(__xludf.DUMMYFUNCTION("""COMPUTED_VALUE"""),"V-Presentation")</f>
        <v>V-Presentation</v>
      </c>
      <c r="G2034" s="7" t="str">
        <f>IFERROR(__xludf.DUMMYFUNCTION("""COMPUTED_VALUE"""),"Virtual/Gather")</f>
        <v>Virtual/Gather</v>
      </c>
      <c r="H2034" s="7" t="str">
        <f>IFERROR(__xludf.DUMMYFUNCTION("""COMPUTED_VALUE"""),"Zoom")</f>
        <v>Zoom</v>
      </c>
      <c r="I2034" s="7" t="str">
        <f>IFERROR(__xludf.DUMMYFUNCTION("""COMPUTED_VALUE"""),"Session 2: V-Presentations")</f>
        <v>Session 2: V-Presentations</v>
      </c>
      <c r="J2034" s="7" t="str">
        <f>IFERROR(__xludf.DUMMYFUNCTION("""COMPUTED_VALUE"""),"Virtual Presentations 1")</f>
        <v>Virtual Presentations 1</v>
      </c>
      <c r="K2034" s="7"/>
      <c r="L2034" s="8">
        <f>IFERROR(__xludf.DUMMYFUNCTION("""COMPUTED_VALUE"""),45866.0)</f>
        <v>45866</v>
      </c>
      <c r="M2034" s="7" t="str">
        <f>IFERROR(__xludf.DUMMYFUNCTION("""COMPUTED_VALUE"""),"11:00-12:30")</f>
        <v>11:00-12:30</v>
      </c>
      <c r="N2034" s="7"/>
    </row>
    <row r="2035">
      <c r="A2035" s="7" t="str">
        <f>IFERROR(__xludf.DUMMYFUNCTION("""COMPUTED_VALUE"""),"981-MAIN")</f>
        <v>981-MAIN</v>
      </c>
      <c r="B2035" s="7" t="str">
        <f>IFERROR(__xludf.DUMMYFUNCTION("""COMPUTED_VALUE"""),"Pragmatics in the Era of Large Language Models: A Survey on Datasets, Evaluation, Opportunities and Challenges")</f>
        <v>Pragmatics in the Era of Large Language Models: A Survey on Datasets, Evaluation, Opportunities and Challenges</v>
      </c>
      <c r="C2035" s="7" t="str">
        <f>IFERROR(__xludf.DUMMYFUNCTION("""COMPUTED_VALUE"""),"Understanding pragmatics—the use of language in context—is crucial for developing NLP systems capable of interpreting nuanced language use. Despite recent advances in language technologies, including large language models, evaluating their ability to hand"&amp;"le pragmatic phenomena such as implicatures and references remains challenging. To advance pragmatic abilities in models, it is essential to understand current evaluation trends and identify existing limitations. In this survey, we provide a comprehensive"&amp;" review of resources designed for evaluating pragmatic capabilities in NLP, categorizing datasets by the pragmatic phenomena they address. We analyze task designs, data collection methods, evaluation approaches, and their relevance to real-world applicati"&amp;"ons. By examining these resources in the context of modern language models, we highlight emerging trends, challenges, and gaps in existing benchmarks. Our survey aims to clarify the landscape of pragmatic evaluation and guide the development of more compr"&amp;"ehensive and targeted benchmarks, ultimately contributing to more nuanced and context-aware NLP models.")</f>
        <v>Understanding pragmatics—the use of language in context—is crucial for developing NLP systems capable of interpreting nuanced language use. Despite recent advances in language technologies, including large language models, evaluating their ability to handle pragmatic phenomena such as implicatures and references remains challenging. To advance pragmatic abilities in models, it is essential to understand current evaluation trends and identify existing limitations. In this survey, we provide a comprehensive review of resources designed for evaluating pragmatic capabilities in NLP, categorizing datasets by the pragmatic phenomena they address. We analyze task designs, data collection methods, evaluation approaches, and their relevance to real-world applications. By examining these resources in the context of modern language models, we highlight emerging trends, challenges, and gaps in existing benchmarks. Our survey aims to clarify the landscape of pragmatic evaluation and guide the development of more comprehensive and targeted benchmarks, ultimately contributing to more nuanced and context-aware NLP models.</v>
      </c>
      <c r="D2035" s="7" t="str">
        <f>IFERROR(__xludf.DUMMYFUNCTION("""COMPUTED_VALUE"""),"Bolei Ma")</f>
        <v>Bolei Ma</v>
      </c>
      <c r="E2035" s="7" t="str">
        <f>IFERROR(__xludf.DUMMYFUNCTION("""COMPUTED_VALUE"""),"Yes")</f>
        <v>Yes</v>
      </c>
      <c r="F2035" s="7" t="str">
        <f>IFERROR(__xludf.DUMMYFUNCTION("""COMPUTED_VALUE"""),"IP-Poster")</f>
        <v>IP-Poster</v>
      </c>
      <c r="G2035" s="7" t="str">
        <f>IFERROR(__xludf.DUMMYFUNCTION("""COMPUTED_VALUE"""),"In-Person")</f>
        <v>In-Person</v>
      </c>
      <c r="H2035" s="7" t="str">
        <f>IFERROR(__xludf.DUMMYFUNCTION("""COMPUTED_VALUE"""),"Hall 4/5")</f>
        <v>Hall 4/5</v>
      </c>
      <c r="I2035" s="7" t="str">
        <f>IFERROR(__xludf.DUMMYFUNCTION("""COMPUTED_VALUE"""),"Session 12: IP-Posters")</f>
        <v>Session 12: IP-Posters</v>
      </c>
      <c r="J2035" s="7" t="str">
        <f>IFERROR(__xludf.DUMMYFUNCTION("""COMPUTED_VALUE"""),"Poster Session 4")</f>
        <v>Poster Session 4</v>
      </c>
      <c r="K2035" s="7"/>
      <c r="L2035" s="8">
        <f>IFERROR(__xludf.DUMMYFUNCTION("""COMPUTED_VALUE"""),45868.0)</f>
        <v>45868</v>
      </c>
      <c r="M2035" s="7" t="str">
        <f>IFERROR(__xludf.DUMMYFUNCTION("""COMPUTED_VALUE"""),"11:00-12:30")</f>
        <v>11:00-12:30</v>
      </c>
      <c r="N2035" s="7"/>
    </row>
    <row r="2036">
      <c r="A2036" s="7" t="str">
        <f>IFERROR(__xludf.DUMMYFUNCTION("""COMPUTED_VALUE"""),"984-MAIN")</f>
        <v>984-MAIN</v>
      </c>
      <c r="B2036" s="7" t="str">
        <f>IFERROR(__xludf.DUMMYFUNCTION("""COMPUTED_VALUE"""),"LocAgent: Agentic Code Localization with Graph-Based Indexing")</f>
        <v>LocAgent: Agentic Code Localization with Graph-Based Indexing</v>
      </c>
      <c r="C2036" s="7" t="str">
        <f>IFERROR(__xludf.DUMMYFUNCTION("""COMPUTED_VALUE"""),"Code localization--identifying precisely where in a codebase changes need to be made--is a fundamental yet challenging task in software maintenance. Existing approaches struggle to efficiently navigate complex codebases when identifying relevant code snip"&amp;"pets.
The challenge lies in bridging natural language problem descriptions with the target code elements, often requiring reasoning across hierarchical structures and multiple dependencies.
We introduce \textsc{LocAgent}, a framework that addresses code l"&amp;"ocalization through a graph-guided agent.
By parsing codebases into directed heterogeneous graphs, \textsc{LocAgent} creates a lightweight representation that captures code structures and their dependencies, enabling LLM agents to effectively search and l"&amp;"ocate relevant entities through powerful multi-hop reasoning.
Experimental results on real-world benchmarks demonstrate that our approach significantly enhances accuracy in code localization.
Notably, our method with the fine-tuned \texttt{Qwen-2.5-Coder-"&amp;"Instruct-32B} model achieves comparable results to SOTA proprietary models at greatly reduced cost (approximately 86\% reduction), reaching up to 92.7\% accuracy on file-level localization while improving downstream GitHub issue resolution success rates b"&amp;"y 12\% for multiple attempts (Pass@10). Our code is available at \url{https://github.com/gersteinlab/LocAgent}.")</f>
        <v>Code localization--identifying precisely where in a codebase changes need to be made--is a fundamental yet challenging task in software maintenance. Existing approaches struggle to efficiently navigate complex codebases when identifying relevant code snippets.
The challenge lies in bridging natural language problem descriptions with the target code elements, often requiring reasoning across hierarchical structures and multiple dependencies.
We introduce \textsc{LocAgent}, a framework that addresses code localization through a graph-guided agent.
By parsing codebases into directed heterogeneous graphs, \textsc{LocAgent} creates a lightweight representation that captures code structures and their dependencies, enabling LLM agents to effectively search and locate relevant entities through powerful multi-hop reasoning.
Experimental results on real-world benchmarks demonstrate that our approach significantly enhances accuracy in code localization.
Notably, our method with the fine-tuned \texttt{Qwen-2.5-Coder-Instruct-32B} model achieves comparable results to SOTA proprietary models at greatly reduced cost (approximately 86\% reduction), reaching up to 92.7\% accuracy on file-level localization while improving downstream GitHub issue resolution success rates by 12\% for multiple attempts (Pass@10). Our code is available at \url{https://github.com/gersteinlab/LocAgent}.</v>
      </c>
      <c r="D2036" s="7" t="str">
        <f>IFERROR(__xludf.DUMMYFUNCTION("""COMPUTED_VALUE"""),"Zhaoling Chen")</f>
        <v>Zhaoling Chen</v>
      </c>
      <c r="E2036" s="7" t="str">
        <f>IFERROR(__xludf.DUMMYFUNCTION("""COMPUTED_VALUE"""),"Yes")</f>
        <v>Yes</v>
      </c>
      <c r="F2036" s="7" t="str">
        <f>IFERROR(__xludf.DUMMYFUNCTION("""COMPUTED_VALUE"""),"IP-Poster")</f>
        <v>IP-Poster</v>
      </c>
      <c r="G2036" s="7" t="str">
        <f>IFERROR(__xludf.DUMMYFUNCTION("""COMPUTED_VALUE"""),"In-Person")</f>
        <v>In-Person</v>
      </c>
      <c r="H2036" s="7" t="str">
        <f>IFERROR(__xludf.DUMMYFUNCTION("""COMPUTED_VALUE"""),"Hall 4/5")</f>
        <v>Hall 4/5</v>
      </c>
      <c r="I2036" s="7" t="str">
        <f>IFERROR(__xludf.DUMMYFUNCTION("""COMPUTED_VALUE"""),"Session 2: IP-Posters ")</f>
        <v>Session 2: IP-Posters </v>
      </c>
      <c r="J2036" s="7" t="str">
        <f>IFERROR(__xludf.DUMMYFUNCTION("""COMPUTED_VALUE"""),"Poster Session 1")</f>
        <v>Poster Session 1</v>
      </c>
      <c r="K2036" s="7"/>
      <c r="L2036" s="8">
        <f>IFERROR(__xludf.DUMMYFUNCTION("""COMPUTED_VALUE"""),45866.0)</f>
        <v>45866</v>
      </c>
      <c r="M2036" s="7" t="str">
        <f>IFERROR(__xludf.DUMMYFUNCTION("""COMPUTED_VALUE"""),"11:00-12:30")</f>
        <v>11:00-12:30</v>
      </c>
      <c r="N2036" s="7"/>
    </row>
    <row r="2037">
      <c r="A2037" s="7" t="str">
        <f>IFERROR(__xludf.DUMMYFUNCTION("""COMPUTED_VALUE"""),"985-MAIN")</f>
        <v>985-MAIN</v>
      </c>
      <c r="B2037" s="7" t="str">
        <f>IFERROR(__xludf.DUMMYFUNCTION("""COMPUTED_VALUE"""),"COSMMIC: Comment-Sensitive Multimodal Multilingual Indian Corpus for Summarization and Headline Generation")</f>
        <v>COSMMIC: Comment-Sensitive Multimodal Multilingual Indian Corpus for Summarization and Headline Generation</v>
      </c>
      <c r="C2037" s="7" t="str">
        <f>IFERROR(__xludf.DUMMYFUNCTION("""COMPUTED_VALUE"""),"Despite progress in comment-aware multimodal and multilingual summarization for English and Chinese, research in Indian languages remains limited. This study addresses this gap by introducing COSMMIC, a pioneering comment-sensitive multimodal, multilingua"&amp;"l dataset featuring nine major Indian languages. COSMMIC comprises 4,959 article-image pairs and 24,484 reader comments, with ground-truth summaries available in all included languages. Our approach enhances summaries by integrating reader insights and fe"&amp;"edback. We explore summarization and headline generation across four configurations: (1) using article text alone, (2) incorporating user comments, (3) utilizing images, and (4) combining text, comments, and images. To assess the dataset’s effectiveness, "&amp;"we employ state-of-the-art language models such as LLama3 and GPT-4. We conduct a comprehensive study to evaluate different component combinations, including identifying supportive comments, filtering out noise using a dedicated comment classifier using I"&amp;"ndicBERT, and extracting valuable insights from images with a multilingual CLIP-based classifier. This helps determine the most effective configurations for natural language generation (NLG) tasks. Unlike many existing datasets that are either text-only o"&amp;"r lack user comments in multimodal settings, COSMMIC uniquely integrates text, images, and user feedback. This holistic approach bridges gaps in Indian language resources, advancing NLP research and fostering inclusivity.")</f>
        <v>Despite progress in comment-aware multimodal and multilingual summarization for English and Chinese, research in Indian languages remains limited. This study addresses this gap by introducing COSMMIC, a pioneering comment-sensitive multimodal, multilingual dataset featuring nine major Indian languages. COSMMIC comprises 4,959 article-image pairs and 24,484 reader comments, with ground-truth summaries available in all included languages. Our approach enhances summaries by integrating reader insights and feedback. We explore summarization and headline generation across four configurations: (1) using article text alone, (2) incorporating user comments, (3) utilizing images, and (4) combining text, comments, and images. To assess the dataset’s effectiveness, we employ state-of-the-art language models such as LLama3 and GPT-4. We conduct a comprehensive study to evaluate different component combinations, including identifying supportive comments, filtering out noise using a dedicated comment classifier using IndicBERT, and extracting valuable insights from images with a multilingual CLIP-based classifier. This helps determine the most effective configurations for natural language generation (NLG) tasks. Unlike many existing datasets that are either text-only or lack user comments in multimodal settings, COSMMIC uniquely integrates text, images, and user feedback. This holistic approach bridges gaps in Indian language resources, advancing NLP research and fostering inclusivity.</v>
      </c>
      <c r="D2037" s="7" t="str">
        <f>IFERROR(__xludf.DUMMYFUNCTION("""COMPUTED_VALUE"""),"Aryan Sahu")</f>
        <v>Aryan Sahu</v>
      </c>
      <c r="E2037" s="7" t="str">
        <f>IFERROR(__xludf.DUMMYFUNCTION("""COMPUTED_VALUE"""),"Yes")</f>
        <v>Yes</v>
      </c>
      <c r="F2037" s="7" t="str">
        <f>IFERROR(__xludf.DUMMYFUNCTION("""COMPUTED_VALUE"""),"IP-Poster")</f>
        <v>IP-Poster</v>
      </c>
      <c r="G2037" s="7" t="str">
        <f>IFERROR(__xludf.DUMMYFUNCTION("""COMPUTED_VALUE"""),"In-Person")</f>
        <v>In-Person</v>
      </c>
      <c r="H2037" s="7" t="str">
        <f>IFERROR(__xludf.DUMMYFUNCTION("""COMPUTED_VALUE"""),"Hall 4/5")</f>
        <v>Hall 4/5</v>
      </c>
      <c r="I2037" s="7" t="str">
        <f>IFERROR(__xludf.DUMMYFUNCTION("""COMPUTED_VALUE"""),"Session 7: IP-Posters")</f>
        <v>Session 7: IP-Posters</v>
      </c>
      <c r="J2037" s="7" t="str">
        <f>IFERROR(__xludf.DUMMYFUNCTION("""COMPUTED_VALUE"""),"Poster Session 2")</f>
        <v>Poster Session 2</v>
      </c>
      <c r="K2037" s="7"/>
      <c r="L2037" s="8">
        <f>IFERROR(__xludf.DUMMYFUNCTION("""COMPUTED_VALUE"""),45867.0)</f>
        <v>45867</v>
      </c>
      <c r="M2037" s="7" t="str">
        <f>IFERROR(__xludf.DUMMYFUNCTION("""COMPUTED_VALUE"""),"10:30-12:00")</f>
        <v>10:30-12:00</v>
      </c>
      <c r="N2037" s="7"/>
    </row>
    <row r="2038">
      <c r="A2038" s="7" t="str">
        <f>IFERROR(__xludf.DUMMYFUNCTION("""COMPUTED_VALUE"""),"987-MAIN")</f>
        <v>987-MAIN</v>
      </c>
      <c r="B2038" s="7" t="str">
        <f>IFERROR(__xludf.DUMMYFUNCTION("""COMPUTED_VALUE"""),"Mind the Gap: Static and Interactive Evaluations of Large Audio Models")</f>
        <v>Mind the Gap: Static and Interactive Evaluations of Large Audio Models</v>
      </c>
      <c r="C2038" s="7" t="str">
        <f>IFERROR(__xludf.DUMMYFUNCTION("""COMPUTED_VALUE"""),"As AI chatbots become ubiquitous, voice interaction presents a compelling way to enable rapid, high-bandwidth communication for both semantic and social signals. This has driven research into Large Audio Models (LAMs) to power voice-native experiences. Ho"&amp;"wever, aligning LAM development with user goals requires a clear understanding of user needs and preferences to establish reliable progress metrics. This study addresses these challenges by introducing an interactive approach to evaluate LAMs and collecti"&amp;"ng 7,500 LAM interactions from 484 participants. Through topic modeling of user queries, we identify primary use cases for audio interfaces. We then analyze user preference rankings and qualitative feedback to determine which models best align with user n"&amp;"eeds. Finally, we evaluate how static benchmarks predict interactive performance - our analysis reveals no individual benchmark strongly correlates with interactive results ($\tau \leq 0.33$ for all benchmarks). While combining multiple coarse-grained fea"&amp;"tures yields modest predictive power ($R^2$=$0.30$), only two out of twenty datasets on spoken question answering and age prediction show significantly positive correlations. This suggests a clear need to develop LAM evaluations that better correlate with"&amp;" user preferences.")</f>
        <v>As AI chatbots become ubiquitous, voice interaction presents a compelling way to enable rapid, high-bandwidth communication for both semantic and social signals. This has driven research into Large Audio Models (LAMs) to power voice-native experiences. However, aligning LAM development with user goals requires a clear understanding of user needs and preferences to establish reliable progress metrics. This study addresses these challenges by introducing an interactive approach to evaluate LAMs and collecting 7,500 LAM interactions from 484 participants. Through topic modeling of user queries, we identify primary use cases for audio interfaces. We then analyze user preference rankings and qualitative feedback to determine which models best align with user needs. Finally, we evaluate how static benchmarks predict interactive performance - our analysis reveals no individual benchmark strongly correlates with interactive results ($\tau \leq 0.33$ for all benchmarks). While combining multiple coarse-grained features yields modest predictive power ($R^2$=$0.30$), only two out of twenty datasets on spoken question answering and age prediction show significantly positive correlations. This suggests a clear need to develop LAM evaluations that better correlate with user preferences.</v>
      </c>
      <c r="D2038" s="7" t="str">
        <f>IFERROR(__xludf.DUMMYFUNCTION("""COMPUTED_VALUE"""),"William Barr Held")</f>
        <v>William Barr Held</v>
      </c>
      <c r="E2038" s="7" t="str">
        <f>IFERROR(__xludf.DUMMYFUNCTION("""COMPUTED_VALUE"""),"Yes")</f>
        <v>Yes</v>
      </c>
      <c r="F2038" s="7" t="str">
        <f>IFERROR(__xludf.DUMMYFUNCTION("""COMPUTED_VALUE"""),"IP-Oral")</f>
        <v>IP-Oral</v>
      </c>
      <c r="G2038" s="7" t="str">
        <f>IFERROR(__xludf.DUMMYFUNCTION("""COMPUTED_VALUE"""),"In-Person")</f>
        <v>In-Person</v>
      </c>
      <c r="H2038" s="7" t="str">
        <f>IFERROR(__xludf.DUMMYFUNCTION("""COMPUTED_VALUE"""),"Room 1.61")</f>
        <v>Room 1.61</v>
      </c>
      <c r="I2038" s="7" t="str">
        <f>IFERROR(__xludf.DUMMYFUNCTION("""COMPUTED_VALUE"""),"Session 9: IP-Orals")</f>
        <v>Session 9: IP-Orals</v>
      </c>
      <c r="J2038" s="7" t="str">
        <f>IFERROR(__xludf.DUMMYFUNCTION("""COMPUTED_VALUE"""),"Speech Processing ")</f>
        <v>Speech Processing </v>
      </c>
      <c r="K2038" s="7"/>
      <c r="L2038" s="8">
        <f>IFERROR(__xludf.DUMMYFUNCTION("""COMPUTED_VALUE"""),45867.0)</f>
        <v>45867</v>
      </c>
      <c r="M2038" s="7" t="str">
        <f>IFERROR(__xludf.DUMMYFUNCTION("""COMPUTED_VALUE"""),"14:00-15:30")</f>
        <v>14:00-15:30</v>
      </c>
      <c r="N2038" s="7">
        <f>IFERROR(__xludf.DUMMYFUNCTION("""COMPUTED_VALUE"""),3.0)</f>
        <v>3</v>
      </c>
    </row>
    <row r="2039">
      <c r="A2039" s="7" t="str">
        <f>IFERROR(__xludf.DUMMYFUNCTION("""COMPUTED_VALUE"""),"989-MAIN")</f>
        <v>989-MAIN</v>
      </c>
      <c r="B2039" s="7" t="str">
        <f>IFERROR(__xludf.DUMMYFUNCTION("""COMPUTED_VALUE"""),"Understanding In-context Machine Translation for Low-Resource Languages: A Case Study on Manchu")</f>
        <v>Understanding In-context Machine Translation for Low-Resource Languages: A Case Study on Manchu</v>
      </c>
      <c r="C2039" s="7" t="str">
        <f>IFERROR(__xludf.DUMMYFUNCTION("""COMPUTED_VALUE"""),"In-context machine translation (MT) with large language models (LLMs) is a promising approach for low-resource MT, as it can readily take advantage of linguistic resources such as grammar books and dictionaries.
Such resources are usually selectively inte"&amp;"grated into the prompt so that LLMs can directly perform translation without any specific training, via their in-context learning capability (ICL).
However, the relative importance of each type of resource, e.g., dictionary, grammar book, and retrieved pa"&amp;"rallel examples, is not entirely clear.
To address this gap, this study systematically investigates how each resource and its quality affect the translation performance, with the Manchu language as our case study. 
To remove any prior knowledge of Manchu "&amp;"encoded in the LLM parameters and single out the effect of ICL, we also experiment with an enciphered version of Manchu texts.
Our results indicate that high-quality dictionaries and good parallel examples are very helpful, while grammars hardly help.
In "&amp;"a follow-up study, we showcase a promising application of in-context MT: parallel data augmentation as a way to bootstrap a conventional MT model. 
When monolingual data abound, generating synthetic parallel data through in-context MT offers a pathway to "&amp;"mitigate data scarcity and build effective and efficient low-resource neural MT systems.")</f>
        <v>In-context machine translation (MT) with large language models (LLMs) is a promising approach for low-resource MT, as it can readily take advantage of linguistic resources such as grammar books and dictionaries.
Such resources are usually selectively integrated into the prompt so that LLMs can directly perform translation without any specific training, via their in-context learning capability (ICL).
However, the relative importance of each type of resource, e.g., dictionary, grammar book, and retrieved parallel examples, is not entirely clear.
To address this gap, this study systematically investigates how each resource and its quality affect the translation performance, with the Manchu language as our case study. 
To remove any prior knowledge of Manchu encoded in the LLM parameters and single out the effect of ICL, we also experiment with an enciphered version of Manchu texts.
Our results indicate that high-quality dictionaries and good parallel examples are very helpful, while grammars hardly help.
In a follow-up study, we showcase a promising application of in-context MT: parallel data augmentation as a way to bootstrap a conventional MT model. 
When monolingual data abound, generating synthetic parallel data through in-context MT offers a pathway to mitigate data scarcity and build effective and efficient low-resource neural MT systems.</v>
      </c>
      <c r="D2039" s="7" t="str">
        <f>IFERROR(__xludf.DUMMYFUNCTION("""COMPUTED_VALUE"""),"Renhao Pei")</f>
        <v>Renhao Pei</v>
      </c>
      <c r="E2039" s="7" t="str">
        <f>IFERROR(__xludf.DUMMYFUNCTION("""COMPUTED_VALUE"""),"Yes")</f>
        <v>Yes</v>
      </c>
      <c r="F2039" s="7" t="str">
        <f>IFERROR(__xludf.DUMMYFUNCTION("""COMPUTED_VALUE"""),"IP-Poster")</f>
        <v>IP-Poster</v>
      </c>
      <c r="G2039" s="7" t="str">
        <f>IFERROR(__xludf.DUMMYFUNCTION("""COMPUTED_VALUE"""),"In-Person")</f>
        <v>In-Person</v>
      </c>
      <c r="H2039" s="7" t="str">
        <f>IFERROR(__xludf.DUMMYFUNCTION("""COMPUTED_VALUE"""),"Hall 4/5")</f>
        <v>Hall 4/5</v>
      </c>
      <c r="I2039" s="7" t="str">
        <f>IFERROR(__xludf.DUMMYFUNCTION("""COMPUTED_VALUE"""),"Session 10: IP-Posters")</f>
        <v>Session 10: IP-Posters</v>
      </c>
      <c r="J2039" s="7" t="str">
        <f>IFERROR(__xludf.DUMMYFUNCTION("""COMPUTED_VALUE"""),"Poster Session 3")</f>
        <v>Poster Session 3</v>
      </c>
      <c r="K2039" s="7"/>
      <c r="L2039" s="8">
        <f>IFERROR(__xludf.DUMMYFUNCTION("""COMPUTED_VALUE"""),45867.0)</f>
        <v>45867</v>
      </c>
      <c r="M2039" s="7" t="str">
        <f>IFERROR(__xludf.DUMMYFUNCTION("""COMPUTED_VALUE"""),"16:00-17:30")</f>
        <v>16:00-17:30</v>
      </c>
      <c r="N2039" s="7"/>
    </row>
    <row r="2040">
      <c r="A2040" s="7" t="str">
        <f>IFERROR(__xludf.DUMMYFUNCTION("""COMPUTED_VALUE"""),"991-MAIN")</f>
        <v>991-MAIN</v>
      </c>
      <c r="B2040" s="7" t="str">
        <f>IFERROR(__xludf.DUMMYFUNCTION("""COMPUTED_VALUE"""),"CKnowEdit: A New Chinese Knowledge Editing Dataset for Linguistics, Facts, and Logic Error Correction in LLMs")</f>
        <v>CKnowEdit: A New Chinese Knowledge Editing Dataset for Linguistics, Facts, and Logic Error Correction in LLMs</v>
      </c>
      <c r="C2040" s="7" t="str">
        <f>IFERROR(__xludf.DUMMYFUNCTION("""COMPUTED_VALUE"""),"Chinese, as a linguistic system rich in depth and complexity, is characterized by distinctive elements such as ancient poetry, proverbs, idioms, and other cultural constructs. However, current Large Language Models (LLMs) face limitations in these special"&amp;"ized domains, highlighting the need for the development of comprehensive datasets that can assess, continuously update, and progressively improve these culturally-grounded linguistic competencies through targeted training optimizations. To address this ga"&amp;"p, we introduce CKnowEdit, the first-ever Chinese knowledge editing dataset designed to correct linguistic, factual, and logical errors in LLMs. We collect seven types of knowledge from a wide range of sources, including classical texts, idioms, and conte"&amp;"nt from Baidu Tieba Ruozhiba, taking into account the unique polyphony, antithesis, and logical structures inherent in the Chinese language. By analyzing this dataset, we highlight the challenges current LLMs face in mastering Chinese. Furthermore, our ev"&amp;"aluation of state-of-the-art knowledge editing techniques reveals opportunities to advance the correction of Chinese knowledge.")</f>
        <v>Chinese, as a linguistic system rich in depth and complexity, is characterized by distinctive elements such as ancient poetry, proverbs, idioms, and other cultural constructs. However, current Large Language Models (LLMs) face limitations in these specialized domains, highlighting the need for the development of comprehensive datasets that can assess, continuously update, and progressively improve these culturally-grounded linguistic competencies through targeted training optimizations. To address this gap, we introduce CKnowEdit, the first-ever Chinese knowledge editing dataset designed to correct linguistic, factual, and logical errors in LLMs. We collect seven types of knowledge from a wide range of sources, including classical texts, idioms, and content from Baidu Tieba Ruozhiba, taking into account the unique polyphony, antithesis, and logical structures inherent in the Chinese language. By analyzing this dataset, we highlight the challenges current LLMs face in mastering Chinese. Furthermore, our evaluation of state-of-the-art knowledge editing techniques reveals opportunities to advance the correction of Chinese knowledge.</v>
      </c>
      <c r="D2040" s="7" t="str">
        <f>IFERROR(__xludf.DUMMYFUNCTION("""COMPUTED_VALUE"""),"Jizhan Fang")</f>
        <v>Jizhan Fang</v>
      </c>
      <c r="E2040" s="7" t="str">
        <f>IFERROR(__xludf.DUMMYFUNCTION("""COMPUTED_VALUE"""),"Yes")</f>
        <v>Yes</v>
      </c>
      <c r="F2040" s="7" t="str">
        <f>IFERROR(__xludf.DUMMYFUNCTION("""COMPUTED_VALUE"""),"IP-Poster")</f>
        <v>IP-Poster</v>
      </c>
      <c r="G2040" s="7" t="str">
        <f>IFERROR(__xludf.DUMMYFUNCTION("""COMPUTED_VALUE"""),"In-Person")</f>
        <v>In-Person</v>
      </c>
      <c r="H2040" s="7" t="str">
        <f>IFERROR(__xludf.DUMMYFUNCTION("""COMPUTED_VALUE"""),"Hall 4/5")</f>
        <v>Hall 4/5</v>
      </c>
      <c r="I2040" s="7" t="str">
        <f>IFERROR(__xludf.DUMMYFUNCTION("""COMPUTED_VALUE"""),"Session 2: IP-Posters ")</f>
        <v>Session 2: IP-Posters </v>
      </c>
      <c r="J2040" s="7" t="str">
        <f>IFERROR(__xludf.DUMMYFUNCTION("""COMPUTED_VALUE"""),"Poster Session 1")</f>
        <v>Poster Session 1</v>
      </c>
      <c r="K2040" s="7"/>
      <c r="L2040" s="8">
        <f>IFERROR(__xludf.DUMMYFUNCTION("""COMPUTED_VALUE"""),45866.0)</f>
        <v>45866</v>
      </c>
      <c r="M2040" s="7" t="str">
        <f>IFERROR(__xludf.DUMMYFUNCTION("""COMPUTED_VALUE"""),"11:00-12:30")</f>
        <v>11:00-12:30</v>
      </c>
      <c r="N2040" s="7"/>
    </row>
    <row r="2041">
      <c r="A2041" s="7" t="str">
        <f>IFERROR(__xludf.DUMMYFUNCTION("""COMPUTED_VALUE"""),"992-MAIN")</f>
        <v>992-MAIN</v>
      </c>
      <c r="B2041" s="7" t="str">
        <f>IFERROR(__xludf.DUMMYFUNCTION("""COMPUTED_VALUE"""),"TripleFact: Defending Data Contamination in the Evaluation of LLM-driven Fake News Detection")</f>
        <v>TripleFact: Defending Data Contamination in the Evaluation of LLM-driven Fake News Detection</v>
      </c>
      <c r="C2041" s="7" t="str">
        <f>IFERROR(__xludf.DUMMYFUNCTION("""COMPUTED_VALUE"""),"The proliferation of large language models (LLMs) has introduced unprecedented challenges in fake news detection due to benchmark data contamination (BDC), where evaluation benchmarks are inadvertently memorized during the pre-training, leading to the inf"&amp;"lated performance metrics. Traditional evaluation paradigms, reliant on static datasets and closed-world assumptions, fail to account the BDC risk in large-scale pre-training of current LLMs. This paper introduces TripleFact, a novel evaluation framework "&amp;"for fake news detection task, which designed to mitigate BDC risk while prioritizing real-world applicability. TripleFact integrates three components: (1) Human-Adversarial Preference Testing (HAPT) to assess robustness against human-crafted misinformatio"&amp;"n, (2) Real-Time Web Agent with Asynchronous Validation (RTW-AV) to evaluate temporal generalization using dynamically sourced claims, and (3) Entity-Controlled Virtual Environment (ECVE) to eliminate entity-specific biases. Through experiments on 17 stat"&amp;"e-of-the-art LLMs, including GPT, LLaMA, and DeepSeek variants, TripleFact demonstrates superior contamination resistance compared to traditional benchmarks. Results reveal that BDC artificially inflates performance by up to 23\% in conventional evaluatio"&amp;"ns, while TripleFact Score (TFS) remain stable within 4\% absolute error under controlled contamination. The framework's ability to disentangle genuine detection capabilities from memorization artifacts underscores its potential as a fake news detection b"&amp;"enchmark for the LLM era.")</f>
        <v>The proliferation of large language models (LLMs) has introduced unprecedented challenges in fake news detection due to benchmark data contamination (BDC), where evaluation benchmarks are inadvertently memorized during the pre-training, leading to the inflated performance metrics. Traditional evaluation paradigms, reliant on static datasets and closed-world assumptions, fail to account the BDC risk in large-scale pre-training of current LLMs. This paper introduces TripleFact, a novel evaluation framework for fake news detection task, which designed to mitigate BDC risk while prioritizing real-world applicability. TripleFact integrates three components: (1) Human-Adversarial Preference Testing (HAPT) to assess robustness against human-crafted misinformation, (2) Real-Time Web Agent with Asynchronous Validation (RTW-AV) to evaluate temporal generalization using dynamically sourced claims, and (3) Entity-Controlled Virtual Environment (ECVE) to eliminate entity-specific biases. Through experiments on 17 state-of-the-art LLMs, including GPT, LLaMA, and DeepSeek variants, TripleFact demonstrates superior contamination resistance compared to traditional benchmarks. Results reveal that BDC artificially inflates performance by up to 23\% in conventional evaluations, while TripleFact Score (TFS) remain stable within 4\% absolute error under controlled contamination. The framework's ability to disentangle genuine detection capabilities from memorization artifacts underscores its potential as a fake news detection benchmark for the LLM era.</v>
      </c>
      <c r="D2041" s="7" t="str">
        <f>IFERROR(__xludf.DUMMYFUNCTION("""COMPUTED_VALUE"""),"Cheng Xu")</f>
        <v>Cheng Xu</v>
      </c>
      <c r="E2041" s="7" t="str">
        <f>IFERROR(__xludf.DUMMYFUNCTION("""COMPUTED_VALUE"""),"Yes")</f>
        <v>Yes</v>
      </c>
      <c r="F2041" s="7" t="str">
        <f>IFERROR(__xludf.DUMMYFUNCTION("""COMPUTED_VALUE"""),"V-Presentation")</f>
        <v>V-Presentation</v>
      </c>
      <c r="G2041" s="7" t="str">
        <f>IFERROR(__xludf.DUMMYFUNCTION("""COMPUTED_VALUE"""),"Virtual/Gather")</f>
        <v>Virtual/Gather</v>
      </c>
      <c r="H2041" s="7" t="str">
        <f>IFERROR(__xludf.DUMMYFUNCTION("""COMPUTED_VALUE"""),"Zoom")</f>
        <v>Zoom</v>
      </c>
      <c r="I2041" s="7" t="str">
        <f>IFERROR(__xludf.DUMMYFUNCTION("""COMPUTED_VALUE"""),"Session 10: V-Presenations")</f>
        <v>Session 10: V-Presenations</v>
      </c>
      <c r="J2041" s="7" t="str">
        <f>IFERROR(__xludf.DUMMYFUNCTION("""COMPUTED_VALUE"""),"Virtual Presentations 3")</f>
        <v>Virtual Presentations 3</v>
      </c>
      <c r="K2041" s="7"/>
      <c r="L2041" s="8">
        <f>IFERROR(__xludf.DUMMYFUNCTION("""COMPUTED_VALUE"""),45867.0)</f>
        <v>45867</v>
      </c>
      <c r="M2041" s="7" t="str">
        <f>IFERROR(__xludf.DUMMYFUNCTION("""COMPUTED_VALUE"""),"16:00-17:30")</f>
        <v>16:00-17:30</v>
      </c>
      <c r="N2041" s="7"/>
    </row>
    <row r="2042">
      <c r="A2042" s="7" t="str">
        <f>IFERROR(__xludf.DUMMYFUNCTION("""COMPUTED_VALUE"""),"997-MAIN")</f>
        <v>997-MAIN</v>
      </c>
      <c r="B2042" s="7" t="str">
        <f>IFERROR(__xludf.DUMMYFUNCTION("""COMPUTED_VALUE"""),"MUSTS: MUltilingual Semantic Textual Similarity Benchmark")</f>
        <v>MUSTS: MUltilingual Semantic Textual Similarity Benchmark</v>
      </c>
      <c r="C2042" s="7" t="str">
        <f>IFERROR(__xludf.DUMMYFUNCTION("""COMPUTED_VALUE"""),"Predicting semantic textual similarity (STS) is a complex and ongoing challenge in natural language processing (NLP). Over the years, researchers have developed a variety of supervised and unsupervised approaches to calculate STS automatically. Additional"&amp;"ly, various benchmarks, which include STS datasets, have been established to consistently evaluate and compare these STS methods. However, they largely focus on high-resource languages, mixed with datasets annotated focusing on relatedness instead of simi"&amp;"larity and containing automatically translated instances. Therefore, no dedicated benchmark for multilingual STS exists. To solve this gap, we introduce the Multilingual Semantic Textual Similarity Benchmark (MUSTS), which spans 13 languages, including lo"&amp;"w-resource languages. By evaluating more than 25 models on MUSTS, we establish the most comprehensive benchmark of multilingual STS methods. Our findings confirm that STS remains a challenging task, particularly for low-resource languages.")</f>
        <v>Predicting semantic textual similarity (STS) is a complex and ongoing challenge in natural language processing (NLP). Over the years, researchers have developed a variety of supervised and unsupervised approaches to calculate STS automatically. Additionally, various benchmarks, which include STS datasets, have been established to consistently evaluate and compare these STS methods. However, they largely focus on high-resource languages, mixed with datasets annotated focusing on relatedness instead of similarity and containing automatically translated instances. Therefore, no dedicated benchmark for multilingual STS exists. To solve this gap, we introduce the Multilingual Semantic Textual Similarity Benchmark (MUSTS), which spans 13 languages, including low-resource languages. By evaluating more than 25 models on MUSTS, we establish the most comprehensive benchmark of multilingual STS methods. Our findings confirm that STS remains a challenging task, particularly for low-resource languages.</v>
      </c>
      <c r="D2042" s="7" t="str">
        <f>IFERROR(__xludf.DUMMYFUNCTION("""COMPUTED_VALUE"""),"Tharindu Ranasinghe")</f>
        <v>Tharindu Ranasinghe</v>
      </c>
      <c r="E2042" s="7" t="str">
        <f>IFERROR(__xludf.DUMMYFUNCTION("""COMPUTED_VALUE"""),"Yes")</f>
        <v>Yes</v>
      </c>
      <c r="F2042" s="7" t="str">
        <f>IFERROR(__xludf.DUMMYFUNCTION("""COMPUTED_VALUE"""),"IP-Poster")</f>
        <v>IP-Poster</v>
      </c>
      <c r="G2042" s="7" t="str">
        <f>IFERROR(__xludf.DUMMYFUNCTION("""COMPUTED_VALUE"""),"In-Person")</f>
        <v>In-Person</v>
      </c>
      <c r="H2042" s="7" t="str">
        <f>IFERROR(__xludf.DUMMYFUNCTION("""COMPUTED_VALUE"""),"Hall 4/5")</f>
        <v>Hall 4/5</v>
      </c>
      <c r="I2042" s="7" t="str">
        <f>IFERROR(__xludf.DUMMYFUNCTION("""COMPUTED_VALUE"""),"Session 7: IP-Posters")</f>
        <v>Session 7: IP-Posters</v>
      </c>
      <c r="J2042" s="7" t="str">
        <f>IFERROR(__xludf.DUMMYFUNCTION("""COMPUTED_VALUE"""),"Poster Session 2")</f>
        <v>Poster Session 2</v>
      </c>
      <c r="K2042" s="7"/>
      <c r="L2042" s="8">
        <f>IFERROR(__xludf.DUMMYFUNCTION("""COMPUTED_VALUE"""),45867.0)</f>
        <v>45867</v>
      </c>
      <c r="M2042" s="7" t="str">
        <f>IFERROR(__xludf.DUMMYFUNCTION("""COMPUTED_VALUE"""),"10:30-12:00")</f>
        <v>10:30-12:00</v>
      </c>
      <c r="N2042" s="7"/>
    </row>
    <row r="2043">
      <c r="A2043" s="7" t="str">
        <f>IFERROR(__xludf.DUMMYFUNCTION("""COMPUTED_VALUE"""),"1000-MAIN")</f>
        <v>1000-MAIN</v>
      </c>
      <c r="B2043" s="7" t="str">
        <f>IFERROR(__xludf.DUMMYFUNCTION("""COMPUTED_VALUE"""),"Meaning Beyond Truth Conditions: Evaluating Discourse Level Understanding via Anaphora Accessibility")</f>
        <v>Meaning Beyond Truth Conditions: Evaluating Discourse Level Understanding via Anaphora Accessibility</v>
      </c>
      <c r="C2043" s="7" t="str">
        <f>IFERROR(__xludf.DUMMYFUNCTION("""COMPUTED_VALUE"""),"We present a hierarchy of natural language understanding abilities and argue for the importance of moving beyond assessments of understanding at the lexical and sentence levels to the discourse level. We propose the task of anaphora accessibility as a dia"&amp;"gnostic for assessing discourse understanding, and to this end, present an evaluation dataset inspired by theoretical research in dynamic semantics. We evaluate human and LLM performance on our dataset and find that LLMs and humans align on some tasks and"&amp;" diverge on others. Such divergence can be explained by LLMs' reliance on specific lexical items during language comprehension, in contrast to human sensitivity to structural abstractions.")</f>
        <v>We present a hierarchy of natural language understanding abilities and argue for the importance of moving beyond assessments of understanding at the lexical and sentence levels to the discourse level. We propose the task of anaphora accessibility as a diagnostic for assessing discourse understanding, and to this end, present an evaluation dataset inspired by theoretical research in dynamic semantics. We evaluate human and LLM performance on our dataset and find that LLMs and humans align on some tasks and diverge on others. Such divergence can be explained by LLMs' reliance on specific lexical items during language comprehension, in contrast to human sensitivity to structural abstractions.</v>
      </c>
      <c r="D2043" s="7" t="str">
        <f>IFERROR(__xludf.DUMMYFUNCTION("""COMPUTED_VALUE"""),"Xiaomeng Zhu; Zhenghao Zhou")</f>
        <v>Xiaomeng Zhu; Zhenghao Zhou</v>
      </c>
      <c r="E2043" s="7" t="str">
        <f>IFERROR(__xludf.DUMMYFUNCTION("""COMPUTED_VALUE"""),"Yes")</f>
        <v>Yes</v>
      </c>
      <c r="F2043" s="7" t="str">
        <f>IFERROR(__xludf.DUMMYFUNCTION("""COMPUTED_VALUE"""),"V-Presentation")</f>
        <v>V-Presentation</v>
      </c>
      <c r="G2043" s="7" t="str">
        <f>IFERROR(__xludf.DUMMYFUNCTION("""COMPUTED_VALUE"""),"Virtual/Gather")</f>
        <v>Virtual/Gather</v>
      </c>
      <c r="H2043" s="7" t="str">
        <f>IFERROR(__xludf.DUMMYFUNCTION("""COMPUTED_VALUE"""),"Zoom")</f>
        <v>Zoom</v>
      </c>
      <c r="I2043" s="7" t="str">
        <f>IFERROR(__xludf.DUMMYFUNCTION("""COMPUTED_VALUE"""),"Session 10: V-Presenations")</f>
        <v>Session 10: V-Presenations</v>
      </c>
      <c r="J2043" s="7" t="str">
        <f>IFERROR(__xludf.DUMMYFUNCTION("""COMPUTED_VALUE"""),"Virtual Presentations 3")</f>
        <v>Virtual Presentations 3</v>
      </c>
      <c r="K2043" s="7"/>
      <c r="L2043" s="8">
        <f>IFERROR(__xludf.DUMMYFUNCTION("""COMPUTED_VALUE"""),45867.0)</f>
        <v>45867</v>
      </c>
      <c r="M2043" s="7" t="str">
        <f>IFERROR(__xludf.DUMMYFUNCTION("""COMPUTED_VALUE"""),"16:00-17:30")</f>
        <v>16:00-17:30</v>
      </c>
      <c r="N2043" s="7"/>
    </row>
    <row r="2044">
      <c r="A2044" s="7" t="str">
        <f>IFERROR(__xludf.DUMMYFUNCTION("""COMPUTED_VALUE"""),"1004-MAIN")</f>
        <v>1004-MAIN</v>
      </c>
      <c r="B2044" s="7" t="str">
        <f>IFERROR(__xludf.DUMMYFUNCTION("""COMPUTED_VALUE"""),"Benchmarking Systematic Relational Reasoning with Large Language and Reasoning Models")</f>
        <v>Benchmarking Systematic Relational Reasoning with Large Language and Reasoning Models</v>
      </c>
      <c r="C2044" s="7" t="str">
        <f>IFERROR(__xludf.DUMMYFUNCTION("""COMPUTED_VALUE"""),"Large Language Models (LLMs) have been found to struggle with systematic reasoning. Even on tasks where they appear to perform well, their performance often depends on shortcuts, rather than on genuine reasoning abilities, leading them to collapse on out-"&amp;"of-distribution (OOD) examples. Post-training strategies based on reinforcement learning and chain-of-thought prompting have recently been hailed as a step change. However, little is known about the potential of the resulting ``Large Reasoning Models'' (L"&amp;"RMs) beyond maths and programming-based problem solving, where genuine OOD problems can be sparse. In this paper, we focus on tasks that require systematic relational composition for qualitative spatial and temporal reasoning. The setting allows fine cont"&amp;"rol over problem difficulty to precisely measure OOD generalization. We find that, zero-shot LRMs generally outperform their LLM counterparts in single-path reasoning tasks but struggle in the multi-path setting. Whilst showing comparatively better result"&amp;"s, fine-tuned LLMs are also not capable of multi-path generalization. We also provide evidence for the behavioral interpretation for this, i.e., that LRMs are shallow disjunctive reasoners.")</f>
        <v>Large Language Models (LLMs) have been found to struggle with systematic reasoning. Even on tasks where they appear to perform well, their performance often depends on shortcuts, rather than on genuine reasoning abilities, leading them to collapse on out-of-distribution (OOD) examples. Post-training strategies based on reinforcement learning and chain-of-thought prompting have recently been hailed as a step change. However, little is known about the potential of the resulting ``Large Reasoning Models'' (LRMs) beyond maths and programming-based problem solving, where genuine OOD problems can be sparse. In this paper, we focus on tasks that require systematic relational composition for qualitative spatial and temporal reasoning. The setting allows fine control over problem difficulty to precisely measure OOD generalization. We find that, zero-shot LRMs generally outperform their LLM counterparts in single-path reasoning tasks but struggle in the multi-path setting. Whilst showing comparatively better results, fine-tuned LLMs are also not capable of multi-path generalization. We also provide evidence for the behavioral interpretation for this, i.e., that LRMs are shallow disjunctive reasoners.</v>
      </c>
      <c r="D2044" s="7" t="str">
        <f>IFERROR(__xludf.DUMMYFUNCTION("""COMPUTED_VALUE"""),"Irtaza Khalid")</f>
        <v>Irtaza Khalid</v>
      </c>
      <c r="E2044" s="7" t="str">
        <f>IFERROR(__xludf.DUMMYFUNCTION("""COMPUTED_VALUE"""),"Yes")</f>
        <v>Yes</v>
      </c>
      <c r="F2044" s="7" t="str">
        <f>IFERROR(__xludf.DUMMYFUNCTION("""COMPUTED_VALUE"""),"IP-Poster")</f>
        <v>IP-Poster</v>
      </c>
      <c r="G2044" s="7" t="str">
        <f>IFERROR(__xludf.DUMMYFUNCTION("""COMPUTED_VALUE"""),"In-Person")</f>
        <v>In-Person</v>
      </c>
      <c r="H2044" s="7" t="str">
        <f>IFERROR(__xludf.DUMMYFUNCTION("""COMPUTED_VALUE"""),"Hall 4/5")</f>
        <v>Hall 4/5</v>
      </c>
      <c r="I2044" s="7" t="str">
        <f>IFERROR(__xludf.DUMMYFUNCTION("""COMPUTED_VALUE"""),"Session 10: IP-Posters")</f>
        <v>Session 10: IP-Posters</v>
      </c>
      <c r="J2044" s="7" t="str">
        <f>IFERROR(__xludf.DUMMYFUNCTION("""COMPUTED_VALUE"""),"Poster Session 3")</f>
        <v>Poster Session 3</v>
      </c>
      <c r="K2044" s="7"/>
      <c r="L2044" s="8">
        <f>IFERROR(__xludf.DUMMYFUNCTION("""COMPUTED_VALUE"""),45867.0)</f>
        <v>45867</v>
      </c>
      <c r="M2044" s="7" t="str">
        <f>IFERROR(__xludf.DUMMYFUNCTION("""COMPUTED_VALUE"""),"16:00-17:30")</f>
        <v>16:00-17:30</v>
      </c>
      <c r="N2044" s="7"/>
    </row>
    <row r="2045">
      <c r="A2045" s="7" t="str">
        <f>IFERROR(__xludf.DUMMYFUNCTION("""COMPUTED_VALUE"""),"1010-MAIN")</f>
        <v>1010-MAIN</v>
      </c>
      <c r="B2045" s="7" t="str">
        <f>IFERROR(__xludf.DUMMYFUNCTION("""COMPUTED_VALUE"""),"Warmup Generations: A Task-Agnostic Approach for Guiding Sequence-to-Sequence Learning with Unsupervised Initial State Generation")</f>
        <v>Warmup Generations: A Task-Agnostic Approach for Guiding Sequence-to-Sequence Learning with Unsupervised Initial State Generation</v>
      </c>
      <c r="C2045" s="7" t="str">
        <f>IFERROR(__xludf.DUMMYFUNCTION("""COMPUTED_VALUE"""),"Traditional supervised fine-tuning (SFT) strategies for sequence-to-sequence tasks often train models to directly generate the target output. Recent work has shown that guiding models with intermediate steps—such as keywords, outlines, or reasoning chains"&amp;"—can significantly improve performance, coherence, and interpretability. However, these methods often depend on predefined intermediate formats and annotated data, limiting their scalability and generalizability. In this work, we introduce a task-agnostic"&amp;" framework that enables models to generate intermediate ``warmup'' sequences. These warmup sequences, serving as an initial state for subsequent generation, are optimized to enhance the probability of generating the target sequence without relying on exte"&amp;"rnal supervision or human-designed structures. Drawing inspiration from reinforcement learning principles, our method iteratively refines these intermediate steps to maximize their contribution to the final output, similar to reward-driven optimization in"&amp;" reinforcement learning with human feedback. Experimental results across tasks such as translation, summarization, and multi-choice question answering for logical reasoning show that our approach outperforms traditional SFT methods, and offers a scalable "&amp;"and flexible solution for sequence-to-sequence tasks.")</f>
        <v>Traditional supervised fine-tuning (SFT) strategies for sequence-to-sequence tasks often train models to directly generate the target output. Recent work has shown that guiding models with intermediate steps—such as keywords, outlines, or reasoning chains—can significantly improve performance, coherence, and interpretability. However, these methods often depend on predefined intermediate formats and annotated data, limiting their scalability and generalizability. In this work, we introduce a task-agnostic framework that enables models to generate intermediate ``warmup'' sequences. These warmup sequences, serving as an initial state for subsequent generation, are optimized to enhance the probability of generating the target sequence without relying on external supervision or human-designed structures. Drawing inspiration from reinforcement learning principles, our method iteratively refines these intermediate steps to maximize their contribution to the final output, similar to reward-driven optimization in reinforcement learning with human feedback. Experimental results across tasks such as translation, summarization, and multi-choice question answering for logical reasoning show that our approach outperforms traditional SFT methods, and offers a scalable and flexible solution for sequence-to-sequence tasks.</v>
      </c>
      <c r="D2045" s="7" t="str">
        <f>IFERROR(__xludf.DUMMYFUNCTION("""COMPUTED_VALUE"""),"Senyu Li
David Ifeoluwa Adelani")</f>
        <v>Senyu Li
David Ifeoluwa Adelani</v>
      </c>
      <c r="E2045" s="7" t="str">
        <f>IFERROR(__xludf.DUMMYFUNCTION("""COMPUTED_VALUE"""),"Yes")</f>
        <v>Yes</v>
      </c>
      <c r="F2045" s="7" t="str">
        <f>IFERROR(__xludf.DUMMYFUNCTION("""COMPUTED_VALUE"""),"IP-Poster")</f>
        <v>IP-Poster</v>
      </c>
      <c r="G2045" s="7" t="str">
        <f>IFERROR(__xludf.DUMMYFUNCTION("""COMPUTED_VALUE"""),"In-Person")</f>
        <v>In-Person</v>
      </c>
      <c r="H2045" s="7" t="str">
        <f>IFERROR(__xludf.DUMMYFUNCTION("""COMPUTED_VALUE"""),"Hall 4/5")</f>
        <v>Hall 4/5</v>
      </c>
      <c r="I2045" s="7" t="str">
        <f>IFERROR(__xludf.DUMMYFUNCTION("""COMPUTED_VALUE"""),"Session 2: IP-Posters ")</f>
        <v>Session 2: IP-Posters </v>
      </c>
      <c r="J2045" s="7" t="str">
        <f>IFERROR(__xludf.DUMMYFUNCTION("""COMPUTED_VALUE"""),"Poster Session 1")</f>
        <v>Poster Session 1</v>
      </c>
      <c r="K2045" s="7"/>
      <c r="L2045" s="8">
        <f>IFERROR(__xludf.DUMMYFUNCTION("""COMPUTED_VALUE"""),45866.0)</f>
        <v>45866</v>
      </c>
      <c r="M2045" s="7" t="str">
        <f>IFERROR(__xludf.DUMMYFUNCTION("""COMPUTED_VALUE"""),"11:00-12:30")</f>
        <v>11:00-12:30</v>
      </c>
      <c r="N2045" s="7"/>
    </row>
    <row r="2046">
      <c r="A2046" s="7" t="str">
        <f>IFERROR(__xludf.DUMMYFUNCTION("""COMPUTED_VALUE"""),"1011-MAIN")</f>
        <v>1011-MAIN</v>
      </c>
      <c r="B2046" s="7" t="str">
        <f>IFERROR(__xludf.DUMMYFUNCTION("""COMPUTED_VALUE"""),"Building Better: Avoiding Pitfalls in Developing Language Resources when Data is Scarce")</f>
        <v>Building Better: Avoiding Pitfalls in Developing Language Resources when Data is Scarce</v>
      </c>
      <c r="C2046" s="7" t="str">
        <f>IFERROR(__xludf.DUMMYFUNCTION("""COMPUTED_VALUE"""),"Language is a form of symbolic capital that affects people's lives in many ways (Bourdieu1977,1991). As a powerful means of communication, it reflects identities, cultures, traditions, and societies more broadly. Therefore, data in a given language should"&amp;" be regarded as more than just a collection of tokens. Rigorous data collection and labeling practices are essential for developing more human-centered and socially aware technologies. Although there has been growing interest in under-resourced languages "&amp;"within the NLP community, work in this area faces unique challenges, such as data scarcity and limited access to qualified annotators.
In this paper, we collect feedback from individuals directly involved in and impacted by NLP artefacts for medium- and "&amp;"low-resource languages. We conduct both quantitative and qualitative analyses of their responses and highlight key issues related to: (1) data quality, including linguistic and cultural appropriateness; and (2) the ethics of common annotation practices, s"&amp;"uch as the misuse of participatory research. Based on these findings, we make several recommendations for creating high-quality language artefacts that reflect the cultural milieu of their speakers, while also respecting the dignity and labor of data work"&amp;"ers.")</f>
        <v>Language is a form of symbolic capital that affects people's lives in many ways (Bourdieu1977,1991). As a powerful means of communication, it reflects identities, cultures, traditions, and societies more broadly. Therefore, data in a given language should be regarded as more than just a collection of tokens. Rigorous data collection and labeling practices are essential for developing more human-centered and socially aware technologies. Although there has been growing interest in under-resourced languages within the NLP community, work in this area faces unique challenges, such as data scarcity and limited access to qualified annotators.
In this paper, we collect feedback from individuals directly involved in and impacted by NLP artefacts for medium- and low-resource languages. We conduct both quantitative and qualitative analyses of their responses and highlight key issues related to: (1) data quality, including linguistic and cultural appropriateness; and (2) the ethics of common annotation practices, such as the misuse of participatory research. Based on these findings, we make several recommendations for creating high-quality language artefacts that reflect the cultural milieu of their speakers, while also respecting the dignity and labor of data workers.</v>
      </c>
      <c r="D2046" s="7" t="str">
        <f>IFERROR(__xludf.DUMMYFUNCTION("""COMPUTED_VALUE"""),"Nedjma Ousidhoum")</f>
        <v>Nedjma Ousidhoum</v>
      </c>
      <c r="E2046" s="7" t="str">
        <f>IFERROR(__xludf.DUMMYFUNCTION("""COMPUTED_VALUE"""),"Yes")</f>
        <v>Yes</v>
      </c>
      <c r="F2046" s="7" t="str">
        <f>IFERROR(__xludf.DUMMYFUNCTION("""COMPUTED_VALUE"""),"IP-Oral")</f>
        <v>IP-Oral</v>
      </c>
      <c r="G2046" s="7" t="str">
        <f>IFERROR(__xludf.DUMMYFUNCTION("""COMPUTED_VALUE"""),"In-Person")</f>
        <v>In-Person</v>
      </c>
      <c r="H2046" s="7" t="str">
        <f>IFERROR(__xludf.DUMMYFUNCTION("""COMPUTED_VALUE"""),"Hall N.2")</f>
        <v>Hall N.2</v>
      </c>
      <c r="I2046" s="7" t="str">
        <f>IFERROR(__xludf.DUMMYFUNCTION("""COMPUTED_VALUE"""),"Session 11: IP-Orals ")</f>
        <v>Session 11: IP-Orals </v>
      </c>
      <c r="J2046" s="7" t="str">
        <f>IFERROR(__xludf.DUMMYFUNCTION("""COMPUTED_VALUE"""),"Panel 5: Multilinguality and language diversity")</f>
        <v>Panel 5: Multilinguality and language diversity</v>
      </c>
      <c r="K2046" s="7"/>
      <c r="L2046" s="8">
        <f>IFERROR(__xludf.DUMMYFUNCTION("""COMPUTED_VALUE"""),45868.0)</f>
        <v>45868</v>
      </c>
      <c r="M2046" s="7" t="str">
        <f>IFERROR(__xludf.DUMMYFUNCTION("""COMPUTED_VALUE"""),"09:00-10:30")</f>
        <v>09:00-10:30</v>
      </c>
      <c r="N2046" s="7">
        <f>IFERROR(__xludf.DUMMYFUNCTION("""COMPUTED_VALUE"""),4.0)</f>
        <v>4</v>
      </c>
    </row>
    <row r="2047">
      <c r="A2047" s="7" t="str">
        <f>IFERROR(__xludf.DUMMYFUNCTION("""COMPUTED_VALUE"""),"1013-MAIN")</f>
        <v>1013-MAIN</v>
      </c>
      <c r="B2047" s="7" t="str">
        <f>IFERROR(__xludf.DUMMYFUNCTION("""COMPUTED_VALUE"""),"Can Large Language Models Accurately Generate Answer Keys for Health-related Questions?")</f>
        <v>Can Large Language Models Accurately Generate Answer Keys for Health-related Questions?</v>
      </c>
      <c r="C2047" s="7" t="str">
        <f>IFERROR(__xludf.DUMMYFUNCTION("""COMPUTED_VALUE"""),"The evaluation of text generated by LLMs remains a challenge for question answering, retrieval augmented generation (RAG), summarization, and many other natural language processing tasks. Evaluating the factuality of LLM generated responses is particularl"&amp;"y important in medical question answering, where the stakes are high. One method of evaluating the factuality of text is through the use of information nuggets (answer keys). Nuggets are text representing atomic facts that may be used by an assessor to ma"&amp;"ke a binary decision as to whether the fact represented by said nugget is contained in an answer. Although manual nugget extraction is expensive and time-consuming, recent RAG shared task evaluations have explored automating the nuggetization of text with"&amp;" LLMs. In this work, we explore several approaches to nugget generation for medical question answering and evaluate their alignment with expert human nugget generation. We find providing an example and extracting nuggets from an answer to be the best appr"&amp;"oach to nuggetization. While, overall, we found the capabilities of LLMs to distill atomic facts limited, Llama 3.3 performed the best out of the models we tested.")</f>
        <v>The evaluation of text generated by LLMs remains a challenge for question answering, retrieval augmented generation (RAG), summarization, and many other natural language processing tasks. Evaluating the factuality of LLM generated responses is particularly important in medical question answering, where the stakes are high. One method of evaluating the factuality of text is through the use of information nuggets (answer keys). Nuggets are text representing atomic facts that may be used by an assessor to make a binary decision as to whether the fact represented by said nugget is contained in an answer. Although manual nugget extraction is expensive and time-consuming, recent RAG shared task evaluations have explored automating the nuggetization of text with LLMs. In this work, we explore several approaches to nugget generation for medical question answering and evaluate their alignment with expert human nugget generation. We find providing an example and extracting nuggets from an answer to be the best approach to nuggetization. While, overall, we found the capabilities of LLMs to distill atomic facts limited, Llama 3.3 performed the best out of the models we tested.</v>
      </c>
      <c r="D2047" s="7" t="str">
        <f>IFERROR(__xludf.DUMMYFUNCTION("""COMPUTED_VALUE"""),"Davis Bartels")</f>
        <v>Davis Bartels</v>
      </c>
      <c r="E2047" s="7" t="str">
        <f>IFERROR(__xludf.DUMMYFUNCTION("""COMPUTED_VALUE"""),"Yes")</f>
        <v>Yes</v>
      </c>
      <c r="F2047" s="7" t="str">
        <f>IFERROR(__xludf.DUMMYFUNCTION("""COMPUTED_VALUE"""),"IP-Poster")</f>
        <v>IP-Poster</v>
      </c>
      <c r="G2047" s="7" t="str">
        <f>IFERROR(__xludf.DUMMYFUNCTION("""COMPUTED_VALUE"""),"In-Person")</f>
        <v>In-Person</v>
      </c>
      <c r="H2047" s="7" t="str">
        <f>IFERROR(__xludf.DUMMYFUNCTION("""COMPUTED_VALUE"""),"Hall 4/5")</f>
        <v>Hall 4/5</v>
      </c>
      <c r="I2047" s="7" t="str">
        <f>IFERROR(__xludf.DUMMYFUNCTION("""COMPUTED_VALUE"""),"Session 12: IP-Posters")</f>
        <v>Session 12: IP-Posters</v>
      </c>
      <c r="J2047" s="7" t="str">
        <f>IFERROR(__xludf.DUMMYFUNCTION("""COMPUTED_VALUE"""),"Poster Session 4")</f>
        <v>Poster Session 4</v>
      </c>
      <c r="K2047" s="7"/>
      <c r="L2047" s="8">
        <f>IFERROR(__xludf.DUMMYFUNCTION("""COMPUTED_VALUE"""),45868.0)</f>
        <v>45868</v>
      </c>
      <c r="M2047" s="7" t="str">
        <f>IFERROR(__xludf.DUMMYFUNCTION("""COMPUTED_VALUE"""),"11:00-12:30")</f>
        <v>11:00-12:30</v>
      </c>
      <c r="N2047" s="7"/>
    </row>
    <row r="2048">
      <c r="A2048" s="7" t="str">
        <f>IFERROR(__xludf.DUMMYFUNCTION("""COMPUTED_VALUE"""),"1015-MAIN")</f>
        <v>1015-MAIN</v>
      </c>
      <c r="B2048" s="7" t="str">
        <f>IFERROR(__xludf.DUMMYFUNCTION("""COMPUTED_VALUE"""),"Literary Evidence Retrieval via Long-Context Language Models")</f>
        <v>Literary Evidence Retrieval via Long-Context Language Models</v>
      </c>
      <c r="C2048" s="7" t="str">
        <f>IFERROR(__xludf.DUMMYFUNCTION("""COMPUTED_VALUE"""),"How well do modern long-context language models understand literary fiction?  We explore this question via the task of literary evidence retrieval, repurposing the RELiC dataset of Thai et al. (2022) to construct a benchmark where the entire text of a pri"&amp;"mary source (e.g., The Great Gatsby) is provided to an LLM alongside literary criticism with a missing quotation from that work. This setting, in which the model must generate the missing quotation, mirrors the human process of literary analysis by requir"&amp;"ing models to perform both global narrative reasoning and close textual examination. We curate a high-quality subset of 292 examples through extensive filtering and human verification. Our experiments show that recent reasoning models, such as Gemini 2.5 "&amp;"Pro can exceed human expert performance (62.5% vs. 50% accuracy). In contrast, the best open-weight model achieves only 29.1% accuracy, highlighting a wide gap in interpretive reasoning between open and closed-weight models. Despite their speed and appare"&amp;"nt accuracy, even the strongest models struggle with nuanced literary signals and overgeneration, signaling open challenges for applying LLMs to literary analysis. We release our dataset and evaluation code to encourage future work in this direction.")</f>
        <v>How well do modern long-context language models understand literary fiction?  We explore this question via the task of literary evidence retrieval, repurposing the RELiC dataset of Thai et al. (2022) to construct a benchmark where the entire text of a primary source (e.g., The Great Gatsby) is provided to an LLM alongside literary criticism with a missing quotation from that work. This setting, in which the model must generate the missing quotation, mirrors the human process of literary analysis by requiring models to perform both global narrative reasoning and close textual examination. We curate a high-quality subset of 292 examples through extensive filtering and human verification. Our experiments show that recent reasoning models, such as Gemini 2.5 Pro can exceed human expert performance (62.5% vs. 50% accuracy). In contrast, the best open-weight model achieves only 29.1% accuracy, highlighting a wide gap in interpretive reasoning between open and closed-weight models. Despite their speed and apparent accuracy, even the strongest models struggle with nuanced literary signals and overgeneration, signaling open challenges for applying LLMs to literary analysis. We release our dataset and evaluation code to encourage future work in this direction.</v>
      </c>
      <c r="D2048" s="7" t="str">
        <f>IFERROR(__xludf.DUMMYFUNCTION("""COMPUTED_VALUE"""),"Katherine Thai")</f>
        <v>Katherine Thai</v>
      </c>
      <c r="E2048" s="7" t="str">
        <f>IFERROR(__xludf.DUMMYFUNCTION("""COMPUTED_VALUE"""),"Yes")</f>
        <v>Yes</v>
      </c>
      <c r="F2048" s="7" t="str">
        <f>IFERROR(__xludf.DUMMYFUNCTION("""COMPUTED_VALUE"""),"IP-Poster")</f>
        <v>IP-Poster</v>
      </c>
      <c r="G2048" s="7" t="str">
        <f>IFERROR(__xludf.DUMMYFUNCTION("""COMPUTED_VALUE"""),"In-Person")</f>
        <v>In-Person</v>
      </c>
      <c r="H2048" s="7" t="str">
        <f>IFERROR(__xludf.DUMMYFUNCTION("""COMPUTED_VALUE"""),"Hall 4/5")</f>
        <v>Hall 4/5</v>
      </c>
      <c r="I2048" s="7" t="str">
        <f>IFERROR(__xludf.DUMMYFUNCTION("""COMPUTED_VALUE"""),"Session 12: IP-Posters")</f>
        <v>Session 12: IP-Posters</v>
      </c>
      <c r="J2048" s="7" t="str">
        <f>IFERROR(__xludf.DUMMYFUNCTION("""COMPUTED_VALUE"""),"Poster Session 4")</f>
        <v>Poster Session 4</v>
      </c>
      <c r="K2048" s="7"/>
      <c r="L2048" s="8">
        <f>IFERROR(__xludf.DUMMYFUNCTION("""COMPUTED_VALUE"""),45868.0)</f>
        <v>45868</v>
      </c>
      <c r="M2048" s="7" t="str">
        <f>IFERROR(__xludf.DUMMYFUNCTION("""COMPUTED_VALUE"""),"11:00-12:30")</f>
        <v>11:00-12:30</v>
      </c>
      <c r="N2048" s="7"/>
    </row>
    <row r="2049">
      <c r="A2049" s="7" t="str">
        <f>IFERROR(__xludf.DUMMYFUNCTION("""COMPUTED_VALUE"""),"1019-MAIN")</f>
        <v>1019-MAIN</v>
      </c>
      <c r="B2049" s="7" t="str">
        <f>IFERROR(__xludf.DUMMYFUNCTION("""COMPUTED_VALUE"""),"BRIGHTER: BRIdging the Gap in Human-Annotated Textual Emotion Recognition Datasets for 28 Languages")</f>
        <v>BRIGHTER: BRIdging the Gap in Human-Annotated Textual Emotion Recognition Datasets for 28 Languages</v>
      </c>
      <c r="C2049" s="7" t="str">
        <f>IFERROR(__xludf.DUMMYFUNCTION("""COMPUTED_VALUE"""),"People worldwide use language in subtle and complex ways to express emotions. Although emotion recognition--an umbrella term for several NLP tasks--impacts various applications within NLP and beyond, most work in this area has focused on high-resource lan"&amp;"guages. This has led to significant disparities in research efforts and proposed solutions, particularly for under-resourced languages, which often lack high-quality annotated datasets.
In this paper, we present BRIGHTER--a collection of multi-labeled, em"&amp;"otion-annotated datasets in 28 different languages and across several domains. BRIGHTER primarily covers low-resource languages from Africa, Asia, Eastern Europe, and Latin America, with instances labeled by fluent speakers. We highlight the challenges re"&amp;"lated to the data collection and annotation processes, and then report experimental results for monolingual and crosslingual multi-label emotion identification, as well as emotion intensity recognition. We analyse the variability in performance across lan"&amp;"guages and text domains, both with and without the use of LLMs, and show that the BRIGHTER datasets represent a meaningful step towards addressing the gap in text-based emotion recognition.")</f>
        <v>People worldwide use language in subtle and complex ways to express emotions. Although emotion recognition--an umbrella term for several NLP tasks--impacts various applications within NLP and beyond, most work in this area has focused on high-resource languages. This has led to significant disparities in research efforts and proposed solutions, particularly for under-resourced languages, which often lack high-quality annotated datasets.
In this paper, we present BRIGHTER--a collection of multi-labeled, emotion-annotated datasets in 28 different languages and across several domains. BRIGHTER primarily covers low-resource languages from Africa, Asia, Eastern Europe, and Latin America, with instances labeled by fluent speakers. We highlight the challenges related to the data collection and annotation processes, and then report experimental results for monolingual and crosslingual multi-label emotion identification, as well as emotion intensity recognition. We analyse the variability in performance across languages and text domains, both with and without the use of LLMs, and show that the BRIGHTER datasets represent a meaningful step towards addressing the gap in text-based emotion recognition.</v>
      </c>
      <c r="D2049" s="7" t="str">
        <f>IFERROR(__xludf.DUMMYFUNCTION("""COMPUTED_VALUE"""),"Nedjma Ousidhoum")</f>
        <v>Nedjma Ousidhoum</v>
      </c>
      <c r="E2049" s="7" t="str">
        <f>IFERROR(__xludf.DUMMYFUNCTION("""COMPUTED_VALUE"""),"Yes")</f>
        <v>Yes</v>
      </c>
      <c r="F2049" s="7" t="str">
        <f>IFERROR(__xludf.DUMMYFUNCTION("""COMPUTED_VALUE"""),"IP-Oral")</f>
        <v>IP-Oral</v>
      </c>
      <c r="G2049" s="7" t="str">
        <f>IFERROR(__xludf.DUMMYFUNCTION("""COMPUTED_VALUE"""),"In-Person")</f>
        <v>In-Person</v>
      </c>
      <c r="H2049" s="7" t="str">
        <f>IFERROR(__xludf.DUMMYFUNCTION("""COMPUTED_VALUE"""),"Hall B")</f>
        <v>Hall B</v>
      </c>
      <c r="I2049" s="7" t="str">
        <f>IFERROR(__xludf.DUMMYFUNCTION("""COMPUTED_VALUE"""),"Session 9: IP-Orals")</f>
        <v>Session 9: IP-Orals</v>
      </c>
      <c r="J2049" s="7" t="str">
        <f>IFERROR(__xludf.DUMMYFUNCTION("""COMPUTED_VALUE"""),"Resources and Evaluation 2")</f>
        <v>Resources and Evaluation 2</v>
      </c>
      <c r="K2049" s="7"/>
      <c r="L2049" s="8">
        <f>IFERROR(__xludf.DUMMYFUNCTION("""COMPUTED_VALUE"""),45867.0)</f>
        <v>45867</v>
      </c>
      <c r="M2049" s="7" t="str">
        <f>IFERROR(__xludf.DUMMYFUNCTION("""COMPUTED_VALUE"""),"14:00-15:30")</f>
        <v>14:00-15:30</v>
      </c>
      <c r="N2049" s="7">
        <f>IFERROR(__xludf.DUMMYFUNCTION("""COMPUTED_VALUE"""),1.0)</f>
        <v>1</v>
      </c>
    </row>
    <row r="2050">
      <c r="A2050" s="7" t="str">
        <f>IFERROR(__xludf.DUMMYFUNCTION("""COMPUTED_VALUE"""),"1020-MAIN")</f>
        <v>1020-MAIN</v>
      </c>
      <c r="B2050" s="7" t="str">
        <f>IFERROR(__xludf.DUMMYFUNCTION("""COMPUTED_VALUE"""),"SkillVerse : Assessing and Enhancing LLMs with Tree Evaluation")</f>
        <v>SkillVerse : Assessing and Enhancing LLMs with Tree Evaluation</v>
      </c>
      <c r="C2050" s="7" t="str">
        <f>IFERROR(__xludf.DUMMYFUNCTION("""COMPUTED_VALUE"""),"As language models evolve to tackle complex, multifaceted tasks, their evaluation must adapt to capture this intricacy. A granular, skill-specific understanding of model capabilities can empower researchers to make informed model development plans. In thi"&amp;"s paper, we introduce SkillVerse, an unsupervised tree-structured diagnosis framework for understanding model proficiency in specific abilities. With LLM as a judge, SkillVerse first critiques the model responses, and then organizes them into a hierarchic"&amp;"al structure termed dendrogram. Given proficiency at arbitrary levels of granularity, SkillVerse is flexible to produce insights of behaviors of modern large models. We also demonstrate its efficacy in two downstream tasks: 1) improving model in-context l"&amp;"earning by 25% using a tree-search algorithm to select more informative few-shot demonstrations, and 2) accurately predicting new model weaknesses with a 55% success rate, 22% higher than without SkillVerse.")</f>
        <v>As language models evolve to tackle complex, multifaceted tasks, their evaluation must adapt to capture this intricacy. A granular, skill-specific understanding of model capabilities can empower researchers to make informed model development plans. In this paper, we introduce SkillVerse, an unsupervised tree-structured diagnosis framework for understanding model proficiency in specific abilities. With LLM as a judge, SkillVerse first critiques the model responses, and then organizes them into a hierarchical structure termed dendrogram. Given proficiency at arbitrary levels of granularity, SkillVerse is flexible to produce insights of behaviors of modern large models. We also demonstrate its efficacy in two downstream tasks: 1) improving model in-context learning by 25% using a tree-search algorithm to select more informative few-shot demonstrations, and 2) accurately predicting new model weaknesses with a 55% success rate, 22% higher than without SkillVerse.</v>
      </c>
      <c r="D2050" s="7" t="str">
        <f>IFERROR(__xludf.DUMMYFUNCTION("""COMPUTED_VALUE"""),"Yufei Tian")</f>
        <v>Yufei Tian</v>
      </c>
      <c r="E2050" s="7" t="str">
        <f>IFERROR(__xludf.DUMMYFUNCTION("""COMPUTED_VALUE"""),"Yes")</f>
        <v>Yes</v>
      </c>
      <c r="F2050" s="7" t="str">
        <f>IFERROR(__xludf.DUMMYFUNCTION("""COMPUTED_VALUE"""),"V-Presentation")</f>
        <v>V-Presentation</v>
      </c>
      <c r="G2050" s="7" t="str">
        <f>IFERROR(__xludf.DUMMYFUNCTION("""COMPUTED_VALUE"""),"Virtual/Gather")</f>
        <v>Virtual/Gather</v>
      </c>
      <c r="H2050" s="7" t="str">
        <f>IFERROR(__xludf.DUMMYFUNCTION("""COMPUTED_VALUE"""),"Zoom")</f>
        <v>Zoom</v>
      </c>
      <c r="I2050" s="7" t="str">
        <f>IFERROR(__xludf.DUMMYFUNCTION("""COMPUTED_VALUE"""),"Session 2: V-Presentations")</f>
        <v>Session 2: V-Presentations</v>
      </c>
      <c r="J2050" s="7" t="str">
        <f>IFERROR(__xludf.DUMMYFUNCTION("""COMPUTED_VALUE"""),"Virtual Presentations 1")</f>
        <v>Virtual Presentations 1</v>
      </c>
      <c r="K2050" s="7"/>
      <c r="L2050" s="8">
        <f>IFERROR(__xludf.DUMMYFUNCTION("""COMPUTED_VALUE"""),45866.0)</f>
        <v>45866</v>
      </c>
      <c r="M2050" s="7" t="str">
        <f>IFERROR(__xludf.DUMMYFUNCTION("""COMPUTED_VALUE"""),"11:00-12:30")</f>
        <v>11:00-12:30</v>
      </c>
      <c r="N2050" s="7"/>
    </row>
    <row r="2051">
      <c r="A2051" s="7" t="str">
        <f>IFERROR(__xludf.DUMMYFUNCTION("""COMPUTED_VALUE"""),"1021-MAIN")</f>
        <v>1021-MAIN</v>
      </c>
      <c r="B2051" s="7" t="str">
        <f>IFERROR(__xludf.DUMMYFUNCTION("""COMPUTED_VALUE"""),"CypherBench: Towards Precise Retrieval over Full-scale Modern Knowledge Graphs in the LLM Era")</f>
        <v>CypherBench: Towards Precise Retrieval over Full-scale Modern Knowledge Graphs in the LLM Era</v>
      </c>
      <c r="C2051" s="7" t="str">
        <f>IFERROR(__xludf.DUMMYFUNCTION("""COMPUTED_VALUE"""),"Retrieval from graph data is crucial for augmenting large language models (LLM) with both open-domain knowledge and private enterprise data, and it is also a key component in the recent GraphRAG system \cite{edge2024local}. Despite decades of research on "&amp;"knowledge graphs and knowledge base question answering, leading LLM frameworks (\eg Langchain and LlamaIndex) have only minimal support for retrieval from modern encyclopedic knowledge graphs like Wikidata. In this paper, we analyze the root cause and sug"&amp;"gest that modern RDF knowledge graphs (\eg Wikidata, Freebase) are less efficient for LLMs due to overly large schemas that far exceed the typical LLM context window, use of resource identifiers, overlapping and ambiguous relation types and lack of normal"&amp;"ization. As a solution, we propose \textit{property graph views} on top of the underlying RDF graph that can be efficiently queried by LLMs using \textit{Cypher}. We instantiated this idea on Wikidata and introduced {CypherBench}, the first benchmark with"&amp;" 11 large-scale, multi-domain property graphs with 7.8 million entities and over 10,000 questions. To achieve this, we tackled several key challenges, including developing an RDF-to-property graph conversion engine, creating a systematic pipeline for text"&amp;"-to-Cypher task generation, and designing new evaluation metrics.")</f>
        <v>Retrieval from graph data is crucial for augmenting large language models (LLM) with both open-domain knowledge and private enterprise data, and it is also a key component in the recent GraphRAG system \cite{edge2024local}. Despite decades of research on knowledge graphs and knowledge base question answering, leading LLM frameworks (\eg Langchain and LlamaIndex) have only minimal support for retrieval from modern encyclopedic knowledge graphs like Wikidata. In this paper, we analyze the root cause and suggest that modern RDF knowledge graphs (\eg Wikidata, Freebase) are less efficient for LLMs due to overly large schemas that far exceed the typical LLM context window, use of resource identifiers, overlapping and ambiguous relation types and lack of normalization. As a solution, we propose \textit{property graph views} on top of the underlying RDF graph that can be efficiently queried by LLMs using \textit{Cypher}. We instantiated this idea on Wikidata and introduced {CypherBench}, the first benchmark with 11 large-scale, multi-domain property graphs with 7.8 million entities and over 10,000 questions. To achieve this, we tackled several key challenges, including developing an RDF-to-property graph conversion engine, creating a systematic pipeline for text-to-Cypher task generation, and designing new evaluation metrics.</v>
      </c>
      <c r="D2051" s="7" t="str">
        <f>IFERROR(__xludf.DUMMYFUNCTION("""COMPUTED_VALUE"""),"Yanlin Feng")</f>
        <v>Yanlin Feng</v>
      </c>
      <c r="E2051" s="7" t="str">
        <f>IFERROR(__xludf.DUMMYFUNCTION("""COMPUTED_VALUE"""),"Yes")</f>
        <v>Yes</v>
      </c>
      <c r="F2051" s="7" t="str">
        <f>IFERROR(__xludf.DUMMYFUNCTION("""COMPUTED_VALUE"""),"IP-Poster")</f>
        <v>IP-Poster</v>
      </c>
      <c r="G2051" s="7" t="str">
        <f>IFERROR(__xludf.DUMMYFUNCTION("""COMPUTED_VALUE"""),"In-Person")</f>
        <v>In-Person</v>
      </c>
      <c r="H2051" s="7" t="str">
        <f>IFERROR(__xludf.DUMMYFUNCTION("""COMPUTED_VALUE"""),"Hall 4/5")</f>
        <v>Hall 4/5</v>
      </c>
      <c r="I2051" s="7" t="str">
        <f>IFERROR(__xludf.DUMMYFUNCTION("""COMPUTED_VALUE"""),"Session 12: IP-Posters")</f>
        <v>Session 12: IP-Posters</v>
      </c>
      <c r="J2051" s="7" t="str">
        <f>IFERROR(__xludf.DUMMYFUNCTION("""COMPUTED_VALUE"""),"Poster Session 4")</f>
        <v>Poster Session 4</v>
      </c>
      <c r="K2051" s="7"/>
      <c r="L2051" s="8">
        <f>IFERROR(__xludf.DUMMYFUNCTION("""COMPUTED_VALUE"""),45868.0)</f>
        <v>45868</v>
      </c>
      <c r="M2051" s="7" t="str">
        <f>IFERROR(__xludf.DUMMYFUNCTION("""COMPUTED_VALUE"""),"11:00-12:30")</f>
        <v>11:00-12:30</v>
      </c>
      <c r="N2051" s="7"/>
    </row>
    <row r="2052">
      <c r="A2052" s="7" t="str">
        <f>IFERROR(__xludf.DUMMYFUNCTION("""COMPUTED_VALUE"""),"1023-MAIN")</f>
        <v>1023-MAIN</v>
      </c>
      <c r="B2052" s="7" t="str">
        <f>IFERROR(__xludf.DUMMYFUNCTION("""COMPUTED_VALUE"""),"Empathy Prediction from Diverse Perspectives")</f>
        <v>Empathy Prediction from Diverse Perspectives</v>
      </c>
      <c r="C2052" s="7" t="str">
        <f>IFERROR(__xludf.DUMMYFUNCTION("""COMPUTED_VALUE"""),"A person's perspective on a topic can influence their empathy towards a story. To investigate the use of personal perspective in empathy prediction, we collected a dataset, EmpathyFromPerspectives, where a user rates their empathy towards a story by a per"&amp;"son with a different perspective on a prompted topic. We observed in the dataset that user perspective can be important for empathy prediction and developed a model, PPEP, that uses a rater's perspective as context for predicting the rater's empathy towar"&amp;"ds a story. Experiments comparing PPEP with baseline models show that use of personal perspective significantly improves performance. A user study indicated that human empathy ratings of stories generally agreed with PPEP's relative empathy rankings.")</f>
        <v>A person's perspective on a topic can influence their empathy towards a story. To investigate the use of personal perspective in empathy prediction, we collected a dataset, EmpathyFromPerspectives, where a user rates their empathy towards a story by a person with a different perspective on a prompted topic. We observed in the dataset that user perspective can be important for empathy prediction and developed a model, PPEP, that uses a rater's perspective as context for predicting the rater's empathy towards a story. Experiments comparing PPEP with baseline models show that use of personal perspective significantly improves performance. A user study indicated that human empathy ratings of stories generally agreed with PPEP's relative empathy rankings.</v>
      </c>
      <c r="D2052" s="7" t="str">
        <f>IFERROR(__xludf.DUMMYFUNCTION("""COMPUTED_VALUE"""),"Francine Chen")</f>
        <v>Francine Chen</v>
      </c>
      <c r="E2052" s="7" t="str">
        <f>IFERROR(__xludf.DUMMYFUNCTION("""COMPUTED_VALUE"""),"Yes")</f>
        <v>Yes</v>
      </c>
      <c r="F2052" s="7" t="str">
        <f>IFERROR(__xludf.DUMMYFUNCTION("""COMPUTED_VALUE"""),"IP-Poster")</f>
        <v>IP-Poster</v>
      </c>
      <c r="G2052" s="7" t="str">
        <f>IFERROR(__xludf.DUMMYFUNCTION("""COMPUTED_VALUE"""),"In-Person")</f>
        <v>In-Person</v>
      </c>
      <c r="H2052" s="7" t="str">
        <f>IFERROR(__xludf.DUMMYFUNCTION("""COMPUTED_VALUE"""),"Hall 4/5")</f>
        <v>Hall 4/5</v>
      </c>
      <c r="I2052" s="7" t="str">
        <f>IFERROR(__xludf.DUMMYFUNCTION("""COMPUTED_VALUE"""),"Session 12: IP-Posters")</f>
        <v>Session 12: IP-Posters</v>
      </c>
      <c r="J2052" s="7" t="str">
        <f>IFERROR(__xludf.DUMMYFUNCTION("""COMPUTED_VALUE"""),"Poster Session 4")</f>
        <v>Poster Session 4</v>
      </c>
      <c r="K2052" s="7"/>
      <c r="L2052" s="8">
        <f>IFERROR(__xludf.DUMMYFUNCTION("""COMPUTED_VALUE"""),45868.0)</f>
        <v>45868</v>
      </c>
      <c r="M2052" s="7" t="str">
        <f>IFERROR(__xludf.DUMMYFUNCTION("""COMPUTED_VALUE"""),"11:00-12:30")</f>
        <v>11:00-12:30</v>
      </c>
      <c r="N2052" s="7"/>
    </row>
    <row r="2053">
      <c r="A2053" s="7" t="str">
        <f>IFERROR(__xludf.DUMMYFUNCTION("""COMPUTED_VALUE"""),"1031-MAIN")</f>
        <v>1031-MAIN</v>
      </c>
      <c r="B2053" s="7" t="str">
        <f>IFERROR(__xludf.DUMMYFUNCTION("""COMPUTED_VALUE"""),"Are LLMs effective psychological assessors? Leveraging adaptive RAG for interpretable mental health screening through psychometric practice")</f>
        <v>Are LLMs effective psychological assessors? Leveraging adaptive RAG for interpretable mental health screening through psychometric practice</v>
      </c>
      <c r="C2053" s="7" t="str">
        <f>IFERROR(__xludf.DUMMYFUNCTION("""COMPUTED_VALUE"""),"In psychological practice, standardized questionnaires serve as essential tools for assessing mental health through structured, clinically-validated questions (i.e., items). While social media platforms offer rich data for mental health screening, computa"&amp;"tional approaches often bypass these established clinical assessment tools in favor of black-box classification. We propose a novel questionnaire-guided screening framework that bridges psychological practice and computational methods through adaptive Ret"&amp;"rieval-Augmented Generation (aRAG). Our approach links unstructured social media content and standardized clinical assessments by retrieving relevant posts for each questionnaire item and using Large Language Models (LLMs) to complete validated psychologi"&amp;"cal instruments. Our findings demonstrate two key advantages of questionnaire-guided screening: First, when completing the Beck Depression Inventory-II (BDI-II), our approach matches or outperforms state-of-the-art performance on Reddit-based benchmarks w"&amp;"ithout requiring training data. Second, we show that guiding LLMs through standardized questionnaires yields superior results compared to directly prompting them for depression screening. Additionally, we show as a proof-of-concept how our questionnaire-b"&amp;"ased methodology successfully extends to self-harm screening.")</f>
        <v>In psychological practice, standardized questionnaires serve as essential tools for assessing mental health through structured, clinically-validated questions (i.e., items). While social media platforms offer rich data for mental health screening, computational approaches often bypass these established clinical assessment tools in favor of black-box classification. We propose a novel questionnaire-guided screening framework that bridges psychological practice and computational methods through adaptive Retrieval-Augmented Generation (aRAG). Our approach links unstructured social media content and standardized clinical assessments by retrieving relevant posts for each questionnaire item and using Large Language Models (LLMs) to complete validated psychological instruments. Our findings demonstrate two key advantages of questionnaire-guided screening: First, when completing the Beck Depression Inventory-II (BDI-II), our approach matches or outperforms state-of-the-art performance on Reddit-based benchmarks without requiring training data. Second, we show that guiding LLMs through standardized questionnaires yields superior results compared to directly prompting them for depression screening. Additionally, we show as a proof-of-concept how our questionnaire-based methodology successfully extends to self-harm screening.</v>
      </c>
      <c r="D2053" s="7" t="str">
        <f>IFERROR(__xludf.DUMMYFUNCTION("""COMPUTED_VALUE"""),"Federico Ravenda")</f>
        <v>Federico Ravenda</v>
      </c>
      <c r="E2053" s="7" t="str">
        <f>IFERROR(__xludf.DUMMYFUNCTION("""COMPUTED_VALUE"""),"Yes")</f>
        <v>Yes</v>
      </c>
      <c r="F2053" s="7" t="str">
        <f>IFERROR(__xludf.DUMMYFUNCTION("""COMPUTED_VALUE"""),"IP-Poster")</f>
        <v>IP-Poster</v>
      </c>
      <c r="G2053" s="7" t="str">
        <f>IFERROR(__xludf.DUMMYFUNCTION("""COMPUTED_VALUE"""),"In-Person")</f>
        <v>In-Person</v>
      </c>
      <c r="H2053" s="7" t="str">
        <f>IFERROR(__xludf.DUMMYFUNCTION("""COMPUTED_VALUE"""),"Hall 4/5")</f>
        <v>Hall 4/5</v>
      </c>
      <c r="I2053" s="7" t="str">
        <f>IFERROR(__xludf.DUMMYFUNCTION("""COMPUTED_VALUE"""),"Session 2: IP-Posters ")</f>
        <v>Session 2: IP-Posters </v>
      </c>
      <c r="J2053" s="7" t="str">
        <f>IFERROR(__xludf.DUMMYFUNCTION("""COMPUTED_VALUE"""),"Poster Session 1")</f>
        <v>Poster Session 1</v>
      </c>
      <c r="K2053" s="7"/>
      <c r="L2053" s="8">
        <f>IFERROR(__xludf.DUMMYFUNCTION("""COMPUTED_VALUE"""),45866.0)</f>
        <v>45866</v>
      </c>
      <c r="M2053" s="7" t="str">
        <f>IFERROR(__xludf.DUMMYFUNCTION("""COMPUTED_VALUE"""),"11:00-12:30")</f>
        <v>11:00-12:30</v>
      </c>
      <c r="N2053" s="7"/>
    </row>
    <row r="2054">
      <c r="A2054" s="7" t="str">
        <f>IFERROR(__xludf.DUMMYFUNCTION("""COMPUTED_VALUE"""),"1033-MAIN")</f>
        <v>1033-MAIN</v>
      </c>
      <c r="B2054" s="7" t="str">
        <f>IFERROR(__xludf.DUMMYFUNCTION("""COMPUTED_VALUE"""),"INTERACT: Enabling Interactive, Question-Driven Learning in Large Language Models")</f>
        <v>INTERACT: Enabling Interactive, Question-Driven Learning in Large Language Models</v>
      </c>
      <c r="C2054" s="7" t="str">
        <f>IFERROR(__xludf.DUMMYFUNCTION("""COMPUTED_VALUE"""),"Large language models (LLMs) excel at answering questions but remain passive learners—absorbing static data without the ability to question and refine knowledge. This paper explores how LLMs can transition to interactive, question-driven learning through "&amp;"student-teacher dialogues. We introduce INTERACT (INTERactive learning for Adaptive Concept Transfer), a framework in which a ""student"" LLM engages a ""teacher"" LLM through iterative inquiries to acquire knowledge across 1,347 contexts, including song "&amp;"lyrics, news articles, movie plots, academic papers, and images. Our experiments show that across a wide range of scenarios and LLM architectures, interactive learning consistently enhances performance, achieving up to a 25% improvement, with 'cold-start'"&amp;" student models matching static learning baselines in as few as five dialogue turns. Interactive setups can also mitigate the disadvantages of weaker teachers, showcasing the robustness of question-driven learning.")</f>
        <v>Large language models (LLMs) excel at answering questions but remain passive learners—absorbing static data without the ability to question and refine knowledge. This paper explores how LLMs can transition to interactive, question-driven learning through student-teacher dialogues. We introduce INTERACT (INTERactive learning for Adaptive Concept Transfer), a framework in which a "student" LLM engages a "teacher" LLM through iterative inquiries to acquire knowledge across 1,347 contexts, including song lyrics, news articles, movie plots, academic papers, and images. Our experiments show that across a wide range of scenarios and LLM architectures, interactive learning consistently enhances performance, achieving up to a 25% improvement, with 'cold-start' student models matching static learning baselines in as few as five dialogue turns. Interactive setups can also mitigate the disadvantages of weaker teachers, showcasing the robustness of question-driven learning.</v>
      </c>
      <c r="D2054" s="7" t="str">
        <f>IFERROR(__xludf.DUMMYFUNCTION("""COMPUTED_VALUE"""),"Kerem Zaman")</f>
        <v>Kerem Zaman</v>
      </c>
      <c r="E2054" s="7" t="str">
        <f>IFERROR(__xludf.DUMMYFUNCTION("""COMPUTED_VALUE"""),"Yes")</f>
        <v>Yes</v>
      </c>
      <c r="F2054" s="7" t="str">
        <f>IFERROR(__xludf.DUMMYFUNCTION("""COMPUTED_VALUE"""),"IP-Oral")</f>
        <v>IP-Oral</v>
      </c>
      <c r="G2054" s="7" t="str">
        <f>IFERROR(__xludf.DUMMYFUNCTION("""COMPUTED_VALUE"""),"In-Person")</f>
        <v>In-Person</v>
      </c>
      <c r="H2054" s="7" t="str">
        <f>IFERROR(__xludf.DUMMYFUNCTION("""COMPUTED_VALUE"""),"Hall N.1")</f>
        <v>Hall N.1</v>
      </c>
      <c r="I2054" s="7" t="str">
        <f>IFERROR(__xludf.DUMMYFUNCTION("""COMPUTED_VALUE"""),"Session 9: IP-Orals")</f>
        <v>Session 9: IP-Orals</v>
      </c>
      <c r="J2054" s="7" t="str">
        <f>IFERROR(__xludf.DUMMYFUNCTION("""COMPUTED_VALUE"""),"Dialogue and Interactive Systems")</f>
        <v>Dialogue and Interactive Systems</v>
      </c>
      <c r="K2054" s="7"/>
      <c r="L2054" s="8">
        <f>IFERROR(__xludf.DUMMYFUNCTION("""COMPUTED_VALUE"""),45867.0)</f>
        <v>45867</v>
      </c>
      <c r="M2054" s="7" t="str">
        <f>IFERROR(__xludf.DUMMYFUNCTION("""COMPUTED_VALUE"""),"14:00-15:30")</f>
        <v>14:00-15:30</v>
      </c>
      <c r="N2054" s="7">
        <f>IFERROR(__xludf.DUMMYFUNCTION("""COMPUTED_VALUE"""),2.0)</f>
        <v>2</v>
      </c>
    </row>
    <row r="2055">
      <c r="A2055" s="7" t="str">
        <f>IFERROR(__xludf.DUMMYFUNCTION("""COMPUTED_VALUE"""),"1035-MAIN")</f>
        <v>1035-MAIN</v>
      </c>
      <c r="B2055" s="7" t="str">
        <f>IFERROR(__xludf.DUMMYFUNCTION("""COMPUTED_VALUE"""),"Circuit Stability Characterizes Language Model Generalization")</f>
        <v>Circuit Stability Characterizes Language Model Generalization</v>
      </c>
      <c r="C2055" s="7" t="str">
        <f>IFERROR(__xludf.DUMMYFUNCTION("""COMPUTED_VALUE"""),"Extensively evaluating the capabilities of (large) language models is difficult. Rapid development of state-of-the-art models induce benchmark saturation, while creating more challenging datasets is labor-intensive. Inspired by the recent developments in "&amp;"mechanistic interpretability, we introduce circuit stability as a new way to assess model performance. Circuit stability refers to a model's ability to apply a consistent reasoning process–its circuit–across various inputs. We mathematically formalize cir"&amp;"cuit stability and circuit equivalence. Then, through three case studies, we empirically show that circuit stability and the lack thereof can characterize and predict different aspects of generalization. Our proposed methods offer a step towards rigorousl"&amp;"y relating the generality of models to their interpretability.")</f>
        <v>Extensively evaluating the capabilities of (large) language models is difficult. Rapid development of state-of-the-art models induce benchmark saturation, while creating more challenging datasets is labor-intensive. Inspired by the recent developments in mechanistic interpretability, we introduce circuit stability as a new way to assess model performance. Circuit stability refers to a model's ability to apply a consistent reasoning process–its circuit–across various inputs. We mathematically formalize circuit stability and circuit equivalence. Then, through three case studies, we empirically show that circuit stability and the lack thereof can characterize and predict different aspects of generalization. Our proposed methods offer a step towards rigorously relating the generality of models to their interpretability.</v>
      </c>
      <c r="D2055" s="7" t="str">
        <f>IFERROR(__xludf.DUMMYFUNCTION("""COMPUTED_VALUE"""),"Alan Sun")</f>
        <v>Alan Sun</v>
      </c>
      <c r="E2055" s="7" t="str">
        <f>IFERROR(__xludf.DUMMYFUNCTION("""COMPUTED_VALUE"""),"Yes")</f>
        <v>Yes</v>
      </c>
      <c r="F2055" s="7" t="str">
        <f>IFERROR(__xludf.DUMMYFUNCTION("""COMPUTED_VALUE"""),"IP-Poster")</f>
        <v>IP-Poster</v>
      </c>
      <c r="G2055" s="7" t="str">
        <f>IFERROR(__xludf.DUMMYFUNCTION("""COMPUTED_VALUE"""),"In-Person")</f>
        <v>In-Person</v>
      </c>
      <c r="H2055" s="7" t="str">
        <f>IFERROR(__xludf.DUMMYFUNCTION("""COMPUTED_VALUE"""),"Hall 4/5")</f>
        <v>Hall 4/5</v>
      </c>
      <c r="I2055" s="7" t="str">
        <f>IFERROR(__xludf.DUMMYFUNCTION("""COMPUTED_VALUE"""),"Session 10: IP-Posters")</f>
        <v>Session 10: IP-Posters</v>
      </c>
      <c r="J2055" s="7" t="str">
        <f>IFERROR(__xludf.DUMMYFUNCTION("""COMPUTED_VALUE"""),"Poster Session 3")</f>
        <v>Poster Session 3</v>
      </c>
      <c r="K2055" s="7"/>
      <c r="L2055" s="8">
        <f>IFERROR(__xludf.DUMMYFUNCTION("""COMPUTED_VALUE"""),45867.0)</f>
        <v>45867</v>
      </c>
      <c r="M2055" s="7" t="str">
        <f>IFERROR(__xludf.DUMMYFUNCTION("""COMPUTED_VALUE"""),"16:00-17:30")</f>
        <v>16:00-17:30</v>
      </c>
      <c r="N2055" s="7"/>
    </row>
    <row r="2056">
      <c r="A2056" s="7" t="str">
        <f>IFERROR(__xludf.DUMMYFUNCTION("""COMPUTED_VALUE"""),"1037-MAIN")</f>
        <v>1037-MAIN</v>
      </c>
      <c r="B2056" s="7" t="str">
        <f>IFERROR(__xludf.DUMMYFUNCTION("""COMPUTED_VALUE"""),"Comparing LLM-generated and human-authored news text using formal syntactic theory")</f>
        <v>Comparing LLM-generated and human-authored news text using formal syntactic theory</v>
      </c>
      <c r="C2056" s="7" t="str">
        <f>IFERROR(__xludf.DUMMYFUNCTION("""COMPUTED_VALUE"""),"This study provides the first comprehensive comparison of New York Times-style text generated by six large language models against real, human-authored NYT writing. The comparison is based on a formal syntactic theory. We use Head-driven Phrase Structure "&amp;"Grammar (HPSG) to analyze the grammatical structure of the texts. We then investigate and illustrate the differences in the distributions of HPSG grammar types, revealing systematic distinctions between human and LLM-generated writing. These findings cont"&amp;"ribute to a deeper understanding of the syntactic behavior of LLMs as well as humans, within the NYT genre.")</f>
        <v>This study provides the first comprehensive comparison of New York Times-style text generated by six large language models against real, human-authored NYT writing. The comparison is based on a formal syntactic theory. We use Head-driven Phrase Structure Grammar (HPSG) to analyze the grammatical structure of the texts. We then investigate and illustrate the differences in the distributions of HPSG grammar types, revealing systematic distinctions between human and LLM-generated writing. These findings contribute to a deeper understanding of the syntactic behavior of LLMs as well as humans, within the NYT genre.</v>
      </c>
      <c r="D2056" s="7" t="str">
        <f>IFERROR(__xludf.DUMMYFUNCTION("""COMPUTED_VALUE"""),"Olga Zamaraeva")</f>
        <v>Olga Zamaraeva</v>
      </c>
      <c r="E2056" s="7" t="str">
        <f>IFERROR(__xludf.DUMMYFUNCTION("""COMPUTED_VALUE"""),"Yes")</f>
        <v>Yes</v>
      </c>
      <c r="F2056" s="7" t="str">
        <f>IFERROR(__xludf.DUMMYFUNCTION("""COMPUTED_VALUE"""),"IP-Poster")</f>
        <v>IP-Poster</v>
      </c>
      <c r="G2056" s="7" t="str">
        <f>IFERROR(__xludf.DUMMYFUNCTION("""COMPUTED_VALUE"""),"In-Person")</f>
        <v>In-Person</v>
      </c>
      <c r="H2056" s="7" t="str">
        <f>IFERROR(__xludf.DUMMYFUNCTION("""COMPUTED_VALUE"""),"Hall 4/5")</f>
        <v>Hall 4/5</v>
      </c>
      <c r="I2056" s="7" t="str">
        <f>IFERROR(__xludf.DUMMYFUNCTION("""COMPUTED_VALUE"""),"Session 12: IP-Posters")</f>
        <v>Session 12: IP-Posters</v>
      </c>
      <c r="J2056" s="7" t="str">
        <f>IFERROR(__xludf.DUMMYFUNCTION("""COMPUTED_VALUE"""),"Poster Session 4")</f>
        <v>Poster Session 4</v>
      </c>
      <c r="K2056" s="7"/>
      <c r="L2056" s="8">
        <f>IFERROR(__xludf.DUMMYFUNCTION("""COMPUTED_VALUE"""),45868.0)</f>
        <v>45868</v>
      </c>
      <c r="M2056" s="7" t="str">
        <f>IFERROR(__xludf.DUMMYFUNCTION("""COMPUTED_VALUE"""),"11:00-12:30")</f>
        <v>11:00-12:30</v>
      </c>
      <c r="N2056" s="7"/>
    </row>
    <row r="2057">
      <c r="A2057" s="7" t="str">
        <f>IFERROR(__xludf.DUMMYFUNCTION("""COMPUTED_VALUE"""),"1038-MAIN")</f>
        <v>1038-MAIN</v>
      </c>
      <c r="B2057" s="7" t="str">
        <f>IFERROR(__xludf.DUMMYFUNCTION("""COMPUTED_VALUE"""),"Improving Preference Extraction In LLMs By Identifying Latent Knowledge Through Classifying Probes")</f>
        <v>Improving Preference Extraction In LLMs By Identifying Latent Knowledge Through Classifying Probes</v>
      </c>
      <c r="C2057" s="7" t="str">
        <f>IFERROR(__xludf.DUMMYFUNCTION("""COMPUTED_VALUE"""),"Large Language Models (LLMs) are often used as automated judges to evaluate text, but their effectiveness can be hindered by various unintentional biases. We propose using linear classifying probes, trained by leveraging differences between contrasting pa"&amp;"irs of prompts, to directly access LLMs' latent knowledge and extract more accurate preferences. Through extensive experiments using models of varying size from four different families and six diverse datasets assessing text quality evaluation and common "&amp;"sense reasoning, we demonstrate that both supervised and unsupervised probing approaches consistently outperform traditional generation-based judgement while maintaining similar computational costs. These probes generalise under domain shifts and can even"&amp;" outperform finetuned evaluators with the same training data size. Our results suggest linear probing offers an accurate, robust and computationally efficient approach for LLM-as-judge tasks while providing interpretable insights into how models encode ju"&amp;"dgement-relevant knowledge. Our data and code will be openly released in the future.")</f>
        <v>Large Language Models (LLMs) are often used as automated judges to evaluate text, but their effectiveness can be hindered by various unintentional biases. We propose using linear classifying probes, trained by leveraging differences between contrasting pairs of prompts, to directly access LLMs' latent knowledge and extract more accurate preferences. Through extensive experiments using models of varying size from four different families and six diverse datasets assessing text quality evaluation and common sense reasoning, we demonstrate that both supervised and unsupervised probing approaches consistently outperform traditional generation-based judgement while maintaining similar computational costs. These probes generalise under domain shifts and can even outperform finetuned evaluators with the same training data size. Our results suggest linear probing offers an accurate, robust and computationally efficient approach for LLM-as-judge tasks while providing interpretable insights into how models encode judgement-relevant knowledge. Our data and code will be openly released in the future.</v>
      </c>
      <c r="D2057" s="7" t="str">
        <f>IFERROR(__xludf.DUMMYFUNCTION("""COMPUTED_VALUE"""),"Sharan Maiya")</f>
        <v>Sharan Maiya</v>
      </c>
      <c r="E2057" s="7" t="str">
        <f>IFERROR(__xludf.DUMMYFUNCTION("""COMPUTED_VALUE"""),"Yes")</f>
        <v>Yes</v>
      </c>
      <c r="F2057" s="7" t="str">
        <f>IFERROR(__xludf.DUMMYFUNCTION("""COMPUTED_VALUE"""),"IP-Poster")</f>
        <v>IP-Poster</v>
      </c>
      <c r="G2057" s="7" t="str">
        <f>IFERROR(__xludf.DUMMYFUNCTION("""COMPUTED_VALUE"""),"In-Person")</f>
        <v>In-Person</v>
      </c>
      <c r="H2057" s="7" t="str">
        <f>IFERROR(__xludf.DUMMYFUNCTION("""COMPUTED_VALUE"""),"Hall 4/5")</f>
        <v>Hall 4/5</v>
      </c>
      <c r="I2057" s="7" t="str">
        <f>IFERROR(__xludf.DUMMYFUNCTION("""COMPUTED_VALUE"""),"Session 7: IP-Posters")</f>
        <v>Session 7: IP-Posters</v>
      </c>
      <c r="J2057" s="7" t="str">
        <f>IFERROR(__xludf.DUMMYFUNCTION("""COMPUTED_VALUE"""),"Poster Session 2")</f>
        <v>Poster Session 2</v>
      </c>
      <c r="K2057" s="7"/>
      <c r="L2057" s="8">
        <f>IFERROR(__xludf.DUMMYFUNCTION("""COMPUTED_VALUE"""),45867.0)</f>
        <v>45867</v>
      </c>
      <c r="M2057" s="7" t="str">
        <f>IFERROR(__xludf.DUMMYFUNCTION("""COMPUTED_VALUE"""),"10:30-12:00")</f>
        <v>10:30-12:00</v>
      </c>
      <c r="N2057" s="7"/>
    </row>
    <row r="2058">
      <c r="A2058" s="7" t="str">
        <f>IFERROR(__xludf.DUMMYFUNCTION("""COMPUTED_VALUE"""),"1039-MAIN")</f>
        <v>1039-MAIN</v>
      </c>
      <c r="B2058" s="7" t="str">
        <f>IFERROR(__xludf.DUMMYFUNCTION("""COMPUTED_VALUE"""),"White Men Lead, Black Women Help? Benchmarking and Mitigating Language Agency Social Biases in LLMs")</f>
        <v>White Men Lead, Black Women Help? Benchmarking and Mitigating Language Agency Social Biases in LLMs</v>
      </c>
      <c r="C2058" s="7" t="str">
        <f>IFERROR(__xludf.DUMMYFUNCTION("""COMPUTED_VALUE"""),"Social biases can manifest in language agency. However, very limited research has investigated such biases in Large Language Model (LLM)-generated content. In addition, previous works often rely on string-matching techniques to identify agentic and commun"&amp;"al words within texts, falling short of accurately classifying language agency. We introduce the **Language Agency Bias Evaluation (LABE)** benchmark, which comprehensively evaluates biases in LLMs by analyzing agency levels attributed to different demogr"&amp;"aphic groups in model generations. LABE tests for gender, racial, and intersectional language agency biases in LLMs on 3 text generation tasks: biographies, professor reviews, and reference letters. Using LABE, we unveil language agency social biases in 3"&amp;" recent LLMs: ChatGPT, Llama3, and Mistral. We observe that: (1) LLM generations tend to demonstrate greater gender bias than human-written texts; (2) Models demonstrate remarkably higher levels of intersectional bias than the other bias aspects. (3) Prom"&amp;"pt-based mitigation is unstable and frequently leads to bias exacerbation. Based on our observations, we propose **Mitigation via Selective Rewrite (MSR)**, a novel bias mitigation strategy that leverages an agency classifier to identify and selectively r"&amp;"evise parts of generated texts that demonstrate communal traits. Empirical results prove MSR to be more effective and reliable than prompt-based mitigation method, showing a promising research direction.")</f>
        <v>Social biases can manifest in language agency. However, very limited research has investigated such biases in Large Language Model (LLM)-generated content. In addition, previous works often rely on string-matching techniques to identify agentic and communal words within texts, falling short of accurately classifying language agency. We introduce the **Language Agency Bias Evaluation (LABE)** benchmark, which comprehensively evaluates biases in LLMs by analyzing agency levels attributed to different demographic groups in model generations. LABE tests for gender, racial, and intersectional language agency biases in LLMs on 3 text generation tasks: biographies, professor reviews, and reference letters. Using LABE, we unveil language agency social biases in 3 recent LLMs: ChatGPT, Llama3, and Mistral. We observe that: (1) LLM generations tend to demonstrate greater gender bias than human-written texts; (2) Models demonstrate remarkably higher levels of intersectional bias than the other bias aspects. (3) Prompt-based mitigation is unstable and frequently leads to bias exacerbation. Based on our observations, we propose **Mitigation via Selective Rewrite (MSR)**, a novel bias mitigation strategy that leverages an agency classifier to identify and selectively revise parts of generated texts that demonstrate communal traits. Empirical results prove MSR to be more effective and reliable than prompt-based mitigation method, showing a promising research direction.</v>
      </c>
      <c r="D2058" s="7" t="str">
        <f>IFERROR(__xludf.DUMMYFUNCTION("""COMPUTED_VALUE"""),"Yixin Wan")</f>
        <v>Yixin Wan</v>
      </c>
      <c r="E2058" s="7" t="str">
        <f>IFERROR(__xludf.DUMMYFUNCTION("""COMPUTED_VALUE"""),"yes")</f>
        <v>yes</v>
      </c>
      <c r="F2058" s="7" t="str">
        <f>IFERROR(__xludf.DUMMYFUNCTION("""COMPUTED_VALUE"""),"V-Presentation")</f>
        <v>V-Presentation</v>
      </c>
      <c r="G2058" s="7" t="str">
        <f>IFERROR(__xludf.DUMMYFUNCTION("""COMPUTED_VALUE"""),"Virtual/Gather")</f>
        <v>Virtual/Gather</v>
      </c>
      <c r="H2058" s="7" t="str">
        <f>IFERROR(__xludf.DUMMYFUNCTION("""COMPUTED_VALUE"""),"Zoom")</f>
        <v>Zoom</v>
      </c>
      <c r="I2058" s="7"/>
      <c r="J2058" s="7" t="str">
        <f>IFERROR(__xludf.DUMMYFUNCTION("""COMPUTED_VALUE"""),"please complete survey https://acl-2025-virtual-presentation-time.paperform.co/")</f>
        <v>please complete survey https://acl-2025-virtual-presentation-time.paperform.co/</v>
      </c>
      <c r="K2058" s="7"/>
      <c r="L2058" s="8"/>
      <c r="M2058" s="7"/>
      <c r="N2058" s="7"/>
    </row>
    <row r="2059">
      <c r="A2059" s="7" t="str">
        <f>IFERROR(__xludf.DUMMYFUNCTION("""COMPUTED_VALUE"""),"1042-MAIN")</f>
        <v>1042-MAIN</v>
      </c>
      <c r="B2059" s="7" t="str">
        <f>IFERROR(__xludf.DUMMYFUNCTION("""COMPUTED_VALUE"""),"AIMSCheck: Leveraging LLMs for AI-Assisted Review of Modern Slavery Statements Across Jurisdictions")</f>
        <v>AIMSCheck: Leveraging LLMs for AI-Assisted Review of Modern Slavery Statements Across Jurisdictions</v>
      </c>
      <c r="C2059" s="7" t="str">
        <f>IFERROR(__xludf.DUMMYFUNCTION("""COMPUTED_VALUE"""),"Modern Slavery Acts mandate that corporations disclose their efforts to combat modern slavery, aiming to enhance transparency and strengthen practices for its eradication. However, verifying these statements remains challenging due to their complex, diver"&amp;"sified language and the sheer number of statements that must be reviewed. The development of NLP tools to assist in this task is also difficult due to a scarcity of annotated data. Furthermore, as modern slavery transparency legislation has been introduce"&amp;"d in several countries, the generalizability of such tools across legal jurisdictions must be studied. To address these challenges, we work with domain experts to make two key contributions. First, we present AIMS.uk and AIMS.ca, newly annotated datasets "&amp;"from the UK and Canada to enable cross-jurisdictional evaluation. Second, we introduce AIMSCheck, an end-to-end framework for compliance validation. AIMSCheck decomposes the compliance assessment task into three levels, enhancing interpretability and prac"&amp;"tical applicability. Our experiments show that models trained on an Australian dataset generalize well across UK and Canadian jurisdictions, demonstrating the potential for broader application in compliance monitoring. We release the benchmark datasets an"&amp;"d AIMSCheck to the public to advance AI-adoption in compliance assessment and drive further research in this field.")</f>
        <v>Modern Slavery Acts mandate that corporations disclose their efforts to combat modern slavery, aiming to enhance transparency and strengthen practices for its eradication. However, verifying these statements remains challenging due to their complex, diversified language and the sheer number of statements that must be reviewed. The development of NLP tools to assist in this task is also difficult due to a scarcity of annotated data. Furthermore, as modern slavery transparency legislation has been introduced in several countries, the generalizability of such tools across legal jurisdictions must be studied. To address these challenges, we work with domain experts to make two key contributions. First, we present AIMS.uk and AIMS.ca, newly annotated datasets from the UK and Canada to enable cross-jurisdictional evaluation. Second, we introduce AIMSCheck, an end-to-end framework for compliance validation. AIMSCheck decomposes the compliance assessment task into three levels, enhancing interpretability and practical applicability. Our experiments show that models trained on an Australian dataset generalize well across UK and Canadian jurisdictions, demonstrating the potential for broader application in compliance monitoring. We release the benchmark datasets and AIMSCheck to the public to advance AI-adoption in compliance assessment and drive further research in this field.</v>
      </c>
      <c r="D2059" s="7" t="str">
        <f>IFERROR(__xludf.DUMMYFUNCTION("""COMPUTED_VALUE"""),"Adriana Eufrosina Bora and Akshatha Arodi")</f>
        <v>Adriana Eufrosina Bora and Akshatha Arodi</v>
      </c>
      <c r="E2059" s="7" t="str">
        <f>IFERROR(__xludf.DUMMYFUNCTION("""COMPUTED_VALUE"""),"Yes")</f>
        <v>Yes</v>
      </c>
      <c r="F2059" s="7" t="str">
        <f>IFERROR(__xludf.DUMMYFUNCTION("""COMPUTED_VALUE"""),"IP-Poster")</f>
        <v>IP-Poster</v>
      </c>
      <c r="G2059" s="7" t="str">
        <f>IFERROR(__xludf.DUMMYFUNCTION("""COMPUTED_VALUE"""),"In-Person")</f>
        <v>In-Person</v>
      </c>
      <c r="H2059" s="7" t="str">
        <f>IFERROR(__xludf.DUMMYFUNCTION("""COMPUTED_VALUE"""),"Hall 4/5")</f>
        <v>Hall 4/5</v>
      </c>
      <c r="I2059" s="7" t="str">
        <f>IFERROR(__xludf.DUMMYFUNCTION("""COMPUTED_VALUE"""),"Session 12: IP-Posters")</f>
        <v>Session 12: IP-Posters</v>
      </c>
      <c r="J2059" s="7" t="str">
        <f>IFERROR(__xludf.DUMMYFUNCTION("""COMPUTED_VALUE"""),"Poster Session 4")</f>
        <v>Poster Session 4</v>
      </c>
      <c r="K2059" s="7"/>
      <c r="L2059" s="8">
        <f>IFERROR(__xludf.DUMMYFUNCTION("""COMPUTED_VALUE"""),45868.0)</f>
        <v>45868</v>
      </c>
      <c r="M2059" s="7" t="str">
        <f>IFERROR(__xludf.DUMMYFUNCTION("""COMPUTED_VALUE"""),"11:00-12:30")</f>
        <v>11:00-12:30</v>
      </c>
      <c r="N2059" s="7"/>
    </row>
    <row r="2060">
      <c r="A2060" s="7" t="str">
        <f>IFERROR(__xludf.DUMMYFUNCTION("""COMPUTED_VALUE"""),"1043-MAIN")</f>
        <v>1043-MAIN</v>
      </c>
      <c r="B2060" s="7" t="str">
        <f>IFERROR(__xludf.DUMMYFUNCTION("""COMPUTED_VALUE"""),"Collapse of Dense Retrievers: Short, Early, and Literal Biases Outranking Factual Evidence")</f>
        <v>Collapse of Dense Retrievers: Short, Early, and Literal Biases Outranking Factual Evidence</v>
      </c>
      <c r="C2060" s="7" t="str">
        <f>IFERROR(__xludf.DUMMYFUNCTION("""COMPUTED_VALUE"""),"Dense retrieval models are commonly used in Information Retrieval (IR) applications, such as Retrieval-Augmented Generation (RAG). Since they often serve as the first step in these systems, their robustness is critical to avoid downstream failures. In thi"&amp;"s work, we repurpose a relation extraction dataset (e.g., Re-DocRED) to design controlled experiments that quantify the impact of heuristic biases, such as a preference for shorter documents, on retrievers like Dragon+ and Contriever. We uncover major vul"&amp;"nerabilities, showing retrievers favor shorter documents, early positions, repeated entities, and literal matches, all while ignoring the answer's presence! Notably, when multiple biases combine, models exhibit catastrophic performance degradation, select"&amp;"ing the answer-containing document in less than 10% of cases over a synthetic biased document without the answer.  Furthermore, we show that these biases have direct consequences for downstream applications like RAG, where retrieval-preferred documents ca"&amp;"n mislead LLMs, resulting in a 34% performance drop than providing no documents at all.
https://huggingface.co/datasets/mohsenfayyaz/ColDeR")</f>
        <v>Dense retrieval models are commonly used in Information Retrieval (IR) applications, such as Retrieval-Augmented Generation (RAG). Since they often serve as the first step in these systems, their robustness is critical to avoid downstream failures. In this work, we repurpose a relation extraction dataset (e.g., Re-DocRED) to design controlled experiments that quantify the impact of heuristic biases, such as a preference for shorter documents, on retrievers like Dragon+ and Contriever. We uncover major vulnerabilities, showing retrievers favor shorter documents, early positions, repeated entities, and literal matches, all while ignoring the answer's presence! Notably, when multiple biases combine, models exhibit catastrophic performance degradation, selecting the answer-containing document in less than 10% of cases over a synthetic biased document without the answer.  Furthermore, we show that these biases have direct consequences for downstream applications like RAG, where retrieval-preferred documents can mislead LLMs, resulting in a 34% performance drop than providing no documents at all.
https://huggingface.co/datasets/mohsenfayyaz/ColDeR</v>
      </c>
      <c r="D2060" s="7" t="str">
        <f>IFERROR(__xludf.DUMMYFUNCTION("""COMPUTED_VALUE"""),"Ali Modarressi")</f>
        <v>Ali Modarressi</v>
      </c>
      <c r="E2060" s="7" t="str">
        <f>IFERROR(__xludf.DUMMYFUNCTION("""COMPUTED_VALUE"""),"Yes")</f>
        <v>Yes</v>
      </c>
      <c r="F2060" s="7" t="str">
        <f>IFERROR(__xludf.DUMMYFUNCTION("""COMPUTED_VALUE"""),"IP-Poster")</f>
        <v>IP-Poster</v>
      </c>
      <c r="G2060" s="7" t="str">
        <f>IFERROR(__xludf.DUMMYFUNCTION("""COMPUTED_VALUE"""),"In-Person")</f>
        <v>In-Person</v>
      </c>
      <c r="H2060" s="7" t="str">
        <f>IFERROR(__xludf.DUMMYFUNCTION("""COMPUTED_VALUE"""),"Hall 4/5")</f>
        <v>Hall 4/5</v>
      </c>
      <c r="I2060" s="7" t="str">
        <f>IFERROR(__xludf.DUMMYFUNCTION("""COMPUTED_VALUE"""),"Session 12: IP-Posters")</f>
        <v>Session 12: IP-Posters</v>
      </c>
      <c r="J2060" s="7" t="str">
        <f>IFERROR(__xludf.DUMMYFUNCTION("""COMPUTED_VALUE"""),"Poster Session 4")</f>
        <v>Poster Session 4</v>
      </c>
      <c r="K2060" s="7"/>
      <c r="L2060" s="8">
        <f>IFERROR(__xludf.DUMMYFUNCTION("""COMPUTED_VALUE"""),45868.0)</f>
        <v>45868</v>
      </c>
      <c r="M2060" s="7" t="str">
        <f>IFERROR(__xludf.DUMMYFUNCTION("""COMPUTED_VALUE"""),"11:00-12:30")</f>
        <v>11:00-12:30</v>
      </c>
      <c r="N2060" s="7"/>
    </row>
    <row r="2061">
      <c r="A2061" s="7" t="str">
        <f>IFERROR(__xludf.DUMMYFUNCTION("""COMPUTED_VALUE"""),"1045-MAIN")</f>
        <v>1045-MAIN</v>
      </c>
      <c r="B2061" s="7" t="str">
        <f>IFERROR(__xludf.DUMMYFUNCTION("""COMPUTED_VALUE"""),"SelfElicit: Your Language Model Secretly Knows Where is the Relevant Evidence")</f>
        <v>SelfElicit: Your Language Model Secretly Knows Where is the Relevant Evidence</v>
      </c>
      <c r="C2061" s="7" t="str">
        <f>IFERROR(__xludf.DUMMYFUNCTION("""COMPUTED_VALUE"""),"Providing Language Models (LMs) with relevant evidence in the context (either via retrieval or user-provided) can significantly improve their ability to provide better-grounded responses. 
However, recent studies have found that LMs often struggle to full"&amp;"y comprehend and utilize key evidence from the context, especially when it contains noise and irrelevant information—an issue common in real-world scenarios.
To address this, we propose SelfElicit, an inference-time approach that helps LMs focus on key co"&amp;"ntextual evidence through self-guided explicit highlighting.
By leveraging the inherent evidence-finding capabilities of LMs using the attention scores of deeper layers, our method automatically identifies and emphasizes key evidence within the input cont"&amp;"ext, facilitating more accurate and grounded responses without additional training or iterative prompting.
We demonstrate that SelfElicit brings consistent and significant improvement on multiple evidence-based QA tasks for various LM families while maint"&amp;"aining computational efficiency.
Our code and documentation are available at https://github.com/ZhiningLiu1998/SelfElicit.")</f>
        <v>Providing Language Models (LMs) with relevant evidence in the context (either via retrieval or user-provided) can significantly improve their ability to provide better-grounded responses. 
However, recent studies have found that LMs often struggle to fully comprehend and utilize key evidence from the context, especially when it contains noise and irrelevant information—an issue common in real-world scenarios.
To address this, we propose SelfElicit, an inference-time approach that helps LMs focus on key contextual evidence through self-guided explicit highlighting.
By leveraging the inherent evidence-finding capabilities of LMs using the attention scores of deeper layers, our method automatically identifies and emphasizes key evidence within the input context, facilitating more accurate and grounded responses without additional training or iterative prompting.
We demonstrate that SelfElicit brings consistent and significant improvement on multiple evidence-based QA tasks for various LM families while maintaining computational efficiency.
Our code and documentation are available at https://github.com/ZhiningLiu1998/SelfElicit.</v>
      </c>
      <c r="D2061" s="7" t="str">
        <f>IFERROR(__xludf.DUMMYFUNCTION("""COMPUTED_VALUE"""),"Zhining Liu")</f>
        <v>Zhining Liu</v>
      </c>
      <c r="E2061" s="7" t="str">
        <f>IFERROR(__xludf.DUMMYFUNCTION("""COMPUTED_VALUE"""),"Yes")</f>
        <v>Yes</v>
      </c>
      <c r="F2061" s="7" t="str">
        <f>IFERROR(__xludf.DUMMYFUNCTION("""COMPUTED_VALUE"""),"IP-Poster")</f>
        <v>IP-Poster</v>
      </c>
      <c r="G2061" s="7" t="str">
        <f>IFERROR(__xludf.DUMMYFUNCTION("""COMPUTED_VALUE"""),"In-Person")</f>
        <v>In-Person</v>
      </c>
      <c r="H2061" s="7" t="str">
        <f>IFERROR(__xludf.DUMMYFUNCTION("""COMPUTED_VALUE"""),"Hall 4/5")</f>
        <v>Hall 4/5</v>
      </c>
      <c r="I2061" s="7" t="str">
        <f>IFERROR(__xludf.DUMMYFUNCTION("""COMPUTED_VALUE"""),"Session 12: IP-Posters")</f>
        <v>Session 12: IP-Posters</v>
      </c>
      <c r="J2061" s="7" t="str">
        <f>IFERROR(__xludf.DUMMYFUNCTION("""COMPUTED_VALUE"""),"Poster Session 4")</f>
        <v>Poster Session 4</v>
      </c>
      <c r="K2061" s="7"/>
      <c r="L2061" s="8">
        <f>IFERROR(__xludf.DUMMYFUNCTION("""COMPUTED_VALUE"""),45868.0)</f>
        <v>45868</v>
      </c>
      <c r="M2061" s="7" t="str">
        <f>IFERROR(__xludf.DUMMYFUNCTION("""COMPUTED_VALUE"""),"11:00-12:30")</f>
        <v>11:00-12:30</v>
      </c>
      <c r="N2061" s="7"/>
    </row>
    <row r="2062">
      <c r="A2062" s="7" t="str">
        <f>IFERROR(__xludf.DUMMYFUNCTION("""COMPUTED_VALUE"""),"1046-MAIN")</f>
        <v>1046-MAIN</v>
      </c>
      <c r="B2062" s="7" t="str">
        <f>IFERROR(__xludf.DUMMYFUNCTION("""COMPUTED_VALUE"""),"The Male CEO and the Female Assistant: Evaluation and Mitigation of Gender Biases in Text-To-Image Generation of Dual Subjects")</f>
        <v>The Male CEO and the Female Assistant: Evaluation and Mitigation of Gender Biases in Text-To-Image Generation of Dual Subjects</v>
      </c>
      <c r="C2062" s="7" t="str">
        <f>IFERROR(__xludf.DUMMYFUNCTION("""COMPUTED_VALUE"""),"Recent large-scale T2I models like DALLE-3 have made progress in reducing gender stereotypes when generating single-person images. However, significant biases remain when generating images with more than one person. To systematically evaluate this, we pro"&amp;"pose the **Paired Stereotype Test (PST)** framework, which queries T2I models to depict two individuals assigned with male-stereotyped and female-stereotyped social identities, respectively (e.g. ""a CEO"" and ""an Assistant""). This contrastive setting o"&amp;"ften triggers T2I models to generate gender-stereotyped images. Using PST, we evaluate two aspects of gender biases -- the well-known **bias in gendered occupation** and a novel aspect: **bias in organizational power**. Experiments show that **over 74% im"&amp;"ages generated by DALLE-3 display gender-occupational biases**. Additionally, compared to single-person settings, DALLE-3 is more likely to perpetuate male-associated stereotypes under PST. We further propose **FairCritic**, a novel and interpretable fram"&amp;"ework that leverages an LLM-based critic model to i) detect bias in generated images, and ii) adaptively provide feedback to T2I models for improving fairness. FairCritic achieves near-perfect fairness on PST, overcoming the limitations of previous prompt"&amp;"-based intervention approaches.")</f>
        <v>Recent large-scale T2I models like DALLE-3 have made progress in reducing gender stereotypes when generating single-person images. However, significant biases remain when generating images with more than one person. To systematically evaluate this, we propose the **Paired Stereotype Test (PST)** framework, which queries T2I models to depict two individuals assigned with male-stereotyped and female-stereotyped social identities, respectively (e.g. "a CEO" and "an Assistant"). This contrastive setting often triggers T2I models to generate gender-stereotyped images. Using PST, we evaluate two aspects of gender biases -- the well-known **bias in gendered occupation** and a novel aspect: **bias in organizational power**. Experiments show that **over 74% images generated by DALLE-3 display gender-occupational biases**. Additionally, compared to single-person settings, DALLE-3 is more likely to perpetuate male-associated stereotypes under PST. We further propose **FairCritic**, a novel and interpretable framework that leverages an LLM-based critic model to i) detect bias in generated images, and ii) adaptively provide feedback to T2I models for improving fairness. FairCritic achieves near-perfect fairness on PST, overcoming the limitations of previous prompt-based intervention approaches.</v>
      </c>
      <c r="D2062" s="7" t="str">
        <f>IFERROR(__xludf.DUMMYFUNCTION("""COMPUTED_VALUE"""),"Yixin Wan")</f>
        <v>Yixin Wan</v>
      </c>
      <c r="E2062" s="7" t="str">
        <f>IFERROR(__xludf.DUMMYFUNCTION("""COMPUTED_VALUE"""),"Balance Due $50")</f>
        <v>Balance Due $50</v>
      </c>
      <c r="F2062" s="7" t="str">
        <f>IFERROR(__xludf.DUMMYFUNCTION("""COMPUTED_VALUE"""),"V-Presentation")</f>
        <v>V-Presentation</v>
      </c>
      <c r="G2062" s="7" t="str">
        <f>IFERROR(__xludf.DUMMYFUNCTION("""COMPUTED_VALUE"""),"Virtual/Gather")</f>
        <v>Virtual/Gather</v>
      </c>
      <c r="H2062" s="7" t="str">
        <f>IFERROR(__xludf.DUMMYFUNCTION("""COMPUTED_VALUE"""),"Zoom")</f>
        <v>Zoom</v>
      </c>
      <c r="I2062" s="7" t="str">
        <f>IFERROR(__xludf.DUMMYFUNCTION("""COMPUTED_VALUE"""),"Session 2: V-Presentations")</f>
        <v>Session 2: V-Presentations</v>
      </c>
      <c r="J2062" s="7" t="str">
        <f>IFERROR(__xludf.DUMMYFUNCTION("""COMPUTED_VALUE"""),"Virtual Presentations 1")</f>
        <v>Virtual Presentations 1</v>
      </c>
      <c r="K2062" s="7"/>
      <c r="L2062" s="8">
        <f>IFERROR(__xludf.DUMMYFUNCTION("""COMPUTED_VALUE"""),45866.0)</f>
        <v>45866</v>
      </c>
      <c r="M2062" s="7" t="str">
        <f>IFERROR(__xludf.DUMMYFUNCTION("""COMPUTED_VALUE"""),"11:00-12:30")</f>
        <v>11:00-12:30</v>
      </c>
      <c r="N2062" s="7"/>
    </row>
    <row r="2063">
      <c r="A2063" s="7" t="str">
        <f>IFERROR(__xludf.DUMMYFUNCTION("""COMPUTED_VALUE"""),"1047-MAIN")</f>
        <v>1047-MAIN</v>
      </c>
      <c r="B2063" s="7" t="str">
        <f>IFERROR(__xludf.DUMMYFUNCTION("""COMPUTED_VALUE"""),"A Little Human Data Goes A Long Way")</f>
        <v>A Little Human Data Goes A Long Way</v>
      </c>
      <c r="C2063" s="7" t="str">
        <f>IFERROR(__xludf.DUMMYFUNCTION("""COMPUTED_VALUE"""),"Faced with an expensive human annotation process, creators of NLP systems increasingly turn to synthetic data generation. While this method shows promise, the extent to which synthetic data can replace human annotation is poorly understood. We investigate"&amp;" the use of synthetic data in Fact Verification (FV) and Evidence-based Question Answering (QA) by incrementally replacing human-generated data with synthetic points on eight diverse datasets. Strikingly, replacing up to 90% of the training data only marg"&amp;"inally decreases performance, but replacing the final 10% leads to severe declines. We find that models trained on purely synthetic data can be improved by including as few as 125 human-generated data points. We show that matching the performance gain of "&amp;"a little human data requires an order of magnitude more synthetic data, and then estimate price ratios at which human annotation would be a more cost-effective solution. Our results suggest that even when human annotation at scale is infeasible, there is "&amp;"great value to having a small proportion of the dataset being human-generated.")</f>
        <v>Faced with an expensive human annotation process, creators of NLP systems increasingly turn to synthetic data generation. While this method shows promise, the extent to which synthetic data can replace human annotation is poorly understood. We investigate the use of synthetic data in Fact Verification (FV) and Evidence-based Question Answering (QA) by incrementally replacing human-generated data with synthetic points on eight diverse datasets. Strikingly, replacing up to 90% of the training data only marginally decreases performance, but replacing the final 10% leads to severe declines. We find that models trained on purely synthetic data can be improved by including as few as 125 human-generated data points. We show that matching the performance gain of a little human data requires an order of magnitude more synthetic data, and then estimate price ratios at which human annotation would be a more cost-effective solution. Our results suggest that even when human annotation at scale is infeasible, there is great value to having a small proportion of the dataset being human-generated.</v>
      </c>
      <c r="D2063" s="7" t="str">
        <f>IFERROR(__xludf.DUMMYFUNCTION("""COMPUTED_VALUE"""),"Jonathan May")</f>
        <v>Jonathan May</v>
      </c>
      <c r="E2063" s="7" t="str">
        <f>IFERROR(__xludf.DUMMYFUNCTION("""COMPUTED_VALUE"""),"Yes")</f>
        <v>Yes</v>
      </c>
      <c r="F2063" s="7" t="str">
        <f>IFERROR(__xludf.DUMMYFUNCTION("""COMPUTED_VALUE"""),"IP-Poster")</f>
        <v>IP-Poster</v>
      </c>
      <c r="G2063" s="7" t="str">
        <f>IFERROR(__xludf.DUMMYFUNCTION("""COMPUTED_VALUE"""),"In-Person")</f>
        <v>In-Person</v>
      </c>
      <c r="H2063" s="7" t="str">
        <f>IFERROR(__xludf.DUMMYFUNCTION("""COMPUTED_VALUE"""),"Hall 4/5")</f>
        <v>Hall 4/5</v>
      </c>
      <c r="I2063" s="7" t="str">
        <f>IFERROR(__xludf.DUMMYFUNCTION("""COMPUTED_VALUE"""),"Session 2: IP-Posters ")</f>
        <v>Session 2: IP-Posters </v>
      </c>
      <c r="J2063" s="7" t="str">
        <f>IFERROR(__xludf.DUMMYFUNCTION("""COMPUTED_VALUE"""),"Poster Session 1")</f>
        <v>Poster Session 1</v>
      </c>
      <c r="K2063" s="7"/>
      <c r="L2063" s="8">
        <f>IFERROR(__xludf.DUMMYFUNCTION("""COMPUTED_VALUE"""),45866.0)</f>
        <v>45866</v>
      </c>
      <c r="M2063" s="7" t="str">
        <f>IFERROR(__xludf.DUMMYFUNCTION("""COMPUTED_VALUE"""),"11:00-12:30")</f>
        <v>11:00-12:30</v>
      </c>
      <c r="N2063" s="7"/>
    </row>
    <row r="2064">
      <c r="A2064" s="7" t="str">
        <f>IFERROR(__xludf.DUMMYFUNCTION("""COMPUTED_VALUE"""),"1059-MAIN")</f>
        <v>1059-MAIN</v>
      </c>
      <c r="B2064" s="7" t="str">
        <f>IFERROR(__xludf.DUMMYFUNCTION("""COMPUTED_VALUE"""),"Mitigating Shortcut Learning with InterpoLated Learning")</f>
        <v>Mitigating Shortcut Learning with InterpoLated Learning</v>
      </c>
      <c r="C2064" s="7" t="str">
        <f>IFERROR(__xludf.DUMMYFUNCTION("""COMPUTED_VALUE"""),"Empirical risk minimization (ERM) incentivizes models to exploit shortcuts, i.e., spurious correlations between input attributes and labels that are prevalent in the majority of the training data but unrelated to the task at hand. This reliance hinders ge"&amp;"neralization on minority examples, where such correlations do not hold. Existing shortcut mitigation approaches are model-specific, difficult to tune, computationally expensive, and fail to improve learned representations. To address these issues, we prop"&amp;"ose InterpoLated Learning (InterpoLL) which interpolates the representations of majority examples to include features from intra-class minority examples with shortcut-mitigating patterns. This weakens shortcut influence, enabling models to acquire feature"&amp;"s predictive across both minority and majority examples. Experimental results on multiple natural language understanding tasks demonstrate that InterpoLL improves minority generalization over both ERM and state-of-the-art mitigation methods, without compr"&amp;"omising accuracy on majority examples. Notably, these gains persist across encoder, encoder-decoder, and decoder-only architectures, demonstrating the method's broad applicability.")</f>
        <v>Empirical risk minimization (ERM) incentivizes models to exploit shortcuts, i.e., spurious correlations between input attributes and labels that are prevalent in the majority of the training data but unrelated to the task at hand. This reliance hinders generalization on minority examples, where such correlations do not hold. Existing shortcut mitigation approaches are model-specific, difficult to tune, computationally expensive, and fail to improve learned representations. To address these issues, we propose InterpoLated Learning (InterpoLL) which interpolates the representations of majority examples to include features from intra-class minority examples with shortcut-mitigating patterns. This weakens shortcut influence, enabling models to acquire features predictive across both minority and majority examples. Experimental results on multiple natural language understanding tasks demonstrate that InterpoLL improves minority generalization over both ERM and state-of-the-art mitigation methods, without compromising accuracy on majority examples. Notably, these gains persist across encoder, encoder-decoder, and decoder-only architectures, demonstrating the method's broad applicability.</v>
      </c>
      <c r="D2064" s="7" t="str">
        <f>IFERROR(__xludf.DUMMYFUNCTION("""COMPUTED_VALUE"""),"Michalis Korakakis")</f>
        <v>Michalis Korakakis</v>
      </c>
      <c r="E2064" s="7" t="str">
        <f>IFERROR(__xludf.DUMMYFUNCTION("""COMPUTED_VALUE"""),"Yes")</f>
        <v>Yes</v>
      </c>
      <c r="F2064" s="7" t="str">
        <f>IFERROR(__xludf.DUMMYFUNCTION("""COMPUTED_VALUE"""),"IP-Oral")</f>
        <v>IP-Oral</v>
      </c>
      <c r="G2064" s="7" t="str">
        <f>IFERROR(__xludf.DUMMYFUNCTION("""COMPUTED_VALUE"""),"In-Person")</f>
        <v>In-Person</v>
      </c>
      <c r="H2064" s="7" t="str">
        <f>IFERROR(__xludf.DUMMYFUNCTION("""COMPUTED_VALUE"""),"Room 1.61")</f>
        <v>Room 1.61</v>
      </c>
      <c r="I2064" s="7" t="str">
        <f>IFERROR(__xludf.DUMMYFUNCTION("""COMPUTED_VALUE"""),"Session 11: IP-Orals ")</f>
        <v>Session 11: IP-Orals </v>
      </c>
      <c r="J2064" s="7" t="str">
        <f>IFERROR(__xludf.DUMMYFUNCTION("""COMPUTED_VALUE"""),"Machine Learning for NLP")</f>
        <v>Machine Learning for NLP</v>
      </c>
      <c r="K2064" s="7"/>
      <c r="L2064" s="8">
        <f>IFERROR(__xludf.DUMMYFUNCTION("""COMPUTED_VALUE"""),45868.0)</f>
        <v>45868</v>
      </c>
      <c r="M2064" s="7" t="str">
        <f>IFERROR(__xludf.DUMMYFUNCTION("""COMPUTED_VALUE"""),"09:00-10:30")</f>
        <v>09:00-10:30</v>
      </c>
      <c r="N2064" s="7">
        <f>IFERROR(__xludf.DUMMYFUNCTION("""COMPUTED_VALUE"""),1.0)</f>
        <v>1</v>
      </c>
    </row>
    <row r="2065">
      <c r="A2065" s="7" t="str">
        <f>IFERROR(__xludf.DUMMYFUNCTION("""COMPUTED_VALUE"""),"1066-MAIN")</f>
        <v>1066-MAIN</v>
      </c>
      <c r="B2065" s="7" t="str">
        <f>IFERROR(__xludf.DUMMYFUNCTION("""COMPUTED_VALUE"""),"Toward Automatic Discovery of a Canine Phonetic Alphabet")</f>
        <v>Toward Automatic Discovery of a Canine Phonetic Alphabet</v>
      </c>
      <c r="C2065" s="7" t="str">
        <f>IFERROR(__xludf.DUMMYFUNCTION("""COMPUTED_VALUE"""),"Dogs communicate intelligently but little is known about the phonetic properties of their vocalization communication. For the first time, this paper presents an iterative algorithm inspired by human phonetic discovery, which is based on minimal pairs that"&amp;" determine phonemes by distinguishing different words in human language, and is able to produce a complete alphabet of distinct canine phoneme-like units. In addition, the algorithm produces a number of canine repeated acoustic units, which may correspond"&amp;" to specific environments and activities of a dog, composed exclusively of the canine phoneme-like units in the alphabet. The framework outlined in this paper is expected to function not only on canines but other animal species.")</f>
        <v>Dogs communicate intelligently but little is known about the phonetic properties of their vocalization communication. For the first time, this paper presents an iterative algorithm inspired by human phonetic discovery, which is based on minimal pairs that determine phonemes by distinguishing different words in human language, and is able to produce a complete alphabet of distinct canine phoneme-like units. In addition, the algorithm produces a number of canine repeated acoustic units, which may correspond to specific environments and activities of a dog, composed exclusively of the canine phoneme-like units in the alphabet. The framework outlined in this paper is expected to function not only on canines but other animal species.</v>
      </c>
      <c r="D2065" s="7" t="str">
        <f>IFERROR(__xludf.DUMMYFUNCTION("""COMPUTED_VALUE"""),"Kenny Zhu")</f>
        <v>Kenny Zhu</v>
      </c>
      <c r="E2065" s="7" t="str">
        <f>IFERROR(__xludf.DUMMYFUNCTION("""COMPUTED_VALUE"""),"Yes")</f>
        <v>Yes</v>
      </c>
      <c r="F2065" s="7" t="str">
        <f>IFERROR(__xludf.DUMMYFUNCTION("""COMPUTED_VALUE"""),"IP-Oral")</f>
        <v>IP-Oral</v>
      </c>
      <c r="G2065" s="7" t="str">
        <f>IFERROR(__xludf.DUMMYFUNCTION("""COMPUTED_VALUE"""),"In-Person")</f>
        <v>In-Person</v>
      </c>
      <c r="H2065" s="7" t="str">
        <f>IFERROR(__xludf.DUMMYFUNCTION("""COMPUTED_VALUE"""),"Hall M.1")</f>
        <v>Hall M.1</v>
      </c>
      <c r="I2065" s="7" t="str">
        <f>IFERROR(__xludf.DUMMYFUNCTION("""COMPUTED_VALUE"""),"Session 11: IP-Orals ")</f>
        <v>Session 11: IP-Orals </v>
      </c>
      <c r="J2065" s="7" t="str">
        <f>IFERROR(__xludf.DUMMYFUNCTION("""COMPUTED_VALUE"""),"NLP Applications 2")</f>
        <v>NLP Applications 2</v>
      </c>
      <c r="K2065" s="7"/>
      <c r="L2065" s="8">
        <f>IFERROR(__xludf.DUMMYFUNCTION("""COMPUTED_VALUE"""),45868.0)</f>
        <v>45868</v>
      </c>
      <c r="M2065" s="7" t="str">
        <f>IFERROR(__xludf.DUMMYFUNCTION("""COMPUTED_VALUE"""),"09:00-10:30")</f>
        <v>09:00-10:30</v>
      </c>
      <c r="N2065" s="7">
        <f>IFERROR(__xludf.DUMMYFUNCTION("""COMPUTED_VALUE"""),2.0)</f>
        <v>2</v>
      </c>
    </row>
    <row r="2066">
      <c r="A2066" s="7" t="str">
        <f>IFERROR(__xludf.DUMMYFUNCTION("""COMPUTED_VALUE"""),"1067-MAIN")</f>
        <v>1067-MAIN</v>
      </c>
      <c r="B2066" s="7" t="str">
        <f>IFERROR(__xludf.DUMMYFUNCTION("""COMPUTED_VALUE"""),"DavIR: Data Selection via Implicit Reward for Large Language Models")</f>
        <v>DavIR: Data Selection via Implicit Reward for Large Language Models</v>
      </c>
      <c r="C2066" s="7" t="str">
        <f>IFERROR(__xludf.DUMMYFUNCTION("""COMPUTED_VALUE"""),"We introduce DavIR, a model-based data selection method for post-training Large Language Models. DavIR generalizes Reducible Holdout Loss to core-set selection problem of causal language modeling, and quantifies the learnability of a given datum with resp"&amp;"ect to a pre-trained LLM based on relative reduction in loss during fine-tuning, a metric we show to be closely related to the implicit reward model described in Direct Preference Optimization (DPO). We show that 6% of Alpaca dataset selected with DavIR c"&amp;"an steer both the LLaMA and Gemma model family to produce superior performance compared to the same models trained on the full 52K dataset. We also show that Alpaca dataset compressed with DavIR can be combined with GSM8K dataset to effectively balance op"&amp;"en-domain freeform QA and mathematical reasoning capabilities. Finally, we apply the DavIR objective to DPO and develop a normalized DavIR-DPO objective which improves alignment performance of Zephyr-7B-SFT model by 8% (relative) on AlpacaEval, compared a"&amp;"gainst training on vanilla DPO objective.")</f>
        <v>We introduce DavIR, a model-based data selection method for post-training Large Language Models. DavIR generalizes Reducible Holdout Loss to core-set selection problem of causal language modeling, and quantifies the learnability of a given datum with respect to a pre-trained LLM based on relative reduction in loss during fine-tuning, a metric we show to be closely related to the implicit reward model described in Direct Preference Optimization (DPO). We show that 6% of Alpaca dataset selected with DavIR can steer both the LLaMA and Gemma model family to produce superior performance compared to the same models trained on the full 52K dataset. We also show that Alpaca dataset compressed with DavIR can be combined with GSM8K dataset to effectively balance open-domain freeform QA and mathematical reasoning capabilities. Finally, we apply the DavIR objective to DPO and develop a normalized DavIR-DPO objective which improves alignment performance of Zephyr-7B-SFT model by 8% (relative) on AlpacaEval, compared against training on vanilla DPO objective.</v>
      </c>
      <c r="D2066" s="7" t="str">
        <f>IFERROR(__xludf.DUMMYFUNCTION("""COMPUTED_VALUE"""),"Haotian Zhou, Qianli Ma")</f>
        <v>Haotian Zhou, Qianli Ma</v>
      </c>
      <c r="E2066" s="7" t="str">
        <f>IFERROR(__xludf.DUMMYFUNCTION("""COMPUTED_VALUE"""),"Yes")</f>
        <v>Yes</v>
      </c>
      <c r="F2066" s="7" t="str">
        <f>IFERROR(__xludf.DUMMYFUNCTION("""COMPUTED_VALUE"""),"IP-Poster")</f>
        <v>IP-Poster</v>
      </c>
      <c r="G2066" s="7" t="str">
        <f>IFERROR(__xludf.DUMMYFUNCTION("""COMPUTED_VALUE"""),"In-Person")</f>
        <v>In-Person</v>
      </c>
      <c r="H2066" s="7" t="str">
        <f>IFERROR(__xludf.DUMMYFUNCTION("""COMPUTED_VALUE"""),"Hall 4/5")</f>
        <v>Hall 4/5</v>
      </c>
      <c r="I2066" s="7" t="str">
        <f>IFERROR(__xludf.DUMMYFUNCTION("""COMPUTED_VALUE"""),"Session 2: IP-Posters ")</f>
        <v>Session 2: IP-Posters </v>
      </c>
      <c r="J2066" s="7" t="str">
        <f>IFERROR(__xludf.DUMMYFUNCTION("""COMPUTED_VALUE"""),"Poster Session 1")</f>
        <v>Poster Session 1</v>
      </c>
      <c r="K2066" s="7"/>
      <c r="L2066" s="8">
        <f>IFERROR(__xludf.DUMMYFUNCTION("""COMPUTED_VALUE"""),45866.0)</f>
        <v>45866</v>
      </c>
      <c r="M2066" s="7" t="str">
        <f>IFERROR(__xludf.DUMMYFUNCTION("""COMPUTED_VALUE"""),"11:00-12:30")</f>
        <v>11:00-12:30</v>
      </c>
      <c r="N2066" s="7"/>
    </row>
    <row r="2067">
      <c r="A2067" s="7" t="str">
        <f>IFERROR(__xludf.DUMMYFUNCTION("""COMPUTED_VALUE"""),"1069-MAIN")</f>
        <v>1069-MAIN</v>
      </c>
      <c r="B2067" s="7" t="str">
        <f>IFERROR(__xludf.DUMMYFUNCTION("""COMPUTED_VALUE"""),"Byte Latent Transformer: Patches Scale Better Than Tokens")</f>
        <v>Byte Latent Transformer: Patches Scale Better Than Tokens</v>
      </c>
      <c r="C2067" s="7" t="str">
        <f>IFERROR(__xludf.DUMMYFUNCTION("""COMPUTED_VALUE"""),"We introduce the Byte Latent Transformer (BLT), a new byte-level LLM architecture that, for the first time, matches tokenization-based LLM performance at scale with significant improvements in inference efficiency and robustness. BLT encodes bytes into dy"&amp;"namically sized patches, which serve as the primary units of computation. Patches are segmented based on the entropy of the next byte, allocating more compute and model capacity where increased data complexity demands it. We present the first FLOP control"&amp;"led scaling study of byte-level models -- up to 8B parameters and 4T training bytes -- demonstrating the feasibility of scaling models trained on raw bytes without a fixed vocabulary. Both training and inference efficiency improve due to dynamically selec"&amp;"ting long patches when data is predictable, along with qualitative improvements on reasoning and long tail generalization. For fixed inference costs, BLT shows significantly better scaling than tokenization-based models, by simultaneously growing both pat"&amp;"ch and model size.")</f>
        <v>We introduce the Byte Latent Transformer (BLT), a new byte-level LLM architecture that, for the first time, matches tokenization-based LLM performance at scale with significant improvements in inference efficiency and robustness. BLT encodes bytes into dynamically sized patches, which serve as the primary units of computation. Patches are segmented based on the entropy of the next byte, allocating more compute and model capacity where increased data complexity demands it. We present the first FLOP controlled scaling study of byte-level models -- up to 8B parameters and 4T training bytes -- demonstrating the feasibility of scaling models trained on raw bytes without a fixed vocabulary. Both training and inference efficiency improve due to dynamically selecting long patches when data is predictable, along with qualitative improvements on reasoning and long tail generalization. For fixed inference costs, BLT shows significantly better scaling than tokenization-based models, by simultaneously growing both patch and model size.</v>
      </c>
      <c r="D2067" s="7" t="str">
        <f>IFERROR(__xludf.DUMMYFUNCTION("""COMPUTED_VALUE"""),"Artidoro Pagnoni")</f>
        <v>Artidoro Pagnoni</v>
      </c>
      <c r="E2067" s="7" t="str">
        <f>IFERROR(__xludf.DUMMYFUNCTION("""COMPUTED_VALUE"""),"Yes")</f>
        <v>Yes</v>
      </c>
      <c r="F2067" s="7" t="str">
        <f>IFERROR(__xludf.DUMMYFUNCTION("""COMPUTED_VALUE"""),"IP-Oral")</f>
        <v>IP-Oral</v>
      </c>
      <c r="G2067" s="7" t="str">
        <f>IFERROR(__xludf.DUMMYFUNCTION("""COMPUTED_VALUE"""),"In-Person")</f>
        <v>In-Person</v>
      </c>
      <c r="H2067" s="7" t="str">
        <f>IFERROR(__xludf.DUMMYFUNCTION("""COMPUTED_VALUE"""),"Hall C")</f>
        <v>Hall C</v>
      </c>
      <c r="I2067" s="7" t="str">
        <f>IFERROR(__xludf.DUMMYFUNCTION("""COMPUTED_VALUE"""),"Session 9: IP-Orals")</f>
        <v>Session 9: IP-Orals</v>
      </c>
      <c r="J2067" s="7" t="str">
        <f>IFERROR(__xludf.DUMMYFUNCTION("""COMPUTED_VALUE"""),"Language Modeling 1")</f>
        <v>Language Modeling 1</v>
      </c>
      <c r="K2067" s="7"/>
      <c r="L2067" s="8">
        <f>IFERROR(__xludf.DUMMYFUNCTION("""COMPUTED_VALUE"""),45867.0)</f>
        <v>45867</v>
      </c>
      <c r="M2067" s="7" t="str">
        <f>IFERROR(__xludf.DUMMYFUNCTION("""COMPUTED_VALUE"""),"14:00-15:30")</f>
        <v>14:00-15:30</v>
      </c>
      <c r="N2067" s="7">
        <f>IFERROR(__xludf.DUMMYFUNCTION("""COMPUTED_VALUE"""),3.0)</f>
        <v>3</v>
      </c>
    </row>
    <row r="2068">
      <c r="A2068" s="7" t="str">
        <f>IFERROR(__xludf.DUMMYFUNCTION("""COMPUTED_VALUE"""),"1072-MAIN")</f>
        <v>1072-MAIN</v>
      </c>
      <c r="B2068" s="7" t="str">
        <f>IFERROR(__xludf.DUMMYFUNCTION("""COMPUTED_VALUE"""),"DiffuseDef: Improved Robustness to Adversarial Attacks via Iterative Denoising")</f>
        <v>DiffuseDef: Improved Robustness to Adversarial Attacks via Iterative Denoising</v>
      </c>
      <c r="C2068" s="7" t="str">
        <f>IFERROR(__xludf.DUMMYFUNCTION("""COMPUTED_VALUE"""),"Pretrained language models have significantly advanced performance across various natural language processing tasks. However, adversarial attacks continue to pose a critical challenge to system built using these models, as they can be exploited with caref"&amp;"ully crafted adversarial texts. Inspired by the ability of diffusion models to predict and reduce noise in computer vision, we propose a novel and flexible adversarial defense method for language classification tasks, DiffuseDef, which incorporates a diff"&amp;"usion layer as a denoiser between the encoder and the classifier. The diffusion layer is trained on top of the existing classifier, ensuring seamless integration with any model in a plug-and-play manner. During inference, the adversarial hidden state is f"&amp;"irst combined with sampled noise, then denoised iteratively and finally ensembled to produce a robust text representation. By integrating adversarial training, denoising, and ensembling techniques, we show that DiffuseDef improves over existing adversaria"&amp;"l defense methods and achieves state-of-the-art performance against common black-box and white-box adversarial attacks.")</f>
        <v>Pretrained language models have significantly advanced performance across various natural language processing tasks. However, adversarial attacks continue to pose a critical challenge to system built using these models, as they can be exploited with carefully crafted adversarial texts. Inspired by the ability of diffusion models to predict and reduce noise in computer vision, we propose a novel and flexible adversarial defense method for language classification tasks, DiffuseDef, which incorporates a diffusion layer as a denoiser between the encoder and the classifier. The diffusion layer is trained on top of the existing classifier, ensuring seamless integration with any model in a plug-and-play manner. During inference, the adversarial hidden state is first combined with sampled noise, then denoised iteratively and finally ensembled to produce a robust text representation. By integrating adversarial training, denoising, and ensembling techniques, we show that DiffuseDef improves over existing adversarial defense methods and achieves state-of-the-art performance against common black-box and white-box adversarial attacks.</v>
      </c>
      <c r="D2068" s="7" t="str">
        <f>IFERROR(__xludf.DUMMYFUNCTION("""COMPUTED_VALUE"""),"Zhenhao Li")</f>
        <v>Zhenhao Li</v>
      </c>
      <c r="E2068" s="7" t="str">
        <f>IFERROR(__xludf.DUMMYFUNCTION("""COMPUTED_VALUE"""),"Yes")</f>
        <v>Yes</v>
      </c>
      <c r="F2068" s="7" t="str">
        <f>IFERROR(__xludf.DUMMYFUNCTION("""COMPUTED_VALUE"""),"IP-Poster")</f>
        <v>IP-Poster</v>
      </c>
      <c r="G2068" s="7" t="str">
        <f>IFERROR(__xludf.DUMMYFUNCTION("""COMPUTED_VALUE"""),"In-Person")</f>
        <v>In-Person</v>
      </c>
      <c r="H2068" s="7" t="str">
        <f>IFERROR(__xludf.DUMMYFUNCTION("""COMPUTED_VALUE"""),"Hall 4/5")</f>
        <v>Hall 4/5</v>
      </c>
      <c r="I2068" s="7" t="str">
        <f>IFERROR(__xludf.DUMMYFUNCTION("""COMPUTED_VALUE"""),"Session 7: IP-Posters")</f>
        <v>Session 7: IP-Posters</v>
      </c>
      <c r="J2068" s="7" t="str">
        <f>IFERROR(__xludf.DUMMYFUNCTION("""COMPUTED_VALUE"""),"Poster Session 2")</f>
        <v>Poster Session 2</v>
      </c>
      <c r="K2068" s="7"/>
      <c r="L2068" s="8">
        <f>IFERROR(__xludf.DUMMYFUNCTION("""COMPUTED_VALUE"""),45867.0)</f>
        <v>45867</v>
      </c>
      <c r="M2068" s="7" t="str">
        <f>IFERROR(__xludf.DUMMYFUNCTION("""COMPUTED_VALUE"""),"10:30-12:00")</f>
        <v>10:30-12:00</v>
      </c>
      <c r="N2068" s="7"/>
    </row>
    <row r="2069">
      <c r="A2069" s="7" t="str">
        <f>IFERROR(__xludf.DUMMYFUNCTION("""COMPUTED_VALUE"""),"1073-MAIN")</f>
        <v>1073-MAIN</v>
      </c>
      <c r="B2069" s="7" t="str">
        <f>IFERROR(__xludf.DUMMYFUNCTION("""COMPUTED_VALUE"""),"Identifying Cellular Niches in Spatial Transcriptomics: An Investigation into the Capabilities of Large Language Models")</f>
        <v>Identifying Cellular Niches in Spatial Transcriptomics: An Investigation into the Capabilities of Large Language Models</v>
      </c>
      <c r="C2069" s="7" t="str">
        <f>IFERROR(__xludf.DUMMYFUNCTION("""COMPUTED_VALUE"""),"Spatial transcriptomic technologies enable measuring gene expression profile and spatial information of cells in tissues simultaneously. Clustering of captured cells/spots in the spatial transcriptomic data is crucial for understanding tissue niches and u"&amp;"ncovering disease-related changes.
Current methods to cluster spatial transcriptomic data encounter obstacles, including inefficiency in handling multi-replicate data, lack of prior knowledge incorporation, and producing uninterpretable cluster labels.
We"&amp;" introduce a novel approach, LLMiniST, to identify spatial niche using a zero-shot large language models (LLMs) by transforming spatial transcriptomic data into spatial context prompts, leveraging gene expression of neighboring cells/spots, cell type comp"&amp;"osition, tissue information, and external knowledge. 
The model was further enhanced using a two-stage fine-tuning strategy for improved generalizability. We also develop a user-friendly annotation tool  to accelerate the creation of well-annotated spatia"&amp;"l dataset for fine-tuning.
Comprehensive method performance evaluations showed that both zero-shot and fine-tunned LLMiniST had superior performance than current non-LLM methods in many circumstances. 
Notably, the two-stage fine-tuning strategy facilitat"&amp;"ed substantial cross-subject generalizability. 
The results demonstrate the feasibility of LLMs for tissue niche identification using spatial transcriptomic data and the potential of LLMs as a scalable solution to efficiently integrate minimal human guida"&amp;"nce for improved performance in large-scale datasets.")</f>
        <v>Spatial transcriptomic technologies enable measuring gene expression profile and spatial information of cells in tissues simultaneously. Clustering of captured cells/spots in the spatial transcriptomic data is crucial for understanding tissue niches and uncovering disease-related changes.
Current methods to cluster spatial transcriptomic data encounter obstacles, including inefficiency in handling multi-replicate data, lack of prior knowledge incorporation, and producing uninterpretable cluster labels.
We introduce a novel approach, LLMiniST, to identify spatial niche using a zero-shot large language models (LLMs) by transforming spatial transcriptomic data into spatial context prompts, leveraging gene expression of neighboring cells/spots, cell type composition, tissue information, and external knowledge. 
The model was further enhanced using a two-stage fine-tuning strategy for improved generalizability. We also develop a user-friendly annotation tool  to accelerate the creation of well-annotated spatial dataset for fine-tuning.
Comprehensive method performance evaluations showed that both zero-shot and fine-tunned LLMiniST had superior performance than current non-LLM methods in many circumstances. 
Notably, the two-stage fine-tuning strategy facilitated substantial cross-subject generalizability. 
The results demonstrate the feasibility of LLMs for tissue niche identification using spatial transcriptomic data and the potential of LLMs as a scalable solution to efficiently integrate minimal human guidance for improved performance in large-scale datasets.</v>
      </c>
      <c r="D2069" s="7" t="str">
        <f>IFERROR(__xludf.DUMMYFUNCTION("""COMPUTED_VALUE"""),"Huanhuan Wei")</f>
        <v>Huanhuan Wei</v>
      </c>
      <c r="E2069" s="7" t="str">
        <f>IFERROR(__xludf.DUMMYFUNCTION("""COMPUTED_VALUE"""),"Yes")</f>
        <v>Yes</v>
      </c>
      <c r="F2069" s="7" t="str">
        <f>IFERROR(__xludf.DUMMYFUNCTION("""COMPUTED_VALUE"""),"V-Presentation")</f>
        <v>V-Presentation</v>
      </c>
      <c r="G2069" s="7" t="str">
        <f>IFERROR(__xludf.DUMMYFUNCTION("""COMPUTED_VALUE"""),"Virtual/Gather")</f>
        <v>Virtual/Gather</v>
      </c>
      <c r="H2069" s="7" t="str">
        <f>IFERROR(__xludf.DUMMYFUNCTION("""COMPUTED_VALUE"""),"Zoom")</f>
        <v>Zoom</v>
      </c>
      <c r="I2069" s="7" t="str">
        <f>IFERROR(__xludf.DUMMYFUNCTION("""COMPUTED_VALUE"""),"Session 2: V-Presentations")</f>
        <v>Session 2: V-Presentations</v>
      </c>
      <c r="J2069" s="7" t="str">
        <f>IFERROR(__xludf.DUMMYFUNCTION("""COMPUTED_VALUE"""),"Virtual Presentations 1")</f>
        <v>Virtual Presentations 1</v>
      </c>
      <c r="K2069" s="7"/>
      <c r="L2069" s="8">
        <f>IFERROR(__xludf.DUMMYFUNCTION("""COMPUTED_VALUE"""),45866.0)</f>
        <v>45866</v>
      </c>
      <c r="M2069" s="7" t="str">
        <f>IFERROR(__xludf.DUMMYFUNCTION("""COMPUTED_VALUE"""),"11:00-12:30")</f>
        <v>11:00-12:30</v>
      </c>
      <c r="N2069" s="7"/>
    </row>
    <row r="2070">
      <c r="A2070" s="7" t="str">
        <f>IFERROR(__xludf.DUMMYFUNCTION("""COMPUTED_VALUE"""),"1076-MAIN")</f>
        <v>1076-MAIN</v>
      </c>
      <c r="B2070" s="7" t="str">
        <f>IFERROR(__xludf.DUMMYFUNCTION("""COMPUTED_VALUE"""),"Culture Matters in Toxic Language Detection in Persian")</f>
        <v>Culture Matters in Toxic Language Detection in Persian</v>
      </c>
      <c r="C2070" s="7" t="str">
        <f>IFERROR(__xludf.DUMMYFUNCTION("""COMPUTED_VALUE"""),"Toxic language detection is crucial for creating safer online environments and limiting the spread of harmful content. While toxic language detection has been under-explored in Persian, the current work compares different methods for this task, including "&amp;"fine-tuning, data enrichment, zero-shot and few-shot learning, and cross-lingual transfer learning. What is especially compelling is the impact of cultural context on transfer learning for this task: We show that the language of a country with cultural si"&amp;"milarities to Persian yields better results in transfer learning. Conversely, the improvement is lower when the language comes from a culturally distinct country.")</f>
        <v>Toxic language detection is crucial for creating safer online environments and limiting the spread of harmful content. While toxic language detection has been under-explored in Persian, the current work compares different methods for this task, including fine-tuning, data enrichment, zero-shot and few-shot learning, and cross-lingual transfer learning. What is especially compelling is the impact of cultural context on transfer learning for this task: We show that the language of a country with cultural similarities to Persian yields better results in transfer learning. Conversely, the improvement is lower when the language comes from a culturally distinct country.</v>
      </c>
      <c r="D2070" s="7" t="str">
        <f>IFERROR(__xludf.DUMMYFUNCTION("""COMPUTED_VALUE"""),"Zahra Bokaei")</f>
        <v>Zahra Bokaei</v>
      </c>
      <c r="E2070" s="7" t="str">
        <f>IFERROR(__xludf.DUMMYFUNCTION("""COMPUTED_VALUE"""),"Yes")</f>
        <v>Yes</v>
      </c>
      <c r="F2070" s="7" t="str">
        <f>IFERROR(__xludf.DUMMYFUNCTION("""COMPUTED_VALUE"""),"IP-Poster")</f>
        <v>IP-Poster</v>
      </c>
      <c r="G2070" s="7" t="str">
        <f>IFERROR(__xludf.DUMMYFUNCTION("""COMPUTED_VALUE"""),"In-Person")</f>
        <v>In-Person</v>
      </c>
      <c r="H2070" s="7" t="str">
        <f>IFERROR(__xludf.DUMMYFUNCTION("""COMPUTED_VALUE"""),"Hall 4/5")</f>
        <v>Hall 4/5</v>
      </c>
      <c r="I2070" s="7" t="str">
        <f>IFERROR(__xludf.DUMMYFUNCTION("""COMPUTED_VALUE"""),"Session 12: IP-Posters")</f>
        <v>Session 12: IP-Posters</v>
      </c>
      <c r="J2070" s="7" t="str">
        <f>IFERROR(__xludf.DUMMYFUNCTION("""COMPUTED_VALUE"""),"Poster Session 4")</f>
        <v>Poster Session 4</v>
      </c>
      <c r="K2070" s="7"/>
      <c r="L2070" s="8">
        <f>IFERROR(__xludf.DUMMYFUNCTION("""COMPUTED_VALUE"""),45868.0)</f>
        <v>45868</v>
      </c>
      <c r="M2070" s="7" t="str">
        <f>IFERROR(__xludf.DUMMYFUNCTION("""COMPUTED_VALUE"""),"11:00-12:30")</f>
        <v>11:00-12:30</v>
      </c>
      <c r="N2070" s="7"/>
    </row>
    <row r="2071">
      <c r="A2071" s="7" t="str">
        <f>IFERROR(__xludf.DUMMYFUNCTION("""COMPUTED_VALUE"""),"1077-MAIN")</f>
        <v>1077-MAIN</v>
      </c>
      <c r="B2071" s="7" t="str">
        <f>IFERROR(__xludf.DUMMYFUNCTION("""COMPUTED_VALUE"""),"Bitnet.cpp: Efficient Edge Inference for Ternary LLMs")</f>
        <v>Bitnet.cpp: Efficient Edge Inference for Ternary LLMs</v>
      </c>
      <c r="C2071" s="7" t="str">
        <f>IFERROR(__xludf.DUMMYFUNCTION("""COMPUTED_VALUE"""),"The advent of 1-bit large language models (LLMs), led by BitNet b1.58, has spurred interest in ternary LLMs. Despite this, research and practical applications focusing on efficient edge inference for ternary LLMs remain scarce. To bridge this gap, we intr"&amp;"oduce Bitnet.cpp, an inference system optimized for BitNet b1.58 and ternary LLMs. Given that mixed-precision matrix multiplication (mpGEMM) constitutes the bulk of inference time in ternary LLMs, Bitnet.cpp incorporates a novel mpGEMM library to facilita"&amp;"te sub-2-bits-per-weight, efficient and lossless inference. The library features two core solutions: Ternary Lookup Table (TL), which addresses spatial inefficiencies of previous bit-wise methods, and Int2 with a Scale (I2_S), which ensures lossless edge "&amp;"inference, both enabling high-speed inference. Our experiments show that Bitnet.cpp achieves up to a 6.25x increase in speed over full-precision baselines and up to 2.32x over low-bit baselines, setting new benchmarks in the field. Additionally, we expand"&amp;" TL to element-wise lookup table (ELUT) for low-bit LLMs in the appendix, presenting both theoretical and empirical evidence of its considerable potential. Bitnet.cpp is publicly available at https://github.com/microsoft/BitNet/tree/paper, offering a soph"&amp;"isticated solution for the efficient and practical deployment of edge LLMs.")</f>
        <v>The advent of 1-bit large language models (LLMs), led by BitNet b1.58, has spurred interest in ternary LLMs. Despite this, research and practical applications focusing on efficient edge inference for ternary LLMs remain scarce. To bridge this gap, we introduce Bitnet.cpp, an inference system optimized for BitNet b1.58 and ternary LLMs. Given that mixed-precision matrix multiplication (mpGEMM) constitutes the bulk of inference time in ternary LLMs, Bitnet.cpp incorporates a novel mpGEMM library to facilitate sub-2-bits-per-weight, efficient and lossless inference. The library features two core solutions: Ternary Lookup Table (TL), which addresses spatial inefficiencies of previous bit-wise methods, and Int2 with a Scale (I2_S), which ensures lossless edge inference, both enabling high-speed inference. Our experiments show that Bitnet.cpp achieves up to a 6.25x increase in speed over full-precision baselines and up to 2.32x over low-bit baselines, setting new benchmarks in the field. Additionally, we expand TL to element-wise lookup table (ELUT) for low-bit LLMs in the appendix, presenting both theoretical and empirical evidence of its considerable potential. Bitnet.cpp is publicly available at https://github.com/microsoft/BitNet/tree/paper, offering a sophisticated solution for the efficient and practical deployment of edge LLMs.</v>
      </c>
      <c r="D2071" s="7" t="str">
        <f>IFERROR(__xludf.DUMMYFUNCTION("""COMPUTED_VALUE"""),"Jinheng Wang")</f>
        <v>Jinheng Wang</v>
      </c>
      <c r="E2071" s="7" t="str">
        <f>IFERROR(__xludf.DUMMYFUNCTION("""COMPUTED_VALUE"""),"Yes")</f>
        <v>Yes</v>
      </c>
      <c r="F2071" s="7" t="str">
        <f>IFERROR(__xludf.DUMMYFUNCTION("""COMPUTED_VALUE"""),"V-Presentation")</f>
        <v>V-Presentation</v>
      </c>
      <c r="G2071" s="7" t="str">
        <f>IFERROR(__xludf.DUMMYFUNCTION("""COMPUTED_VALUE"""),"Virtual/Gather")</f>
        <v>Virtual/Gather</v>
      </c>
      <c r="H2071" s="7" t="str">
        <f>IFERROR(__xludf.DUMMYFUNCTION("""COMPUTED_VALUE"""),"Zoom")</f>
        <v>Zoom</v>
      </c>
      <c r="I2071" s="7" t="str">
        <f>IFERROR(__xludf.DUMMYFUNCTION("""COMPUTED_VALUE"""),"Session 10: V-Presenations")</f>
        <v>Session 10: V-Presenations</v>
      </c>
      <c r="J2071" s="7" t="str">
        <f>IFERROR(__xludf.DUMMYFUNCTION("""COMPUTED_VALUE"""),"Virtual Presentations 3")</f>
        <v>Virtual Presentations 3</v>
      </c>
      <c r="K2071" s="7"/>
      <c r="L2071" s="8">
        <f>IFERROR(__xludf.DUMMYFUNCTION("""COMPUTED_VALUE"""),45867.0)</f>
        <v>45867</v>
      </c>
      <c r="M2071" s="7" t="str">
        <f>IFERROR(__xludf.DUMMYFUNCTION("""COMPUTED_VALUE"""),"16:00-17:30")</f>
        <v>16:00-17:30</v>
      </c>
      <c r="N2071" s="7"/>
    </row>
    <row r="2072">
      <c r="A2072" s="7" t="str">
        <f>IFERROR(__xludf.DUMMYFUNCTION("""COMPUTED_VALUE"""),"1078-MAIN")</f>
        <v>1078-MAIN</v>
      </c>
      <c r="B2072" s="7" t="str">
        <f>IFERROR(__xludf.DUMMYFUNCTION("""COMPUTED_VALUE"""),"Instance-Selection-Inspired Undersampling Strategies for Bias Reduction in Small and Large Language Models for Binary Text Classification")</f>
        <v>Instance-Selection-Inspired Undersampling Strategies for Bias Reduction in Small and Large Language Models for Binary Text Classification</v>
      </c>
      <c r="C2072" s="7" t="str">
        <f>IFERROR(__xludf.DUMMYFUNCTION("""COMPUTED_VALUE"""),"Skewness in imbalanced datasets affects Automatic Text Classification (ATC), leading to classifier bias toward the majority classes. This work examines undersampling methods to mitigate such bias in Small and Large Language Model (SLMs and LLMs) classifie"&amp;"rs. Based on the limitations found in existing solutions, we propose two novel undersampling methods inspired by state-of-the-art Instance Selection techniques, relying on calibrated confidences and semantic difficulty estimates. We compare them against 1"&amp;"9 baselines across 13 datasets, evaluating: (i) effectiveness, (ii) class imbalance bias, (iii) efficiency, (iv) scalability, and (v) consistency. Results show our methods uniquely reduce classifier bias (up to 56%) across all datasets without effectivene"&amp;"ss loss while improving efficiency (1.6x speedup), scalability and reducing carbon emissions (up to 50%).")</f>
        <v>Skewness in imbalanced datasets affects Automatic Text Classification (ATC), leading to classifier bias toward the majority classes. This work examines undersampling methods to mitigate such bias in Small and Large Language Model (SLMs and LLMs) classifiers. Based on the limitations found in existing solutions, we propose two novel undersampling methods inspired by state-of-the-art Instance Selection techniques, relying on calibrated confidences and semantic difficulty estimates. We compare them against 19 baselines across 13 datasets, evaluating: (i) effectiveness, (ii) class imbalance bias, (iii) efficiency, (iv) scalability, and (v) consistency. Results show our methods uniquely reduce classifier bias (up to 56%) across all datasets without effectiveness loss while improving efficiency (1.6x speedup), scalability and reducing carbon emissions (up to 50%).</v>
      </c>
      <c r="D2072" s="7" t="str">
        <f>IFERROR(__xludf.DUMMYFUNCTION("""COMPUTED_VALUE"""),"Marcos André Gonçalves")</f>
        <v>Marcos André Gonçalves</v>
      </c>
      <c r="E2072" s="7" t="str">
        <f>IFERROR(__xludf.DUMMYFUNCTION("""COMPUTED_VALUE"""),"Yes")</f>
        <v>Yes</v>
      </c>
      <c r="F2072" s="7" t="str">
        <f>IFERROR(__xludf.DUMMYFUNCTION("""COMPUTED_VALUE"""),"IP-Poster")</f>
        <v>IP-Poster</v>
      </c>
      <c r="G2072" s="7" t="str">
        <f>IFERROR(__xludf.DUMMYFUNCTION("""COMPUTED_VALUE"""),"In-Person")</f>
        <v>In-Person</v>
      </c>
      <c r="H2072" s="7" t="str">
        <f>IFERROR(__xludf.DUMMYFUNCTION("""COMPUTED_VALUE"""),"Hall 4/5")</f>
        <v>Hall 4/5</v>
      </c>
      <c r="I2072" s="7" t="str">
        <f>IFERROR(__xludf.DUMMYFUNCTION("""COMPUTED_VALUE"""),"Session 7: IP-Posters")</f>
        <v>Session 7: IP-Posters</v>
      </c>
      <c r="J2072" s="7" t="str">
        <f>IFERROR(__xludf.DUMMYFUNCTION("""COMPUTED_VALUE"""),"Poster Session 2")</f>
        <v>Poster Session 2</v>
      </c>
      <c r="K2072" s="7"/>
      <c r="L2072" s="8">
        <f>IFERROR(__xludf.DUMMYFUNCTION("""COMPUTED_VALUE"""),45867.0)</f>
        <v>45867</v>
      </c>
      <c r="M2072" s="7" t="str">
        <f>IFERROR(__xludf.DUMMYFUNCTION("""COMPUTED_VALUE"""),"10:30-12:00")</f>
        <v>10:30-12:00</v>
      </c>
      <c r="N2072" s="7"/>
    </row>
    <row r="2073">
      <c r="A2073" s="7" t="str">
        <f>IFERROR(__xludf.DUMMYFUNCTION("""COMPUTED_VALUE"""),"1080-MAIN")</f>
        <v>1080-MAIN</v>
      </c>
      <c r="B2073" s="7" t="str">
        <f>IFERROR(__xludf.DUMMYFUNCTION("""COMPUTED_VALUE"""),"Forward Knows Efficient Backward Path: Saliency-Guided Memory-Efficient Fine-tuning of Large Language Models")</f>
        <v>Forward Knows Efficient Backward Path: Saliency-Guided Memory-Efficient Fine-tuning of Large Language Models</v>
      </c>
      <c r="C2073" s="7" t="str">
        <f>IFERROR(__xludf.DUMMYFUNCTION("""COMPUTED_VALUE"""),"Fine-tuning is widely recognized as a crucial process for aligning large language models (LLMs) with human intentions. However, the substantial memory requirements associated with fine-tuning pose a significant barrier to extending the applicability of LL"&amp;"Ms. While parameter-efficient fine-tuning can be a promising approach by reducing trainable parameters, intermediate activations still need to be cached to compute gradients during the backward pass, thereby limiting overall memory efficiency. In this wor"&amp;"k, we propose Saliency-Guided Gradient Flow (SAGE), a memory-efficient fine-tuning method designed to minimize the memory specifically associated with cached intermediate activations. The key strategy is to selectively cache activations based on their sal"&amp;"iency during the forward pass and then use these activations for the backward pass. This process transforms the dense backward pass into a sparse one, thereby enhancing memory efficiency. To verify whether SAGE can serve as an efficient alternative for fi"&amp;"ne-tuning, we conduct comprehensive experiments across diverse fine-tuning scenarios and setups. The experimental results show that SAGE substantially improves memory efficiency without a significant loss in accuracy, highlighting its broad value in real-"&amp;"world applications")</f>
        <v>Fine-tuning is widely recognized as a crucial process for aligning large language models (LLMs) with human intentions. However, the substantial memory requirements associated with fine-tuning pose a significant barrier to extending the applicability of LLMs. While parameter-efficient fine-tuning can be a promising approach by reducing trainable parameters, intermediate activations still need to be cached to compute gradients during the backward pass, thereby limiting overall memory efficiency. In this work, we propose Saliency-Guided Gradient Flow (SAGE), a memory-efficient fine-tuning method designed to minimize the memory specifically associated with cached intermediate activations. The key strategy is to selectively cache activations based on their saliency during the forward pass and then use these activations for the backward pass. This process transforms the dense backward pass into a sparse one, thereby enhancing memory efficiency. To verify whether SAGE can serve as an efficient alternative for fine-tuning, we conduct comprehensive experiments across diverse fine-tuning scenarios and setups. The experimental results show that SAGE substantially improves memory efficiency without a significant loss in accuracy, highlighting its broad value in real-world applications</v>
      </c>
      <c r="D2073" s="7" t="str">
        <f>IFERROR(__xludf.DUMMYFUNCTION("""COMPUTED_VALUE"""),"Yeachan Kim")</f>
        <v>Yeachan Kim</v>
      </c>
      <c r="E2073" s="7" t="str">
        <f>IFERROR(__xludf.DUMMYFUNCTION("""COMPUTED_VALUE"""),"Yes")</f>
        <v>Yes</v>
      </c>
      <c r="F2073" s="7" t="str">
        <f>IFERROR(__xludf.DUMMYFUNCTION("""COMPUTED_VALUE"""),"IP-Poster")</f>
        <v>IP-Poster</v>
      </c>
      <c r="G2073" s="7" t="str">
        <f>IFERROR(__xludf.DUMMYFUNCTION("""COMPUTED_VALUE"""),"In-Person")</f>
        <v>In-Person</v>
      </c>
      <c r="H2073" s="7" t="str">
        <f>IFERROR(__xludf.DUMMYFUNCTION("""COMPUTED_VALUE"""),"Hall 4/5")</f>
        <v>Hall 4/5</v>
      </c>
      <c r="I2073" s="7" t="str">
        <f>IFERROR(__xludf.DUMMYFUNCTION("""COMPUTED_VALUE"""),"Session 2: IP-Posters ")</f>
        <v>Session 2: IP-Posters </v>
      </c>
      <c r="J2073" s="7" t="str">
        <f>IFERROR(__xludf.DUMMYFUNCTION("""COMPUTED_VALUE"""),"Poster Session 1")</f>
        <v>Poster Session 1</v>
      </c>
      <c r="K2073" s="7"/>
      <c r="L2073" s="8">
        <f>IFERROR(__xludf.DUMMYFUNCTION("""COMPUTED_VALUE"""),45866.0)</f>
        <v>45866</v>
      </c>
      <c r="M2073" s="7" t="str">
        <f>IFERROR(__xludf.DUMMYFUNCTION("""COMPUTED_VALUE"""),"11:00-12:30")</f>
        <v>11:00-12:30</v>
      </c>
      <c r="N2073" s="7"/>
    </row>
    <row r="2074">
      <c r="A2074" s="7" t="str">
        <f>IFERROR(__xludf.DUMMYFUNCTION("""COMPUTED_VALUE"""),"1081-MAIN")</f>
        <v>1081-MAIN</v>
      </c>
      <c r="B2074" s="7" t="str">
        <f>IFERROR(__xludf.DUMMYFUNCTION("""COMPUTED_VALUE"""),"Focus on What Matters: Enhancing Medical Vision-Language Models with Automatic Attention Alignment Tuning")</f>
        <v>Focus on What Matters: Enhancing Medical Vision-Language Models with Automatic Attention Alignment Tuning</v>
      </c>
      <c r="C2074" s="7" t="str">
        <f>IFERROR(__xludf.DUMMYFUNCTION("""COMPUTED_VALUE"""),"Medical Large Vision-Language Models (Med-LVLMs) often exhibit suboptimal attention distribution on visual inputs, leading to hallucinated or inaccurate outputs. Existing methods primarily rely on inference-time interventions, which are limited in attenti"&amp;"on adaptation or require additional supervision. To address this, we propose A$^3$Tune, a novel fine-tuning framework for Automatic Attention Alignment Tuning. A
Tune leverages zero-shot weak labels from SAM, refines them into prompt-aware labels using Bi"&amp;"oMedCLIP, and then selectively modifies visually-critical attention heads to improve alignment while minimizing interference. Additionally, we introduce a A$^3$MoE module, enabling adaptive parameter selection for attention tuning across diverse prompts a"&amp;"nd images. Extensive experiments on medical VQA and report generation benchmarks show that A$^3$Tune outperforms state-of-the-art baselines, achieving enhanced attention distributions and performance in Med-LVLMs.")</f>
        <v>Medical Large Vision-Language Models (Med-LVLMs) often exhibit suboptimal attention distribution on visual inputs, leading to hallucinated or inaccurate outputs. Existing methods primarily rely on inference-time interventions, which are limited in attention adaptation or require additional supervision. To address this, we propose A$^3$Tune, a novel fine-tuning framework for Automatic Attention Alignment Tuning. A
Tune leverages zero-shot weak labels from SAM, refines them into prompt-aware labels using BioMedCLIP, and then selectively modifies visually-critical attention heads to improve alignment while minimizing interference. Additionally, we introduce a A$^3$MoE module, enabling adaptive parameter selection for attention tuning across diverse prompts and images. Extensive experiments on medical VQA and report generation benchmarks show that A$^3$Tune outperforms state-of-the-art baselines, achieving enhanced attention distributions and performance in Med-LVLMs.</v>
      </c>
      <c r="D2074" s="7" t="str">
        <f>IFERROR(__xludf.DUMMYFUNCTION("""COMPUTED_VALUE"""),"Fenglong Ma")</f>
        <v>Fenglong Ma</v>
      </c>
      <c r="E2074" s="7" t="str">
        <f>IFERROR(__xludf.DUMMYFUNCTION("""COMPUTED_VALUE"""),"Yes")</f>
        <v>Yes</v>
      </c>
      <c r="F2074" s="7" t="str">
        <f>IFERROR(__xludf.DUMMYFUNCTION("""COMPUTED_VALUE"""),"IP-Poster")</f>
        <v>IP-Poster</v>
      </c>
      <c r="G2074" s="7" t="str">
        <f>IFERROR(__xludf.DUMMYFUNCTION("""COMPUTED_VALUE"""),"In-Person")</f>
        <v>In-Person</v>
      </c>
      <c r="H2074" s="7" t="str">
        <f>IFERROR(__xludf.DUMMYFUNCTION("""COMPUTED_VALUE"""),"Hall 4/5")</f>
        <v>Hall 4/5</v>
      </c>
      <c r="I2074" s="7" t="str">
        <f>IFERROR(__xludf.DUMMYFUNCTION("""COMPUTED_VALUE"""),"Session 2: IP-Posters ")</f>
        <v>Session 2: IP-Posters </v>
      </c>
      <c r="J2074" s="7" t="str">
        <f>IFERROR(__xludf.DUMMYFUNCTION("""COMPUTED_VALUE"""),"Poster Session 1")</f>
        <v>Poster Session 1</v>
      </c>
      <c r="K2074" s="7"/>
      <c r="L2074" s="8">
        <f>IFERROR(__xludf.DUMMYFUNCTION("""COMPUTED_VALUE"""),45866.0)</f>
        <v>45866</v>
      </c>
      <c r="M2074" s="7" t="str">
        <f>IFERROR(__xludf.DUMMYFUNCTION("""COMPUTED_VALUE"""),"11:00-12:30")</f>
        <v>11:00-12:30</v>
      </c>
      <c r="N2074" s="7"/>
    </row>
    <row r="2075">
      <c r="A2075" s="7" t="str">
        <f>IFERROR(__xludf.DUMMYFUNCTION("""COMPUTED_VALUE"""),"1086-MAIN")</f>
        <v>1086-MAIN</v>
      </c>
      <c r="B2075" s="7" t="str">
        <f>IFERROR(__xludf.DUMMYFUNCTION("""COMPUTED_VALUE"""),"LLMs + Persona-Plug = Personalized LLMs")</f>
        <v>LLMs + Persona-Plug = Personalized LLMs</v>
      </c>
      <c r="C2075" s="7" t="str">
        <f>IFERROR(__xludf.DUMMYFUNCTION("""COMPUTED_VALUE"""),"Personalization plays a critical role in numerous language tasks and applications, since users with the same requirements may prefer diverse outputs based on their interests. This has led to the development of various personalized approaches aimed at adap"&amp;"ting large language models (LLMs) to generate customized outputs aligned with user preferences. Some of them involve fine-tuning a unique personalized LLM for each user, which is too expensive for widespread application. Alternative approaches introduce p"&amp;"ersonalization information in a plug-and-play manner by retrieving the user's relevant historical texts as demonstrations.  However, this retrieval-based strategy may break the continuity of the user history and fail to capture the user's overall styles a"&amp;"nd patterns, hence leading to sub-optimal performance. To address these challenges, we propose a novel personalized LLM model, PPlug. It constructs a user-specific embedding for each individual by modeling all her historical contexts through a lightweight"&amp;" plug-in user embedder module. By attaching this embedding to the task input, LLMs can better understand and capture user habits and preferences, thereby producing more personalized outputs without tuning their parameters. Extensive experiments on various"&amp;" tasks in the language model personalization (LaMP) benchmark demonstrate that the proposed model significantly outperforms existing personalized LLM approaches.")</f>
        <v>Personalization plays a critical role in numerous language tasks and applications, since users with the same requirements may prefer diverse outputs based on their interests. This has led to the development of various personalized approaches aimed at adapting large language models (LLMs) to generate customized outputs aligned with user preferences. Some of them involve fine-tuning a unique personalized LLM for each user, which is too expensive for widespread application. Alternative approaches introduce personalization information in a plug-and-play manner by retrieving the user's relevant historical texts as demonstrations.  However, this retrieval-based strategy may break the continuity of the user history and fail to capture the user's overall styles and patterns, hence leading to sub-optimal performance. To address these challenges, we propose a novel personalized LLM model, PPlug. It constructs a user-specific embedding for each individual by modeling all her historical contexts through a lightweight plug-in user embedder module. By attaching this embedding to the task input, LLMs can better understand and capture user habits and preferences, thereby producing more personalized outputs without tuning their parameters. Extensive experiments on various tasks in the language model personalization (LaMP) benchmark demonstrate that the proposed model significantly outperforms existing personalized LLM approaches.</v>
      </c>
      <c r="D2075" s="7" t="str">
        <f>IFERROR(__xludf.DUMMYFUNCTION("""COMPUTED_VALUE"""),"Jiongnan Liu")</f>
        <v>Jiongnan Liu</v>
      </c>
      <c r="E2075" s="7" t="str">
        <f>IFERROR(__xludf.DUMMYFUNCTION("""COMPUTED_VALUE"""),"Yes")</f>
        <v>Yes</v>
      </c>
      <c r="F2075" s="7" t="str">
        <f>IFERROR(__xludf.DUMMYFUNCTION("""COMPUTED_VALUE"""),"IP-Poster")</f>
        <v>IP-Poster</v>
      </c>
      <c r="G2075" s="7" t="str">
        <f>IFERROR(__xludf.DUMMYFUNCTION("""COMPUTED_VALUE"""),"In-Person")</f>
        <v>In-Person</v>
      </c>
      <c r="H2075" s="7" t="str">
        <f>IFERROR(__xludf.DUMMYFUNCTION("""COMPUTED_VALUE"""),"Hall 4/5")</f>
        <v>Hall 4/5</v>
      </c>
      <c r="I2075" s="7" t="str">
        <f>IFERROR(__xludf.DUMMYFUNCTION("""COMPUTED_VALUE"""),"Session 12: IP-Posters")</f>
        <v>Session 12: IP-Posters</v>
      </c>
      <c r="J2075" s="7" t="str">
        <f>IFERROR(__xludf.DUMMYFUNCTION("""COMPUTED_VALUE"""),"Poster Session 4")</f>
        <v>Poster Session 4</v>
      </c>
      <c r="K2075" s="7"/>
      <c r="L2075" s="8">
        <f>IFERROR(__xludf.DUMMYFUNCTION("""COMPUTED_VALUE"""),45868.0)</f>
        <v>45868</v>
      </c>
      <c r="M2075" s="7" t="str">
        <f>IFERROR(__xludf.DUMMYFUNCTION("""COMPUTED_VALUE"""),"11:00-12:30")</f>
        <v>11:00-12:30</v>
      </c>
      <c r="N2075" s="7"/>
    </row>
    <row r="2076">
      <c r="A2076" s="7" t="str">
        <f>IFERROR(__xludf.DUMMYFUNCTION("""COMPUTED_VALUE"""),"1087-MAIN")</f>
        <v>1087-MAIN</v>
      </c>
      <c r="B2076" s="7" t="str">
        <f>IFERROR(__xludf.DUMMYFUNCTION("""COMPUTED_VALUE"""),"Developmentally-plausible Working Memory Shapes a Critical Period for Language Acquisition")</f>
        <v>Developmentally-plausible Working Memory Shapes a Critical Period for Language Acquisition</v>
      </c>
      <c r="C2076" s="7" t="str">
        <f>IFERROR(__xludf.DUMMYFUNCTION("""COMPUTED_VALUE"""),"Large language models possess general linguistic abilities but acquire language less efficiently than humans. This study proposes a method for integrating the developmental characteristics of working memory during the critical period, a stage when human l"&amp;"anguage acquisition is particularly efficient, into the training process of language models. The proposed method introduces a mechanism that initially constrains working memory during the early stages of training and gradually relaxes this constraint in a"&amp;"n exponential manner as learning progresses. Targeted syntactic evaluation shows that the proposed method outperforms conventional methods without memory constraints or with static memory constraints. These findings not only provide new directions for des"&amp;"igning data-efficient language models but also offer indirect evidence supporting the role of the developmental characteristics of working memory as the underlying mechanism of the critical period in language acquisition.")</f>
        <v>Large language models possess general linguistic abilities but acquire language less efficiently than humans. This study proposes a method for integrating the developmental characteristics of working memory during the critical period, a stage when human language acquisition is particularly efficient, into the training process of language models. The proposed method introduces a mechanism that initially constrains working memory during the early stages of training and gradually relaxes this constraint in an exponential manner as learning progresses. Targeted syntactic evaluation shows that the proposed method outperforms conventional methods without memory constraints or with static memory constraints. These findings not only provide new directions for designing data-efficient language models but also offer indirect evidence supporting the role of the developmental characteristics of working memory as the underlying mechanism of the critical period in language acquisition.</v>
      </c>
      <c r="D2076" s="7" t="str">
        <f>IFERROR(__xludf.DUMMYFUNCTION("""COMPUTED_VALUE"""),"Masato Mita")</f>
        <v>Masato Mita</v>
      </c>
      <c r="E2076" s="7" t="str">
        <f>IFERROR(__xludf.DUMMYFUNCTION("""COMPUTED_VALUE"""),"Yes")</f>
        <v>Yes</v>
      </c>
      <c r="F2076" s="7" t="str">
        <f>IFERROR(__xludf.DUMMYFUNCTION("""COMPUTED_VALUE"""),"IP-Poster")</f>
        <v>IP-Poster</v>
      </c>
      <c r="G2076" s="7" t="str">
        <f>IFERROR(__xludf.DUMMYFUNCTION("""COMPUTED_VALUE"""),"In-Person")</f>
        <v>In-Person</v>
      </c>
      <c r="H2076" s="7" t="str">
        <f>IFERROR(__xludf.DUMMYFUNCTION("""COMPUTED_VALUE"""),"Hall 4/5")</f>
        <v>Hall 4/5</v>
      </c>
      <c r="I2076" s="7" t="str">
        <f>IFERROR(__xludf.DUMMYFUNCTION("""COMPUTED_VALUE"""),"Session 12: IP-Posters")</f>
        <v>Session 12: IP-Posters</v>
      </c>
      <c r="J2076" s="7" t="str">
        <f>IFERROR(__xludf.DUMMYFUNCTION("""COMPUTED_VALUE"""),"Poster Session 4")</f>
        <v>Poster Session 4</v>
      </c>
      <c r="K2076" s="7"/>
      <c r="L2076" s="8">
        <f>IFERROR(__xludf.DUMMYFUNCTION("""COMPUTED_VALUE"""),45868.0)</f>
        <v>45868</v>
      </c>
      <c r="M2076" s="7" t="str">
        <f>IFERROR(__xludf.DUMMYFUNCTION("""COMPUTED_VALUE"""),"11:00-12:30")</f>
        <v>11:00-12:30</v>
      </c>
      <c r="N2076" s="7"/>
    </row>
    <row r="2077">
      <c r="A2077" s="7" t="str">
        <f>IFERROR(__xludf.DUMMYFUNCTION("""COMPUTED_VALUE"""),"1089-MAIN")</f>
        <v>1089-MAIN</v>
      </c>
      <c r="B2077" s="7" t="str">
        <f>IFERROR(__xludf.DUMMYFUNCTION("""COMPUTED_VALUE"""),"IRIS: An Iterative and Integrated Framework for Verifiable Causal Discovery in the Absence of Tabular Data")</f>
        <v>IRIS: An Iterative and Integrated Framework for Verifiable Causal Discovery in the Absence of Tabular Data</v>
      </c>
      <c r="C2077" s="7" t="str">
        <f>IFERROR(__xludf.DUMMYFUNCTION("""COMPUTED_VALUE"""),"Causal discovery is fundamental to scientific research, yet traditional statistical algorithms face significant challenges, including expensive data collection, redundant computation for known relations, and unrealistic assumptions. While recent LLM-based"&amp;" methods excel at identifying commonly known causal relations, they fail to uncover novel relations. We introduce IRIS (Iterative Retrieval and Integrated System for Real-Time Causal Discovery), a novel framework that addresses these limitations. Starting"&amp;" with a set of initial variables, IRIS automatically collects relevant documents, extracts variables, and uncovers causal relations. Our hybrid causal discovery method combines statistical algorithms and LLM-based methods to discover known and novel causa"&amp;"l relations. In addition to causal discovery on initial variables, the missing variable proposal component of IRIS identifies and incorporates missing variables to expand the causal graphs. Our approach enables real-time causal discovery from only a set o"&amp;"f initial variables without requiring pre-existing datasets.")</f>
        <v>Causal discovery is fundamental to scientific research, yet traditional statistical algorithms face significant challenges, including expensive data collection, redundant computation for known relations, and unrealistic assumptions. While recent LLM-based methods excel at identifying commonly known causal relations, they fail to uncover novel relations. We introduce IRIS (Iterative Retrieval and Integrated System for Real-Time Causal Discovery), a novel framework that addresses these limitations. Starting with a set of initial variables, IRIS automatically collects relevant documents, extracts variables, and uncovers causal relations. Our hybrid causal discovery method combines statistical algorithms and LLM-based methods to discover known and novel causal relations. In addition to causal discovery on initial variables, the missing variable proposal component of IRIS identifies and incorporates missing variables to expand the causal graphs. Our approach enables real-time causal discovery from only a set of initial variables without requiring pre-existing datasets.</v>
      </c>
      <c r="D2077" s="7" t="str">
        <f>IFERROR(__xludf.DUMMYFUNCTION("""COMPUTED_VALUE"""),"Tao Feng, Lizhen Qu, Niket Tandon")</f>
        <v>Tao Feng, Lizhen Qu, Niket Tandon</v>
      </c>
      <c r="E2077" s="7" t="str">
        <f>IFERROR(__xludf.DUMMYFUNCTION("""COMPUTED_VALUE"""),"Yes")</f>
        <v>Yes</v>
      </c>
      <c r="F2077" s="7" t="str">
        <f>IFERROR(__xludf.DUMMYFUNCTION("""COMPUTED_VALUE"""),"IP-Poster")</f>
        <v>IP-Poster</v>
      </c>
      <c r="G2077" s="7" t="str">
        <f>IFERROR(__xludf.DUMMYFUNCTION("""COMPUTED_VALUE"""),"In-Person")</f>
        <v>In-Person</v>
      </c>
      <c r="H2077" s="7" t="str">
        <f>IFERROR(__xludf.DUMMYFUNCTION("""COMPUTED_VALUE"""),"Hall 4/5")</f>
        <v>Hall 4/5</v>
      </c>
      <c r="I2077" s="7" t="str">
        <f>IFERROR(__xludf.DUMMYFUNCTION("""COMPUTED_VALUE"""),"Session 10: IP-Posters")</f>
        <v>Session 10: IP-Posters</v>
      </c>
      <c r="J2077" s="7" t="str">
        <f>IFERROR(__xludf.DUMMYFUNCTION("""COMPUTED_VALUE"""),"Poster Session 3")</f>
        <v>Poster Session 3</v>
      </c>
      <c r="K2077" s="7"/>
      <c r="L2077" s="8">
        <f>IFERROR(__xludf.DUMMYFUNCTION("""COMPUTED_VALUE"""),45867.0)</f>
        <v>45867</v>
      </c>
      <c r="M2077" s="7" t="str">
        <f>IFERROR(__xludf.DUMMYFUNCTION("""COMPUTED_VALUE"""),"16:00-17:30")</f>
        <v>16:00-17:30</v>
      </c>
      <c r="N2077" s="7"/>
    </row>
    <row r="2078">
      <c r="A2078" s="7" t="str">
        <f>IFERROR(__xludf.DUMMYFUNCTION("""COMPUTED_VALUE"""),"1092-MAIN")</f>
        <v>1092-MAIN</v>
      </c>
      <c r="B2078" s="7" t="str">
        <f>IFERROR(__xludf.DUMMYFUNCTION("""COMPUTED_VALUE"""),"INJONGO: A Multicultural Intent Detection and Slot-filling Dataset for 16 African Languages")</f>
        <v>INJONGO: A Multicultural Intent Detection and Slot-filling Dataset for 16 African Languages</v>
      </c>
      <c r="C2078" s="7" t="str">
        <f>IFERROR(__xludf.DUMMYFUNCTION("""COMPUTED_VALUE"""),"Slot-filling and intent detection are well-established tasks in Conversational AI. However, current large-scale benchmarks for these tasks often exclude evaluations of low-resource languages and rely on translations from English benchmarks, thereby predom"&amp;"inantly reflecting Western-centric concepts. In this paper, we introduce ""INJONGO"" - a multicultural, open-source benchmark dataset for 16 African languages with utterances generated by native speakers across diverse domains, including banking, travel, "&amp;"home, and dining. Through extensive experiments, we benchmark fine-tuning multilingual transformer models and prompting large language models (LLMs), and show the advantage of leveraging African-cultural utterances over Western-centric utterances for impr"&amp;"oving cross-lingual transfer from the English language. Experimental results reveal that current LLMs struggle with the slot-filling task, with GPT-4o achieving an average performance of 26 F1. In contrast, intent detection performance is notably better, "&amp;"with an average accuracy of 70.6%, though it still falls short of fine-tuning baselines. When compared to the English language, GPT-4o and fine-tuning baselines perform similarly on intent detection, achieving an accuracy of approximately 81%. Our finding"&amp;"s suggest that LLMs performance is still behind for many low-resource African languages, and more work is needed to further improve their downstream performance.")</f>
        <v>Slot-filling and intent detection are well-established tasks in Conversational AI. However, current large-scale benchmarks for these tasks often exclude evaluations of low-resource languages and rely on translations from English benchmarks, thereby predominantly reflecting Western-centric concepts. In this paper, we introduce "INJONGO" - a multicultural, open-source benchmark dataset for 16 African languages with utterances generated by native speakers across diverse domains, including banking, travel, home, and dining. Through extensive experiments, we benchmark fine-tuning multilingual transformer models and prompting large language models (LLMs), and show the advantage of leveraging African-cultural utterances over Western-centric utterances for improving cross-lingual transfer from the English language. Experimental results reveal that current LLMs struggle with the slot-filling task, with GPT-4o achieving an average performance of 26 F1. In contrast, intent detection performance is notably better, with an average accuracy of 70.6%, though it still falls short of fine-tuning baselines. When compared to the English language, GPT-4o and fine-tuning baselines perform similarly on intent detection, achieving an accuracy of approximately 81%. Our findings suggest that LLMs performance is still behind for many low-resource African languages, and more work is needed to further improve their downstream performance.</v>
      </c>
      <c r="D2078" s="7" t="str">
        <f>IFERROR(__xludf.DUMMYFUNCTION("""COMPUTED_VALUE"""),"David Ifeoluwa Adelani")</f>
        <v>David Ifeoluwa Adelani</v>
      </c>
      <c r="E2078" s="7" t="str">
        <f>IFERROR(__xludf.DUMMYFUNCTION("""COMPUTED_VALUE"""),"Yes")</f>
        <v>Yes</v>
      </c>
      <c r="F2078" s="7" t="str">
        <f>IFERROR(__xludf.DUMMYFUNCTION("""COMPUTED_VALUE"""),"IP-Oral")</f>
        <v>IP-Oral</v>
      </c>
      <c r="G2078" s="7" t="str">
        <f>IFERROR(__xludf.DUMMYFUNCTION("""COMPUTED_VALUE"""),"In-Person")</f>
        <v>In-Person</v>
      </c>
      <c r="H2078" s="7" t="str">
        <f>IFERROR(__xludf.DUMMYFUNCTION("""COMPUTED_VALUE"""),"Room 1.15-16")</f>
        <v>Room 1.15-16</v>
      </c>
      <c r="I2078" s="7" t="str">
        <f>IFERROR(__xludf.DUMMYFUNCTION("""COMPUTED_VALUE"""),"Session 9: IP-Orals")</f>
        <v>Session 9: IP-Orals</v>
      </c>
      <c r="J2078" s="7" t="str">
        <f>IFERROR(__xludf.DUMMYFUNCTION("""COMPUTED_VALUE"""),"Multilingualism and Cross-Lingual NLP")</f>
        <v>Multilingualism and Cross-Lingual NLP</v>
      </c>
      <c r="K2078" s="7"/>
      <c r="L2078" s="8">
        <f>IFERROR(__xludf.DUMMYFUNCTION("""COMPUTED_VALUE"""),45867.0)</f>
        <v>45867</v>
      </c>
      <c r="M2078" s="7" t="str">
        <f>IFERROR(__xludf.DUMMYFUNCTION("""COMPUTED_VALUE"""),"14:00-15:30")</f>
        <v>14:00-15:30</v>
      </c>
      <c r="N2078" s="7">
        <f>IFERROR(__xludf.DUMMYFUNCTION("""COMPUTED_VALUE"""),3.0)</f>
        <v>3</v>
      </c>
    </row>
    <row r="2079">
      <c r="A2079" s="7" t="str">
        <f>IFERROR(__xludf.DUMMYFUNCTION("""COMPUTED_VALUE"""),"1093-MAIN")</f>
        <v>1093-MAIN</v>
      </c>
      <c r="B2079" s="7" t="str">
        <f>IFERROR(__xludf.DUMMYFUNCTION("""COMPUTED_VALUE"""),"Boosting Long-Context Information Seeking via Query-Guided Activation Refilling")</f>
        <v>Boosting Long-Context Information Seeking via Query-Guided Activation Refilling</v>
      </c>
      <c r="C2079" s="7" t="str">
        <f>IFERROR(__xludf.DUMMYFUNCTION("""COMPUTED_VALUE"""),"Processing long contexts poses a significant challenge for large language models (LLMs) due to their inherent context window limitations and the computational burden of extensive key-value (KV) activations, which severely impact efficiency. For informatio"&amp;"n-seeking tasks, full context perception is often unnecessary, as a query's information needs can dynamically range from localized details to a global perspective, depending on its complexity. However, existing methods struggle to adapt effectively to thi"&amp;"s dynamic information needs.
In the paper, we propose a method for processing long-context information-seeking tasks via query-guided ACtivation REfilling (ACRE). ACRE constructs a Bi-layer KV Cache for long contexts, where the layer-1 (L1) cache compact"&amp;"ly captures global information, and the layer-2 (L2) cache provides detailed, localized information. ACRE establishes a proxying relationship between the two caches, allowing the input query to attend to the L1 cache and dynamically refill it with relevan"&amp;"t entries from the L2 cache. This mechanism integrates global understanding with query-specific local details, thereby enhancing answer decoding. Experiments on a variety of long-context information-seeking datasets demonstrate ACRE's effectiveness, achie"&amp;"ving significant improvements in both performance and efficiency.")</f>
        <v>Processing long contexts poses a significant challenge for large language models (LLMs) due to their inherent context window limitations and the computational burden of extensive key-value (KV) activations, which severely impact efficiency. For information-seeking tasks, full context perception is often unnecessary, as a query's information needs can dynamically range from localized details to a global perspective, depending on its complexity. However, existing methods struggle to adapt effectively to this dynamic information needs.
In the paper, we propose a method for processing long-context information-seeking tasks via query-guided ACtivation REfilling (ACRE). ACRE constructs a Bi-layer KV Cache for long contexts, where the layer-1 (L1) cache compactly captures global information, and the layer-2 (L2) cache provides detailed, localized information. ACRE establishes a proxying relationship between the two caches, allowing the input query to attend to the L1 cache and dynamically refill it with relevant entries from the L2 cache. This mechanism integrates global understanding with query-specific local details, thereby enhancing answer decoding. Experiments on a variety of long-context information-seeking datasets demonstrate ACRE's effectiveness, achieving significant improvements in both performance and efficiency.</v>
      </c>
      <c r="D2079" s="7" t="str">
        <f>IFERROR(__xludf.DUMMYFUNCTION("""COMPUTED_VALUE"""),"Hongjin Qian")</f>
        <v>Hongjin Qian</v>
      </c>
      <c r="E2079" s="7" t="str">
        <f>IFERROR(__xludf.DUMMYFUNCTION("""COMPUTED_VALUE"""),"Yes")</f>
        <v>Yes</v>
      </c>
      <c r="F2079" s="7" t="str">
        <f>IFERROR(__xludf.DUMMYFUNCTION("""COMPUTED_VALUE"""),"IP-Poster")</f>
        <v>IP-Poster</v>
      </c>
      <c r="G2079" s="7" t="str">
        <f>IFERROR(__xludf.DUMMYFUNCTION("""COMPUTED_VALUE"""),"In-Person")</f>
        <v>In-Person</v>
      </c>
      <c r="H2079" s="7" t="str">
        <f>IFERROR(__xludf.DUMMYFUNCTION("""COMPUTED_VALUE"""),"Hall 4/5")</f>
        <v>Hall 4/5</v>
      </c>
      <c r="I2079" s="7" t="str">
        <f>IFERROR(__xludf.DUMMYFUNCTION("""COMPUTED_VALUE"""),"Session 2: IP-Posters ")</f>
        <v>Session 2: IP-Posters </v>
      </c>
      <c r="J2079" s="7" t="str">
        <f>IFERROR(__xludf.DUMMYFUNCTION("""COMPUTED_VALUE"""),"Poster Session 1")</f>
        <v>Poster Session 1</v>
      </c>
      <c r="K2079" s="7"/>
      <c r="L2079" s="8">
        <f>IFERROR(__xludf.DUMMYFUNCTION("""COMPUTED_VALUE"""),45866.0)</f>
        <v>45866</v>
      </c>
      <c r="M2079" s="7" t="str">
        <f>IFERROR(__xludf.DUMMYFUNCTION("""COMPUTED_VALUE"""),"11:00-12:30")</f>
        <v>11:00-12:30</v>
      </c>
      <c r="N2079" s="7"/>
    </row>
    <row r="2080">
      <c r="A2080" s="7" t="str">
        <f>IFERROR(__xludf.DUMMYFUNCTION("""COMPUTED_VALUE"""),"1097-MAIN")</f>
        <v>1097-MAIN</v>
      </c>
      <c r="B2080" s="7" t="str">
        <f>IFERROR(__xludf.DUMMYFUNCTION("""COMPUTED_VALUE"""),"Efficient Pretraining Data Selection for Language Models via Multi-Actor Collaboration")</f>
        <v>Efficient Pretraining Data Selection for Language Models via Multi-Actor Collaboration</v>
      </c>
      <c r="C2080" s="7" t="str">
        <f>IFERROR(__xludf.DUMMYFUNCTION("""COMPUTED_VALUE"""),"Efficient data selection is crucial to accelerate the pretraining of language model (LMs). While various methods have been proposed to enhance data efficiency, limited research has addressed the inherent conflicts between these approaches to achieve optim"&amp;"al data selection for LM pretraining. To tackle this problem, we propose a multi-actor collaborative data selection mechanism. Each data selection method independently prioritizes data based on its specific criterion and updates its prioritization rules u"&amp;"sing the current state of the model, functioning as an independent actor for data selection. Additionally, a console is designed to adjust the impacts of different actors at various stages and dynamically integrate information from all actors throughout t"&amp;"he LM pretraining process. We conduct extensive empirical studies to evaluate our multi-actor framework. The experimental results demonstrate that our approach significantly improves data efficiency, accelerates convergence in LM pretraining, and achieves"&amp;" an average relative performance gain up to 10.5% across multiple language model benchmarks compared to the state-of-the-art methods.")</f>
        <v>Efficient data selection is crucial to accelerate the pretraining of language model (LMs). While various methods have been proposed to enhance data efficiency, limited research has addressed the inherent conflicts between these approaches to achieve optimal data selection for LM pretraining. To tackle this problem, we propose a multi-actor collaborative data selection mechanism. Each data selection method independently prioritizes data based on its specific criterion and updates its prioritization rules using the current state of the model, functioning as an independent actor for data selection. Additionally, a console is designed to adjust the impacts of different actors at various stages and dynamically integrate information from all actors throughout the LM pretraining process. We conduct extensive empirical studies to evaluate our multi-actor framework. The experimental results demonstrate that our approach significantly improves data efficiency, accelerates convergence in LM pretraining, and achieves an average relative performance gain up to 10.5% across multiple language model benchmarks compared to the state-of-the-art methods.</v>
      </c>
      <c r="D2080" s="7" t="str">
        <f>IFERROR(__xludf.DUMMYFUNCTION("""COMPUTED_VALUE"""),"Tianyi Bai")</f>
        <v>Tianyi Bai</v>
      </c>
      <c r="E2080" s="7" t="str">
        <f>IFERROR(__xludf.DUMMYFUNCTION("""COMPUTED_VALUE"""),"Yes")</f>
        <v>Yes</v>
      </c>
      <c r="F2080" s="7" t="str">
        <f>IFERROR(__xludf.DUMMYFUNCTION("""COMPUTED_VALUE"""),"IP-Poster")</f>
        <v>IP-Poster</v>
      </c>
      <c r="G2080" s="7" t="str">
        <f>IFERROR(__xludf.DUMMYFUNCTION("""COMPUTED_VALUE"""),"In-Person")</f>
        <v>In-Person</v>
      </c>
      <c r="H2080" s="7" t="str">
        <f>IFERROR(__xludf.DUMMYFUNCTION("""COMPUTED_VALUE"""),"Hall 4/5")</f>
        <v>Hall 4/5</v>
      </c>
      <c r="I2080" s="7" t="str">
        <f>IFERROR(__xludf.DUMMYFUNCTION("""COMPUTED_VALUE"""),"Session 10: IP-Posters")</f>
        <v>Session 10: IP-Posters</v>
      </c>
      <c r="J2080" s="7" t="str">
        <f>IFERROR(__xludf.DUMMYFUNCTION("""COMPUTED_VALUE"""),"Poster Session 3")</f>
        <v>Poster Session 3</v>
      </c>
      <c r="K2080" s="7"/>
      <c r="L2080" s="8">
        <f>IFERROR(__xludf.DUMMYFUNCTION("""COMPUTED_VALUE"""),45867.0)</f>
        <v>45867</v>
      </c>
      <c r="M2080" s="7" t="str">
        <f>IFERROR(__xludf.DUMMYFUNCTION("""COMPUTED_VALUE"""),"16:00-17:30")</f>
        <v>16:00-17:30</v>
      </c>
      <c r="N2080" s="7"/>
    </row>
    <row r="2081">
      <c r="A2081" s="7" t="str">
        <f>IFERROR(__xludf.DUMMYFUNCTION("""COMPUTED_VALUE"""),"1099-MAIN")</f>
        <v>1099-MAIN</v>
      </c>
      <c r="B2081" s="7" t="str">
        <f>IFERROR(__xludf.DUMMYFUNCTION("""COMPUTED_VALUE"""),"AdaDHP: Fine-Grained Fine-Tuning via Dual Hadamard Product and Adaptive Parameter Selection")</f>
        <v>AdaDHP: Fine-Grained Fine-Tuning via Dual Hadamard Product and Adaptive Parameter Selection</v>
      </c>
      <c r="C2081" s="7" t="str">
        <f>IFERROR(__xludf.DUMMYFUNCTION("""COMPUTED_VALUE"""),"With the continuously expanding parameters, efficiently adapting large language models to downstream tasks is crucial in resource-limited conditions. Many parameter-efficient fine-tuning methods have emerged to address this challenge. However, they lack f"&amp;"lexibility, like LoRA requires manually selecting trainable parameters and rank size, (IA)$^{3}$ can only scale the activations along columns, yielding inferior results due to less precise fine-tuning. To address these issues, we propose a novel method na"&amp;"med AdaDHP with fewer parameters and finer granularity, which can adaptively select important parameters for each task. Specifically, we introduce two trainable vectors for each parameter and fine-tune the parameters through Hadamard product along both ro"&amp;"ws and columns. This significantly reduces the number of trainable parameters, with our parameter count capped at the lower limit of LoRA. Moreover, we design an adaptive parameter selection strategy to select important parameters for downstream tasks dyn"&amp;"amically. This allows our method to flexibly remove unimportant parameters for downstream tasks. Finally, we demonstrate the superiority of our method on the T5-base model across 17 NLU tasks and on complex mathematical tasks with the Llama series models.")</f>
        <v>With the continuously expanding parameters, efficiently adapting large language models to downstream tasks is crucial in resource-limited conditions. Many parameter-efficient fine-tuning methods have emerged to address this challenge. However, they lack flexibility, like LoRA requires manually selecting trainable parameters and rank size, (IA)$^{3}$ can only scale the activations along columns, yielding inferior results due to less precise fine-tuning. To address these issues, we propose a novel method named AdaDHP with fewer parameters and finer granularity, which can adaptively select important parameters for each task. Specifically, we introduce two trainable vectors for each parameter and fine-tune the parameters through Hadamard product along both rows and columns. This significantly reduces the number of trainable parameters, with our parameter count capped at the lower limit of LoRA. Moreover, we design an adaptive parameter selection strategy to select important parameters for downstream tasks dynamically. This allows our method to flexibly remove unimportant parameters for downstream tasks. Finally, we demonstrate the superiority of our method on the T5-base model across 17 NLU tasks and on complex mathematical tasks with the Llama series models.</v>
      </c>
      <c r="D2081" s="7" t="str">
        <f>IFERROR(__xludf.DUMMYFUNCTION("""COMPUTED_VALUE"""),"Han Liu")</f>
        <v>Han Liu</v>
      </c>
      <c r="E2081" s="7" t="str">
        <f>IFERROR(__xludf.DUMMYFUNCTION("""COMPUTED_VALUE"""),"Yes")</f>
        <v>Yes</v>
      </c>
      <c r="F2081" s="7" t="str">
        <f>IFERROR(__xludf.DUMMYFUNCTION("""COMPUTED_VALUE"""),"V-Presentation")</f>
        <v>V-Presentation</v>
      </c>
      <c r="G2081" s="7" t="str">
        <f>IFERROR(__xludf.DUMMYFUNCTION("""COMPUTED_VALUE"""),"Virtual/Gather")</f>
        <v>Virtual/Gather</v>
      </c>
      <c r="H2081" s="7" t="str">
        <f>IFERROR(__xludf.DUMMYFUNCTION("""COMPUTED_VALUE"""),"Zoom")</f>
        <v>Zoom</v>
      </c>
      <c r="I2081" s="7" t="str">
        <f>IFERROR(__xludf.DUMMYFUNCTION("""COMPUTED_VALUE"""),"Session 7: V--Presentations ")</f>
        <v>Session 7: V--Presentations </v>
      </c>
      <c r="J2081" s="7" t="str">
        <f>IFERROR(__xludf.DUMMYFUNCTION("""COMPUTED_VALUE"""),"Virtual Presentations 2")</f>
        <v>Virtual Presentations 2</v>
      </c>
      <c r="K2081" s="7"/>
      <c r="L2081" s="8"/>
      <c r="M2081" s="7" t="str">
        <f>IFERROR(__xludf.DUMMYFUNCTION("""COMPUTED_VALUE"""),"10:30-12:00")</f>
        <v>10:30-12:00</v>
      </c>
      <c r="N2081" s="7"/>
    </row>
    <row r="2082">
      <c r="A2082" s="7" t="str">
        <f>IFERROR(__xludf.DUMMYFUNCTION("""COMPUTED_VALUE"""),"1100-MAIN")</f>
        <v>1100-MAIN</v>
      </c>
      <c r="B2082" s="7" t="str">
        <f>IFERROR(__xludf.DUMMYFUNCTION("""COMPUTED_VALUE"""),"KG-Agent: An Efficient Autonomous Agent Framework for Complex Reasoning over Knowledge Graph")</f>
        <v>KG-Agent: An Efficient Autonomous Agent Framework for Complex Reasoning over Knowledge Graph</v>
      </c>
      <c r="C2082" s="7" t="str">
        <f>IFERROR(__xludf.DUMMYFUNCTION("""COMPUTED_VALUE"""),"In this paper, we aim to improve the reasoning ability of large language models(LLMs) over knowledge graphs(KGs) to answer complex questions. Inspired by existing methods that design the interaction strategy between LLMs and KG, we propose an autonomous L"&amp;"LM-based agent framework, called \textbf{KG-Agent}, which enables a small LLM to actively make decisions until finishing the reasoning process over KGs. In KG-Agent, we integrate the LLM, multifunctional toolbox, KG-based executor, and knowledge memory, a"&amp;"nd develop an iteration mechanism that autonomously selects the tool and then updates the memory for reasoning over KG. To guarantee the effectiveness, we leverage program language to formulate the multi-hop reasoning process over the KG and synthesize a "&amp;"code-based instruction dataset to fine-tune the base LLM. Extensive experiments demonstrate that only using 10K samples for tuning LLaMA2-7B can outperform competitive methods using larger LLMs or more data, on both in-domain and out-domain datasets. Our "&amp;"code and data will be publicly released.")</f>
        <v>In this paper, we aim to improve the reasoning ability of large language models(LLMs) over knowledge graphs(KGs) to answer complex questions. Inspired by existing methods that design the interaction strategy between LLMs and KG, we propose an autonomous LLM-based agent framework, called \textbf{KG-Agent}, which enables a small LLM to actively make decisions until finishing the reasoning process over KGs. In KG-Agent, we integrate the LLM, multifunctional toolbox, KG-based executor, and knowledge memory, and develop an iteration mechanism that autonomously selects the tool and then updates the memory for reasoning over KG. To guarantee the effectiveness, we leverage program language to formulate the multi-hop reasoning process over the KG and synthesize a code-based instruction dataset to fine-tune the base LLM. Extensive experiments demonstrate that only using 10K samples for tuning LLaMA2-7B can outperform competitive methods using larger LLMs or more data, on both in-domain and out-domain datasets. Our code and data will be publicly released.</v>
      </c>
      <c r="D2082" s="7" t="str">
        <f>IFERROR(__xludf.DUMMYFUNCTION("""COMPUTED_VALUE"""),"Jinhao Jiang")</f>
        <v>Jinhao Jiang</v>
      </c>
      <c r="E2082" s="7" t="str">
        <f>IFERROR(__xludf.DUMMYFUNCTION("""COMPUTED_VALUE"""),"Yes")</f>
        <v>Yes</v>
      </c>
      <c r="F2082" s="7" t="str">
        <f>IFERROR(__xludf.DUMMYFUNCTION("""COMPUTED_VALUE"""),"V-Presentation")</f>
        <v>V-Presentation</v>
      </c>
      <c r="G2082" s="7" t="str">
        <f>IFERROR(__xludf.DUMMYFUNCTION("""COMPUTED_VALUE"""),"Virtual/Gather")</f>
        <v>Virtual/Gather</v>
      </c>
      <c r="H2082" s="7" t="str">
        <f>IFERROR(__xludf.DUMMYFUNCTION("""COMPUTED_VALUE"""),"Zoom")</f>
        <v>Zoom</v>
      </c>
      <c r="I2082" s="7" t="str">
        <f>IFERROR(__xludf.DUMMYFUNCTION("""COMPUTED_VALUE"""),"Session 10: V-Presenations")</f>
        <v>Session 10: V-Presenations</v>
      </c>
      <c r="J2082" s="7" t="str">
        <f>IFERROR(__xludf.DUMMYFUNCTION("""COMPUTED_VALUE"""),"Virtual Presentations 3")</f>
        <v>Virtual Presentations 3</v>
      </c>
      <c r="K2082" s="7"/>
      <c r="L2082" s="8">
        <f>IFERROR(__xludf.DUMMYFUNCTION("""COMPUTED_VALUE"""),45867.0)</f>
        <v>45867</v>
      </c>
      <c r="M2082" s="7" t="str">
        <f>IFERROR(__xludf.DUMMYFUNCTION("""COMPUTED_VALUE"""),"16:00-17:30")</f>
        <v>16:00-17:30</v>
      </c>
      <c r="N2082" s="7"/>
    </row>
    <row r="2083">
      <c r="A2083" s="7" t="str">
        <f>IFERROR(__xludf.DUMMYFUNCTION("""COMPUTED_VALUE"""),"1101-MAIN")</f>
        <v>1101-MAIN</v>
      </c>
      <c r="B2083" s="7" t="str">
        <f>IFERROR(__xludf.DUMMYFUNCTION("""COMPUTED_VALUE"""),"Curriculum Debiasing: Toward Robust Parameter-Efficient Fine-Tuning Against Dataset Biases")</f>
        <v>Curriculum Debiasing: Toward Robust Parameter-Efficient Fine-Tuning Against Dataset Biases</v>
      </c>
      <c r="C2083" s="7" t="str">
        <f>IFERROR(__xludf.DUMMYFUNCTION("""COMPUTED_VALUE"""),"Parameter-efficient fine-tuning (PEFT) addresses the memory footprint issue of full fine-tuning by modifying only a subset of model parameters. However, on datasets exhibiting spurious correlations, we observed that PEFT slows down the model's convergence"&amp;" on unbiased examples, while the convergence on biased examples remains fast. This leads to the model's overfitting on biased examples, causing significant performance degradation in out-of-distribution (OOD) scenarios. Traditional debiasing methods mitig"&amp;"ate this issue by emphasizing unbiased examples during training but often come at the cost of in-distribution (ID) performance drops. To address this trade-off issue, we propose a curriculum debiasing framework that presents examples in a \textit{biased-t"&amp;"o-unbiased} order. Our framework initially limits the model’s exposure to unbiased examples, which are harder to learn, allowing it to first establish a foundation on easier-to-converge biased examples. As training progresses, we gradually increase the pr"&amp;"oportion of unbiased examples in the training set, guiding the model away from reliance on spurious correlations. Compared to the original PEFT methods, our method accelerates convergence on unbiased examples by approximately twofold and improves ID and O"&amp;"OD performance by 1.2% and 8.0%, respectively.")</f>
        <v>Parameter-efficient fine-tuning (PEFT) addresses the memory footprint issue of full fine-tuning by modifying only a subset of model parameters. However, on datasets exhibiting spurious correlations, we observed that PEFT slows down the model's convergence on unbiased examples, while the convergence on biased examples remains fast. This leads to the model's overfitting on biased examples, causing significant performance degradation in out-of-distribution (OOD) scenarios. Traditional debiasing methods mitigate this issue by emphasizing unbiased examples during training but often come at the cost of in-distribution (ID) performance drops. To address this trade-off issue, we propose a curriculum debiasing framework that presents examples in a \textit{biased-to-unbiased} order. Our framework initially limits the model’s exposure to unbiased examples, which are harder to learn, allowing it to first establish a foundation on easier-to-converge biased examples. As training progresses, we gradually increase the proportion of unbiased examples in the training set, guiding the model away from reliance on spurious correlations. Compared to the original PEFT methods, our method accelerates convergence on unbiased examples by approximately twofold and improves ID and OOD performance by 1.2% and 8.0%, respectively.</v>
      </c>
      <c r="D2083" s="7" t="str">
        <f>IFERROR(__xludf.DUMMYFUNCTION("""COMPUTED_VALUE"""),"Mingyu Lee")</f>
        <v>Mingyu Lee</v>
      </c>
      <c r="E2083" s="7" t="str">
        <f>IFERROR(__xludf.DUMMYFUNCTION("""COMPUTED_VALUE"""),"Yes")</f>
        <v>Yes</v>
      </c>
      <c r="F2083" s="7" t="str">
        <f>IFERROR(__xludf.DUMMYFUNCTION("""COMPUTED_VALUE"""),"IP-Poster")</f>
        <v>IP-Poster</v>
      </c>
      <c r="G2083" s="7" t="str">
        <f>IFERROR(__xludf.DUMMYFUNCTION("""COMPUTED_VALUE"""),"In-Person")</f>
        <v>In-Person</v>
      </c>
      <c r="H2083" s="7" t="str">
        <f>IFERROR(__xludf.DUMMYFUNCTION("""COMPUTED_VALUE"""),"Hall 4/5")</f>
        <v>Hall 4/5</v>
      </c>
      <c r="I2083" s="7" t="str">
        <f>IFERROR(__xludf.DUMMYFUNCTION("""COMPUTED_VALUE"""),"Session 7: IP-Posters")</f>
        <v>Session 7: IP-Posters</v>
      </c>
      <c r="J2083" s="7" t="str">
        <f>IFERROR(__xludf.DUMMYFUNCTION("""COMPUTED_VALUE"""),"Poster Session 2")</f>
        <v>Poster Session 2</v>
      </c>
      <c r="K2083" s="7"/>
      <c r="L2083" s="8">
        <f>IFERROR(__xludf.DUMMYFUNCTION("""COMPUTED_VALUE"""),45867.0)</f>
        <v>45867</v>
      </c>
      <c r="M2083" s="7" t="str">
        <f>IFERROR(__xludf.DUMMYFUNCTION("""COMPUTED_VALUE"""),"10:30-12:00")</f>
        <v>10:30-12:00</v>
      </c>
      <c r="N2083" s="7"/>
    </row>
    <row r="2084">
      <c r="A2084" s="7" t="str">
        <f>IFERROR(__xludf.DUMMYFUNCTION("""COMPUTED_VALUE"""),"1103-MAIN")</f>
        <v>1103-MAIN</v>
      </c>
      <c r="B2084" s="7" t="str">
        <f>IFERROR(__xludf.DUMMYFUNCTION("""COMPUTED_VALUE"""),"Does Context Matter? ContextualJudgeBench for Evaluating LLM-based Judges in Contextual Settings")</f>
        <v>Does Context Matter? ContextualJudgeBench for Evaluating LLM-based Judges in Contextual Settings</v>
      </c>
      <c r="C2084" s="7" t="str">
        <f>IFERROR(__xludf.DUMMYFUNCTION("""COMPUTED_VALUE"""),"The large language model (LLM)-as-judge paradigm has been used to meet the demand for a cheap, reliable, and fast evaluation of model outputs during AI system development and post-deployment monitoring. While judge models—LLMs finetuned to specialize in a"&amp;"ssessing and critiquing model outputs—have been touted as general purpose evaluators, they are typically evaluated only on non-contextual scenarios, such as instruction following. The omission of contextual settings—those where external information is use"&amp;"d as context to generate an output—is surprising given the increasing prevalence of retrieval-augmented generation (RAG) and summarization use cases. Contextual assessment is uniquely challenging, as evaluation often depends on practitioner priorities, le"&amp;"ading to conditional evaluation criteria (e.g., comparing responses based on factuality and then considering completeness if they are equally factual). To address the gap, we propose ContextualJudgeBench, a judge benchmark with 2,000 challenging response "&amp;"pairs across eight splits inspired by real-world contextual evaluation scenarios. We build our benchmark with a multi-pronged data construction pipeline that leverages both existing human annotations and model-based perturbations. Our comprehensive study "&amp;"across 11 judge models and 7 general purpose models, reveals that the contextual information and assessment criteria present a significant challenge to even state-of-the-art models. For example, o1, the best-performing model, barely reaches 55% consistent"&amp;" accuracy.")</f>
        <v>The large language model (LLM)-as-judge paradigm has been used to meet the demand for a cheap, reliable, and fast evaluation of model outputs during AI system development and post-deployment monitoring. While judge models—LLMs finetuned to specialize in assessing and critiquing model outputs—have been touted as general purpose evaluators, they are typically evaluated only on non-contextual scenarios, such as instruction following. The omission of contextual settings—those where external information is used as context to generate an output—is surprising given the increasing prevalence of retrieval-augmented generation (RAG) and summarization use cases. Contextual assessment is uniquely challenging, as evaluation often depends on practitioner priorities, leading to conditional evaluation criteria (e.g., comparing responses based on factuality and then considering completeness if they are equally factual). To address the gap, we propose ContextualJudgeBench, a judge benchmark with 2,000 challenging response pairs across eight splits inspired by real-world contextual evaluation scenarios. We build our benchmark with a multi-pronged data construction pipeline that leverages both existing human annotations and model-based perturbations. Our comprehensive study across 11 judge models and 7 general purpose models, reveals that the contextual information and assessment criteria present a significant challenge to even state-of-the-art models. For example, o1, the best-performing model, barely reaches 55% consistent accuracy.</v>
      </c>
      <c r="D2084" s="7" t="str">
        <f>IFERROR(__xludf.DUMMYFUNCTION("""COMPUTED_VALUE"""),"Austin Xu")</f>
        <v>Austin Xu</v>
      </c>
      <c r="E2084" s="7" t="str">
        <f>IFERROR(__xludf.DUMMYFUNCTION("""COMPUTED_VALUE"""),"Yes")</f>
        <v>Yes</v>
      </c>
      <c r="F2084" s="7" t="str">
        <f>IFERROR(__xludf.DUMMYFUNCTION("""COMPUTED_VALUE"""),"IP-Poster")</f>
        <v>IP-Poster</v>
      </c>
      <c r="G2084" s="7" t="str">
        <f>IFERROR(__xludf.DUMMYFUNCTION("""COMPUTED_VALUE"""),"In-Person")</f>
        <v>In-Person</v>
      </c>
      <c r="H2084" s="7" t="str">
        <f>IFERROR(__xludf.DUMMYFUNCTION("""COMPUTED_VALUE"""),"Hall 4/5")</f>
        <v>Hall 4/5</v>
      </c>
      <c r="I2084" s="7" t="str">
        <f>IFERROR(__xludf.DUMMYFUNCTION("""COMPUTED_VALUE"""),"Session 7: IP-Posters")</f>
        <v>Session 7: IP-Posters</v>
      </c>
      <c r="J2084" s="7" t="str">
        <f>IFERROR(__xludf.DUMMYFUNCTION("""COMPUTED_VALUE"""),"Poster Session 2")</f>
        <v>Poster Session 2</v>
      </c>
      <c r="K2084" s="7"/>
      <c r="L2084" s="8">
        <f>IFERROR(__xludf.DUMMYFUNCTION("""COMPUTED_VALUE"""),45867.0)</f>
        <v>45867</v>
      </c>
      <c r="M2084" s="7" t="str">
        <f>IFERROR(__xludf.DUMMYFUNCTION("""COMPUTED_VALUE"""),"10:30-12:00")</f>
        <v>10:30-12:00</v>
      </c>
      <c r="N2084" s="7"/>
    </row>
    <row r="2085">
      <c r="A2085" s="7" t="str">
        <f>IFERROR(__xludf.DUMMYFUNCTION("""COMPUTED_VALUE"""),"1104-MAIN")</f>
        <v>1104-MAIN</v>
      </c>
      <c r="B2085" s="7" t="str">
        <f>IFERROR(__xludf.DUMMYFUNCTION("""COMPUTED_VALUE"""),"On the Reliability of Large Language Models for Causal Discovery")</f>
        <v>On the Reliability of Large Language Models for Causal Discovery</v>
      </c>
      <c r="C2085" s="7" t="str">
        <f>IFERROR(__xludf.DUMMYFUNCTION("""COMPUTED_VALUE"""),"This study investigates the efficacy of Large Language Models (LLMs) in causal discovery. Using newly available open-source LLMs, OLMo and BLOOM, which provide access to their pre-training corpora, we investigate how LLMs address causal discovery through "&amp;"three research questions. We examine: (i) the impact of memorization for accurate causal relation prediction, (ii) the influence of incorrect causal relations in pre-training data, and (iii) the contextual nuances that influence LLMs' understanding of cau"&amp;"sal relations. Our findings indicate that while LLMs are effective in recognizing causal relations that occur frequently in pre-training data, their ability to generalize to new or rare causal relations is limited. Moreover, the presence of incorrect caus"&amp;"al relations significantly undermines the confidence of LLMs in corresponding correct causal relations, and the contextual information critically affects the outcomes of LLMs to discern causal connections between random variables.")</f>
        <v>This study investigates the efficacy of Large Language Models (LLMs) in causal discovery. Using newly available open-source LLMs, OLMo and BLOOM, which provide access to their pre-training corpora, we investigate how LLMs address causal discovery through three research questions. We examine: (i) the impact of memorization for accurate causal relation prediction, (ii) the influence of incorrect causal relations in pre-training data, and (iii) the contextual nuances that influence LLMs' understanding of causal relations. Our findings indicate that while LLMs are effective in recognizing causal relations that occur frequently in pre-training data, their ability to generalize to new or rare causal relations is limited. Moreover, the presence of incorrect causal relations significantly undermines the confidence of LLMs in corresponding correct causal relations, and the contextual information critically affects the outcomes of LLMs to discern causal connections between random variables.</v>
      </c>
      <c r="D2085" s="7" t="str">
        <f>IFERROR(__xludf.DUMMYFUNCTION("""COMPUTED_VALUE"""),"Lizhen Qu")</f>
        <v>Lizhen Qu</v>
      </c>
      <c r="E2085" s="7" t="str">
        <f>IFERROR(__xludf.DUMMYFUNCTION("""COMPUTED_VALUE"""),"Yes")</f>
        <v>Yes</v>
      </c>
      <c r="F2085" s="7" t="str">
        <f>IFERROR(__xludf.DUMMYFUNCTION("""COMPUTED_VALUE"""),"IP-Oral")</f>
        <v>IP-Oral</v>
      </c>
      <c r="G2085" s="7" t="str">
        <f>IFERROR(__xludf.DUMMYFUNCTION("""COMPUTED_VALUE"""),"In-Person")</f>
        <v>In-Person</v>
      </c>
      <c r="H2085" s="7" t="str">
        <f>IFERROR(__xludf.DUMMYFUNCTION("""COMPUTED_VALUE"""),"Room 1.15-16")</f>
        <v>Room 1.15-16</v>
      </c>
      <c r="I2085" s="7" t="str">
        <f>IFERROR(__xludf.DUMMYFUNCTION("""COMPUTED_VALUE"""),"Session 3: IP-Orals")</f>
        <v>Session 3: IP-Orals</v>
      </c>
      <c r="J2085" s="7" t="str">
        <f>IFERROR(__xludf.DUMMYFUNCTION("""COMPUTED_VALUE"""),"Theme track: Generalisation of NLP models")</f>
        <v>Theme track: Generalisation of NLP models</v>
      </c>
      <c r="K2085" s="7"/>
      <c r="L2085" s="8">
        <f>IFERROR(__xludf.DUMMYFUNCTION("""COMPUTED_VALUE"""),45866.0)</f>
        <v>45866</v>
      </c>
      <c r="M2085" s="7" t="str">
        <f>IFERROR(__xludf.DUMMYFUNCTION("""COMPUTED_VALUE"""),"14:00-15:30")</f>
        <v>14:00-15:30</v>
      </c>
      <c r="N2085" s="7">
        <f>IFERROR(__xludf.DUMMYFUNCTION("""COMPUTED_VALUE"""),1.0)</f>
        <v>1</v>
      </c>
    </row>
    <row r="2086">
      <c r="A2086" s="7" t="str">
        <f>IFERROR(__xludf.DUMMYFUNCTION("""COMPUTED_VALUE"""),"1105-MAIN")</f>
        <v>1105-MAIN</v>
      </c>
      <c r="B2086" s="7" t="str">
        <f>IFERROR(__xludf.DUMMYFUNCTION("""COMPUTED_VALUE"""),"Value-Spectrum: Quantifying Preferences of Vision-Language Models via Value Decomposition in Social Media Contexts")</f>
        <v>Value-Spectrum: Quantifying Preferences of Vision-Language Models via Value Decomposition in Social Media Contexts</v>
      </c>
      <c r="C2086" s="7" t="str">
        <f>IFERROR(__xludf.DUMMYFUNCTION("""COMPUTED_VALUE"""),"The recent progress in Vision-Language Models (VLMs) has broadened the scope of multimodal applications. However, evaluations often remain limited to functional tasks, neglecting abstract dimensions such as personality traits and human values. To address "&amp;"this gap, we introduce Value-Spectrum, a novel Visual Question Answering (VQA) benchmark aimed at assessing VLMs based on Schwartz's value dimensions that capture core human values guiding people’s preferences and actions. We design a VLM agent pipeline t"&amp;"o simulate video browsing and construct a vector database comprising over 50,000 short videos from TikTok, YouTube Shorts, and Instagram Reels. These videos span multiple months and cover diverse topics, including family, health, hobbies, society, technol"&amp;"ogy, etc. Benchmarking on Value-Spectrum highlights notable variations in how VLMs handle value-oriented content. Beyond identifying VLMs' intrinsic preferences, we also explore the ability of VLM agents to adopt specific personas when explicitly prompted"&amp;", revealing insights into the adaptability of the model in role-playing scenarios. These findings highlight the potential of Value-Spectrum as a comprehensive evaluation set for tracking VLM preferences in value-based tasks and abilities to simulate diver"&amp;"se personas. The complete code and data are available at https://github.com/Jeremyyny/Value-Spectrum.")</f>
        <v>The recent progress in Vision-Language Models (VLMs) has broadened the scope of multimodal applications. However, evaluations often remain limited to functional tasks, neglecting abstract dimensions such as personality traits and human values. To address this gap, we introduce Value-Spectrum, a novel Visual Question Answering (VQA) benchmark aimed at assessing VLMs based on Schwartz's value dimensions that capture core human values guiding people’s preferences and actions. We design a VLM agent pipeline to simulate video browsing and construct a vector database comprising over 50,000 short videos from TikTok, YouTube Shorts, and Instagram Reels. These videos span multiple months and cover diverse topics, including family, health, hobbies, society, technology, etc. Benchmarking on Value-Spectrum highlights notable variations in how VLMs handle value-oriented content. Beyond identifying VLMs' intrinsic preferences, we also explore the ability of VLM agents to adopt specific personas when explicitly prompted, revealing insights into the adaptability of the model in role-playing scenarios. These findings highlight the potential of Value-Spectrum as a comprehensive evaluation set for tracking VLM preferences in value-based tasks and abilities to simulate diverse personas. The complete code and data are available at https://github.com/Jeremyyny/Value-Spectrum.</v>
      </c>
      <c r="D2086" s="7" t="str">
        <f>IFERROR(__xludf.DUMMYFUNCTION("""COMPUTED_VALUE"""),"Jingxuan Li")</f>
        <v>Jingxuan Li</v>
      </c>
      <c r="E2086" s="7" t="str">
        <f>IFERROR(__xludf.DUMMYFUNCTION("""COMPUTED_VALUE"""),"Yes")</f>
        <v>Yes</v>
      </c>
      <c r="F2086" s="7" t="str">
        <f>IFERROR(__xludf.DUMMYFUNCTION("""COMPUTED_VALUE"""),"V-Presentation")</f>
        <v>V-Presentation</v>
      </c>
      <c r="G2086" s="7" t="str">
        <f>IFERROR(__xludf.DUMMYFUNCTION("""COMPUTED_VALUE"""),"Virtual/Gather")</f>
        <v>Virtual/Gather</v>
      </c>
      <c r="H2086" s="7" t="str">
        <f>IFERROR(__xludf.DUMMYFUNCTION("""COMPUTED_VALUE"""),"Zoom")</f>
        <v>Zoom</v>
      </c>
      <c r="I2086" s="7" t="str">
        <f>IFERROR(__xludf.DUMMYFUNCTION("""COMPUTED_VALUE"""),"Session 7: V--Presentations ")</f>
        <v>Session 7: V--Presentations </v>
      </c>
      <c r="J2086" s="7" t="str">
        <f>IFERROR(__xludf.DUMMYFUNCTION("""COMPUTED_VALUE"""),"Virtual Presentations 2")</f>
        <v>Virtual Presentations 2</v>
      </c>
      <c r="K2086" s="7"/>
      <c r="L2086" s="8"/>
      <c r="M2086" s="7" t="str">
        <f>IFERROR(__xludf.DUMMYFUNCTION("""COMPUTED_VALUE"""),"10:30-12:00")</f>
        <v>10:30-12:00</v>
      </c>
      <c r="N2086" s="7"/>
    </row>
    <row r="2087">
      <c r="A2087" s="7" t="str">
        <f>IFERROR(__xludf.DUMMYFUNCTION("""COMPUTED_VALUE"""),"1107-MAIN")</f>
        <v>1107-MAIN</v>
      </c>
      <c r="B2087" s="7" t="str">
        <f>IFERROR(__xludf.DUMMYFUNCTION("""COMPUTED_VALUE"""),"TeRDy: Temporal Relation Dynamics through Frequency Decomposition for Temporal Knowledge Graph Completion")</f>
        <v>TeRDy: Temporal Relation Dynamics through Frequency Decomposition for Temporal Knowledge Graph Completion</v>
      </c>
      <c r="C2087" s="7" t="str">
        <f>IFERROR(__xludf.DUMMYFUNCTION("""COMPUTED_VALUE"""),"Temporal knowledge graph completion aims to predict missing facts in a knowledge graph by leveraging temporal information. Existing methods often struggle to capture both the long-term changes and short-term variability of relations, which are crucial for"&amp;" accurate prediction. In this paper, we propose a novel method called TeRDy for temporal knowledge graph completion. TeRDy captures temporal relational dynamics by utilizing time-invariant embeddings, along with long-term temporally dynamic embeddings (e."&amp;"g., enduring political alliances) and short-term temporally dynamic embeddings (e.g., transient political events). These two types of embeddings are derived from low- and high-frequency components via frequency decomposition. Also, we design temporal smoo"&amp;"thing and temporal gradient to seamlessly incorporate timestamp embeddings into relation embeddings. Extensive experiments on benchmark datasets demonstrate that TeRDy outperforms state-of-the-art temporal knowledge graph embedding methods.")</f>
        <v>Temporal knowledge graph completion aims to predict missing facts in a knowledge graph by leveraging temporal information. Existing methods often struggle to capture both the long-term changes and short-term variability of relations, which are crucial for accurate prediction. In this paper, we propose a novel method called TeRDy for temporal knowledge graph completion. TeRDy captures temporal relational dynamics by utilizing time-invariant embeddings, along with long-term temporally dynamic embeddings (e.g., enduring political alliances) and short-term temporally dynamic embeddings (e.g., transient political events). These two types of embeddings are derived from low- and high-frequency components via frequency decomposition. Also, we design temporal smoothing and temporal gradient to seamlessly incorporate timestamp embeddings into relation embeddings. Extensive experiments on benchmark datasets demonstrate that TeRDy outperforms state-of-the-art temporal knowledge graph embedding methods.</v>
      </c>
      <c r="D2087" s="7" t="str">
        <f>IFERROR(__xludf.DUMMYFUNCTION("""COMPUTED_VALUE"""),"Virtual (Ziyang Liu, video) / in-person (Gengyuan Shi)")</f>
        <v>Virtual (Ziyang Liu, video) / in-person (Gengyuan Shi)</v>
      </c>
      <c r="E2087" s="7" t="str">
        <f>IFERROR(__xludf.DUMMYFUNCTION("""COMPUTED_VALUE"""),"Yes")</f>
        <v>Yes</v>
      </c>
      <c r="F2087" s="7" t="str">
        <f>IFERROR(__xludf.DUMMYFUNCTION("""COMPUTED_VALUE"""),"IP-Poster")</f>
        <v>IP-Poster</v>
      </c>
      <c r="G2087" s="7" t="str">
        <f>IFERROR(__xludf.DUMMYFUNCTION("""COMPUTED_VALUE"""),"In-Person")</f>
        <v>In-Person</v>
      </c>
      <c r="H2087" s="7" t="str">
        <f>IFERROR(__xludf.DUMMYFUNCTION("""COMPUTED_VALUE"""),"Hall 4/5")</f>
        <v>Hall 4/5</v>
      </c>
      <c r="I2087" s="7" t="str">
        <f>IFERROR(__xludf.DUMMYFUNCTION("""COMPUTED_VALUE"""),"Session 12: IP-Posters")</f>
        <v>Session 12: IP-Posters</v>
      </c>
      <c r="J2087" s="7" t="str">
        <f>IFERROR(__xludf.DUMMYFUNCTION("""COMPUTED_VALUE"""),"Poster Session 4")</f>
        <v>Poster Session 4</v>
      </c>
      <c r="K2087" s="7"/>
      <c r="L2087" s="8">
        <f>IFERROR(__xludf.DUMMYFUNCTION("""COMPUTED_VALUE"""),45868.0)</f>
        <v>45868</v>
      </c>
      <c r="M2087" s="7" t="str">
        <f>IFERROR(__xludf.DUMMYFUNCTION("""COMPUTED_VALUE"""),"11:00-12:30")</f>
        <v>11:00-12:30</v>
      </c>
      <c r="N2087" s="7"/>
    </row>
    <row r="2088">
      <c r="A2088" s="7" t="str">
        <f>IFERROR(__xludf.DUMMYFUNCTION("""COMPUTED_VALUE"""),"1109-MAIN")</f>
        <v>1109-MAIN</v>
      </c>
      <c r="B2088" s="7" t="str">
        <f>IFERROR(__xludf.DUMMYFUNCTION("""COMPUTED_VALUE"""),"Incorporating Domain Knowledge into Materials Tokenization")</f>
        <v>Incorporating Domain Knowledge into Materials Tokenization</v>
      </c>
      <c r="C2088" s="7" t="str">
        <f>IFERROR(__xludf.DUMMYFUNCTION("""COMPUTED_VALUE"""),"While language models are increasingly utilized in materials science, typical models rely on frequency-centric tokenization methods originally developed for natural language processing. However, these methods frequently produce excessive fragmentation and"&amp;" semantic loss, failing to maintain the structural and semantic integrity of material concepts. To address this issue, we propose MATTER, a novel tokenization approach that integrates material knowledge into tokenization. Based on MatDetector trained on o"&amp;"ur materials knowledge base and re-ranking method prioritizing material terms in token merging, MATTER maintains the structural integrity of identified materials concepts and prevents fragmentation during tokenization, ensuring their semantic meaning rema"&amp;"ins intact. The experimental results demonstrate that MATTER outperforms existing tokenization methods, achieving an average performance gain of 4% and 2% in the generation and classification tasks, respectively. These results underscore the importance of"&amp;" domain knowledge for tokenization strategies in scientific text processing.")</f>
        <v>While language models are increasingly utilized in materials science, typical models rely on frequency-centric tokenization methods originally developed for natural language processing. However, these methods frequently produce excessive fragmentation and semantic loss, failing to maintain the structural and semantic integrity of material concepts. To address this issue, we propose MATTER, a novel tokenization approach that integrates material knowledge into tokenization. Based on MatDetector trained on our materials knowledge base and re-ranking method prioritizing material terms in token merging, MATTER maintains the structural integrity of identified materials concepts and prevents fragmentation during tokenization, ensuring their semantic meaning remains intact. The experimental results demonstrate that MATTER outperforms existing tokenization methods, achieving an average performance gain of 4% and 2% in the generation and classification tasks, respectively. These results underscore the importance of domain knowledge for tokenization strategies in scientific text processing.</v>
      </c>
      <c r="D2088" s="7" t="str">
        <f>IFERROR(__xludf.DUMMYFUNCTION("""COMPUTED_VALUE"""),"Yerim Oh")</f>
        <v>Yerim Oh</v>
      </c>
      <c r="E2088" s="7" t="str">
        <f>IFERROR(__xludf.DUMMYFUNCTION("""COMPUTED_VALUE"""),"Yes")</f>
        <v>Yes</v>
      </c>
      <c r="F2088" s="7" t="str">
        <f>IFERROR(__xludf.DUMMYFUNCTION("""COMPUTED_VALUE"""),"IP-Poster")</f>
        <v>IP-Poster</v>
      </c>
      <c r="G2088" s="7" t="str">
        <f>IFERROR(__xludf.DUMMYFUNCTION("""COMPUTED_VALUE"""),"In-Person")</f>
        <v>In-Person</v>
      </c>
      <c r="H2088" s="7" t="str">
        <f>IFERROR(__xludf.DUMMYFUNCTION("""COMPUTED_VALUE"""),"Hall 4/5")</f>
        <v>Hall 4/5</v>
      </c>
      <c r="I2088" s="7" t="str">
        <f>IFERROR(__xludf.DUMMYFUNCTION("""COMPUTED_VALUE"""),"Session 2: IP-Posters ")</f>
        <v>Session 2: IP-Posters </v>
      </c>
      <c r="J2088" s="7" t="str">
        <f>IFERROR(__xludf.DUMMYFUNCTION("""COMPUTED_VALUE"""),"Poster Session 1")</f>
        <v>Poster Session 1</v>
      </c>
      <c r="K2088" s="7"/>
      <c r="L2088" s="8">
        <f>IFERROR(__xludf.DUMMYFUNCTION("""COMPUTED_VALUE"""),45866.0)</f>
        <v>45866</v>
      </c>
      <c r="M2088" s="7" t="str">
        <f>IFERROR(__xludf.DUMMYFUNCTION("""COMPUTED_VALUE"""),"11:00-12:30")</f>
        <v>11:00-12:30</v>
      </c>
      <c r="N2088" s="7"/>
    </row>
    <row r="2089">
      <c r="A2089" s="7" t="str">
        <f>IFERROR(__xludf.DUMMYFUNCTION("""COMPUTED_VALUE"""),"1111-MAIN")</f>
        <v>1111-MAIN</v>
      </c>
      <c r="B2089" s="7" t="str">
        <f>IFERROR(__xludf.DUMMYFUNCTION("""COMPUTED_VALUE"""),"PIG: Privacy Jailbreak Attack on LLMs via Gradient-based Iterative In-Context Optimization")</f>
        <v>PIG: Privacy Jailbreak Attack on LLMs via Gradient-based Iterative In-Context Optimization</v>
      </c>
      <c r="C2089" s="7" t="str">
        <f>IFERROR(__xludf.DUMMYFUNCTION("""COMPUTED_VALUE"""),"Large Language Models (LLMs) excel in various domains but pose inherent privacy risks. Existing methods to evaluate privacy leakage in LLMs often use memorized prefixes or simple instructions to extract data, both of which well-alignment models can easily"&amp;" block. Meanwhile, Jailbreak attacks bypass LLM safety mechanisms to generate harmful content, but their role in privacy scenarios remains underexplored. In this paper, we examine the effectiveness of jailbreak attacks in extracting sensitive information,"&amp;" bridging privacy leakage and jailbreak attacks in LLMs. Moreover, we propose PIG, a novel framework targeting Personally Identifiable Information (PII) and addressing the limitations of current jailbreak methods. Specifically, PIG identifies PII entities"&amp;" and their types in privacy queries, uses in-context learning to build a privacy context, and iteratively updates it with three gradient-based strategies to elicit target PII. We evaluate PIG and existing jailbreak methods using two privacy-related datase"&amp;"ts. Experiments on four white-box and two black-box LLMs show that PIG outperforms baseline methods and achieves state-of-the-art (SoTA) results. The results underscore significant privacy risks in LLMs, emphasizing the need for stronger safeguards.")</f>
        <v>Large Language Models (LLMs) excel in various domains but pose inherent privacy risks. Existing methods to evaluate privacy leakage in LLMs often use memorized prefixes or simple instructions to extract data, both of which well-alignment models can easily block. Meanwhile, Jailbreak attacks bypass LLM safety mechanisms to generate harmful content, but their role in privacy scenarios remains underexplored. In this paper, we examine the effectiveness of jailbreak attacks in extracting sensitive information, bridging privacy leakage and jailbreak attacks in LLMs. Moreover, we propose PIG, a novel framework targeting Personally Identifiable Information (PII) and addressing the limitations of current jailbreak methods. Specifically, PIG identifies PII entities and their types in privacy queries, uses in-context learning to build a privacy context, and iteratively updates it with three gradient-based strategies to elicit target PII. We evaluate PIG and existing jailbreak methods using two privacy-related datasets. Experiments on four white-box and two black-box LLMs show that PIG outperforms baseline methods and achieves state-of-the-art (SoTA) results. The results underscore significant privacy risks in LLMs, emphasizing the need for stronger safeguards.</v>
      </c>
      <c r="D2089" s="7" t="str">
        <f>IFERROR(__xludf.DUMMYFUNCTION("""COMPUTED_VALUE"""),"Yidan Wang")</f>
        <v>Yidan Wang</v>
      </c>
      <c r="E2089" s="7" t="str">
        <f>IFERROR(__xludf.DUMMYFUNCTION("""COMPUTED_VALUE"""),"Yes")</f>
        <v>Yes</v>
      </c>
      <c r="F2089" s="7" t="str">
        <f>IFERROR(__xludf.DUMMYFUNCTION("""COMPUTED_VALUE"""),"IP-Poster")</f>
        <v>IP-Poster</v>
      </c>
      <c r="G2089" s="7" t="str">
        <f>IFERROR(__xludf.DUMMYFUNCTION("""COMPUTED_VALUE"""),"In-Person")</f>
        <v>In-Person</v>
      </c>
      <c r="H2089" s="7" t="str">
        <f>IFERROR(__xludf.DUMMYFUNCTION("""COMPUTED_VALUE"""),"Hall 4/5")</f>
        <v>Hall 4/5</v>
      </c>
      <c r="I2089" s="7" t="str">
        <f>IFERROR(__xludf.DUMMYFUNCTION("""COMPUTED_VALUE"""),"Session 10: IP-Posters")</f>
        <v>Session 10: IP-Posters</v>
      </c>
      <c r="J2089" s="7" t="str">
        <f>IFERROR(__xludf.DUMMYFUNCTION("""COMPUTED_VALUE"""),"Poster Session 3")</f>
        <v>Poster Session 3</v>
      </c>
      <c r="K2089" s="7"/>
      <c r="L2089" s="8">
        <f>IFERROR(__xludf.DUMMYFUNCTION("""COMPUTED_VALUE"""),45867.0)</f>
        <v>45867</v>
      </c>
      <c r="M2089" s="7" t="str">
        <f>IFERROR(__xludf.DUMMYFUNCTION("""COMPUTED_VALUE"""),"16:00-17:30")</f>
        <v>16:00-17:30</v>
      </c>
      <c r="N2089" s="7"/>
    </row>
    <row r="2090">
      <c r="A2090" s="7" t="str">
        <f>IFERROR(__xludf.DUMMYFUNCTION("""COMPUTED_VALUE"""),"1112-MAIN")</f>
        <v>1112-MAIN</v>
      </c>
      <c r="B2090" s="7" t="str">
        <f>IFERROR(__xludf.DUMMYFUNCTION("""COMPUTED_VALUE"""),"Agents Under Siege: Breaking Pragmatic Multi-Agent LLM Systems with Optimized Prompt Attacks")</f>
        <v>Agents Under Siege: Breaking Pragmatic Multi-Agent LLM Systems with Optimized Prompt Attacks</v>
      </c>
      <c r="C2090" s="7" t="str">
        <f>IFERROR(__xludf.DUMMYFUNCTION("""COMPUTED_VALUE"""),"Most discussions about Large Language Model (LLM) safety have focused on single-agent settings but multi-agent LLM systems now create novel adversarial risks because their behavior depends on communication between agents and decentralized reasoning. 
In t"&amp;"his work, we innovatively focus on attacking pragmatic systems that have constrains such as limited token bandwidth, latency between message delivery, and defense mechanisms. We design a $\textit{permutation-invariant adversarial attack}$ that optimizes p"&amp;"rompt distribution across latency and bandwidth-constraint network topologies to bypass distributed safety mechanisms within the system. Formulating the attack path as a problem of $\textit{maximum-flow minimum-cost}$, coupled with the novel $\textit{Perm"&amp;"utation-Invariant Evasion Loss (PIEL)}$, we leverage ${graph-based optimization}$ to maximize attack success rate while minimizing detection risk. Evaluating across models including $\texttt{Llama}$, $\texttt{Mistral}$, $\texttt{Gemma}$, $\texttt{DeepSeek"&amp;"}$ and other variants on various datasets like $\texttt{JailBreakBench}$ and $\texttt{AdversarialBench}$, our method outperforms conventional attacks by up to $7\times$, exposing critical vulnerabilities in multi-agent systems. Moreover, we demonstrate th"&amp;"at existing defenses, including variants of $\texttt{Llama-Guard}$ and $\texttt{PromptGuard}$, fail to prohibit our attack, emphasizing the urgent need for multi-agent specific safety mechanisms.")</f>
        <v>Most discussions about Large Language Model (LLM) safety have focused on single-agent settings but multi-agent LLM systems now create novel adversarial risks because their behavior depends on communication between agents and decentralized reasoning. 
In this work, we innovatively focus on attacking pragmatic systems that have constrains such as limited token bandwidth, latency between message delivery, and defense mechanisms. We design a $\textit{permutation-invariant adversarial attack}$ that optimizes prompt distribution across latency and bandwidth-constraint network topologies to bypass distributed safety mechanisms within the system. Formulating the attack path as a problem of $\textit{maximum-flow minimum-cost}$, coupled with the novel $\textit{Permutation-Invariant Evasion Loss (PIEL)}$, we leverage ${graph-based optimization}$ to maximize attack success rate while minimizing detection risk. Evaluating across models including $\texttt{Llama}$, $\texttt{Mistral}$, $\texttt{Gemma}$, $\texttt{DeepSeek}$ and other variants on various datasets like $\texttt{JailBreakBench}$ and $\texttt{AdversarialBench}$, our method outperforms conventional attacks by up to $7\times$, exposing critical vulnerabilities in multi-agent systems. Moreover, we demonstrate that existing defenses, including variants of $\texttt{Llama-Guard}$ and $\texttt{PromptGuard}$, fail to prohibit our attack, emphasizing the urgent need for multi-agent specific safety mechanisms.</v>
      </c>
      <c r="D2090" s="7" t="str">
        <f>IFERROR(__xludf.DUMMYFUNCTION("""COMPUTED_VALUE"""),"Rana Muhammad Shahroz Khan")</f>
        <v>Rana Muhammad Shahroz Khan</v>
      </c>
      <c r="E2090" s="7" t="str">
        <f>IFERROR(__xludf.DUMMYFUNCTION("""COMPUTED_VALUE"""),"Yes")</f>
        <v>Yes</v>
      </c>
      <c r="F2090" s="7" t="str">
        <f>IFERROR(__xludf.DUMMYFUNCTION("""COMPUTED_VALUE"""),"V-Presentation")</f>
        <v>V-Presentation</v>
      </c>
      <c r="G2090" s="7" t="str">
        <f>IFERROR(__xludf.DUMMYFUNCTION("""COMPUTED_VALUE"""),"Virtual/Gather")</f>
        <v>Virtual/Gather</v>
      </c>
      <c r="H2090" s="7" t="str">
        <f>IFERROR(__xludf.DUMMYFUNCTION("""COMPUTED_VALUE"""),"Zoom")</f>
        <v>Zoom</v>
      </c>
      <c r="I2090" s="7" t="str">
        <f>IFERROR(__xludf.DUMMYFUNCTION("""COMPUTED_VALUE"""),"Session 10: V-Presenations")</f>
        <v>Session 10: V-Presenations</v>
      </c>
      <c r="J2090" s="7" t="str">
        <f>IFERROR(__xludf.DUMMYFUNCTION("""COMPUTED_VALUE"""),"Virtual Presentations 3")</f>
        <v>Virtual Presentations 3</v>
      </c>
      <c r="K2090" s="7"/>
      <c r="L2090" s="8">
        <f>IFERROR(__xludf.DUMMYFUNCTION("""COMPUTED_VALUE"""),45867.0)</f>
        <v>45867</v>
      </c>
      <c r="M2090" s="7" t="str">
        <f>IFERROR(__xludf.DUMMYFUNCTION("""COMPUTED_VALUE"""),"16:00-17:30")</f>
        <v>16:00-17:30</v>
      </c>
      <c r="N2090" s="7"/>
    </row>
    <row r="2091">
      <c r="A2091" s="7" t="str">
        <f>IFERROR(__xludf.DUMMYFUNCTION("""COMPUTED_VALUE"""),"1114-MAIN")</f>
        <v>1114-MAIN</v>
      </c>
      <c r="B2091" s="7" t="str">
        <f>IFERROR(__xludf.DUMMYFUNCTION("""COMPUTED_VALUE"""),"Semantic-Eval : A Semantic Comprehension Evaluation Framework for Large Language Models Generation without Training")</f>
        <v>Semantic-Eval : A Semantic Comprehension Evaluation Framework for Large Language Models Generation without Training</v>
      </c>
      <c r="C2091" s="7" t="str">
        <f>IFERROR(__xludf.DUMMYFUNCTION("""COMPUTED_VALUE"""),"With the increasing prominence of large language models (LLMs), evaluating their text-generation capabilities has become an essential research challenge. Although LLM-based evaluation methods exhibit robust performance, the inherent stochastic nature of t"&amp;"he LLM generation process introduces a degree of uncertainty in alignment with human preferences. To address this limitation, we propose Semantic-Eval, the first training-free framework designed to assess LLM-generated text based on semantic understanding"&amp;". This framework computes semantic similarity between pairwise texts to evaluate the interdependence of semantic units, integrating a graph-based weighting mechanism to account for the differential contributions of individual sentences. A pre-trained natu"&amp;"ral language inference (NLI) model is also incorporated to mitigate potential semantic relationship biases. We evaluate Semantic-Eval across eight datasets that encompass four common NLP tasks. The experimental results indicate that Semantic-Eval surpasse"&amp;"s traditional N-gram and BERT-based evaluation metrics, aligning more closely with human judgments and demonstrating a higher correlation than smaller LLMs. However, it slightly lags behind GPT-4. Finally, we demonstrate the effectiveness of Semantic-Eval"&amp;" in evaluating the generation quality of 13 large language models. The code is publicly available at https://github.com/LssTry/Semantic-Eval.")</f>
        <v>With the increasing prominence of large language models (LLMs), evaluating their text-generation capabilities has become an essential research challenge. Although LLM-based evaluation methods exhibit robust performance, the inherent stochastic nature of the LLM generation process introduces a degree of uncertainty in alignment with human preferences. To address this limitation, we propose Semantic-Eval, the first training-free framework designed to assess LLM-generated text based on semantic understanding. This framework computes semantic similarity between pairwise texts to evaluate the interdependence of semantic units, integrating a graph-based weighting mechanism to account for the differential contributions of individual sentences. A pre-trained natural language inference (NLI) model is also incorporated to mitigate potential semantic relationship biases. We evaluate Semantic-Eval across eight datasets that encompass four common NLP tasks. The experimental results indicate that Semantic-Eval surpasses traditional N-gram and BERT-based evaluation metrics, aligning more closely with human judgments and demonstrating a higher correlation than smaller LLMs. However, it slightly lags behind GPT-4. Finally, we demonstrate the effectiveness of Semantic-Eval in evaluating the generation quality of 13 large language models. The code is publicly available at https://github.com/LssTry/Semantic-Eval.</v>
      </c>
      <c r="D2091" s="7" t="str">
        <f>IFERROR(__xludf.DUMMYFUNCTION("""COMPUTED_VALUE"""),"Shusheng Li")</f>
        <v>Shusheng Li</v>
      </c>
      <c r="E2091" s="7" t="str">
        <f>IFERROR(__xludf.DUMMYFUNCTION("""COMPUTED_VALUE"""),"Yes")</f>
        <v>Yes</v>
      </c>
      <c r="F2091" s="7" t="str">
        <f>IFERROR(__xludf.DUMMYFUNCTION("""COMPUTED_VALUE"""),"V-Presentation")</f>
        <v>V-Presentation</v>
      </c>
      <c r="G2091" s="7" t="str">
        <f>IFERROR(__xludf.DUMMYFUNCTION("""COMPUTED_VALUE"""),"Virtual/Gather")</f>
        <v>Virtual/Gather</v>
      </c>
      <c r="H2091" s="7" t="str">
        <f>IFERROR(__xludf.DUMMYFUNCTION("""COMPUTED_VALUE"""),"Zoom")</f>
        <v>Zoom</v>
      </c>
      <c r="I2091" s="7" t="str">
        <f>IFERROR(__xludf.DUMMYFUNCTION("""COMPUTED_VALUE"""),"Session 12: V-Presentations")</f>
        <v>Session 12: V-Presentations</v>
      </c>
      <c r="J2091" s="7" t="str">
        <f>IFERROR(__xludf.DUMMYFUNCTION("""COMPUTED_VALUE"""),"Virtual Presentations 4")</f>
        <v>Virtual Presentations 4</v>
      </c>
      <c r="K2091" s="7"/>
      <c r="L2091" s="8">
        <f>IFERROR(__xludf.DUMMYFUNCTION("""COMPUTED_VALUE"""),45868.0)</f>
        <v>45868</v>
      </c>
      <c r="M2091" s="7" t="str">
        <f>IFERROR(__xludf.DUMMYFUNCTION("""COMPUTED_VALUE"""),"11:00-12:30")</f>
        <v>11:00-12:30</v>
      </c>
      <c r="N2091" s="7"/>
    </row>
    <row r="2092">
      <c r="A2092" s="7" t="str">
        <f>IFERROR(__xludf.DUMMYFUNCTION("""COMPUTED_VALUE"""),"1115-MAIN")</f>
        <v>1115-MAIN</v>
      </c>
      <c r="B2092" s="7" t="str">
        <f>IFERROR(__xludf.DUMMYFUNCTION("""COMPUTED_VALUE"""),"Between Circuits and Chomsky: Pre-pretraining on Formal Languages Imparts Linguistic Biases")</f>
        <v>Between Circuits and Chomsky: Pre-pretraining on Formal Languages Imparts Linguistic Biases</v>
      </c>
      <c r="C2092" s="7" t="str">
        <f>IFERROR(__xludf.DUMMYFUNCTION("""COMPUTED_VALUE"""),"Pretraining language models on formal language can improve their acquisition of natural language. Which features of the formal language impart an inductive bias that leads to effective transfer? Drawing on insights from linguistics and complexity theory, "&amp;"we hypothesize that effective transfer occurs when two conditions are met: the formal language should capture the dependency structures present in natural language, and it should remain within the computational limitations of the model architecture. We ex"&amp;"periment with pre-pretraining (training on formal language before natural languages) on transformers and find that formal languages capturing hierarchical dependencies indeed enable language models to achieve lower loss on natural language and better ling"&amp;"uistic generalization compared to other formal languages. We also find modest support for the hypothesis that the formal language should fall within the computational limitations of the architecture. Strikingly, pre-pretraining reduces loss more efficient"&amp;"ly than training on a matched amount of natural language. For a 1B-parameter language model trained on roughly 1.6B tokens of natural language, pre-pretraining achieves the same loss and better linguistic generalization with a 33% smaller token budget. Fi"&amp;"nally, we also give mechanistic evidence of transfer from formal to
natural language: attention heads acquired during pre-pretraining remain crucial for the model’s performance on syntactic evaluations.")</f>
        <v>Pretraining language models on formal language can improve their acquisition of natural language. Which features of the formal language impart an inductive bias that leads to effective transfer? Drawing on insights from linguistics and complexity theory, we hypothesize that effective transfer occurs when two conditions are met: the formal language should capture the dependency structures present in natural language, and it should remain within the computational limitations of the model architecture. We experiment with pre-pretraining (training on formal language before natural languages) on transformers and find that formal languages capturing hierarchical dependencies indeed enable language models to achieve lower loss on natural language and better linguistic generalization compared to other formal languages. We also find modest support for the hypothesis that the formal language should fall within the computational limitations of the architecture. Strikingly, pre-pretraining reduces loss more efficiently than training on a matched amount of natural language. For a 1B-parameter language model trained on roughly 1.6B tokens of natural language, pre-pretraining achieves the same loss and better linguistic generalization with a 33% smaller token budget. Finally, we also give mechanistic evidence of transfer from formal to
natural language: attention heads acquired during pre-pretraining remain crucial for the model’s performance on syntactic evaluations.</v>
      </c>
      <c r="D2092" s="7" t="str">
        <f>IFERROR(__xludf.DUMMYFUNCTION("""COMPUTED_VALUE"""),"Michael Y. Hu")</f>
        <v>Michael Y. Hu</v>
      </c>
      <c r="E2092" s="7" t="str">
        <f>IFERROR(__xludf.DUMMYFUNCTION("""COMPUTED_VALUE"""),"Yes")</f>
        <v>Yes</v>
      </c>
      <c r="F2092" s="7" t="str">
        <f>IFERROR(__xludf.DUMMYFUNCTION("""COMPUTED_VALUE"""),"IP-Oral")</f>
        <v>IP-Oral</v>
      </c>
      <c r="G2092" s="7" t="str">
        <f>IFERROR(__xludf.DUMMYFUNCTION("""COMPUTED_VALUE"""),"In-Person")</f>
        <v>In-Person</v>
      </c>
      <c r="H2092" s="7" t="str">
        <f>IFERROR(__xludf.DUMMYFUNCTION("""COMPUTED_VALUE"""),"Hall A ")</f>
        <v>Hall A </v>
      </c>
      <c r="I2092" s="7" t="str">
        <f>IFERROR(__xludf.DUMMYFUNCTION("""COMPUTED_VALUE"""),"Session 11: IP-Orals ")</f>
        <v>Session 11: IP-Orals </v>
      </c>
      <c r="J2092" s="7" t="str">
        <f>IFERROR(__xludf.DUMMYFUNCTION("""COMPUTED_VALUE"""),"Panel 1: Generalisation of NLP models ")</f>
        <v>Panel 1: Generalisation of NLP models </v>
      </c>
      <c r="K2092" s="7"/>
      <c r="L2092" s="8">
        <f>IFERROR(__xludf.DUMMYFUNCTION("""COMPUTED_VALUE"""),45868.0)</f>
        <v>45868</v>
      </c>
      <c r="M2092" s="7" t="str">
        <f>IFERROR(__xludf.DUMMYFUNCTION("""COMPUTED_VALUE"""),"09:00-10:30")</f>
        <v>09:00-10:30</v>
      </c>
      <c r="N2092" s="7">
        <f>IFERROR(__xludf.DUMMYFUNCTION("""COMPUTED_VALUE"""),1.0)</f>
        <v>1</v>
      </c>
    </row>
    <row r="2093">
      <c r="A2093" s="7" t="str">
        <f>IFERROR(__xludf.DUMMYFUNCTION("""COMPUTED_VALUE"""),"1122-MAIN")</f>
        <v>1122-MAIN</v>
      </c>
      <c r="B2093" s="7" t="str">
        <f>IFERROR(__xludf.DUMMYFUNCTION("""COMPUTED_VALUE"""),"When to Speak, When to Abstain: Contrastive Decoding with Abstention")</f>
        <v>When to Speak, When to Abstain: Contrastive Decoding with Abstention</v>
      </c>
      <c r="C2093" s="7" t="str">
        <f>IFERROR(__xludf.DUMMYFUNCTION("""COMPUTED_VALUE"""),"Large Language Models (LLMs) demonstrate exceptional performance across diverse tasks by leveraging pre-trained (i.e., parametric) and external (i.e., contextual) knowledge. While substantial efforts have been made to enhance the utilization of both forms"&amp;" of knowledge, situations in which models lack relevant information remain underexplored. To investigate this challenge, we first present a controlled testbed featuring four distinct knowledge access scenarios, including the aforementioned edge case, reve"&amp;"aling that conventional LLM usage exhibits insufficient robustness in handling all instances. Addressing this limitation, we propose Contrastive Decoding with Abstention (CDA), a novel training-free decoding method that allows LLMs to generate responses w"&amp;"hen relevant knowledge is available and to abstain otherwise. CDA estimates the relevance of both knowledge sources for a given input, adaptively deciding which type of information to prioritize and which to exclude. Through extensive experiments, we demo"&amp;"nstrate that CDA can effectively perform accurate generation and abstention simultaneously, enhancing reliability and preserving user trust.")</f>
        <v>Large Language Models (LLMs) demonstrate exceptional performance across diverse tasks by leveraging pre-trained (i.e., parametric) and external (i.e., contextual) knowledge. While substantial efforts have been made to enhance the utilization of both forms of knowledge, situations in which models lack relevant information remain underexplored. To investigate this challenge, we first present a controlled testbed featuring four distinct knowledge access scenarios, including the aforementioned edge case, revealing that conventional LLM usage exhibits insufficient robustness in handling all instances. Addressing this limitation, we propose Contrastive Decoding with Abstention (CDA), a novel training-free decoding method that allows LLMs to generate responses when relevant knowledge is available and to abstain otherwise. CDA estimates the relevance of both knowledge sources for a given input, adaptively deciding which type of information to prioritize and which to exclude. Through extensive experiments, we demonstrate that CDA can effectively perform accurate generation and abstention simultaneously, enhancing reliability and preserving user trust.</v>
      </c>
      <c r="D2093" s="7" t="str">
        <f>IFERROR(__xludf.DUMMYFUNCTION("""COMPUTED_VALUE"""),"Hyuhng Joon Kim")</f>
        <v>Hyuhng Joon Kim</v>
      </c>
      <c r="E2093" s="7" t="str">
        <f>IFERROR(__xludf.DUMMYFUNCTION("""COMPUTED_VALUE"""),"Yes")</f>
        <v>Yes</v>
      </c>
      <c r="F2093" s="7" t="str">
        <f>IFERROR(__xludf.DUMMYFUNCTION("""COMPUTED_VALUE"""),"IP-Poster")</f>
        <v>IP-Poster</v>
      </c>
      <c r="G2093" s="7" t="str">
        <f>IFERROR(__xludf.DUMMYFUNCTION("""COMPUTED_VALUE"""),"In-Person")</f>
        <v>In-Person</v>
      </c>
      <c r="H2093" s="7" t="str">
        <f>IFERROR(__xludf.DUMMYFUNCTION("""COMPUTED_VALUE"""),"Hall 4/5")</f>
        <v>Hall 4/5</v>
      </c>
      <c r="I2093" s="7" t="str">
        <f>IFERROR(__xludf.DUMMYFUNCTION("""COMPUTED_VALUE"""),"Session 7: IP-Posters")</f>
        <v>Session 7: IP-Posters</v>
      </c>
      <c r="J2093" s="7" t="str">
        <f>IFERROR(__xludf.DUMMYFUNCTION("""COMPUTED_VALUE"""),"Poster Session 2")</f>
        <v>Poster Session 2</v>
      </c>
      <c r="K2093" s="7"/>
      <c r="L2093" s="8">
        <f>IFERROR(__xludf.DUMMYFUNCTION("""COMPUTED_VALUE"""),45867.0)</f>
        <v>45867</v>
      </c>
      <c r="M2093" s="7" t="str">
        <f>IFERROR(__xludf.DUMMYFUNCTION("""COMPUTED_VALUE"""),"10:30-12:00")</f>
        <v>10:30-12:00</v>
      </c>
      <c r="N2093" s="7"/>
    </row>
    <row r="2094">
      <c r="A2094" s="7" t="str">
        <f>IFERROR(__xludf.DUMMYFUNCTION("""COMPUTED_VALUE"""),"1124-MAIN")</f>
        <v>1124-MAIN</v>
      </c>
      <c r="B2094" s="7" t="str">
        <f>IFERROR(__xludf.DUMMYFUNCTION("""COMPUTED_VALUE"""),"On the Risk of Evidence Pollution for Malicious Social Text Detection in the Era of LLMs")</f>
        <v>On the Risk of Evidence Pollution for Malicious Social Text Detection in the Era of LLMs</v>
      </c>
      <c r="C2094" s="7" t="str">
        <f>IFERROR(__xludf.DUMMYFUNCTION("""COMPUTED_VALUE"""),"Evidence-enhanced detectors present remarkable abilities in identifying malicious social text. However, the rise of large language models (LLMs) brings potential risks of evidence pollution to confuse detectors. This paper explores potential manipulation "&amp;"scenarios including basic pollution, and rephrasing or generating evidence by LLMs. To mitigate the negative impact, we propose three defense strategies from the data and model sides, including machine-generated text detection, a mixture of experts, and p"&amp;"arameter updating. Extensive experiments on four malicious social text detection tasks with ten datasets illustrate that evidence pollution significantly compromises detectors, where the generating strategy causes up to a 14.4% performance drop. Meanwhile"&amp;", the defense strategies could mitigate evidence pollution, but they faced limitations for practical employment. Further analysis illustrates that polluted evidence (i) is of high quality, evaluated by metrics and humans; (ii) would compromise the model c"&amp;"alibration, increasing expected calibration error up to 21.6%; and (iii) could be integrated to amplify the negative impact, especially for encoder-based LMs, where the accuracy drops by 21.8%.")</f>
        <v>Evidence-enhanced detectors present remarkable abilities in identifying malicious social text. However, the rise of large language models (LLMs) brings potential risks of evidence pollution to confuse detectors. This paper explores potential manipulation scenarios including basic pollution, and rephrasing or generating evidence by LLMs. To mitigate the negative impact, we propose three defense strategies from the data and model sides, including machine-generated text detection, a mixture of experts, and parameter updating. Extensive experiments on four malicious social text detection tasks with ten datasets illustrate that evidence pollution significantly compromises detectors, where the generating strategy causes up to a 14.4% performance drop. Meanwhile, the defense strategies could mitigate evidence pollution, but they faced limitations for practical employment. Further analysis illustrates that polluted evidence (i) is of high quality, evaluated by metrics and humans; (ii) would compromise the model calibration, increasing expected calibration error up to 21.6%; and (iii) could be integrated to amplify the negative impact, especially for encoder-based LMs, where the accuracy drops by 21.8%.</v>
      </c>
      <c r="D2094" s="7" t="str">
        <f>IFERROR(__xludf.DUMMYFUNCTION("""COMPUTED_VALUE"""),"Herun Wan")</f>
        <v>Herun Wan</v>
      </c>
      <c r="E2094" s="7" t="str">
        <f>IFERROR(__xludf.DUMMYFUNCTION("""COMPUTED_VALUE"""),"Yes")</f>
        <v>Yes</v>
      </c>
      <c r="F2094" s="7" t="str">
        <f>IFERROR(__xludf.DUMMYFUNCTION("""COMPUTED_VALUE"""),"IP-Oral")</f>
        <v>IP-Oral</v>
      </c>
      <c r="G2094" s="7" t="str">
        <f>IFERROR(__xludf.DUMMYFUNCTION("""COMPUTED_VALUE"""),"In-Person")</f>
        <v>In-Person</v>
      </c>
      <c r="H2094" s="7" t="str">
        <f>IFERROR(__xludf.DUMMYFUNCTION("""COMPUTED_VALUE"""),"Hall B")</f>
        <v>Hall B</v>
      </c>
      <c r="I2094" s="7" t="str">
        <f>IFERROR(__xludf.DUMMYFUNCTION("""COMPUTED_VALUE"""),"Session 3: IP-Orals")</f>
        <v>Session 3: IP-Orals</v>
      </c>
      <c r="J2094" s="7" t="str">
        <f>IFERROR(__xludf.DUMMYFUNCTION("""COMPUTED_VALUE"""),"NLP Applications 1")</f>
        <v>NLP Applications 1</v>
      </c>
      <c r="K2094" s="7"/>
      <c r="L2094" s="8">
        <f>IFERROR(__xludf.DUMMYFUNCTION("""COMPUTED_VALUE"""),45866.0)</f>
        <v>45866</v>
      </c>
      <c r="M2094" s="7" t="str">
        <f>IFERROR(__xludf.DUMMYFUNCTION("""COMPUTED_VALUE"""),"14:00-15:30")</f>
        <v>14:00-15:30</v>
      </c>
      <c r="N2094" s="7">
        <f>IFERROR(__xludf.DUMMYFUNCTION("""COMPUTED_VALUE"""),3.0)</f>
        <v>3</v>
      </c>
    </row>
    <row r="2095">
      <c r="A2095" s="7" t="str">
        <f>IFERROR(__xludf.DUMMYFUNCTION("""COMPUTED_VALUE"""),"1127-MAIN")</f>
        <v>1127-MAIN</v>
      </c>
      <c r="B2095" s="7" t="str">
        <f>IFERROR(__xludf.DUMMYFUNCTION("""COMPUTED_VALUE"""),"Investigating and Extending Homans’ Social Exchange Theory with Large Language Model based Agents")</f>
        <v>Investigating and Extending Homans’ Social Exchange Theory with Large Language Model based Agents</v>
      </c>
      <c r="C2095" s="7" t="str">
        <f>IFERROR(__xludf.DUMMYFUNCTION("""COMPUTED_VALUE"""),"Homans' Social Exchange Theory (SET) is widely recognized as a basic framework for understanding the formation and emergence of human civilizations and social structures. In social science, this theory is typically studied based on simple simulation exper"&amp;"iments or real-world human studies, both of which either lack realism or are too expensive to control. In artificial intelligence, recent advances in large language models (LLMs) have shown promising capabilities in simulating human behaviors. Inspired by"&amp;" these insights, we adopt an interdisciplinary research perspective and propose using LLM-based agents to study Homans' SET. Specifically, we construct a virtual society composed of three LLM agents and have them engage in a social exchange game to observ"&amp;"e their behaviors. Through extensive experiments, we found that Homans' SET is well validated in our agent society, demonstrating the consistency between the agent and human behaviors. Building on this foundation, we intentionally alter the settings of th"&amp;"e agent society to extend the traditional Homans' SET, making it more comprehensive and detailed. To the best of our knowledge, this paper marks the first step in studying Homans' SET with LLM-based agents. More importantly, it introduces a novel and feas"&amp;"ible research paradigm that bridges the fields of social science and computer science through LLM-based agents. Code is available at https://github.com/Paitesanshi/SET .")</f>
        <v>Homans' Social Exchange Theory (SET) is widely recognized as a basic framework for understanding the formation and emergence of human civilizations and social structures. In social science, this theory is typically studied based on simple simulation experiments or real-world human studies, both of which either lack realism or are too expensive to control. In artificial intelligence, recent advances in large language models (LLMs) have shown promising capabilities in simulating human behaviors. Inspired by these insights, we adopt an interdisciplinary research perspective and propose using LLM-based agents to study Homans' SET. Specifically, we construct a virtual society composed of three LLM agents and have them engage in a social exchange game to observe their behaviors. Through extensive experiments, we found that Homans' SET is well validated in our agent society, demonstrating the consistency between the agent and human behaviors. Building on this foundation, we intentionally alter the settings of the agent society to extend the traditional Homans' SET, making it more comprehensive and detailed. To the best of our knowledge, this paper marks the first step in studying Homans' SET with LLM-based agents. More importantly, it introduces a novel and feasible research paradigm that bridges the fields of social science and computer science through LLM-based agents. Code is available at https://github.com/Paitesanshi/SET .</v>
      </c>
      <c r="D2095" s="7" t="str">
        <f>IFERROR(__xludf.DUMMYFUNCTION("""COMPUTED_VALUE"""),"Lei Wang")</f>
        <v>Lei Wang</v>
      </c>
      <c r="E2095" s="7" t="str">
        <f>IFERROR(__xludf.DUMMYFUNCTION("""COMPUTED_VALUE"""),"Yes")</f>
        <v>Yes</v>
      </c>
      <c r="F2095" s="7" t="str">
        <f>IFERROR(__xludf.DUMMYFUNCTION("""COMPUTED_VALUE"""),"IP-Oral")</f>
        <v>IP-Oral</v>
      </c>
      <c r="G2095" s="7" t="str">
        <f>IFERROR(__xludf.DUMMYFUNCTION("""COMPUTED_VALUE"""),"In-Person")</f>
        <v>In-Person</v>
      </c>
      <c r="H2095" s="7" t="str">
        <f>IFERROR(__xludf.DUMMYFUNCTION("""COMPUTED_VALUE"""),"Room 1.85")</f>
        <v>Room 1.85</v>
      </c>
      <c r="I2095" s="7" t="str">
        <f>IFERROR(__xludf.DUMMYFUNCTION("""COMPUTED_VALUE"""),"Session 9: IP-Orals")</f>
        <v>Session 9: IP-Orals</v>
      </c>
      <c r="J2095" s="7" t="str">
        <f>IFERROR(__xludf.DUMMYFUNCTION("""COMPUTED_VALUE"""),"Computational Social Science and Cultural Analytics")</f>
        <v>Computational Social Science and Cultural Analytics</v>
      </c>
      <c r="K2095" s="7"/>
      <c r="L2095" s="8">
        <f>IFERROR(__xludf.DUMMYFUNCTION("""COMPUTED_VALUE"""),45867.0)</f>
        <v>45867</v>
      </c>
      <c r="M2095" s="7" t="str">
        <f>IFERROR(__xludf.DUMMYFUNCTION("""COMPUTED_VALUE"""),"14:00-15:30")</f>
        <v>14:00-15:30</v>
      </c>
      <c r="N2095" s="7">
        <f>IFERROR(__xludf.DUMMYFUNCTION("""COMPUTED_VALUE"""),2.0)</f>
        <v>2</v>
      </c>
    </row>
    <row r="2096">
      <c r="A2096" s="7" t="str">
        <f>IFERROR(__xludf.DUMMYFUNCTION("""COMPUTED_VALUE"""),"1128-MAIN")</f>
        <v>1128-MAIN</v>
      </c>
      <c r="B2096" s="7" t="str">
        <f>IFERROR(__xludf.DUMMYFUNCTION("""COMPUTED_VALUE"""),"A Drop-In Solution for On-the-Fly Adaptation of Speculative Decoding in Large Language Models")</f>
        <v>A Drop-In Solution for On-the-Fly Adaptation of Speculative Decoding in Large Language Models</v>
      </c>
      <c r="C2096" s="7" t="str">
        <f>IFERROR(__xludf.DUMMYFUNCTION("""COMPUTED_VALUE"""),"Large Language Models (LLMs) are cutting-edge generative AI models built on transformer architecture, which tend to be highly memory-intensive when performing real-time inference. Various strategies have been developed to enhance the end-to-end inference "&amp;"speed for LLMs, one of which is speculative decoding. This technique involves running a smaller LLM (draft model) for inference over a defined window size, denoted as $\gamma$, while simultaneously being validated by the larger LLM (target model). Choosin"&amp;"g the optimal $\gamma$ value and the draft model is essential for unlocking the potential of speculative decoding. But it is difficult to do due to the complicated influence from various factors, including the nature of the task, the hardware in use, and "&amp;"the combination of the large and small models. This paper introduces *on-the-fly adaption of speculative decoding*, a solution that dynamically adapts the choices to maximize the efficiency of speculative decoding for LLM inferences. As a drop-in solution"&amp;", it needs no offline benchmarking or training. Experiments show that the solution can lead to 3.55-16.48% speed improvement over the standard speculative decoding, and 1.2-3.4$\times$ over the default LLMs.")</f>
        <v>Large Language Models (LLMs) are cutting-edge generative AI models built on transformer architecture, which tend to be highly memory-intensive when performing real-time inference. Various strategies have been developed to enhance the end-to-end inference speed for LLMs, one of which is speculative decoding. This technique involves running a smaller LLM (draft model) for inference over a defined window size, denoted as $\gamma$, while simultaneously being validated by the larger LLM (target model). Choosing the optimal $\gamma$ value and the draft model is essential for unlocking the potential of speculative decoding. But it is difficult to do due to the complicated influence from various factors, including the nature of the task, the hardware in use, and the combination of the large and small models. This paper introduces *on-the-fly adaption of speculative decoding*, a solution that dynamically adapts the choices to maximize the efficiency of speculative decoding for LLM inferences. As a drop-in solution, it needs no offline benchmarking or training. Experiments show that the solution can lead to 3.55-16.48% speed improvement over the standard speculative decoding, and 1.2-3.4$\times$ over the default LLMs.</v>
      </c>
      <c r="D2096" s="7" t="str">
        <f>IFERROR(__xludf.DUMMYFUNCTION("""COMPUTED_VALUE"""),"Jiesong Liu")</f>
        <v>Jiesong Liu</v>
      </c>
      <c r="E2096" s="7" t="str">
        <f>IFERROR(__xludf.DUMMYFUNCTION("""COMPUTED_VALUE"""),"Yes")</f>
        <v>Yes</v>
      </c>
      <c r="F2096" s="7" t="str">
        <f>IFERROR(__xludf.DUMMYFUNCTION("""COMPUTED_VALUE"""),"V-Presentation")</f>
        <v>V-Presentation</v>
      </c>
      <c r="G2096" s="7" t="str">
        <f>IFERROR(__xludf.DUMMYFUNCTION("""COMPUTED_VALUE"""),"Virtual/Gather")</f>
        <v>Virtual/Gather</v>
      </c>
      <c r="H2096" s="7" t="str">
        <f>IFERROR(__xludf.DUMMYFUNCTION("""COMPUTED_VALUE"""),"Zoom")</f>
        <v>Zoom</v>
      </c>
      <c r="I2096" s="7" t="str">
        <f>IFERROR(__xludf.DUMMYFUNCTION("""COMPUTED_VALUE"""),"Session 10: V-Presenations")</f>
        <v>Session 10: V-Presenations</v>
      </c>
      <c r="J2096" s="7" t="str">
        <f>IFERROR(__xludf.DUMMYFUNCTION("""COMPUTED_VALUE"""),"Virtual Presentations 3")</f>
        <v>Virtual Presentations 3</v>
      </c>
      <c r="K2096" s="7"/>
      <c r="L2096" s="8">
        <f>IFERROR(__xludf.DUMMYFUNCTION("""COMPUTED_VALUE"""),45867.0)</f>
        <v>45867</v>
      </c>
      <c r="M2096" s="7" t="str">
        <f>IFERROR(__xludf.DUMMYFUNCTION("""COMPUTED_VALUE"""),"16:00-17:30")</f>
        <v>16:00-17:30</v>
      </c>
      <c r="N2096" s="7"/>
    </row>
    <row r="2097">
      <c r="A2097" s="7" t="str">
        <f>IFERROR(__xludf.DUMMYFUNCTION("""COMPUTED_VALUE"""),"1131-MAIN")</f>
        <v>1131-MAIN</v>
      </c>
      <c r="B2097" s="7" t="str">
        <f>IFERROR(__xludf.DUMMYFUNCTION("""COMPUTED_VALUE"""),"If Attention Serves as a Cognitive Model of Human Memory Retrieval, What is the Plausible Memory Representation?")</f>
        <v>If Attention Serves as a Cognitive Model of Human Memory Retrieval, What is the Plausible Memory Representation?</v>
      </c>
      <c r="C2097" s="7" t="str">
        <f>IFERROR(__xludf.DUMMYFUNCTION("""COMPUTED_VALUE"""),"Recent work in computational psycholinguistics has revealed intriguing parallels between attention mechanisms and human memory retrieval, focusing primarily on vanilla Transformers that operate on token-level representations. However, computational psycho"&amp;"linguistic research has also established that syntactic structures provide compelling explanations for human sentence processing that token-level factors cannot fully account for. In this paper, we investigate whether the attention mechanism of Transforme"&amp;"r Grammar (TG), which uniquely operates on syntactic structures as representational units, can serve as a cognitive model of human memory retrieval, using Normalized Attention Entropy (NAE) as a linking hypothesis between models and humans. Our experiment"&amp;"s demonstrate that TG's attention achieves superior predictive power for self-paced reading times compared to vanilla Transformer's, with further analyses revealing independent contributions from both models. These findings suggest that human sentence pro"&amp;"cessing involves dual memory representations---one based on syntactic structures and another on token sequences---with attention serving as the general memory retrieval algorithm, while highlighting the importance of incorporating syntactic structures as "&amp;"representational units.")</f>
        <v>Recent work in computational psycholinguistics has revealed intriguing parallels between attention mechanisms and human memory retrieval, focusing primarily on vanilla Transformers that operate on token-level representations. However, computational psycholinguistic research has also established that syntactic structures provide compelling explanations for human sentence processing that token-level factors cannot fully account for. In this paper, we investigate whether the attention mechanism of Transformer Grammar (TG), which uniquely operates on syntactic structures as representational units, can serve as a cognitive model of human memory retrieval, using Normalized Attention Entropy (NAE) as a linking hypothesis between models and humans. Our experiments demonstrate that TG's attention achieves superior predictive power for self-paced reading times compared to vanilla Transformer's, with further analyses revealing independent contributions from both models. These findings suggest that human sentence processing involves dual memory representations---one based on syntactic structures and another on token sequences---with attention serving as the general memory retrieval algorithm, while highlighting the importance of incorporating syntactic structures as representational units.</v>
      </c>
      <c r="D2097" s="7" t="str">
        <f>IFERROR(__xludf.DUMMYFUNCTION("""COMPUTED_VALUE"""),"Ryo Yoshida")</f>
        <v>Ryo Yoshida</v>
      </c>
      <c r="E2097" s="7" t="str">
        <f>IFERROR(__xludf.DUMMYFUNCTION("""COMPUTED_VALUE"""),"Yes")</f>
        <v>Yes</v>
      </c>
      <c r="F2097" s="7" t="str">
        <f>IFERROR(__xludf.DUMMYFUNCTION("""COMPUTED_VALUE"""),"IP-Poster")</f>
        <v>IP-Poster</v>
      </c>
      <c r="G2097" s="7" t="str">
        <f>IFERROR(__xludf.DUMMYFUNCTION("""COMPUTED_VALUE"""),"In-Person")</f>
        <v>In-Person</v>
      </c>
      <c r="H2097" s="7" t="str">
        <f>IFERROR(__xludf.DUMMYFUNCTION("""COMPUTED_VALUE"""),"Hall 4/5")</f>
        <v>Hall 4/5</v>
      </c>
      <c r="I2097" s="7" t="str">
        <f>IFERROR(__xludf.DUMMYFUNCTION("""COMPUTED_VALUE"""),"Session 12: IP-Posters")</f>
        <v>Session 12: IP-Posters</v>
      </c>
      <c r="J2097" s="7" t="str">
        <f>IFERROR(__xludf.DUMMYFUNCTION("""COMPUTED_VALUE"""),"Poster Session 4")</f>
        <v>Poster Session 4</v>
      </c>
      <c r="K2097" s="7"/>
      <c r="L2097" s="8">
        <f>IFERROR(__xludf.DUMMYFUNCTION("""COMPUTED_VALUE"""),45868.0)</f>
        <v>45868</v>
      </c>
      <c r="M2097" s="7" t="str">
        <f>IFERROR(__xludf.DUMMYFUNCTION("""COMPUTED_VALUE"""),"11:00-12:30")</f>
        <v>11:00-12:30</v>
      </c>
      <c r="N2097" s="7"/>
    </row>
    <row r="2098">
      <c r="A2098" s="7" t="str">
        <f>IFERROR(__xludf.DUMMYFUNCTION("""COMPUTED_VALUE"""),"1133-MAIN")</f>
        <v>1133-MAIN</v>
      </c>
      <c r="B2098" s="7" t="str">
        <f>IFERROR(__xludf.DUMMYFUNCTION("""COMPUTED_VALUE"""),"Aligning VLM Assistants with Personalized Situated Cognition")</f>
        <v>Aligning VLM Assistants with Personalized Situated Cognition</v>
      </c>
      <c r="C2098" s="7" t="str">
        <f>IFERROR(__xludf.DUMMYFUNCTION("""COMPUTED_VALUE"""),"Vision-language models (VLMs) aligned with general human objectives, such as being harmless and hallucination-free, have become valuable assistants of humans in managing visual tasks. However, people with diversified backgrounds have different cognition e"&amp;"ven in the same situation. Consequently, they may have personalized expectations for VLM assistants. This highlights the urgent need to align VLM assistants with personalized situated cognition for real-world assistance. To study this problem, we first si"&amp;"mplify it by characterizing individuals based on the sociological concept of Role-Set. Then, we propose to evaluate the individuals' actions to examine whether the personalized alignment is achieved. Further, we construct a benchmark named PCogAlignBench,"&amp;" which includes 18k instances and 20 individuals with different Role-Sets. Finally, we present a framework called PCogAlign, which constructs a cognition-aware and action-based reward model for personalized alignment. Experimental results and human evalua"&amp;"tions demonstrate the reliability of the PCogAlignBench and the effectiveness of our proposed PCogAlign. We will open-source the constructed benchmark and code after being accepted.")</f>
        <v>Vision-language models (VLMs) aligned with general human objectives, such as being harmless and hallucination-free, have become valuable assistants of humans in managing visual tasks. However, people with diversified backgrounds have different cognition even in the same situation. Consequently, they may have personalized expectations for VLM assistants. This highlights the urgent need to align VLM assistants with personalized situated cognition for real-world assistance. To study this problem, we first simplify it by characterizing individuals based on the sociological concept of Role-Set. Then, we propose to evaluate the individuals' actions to examine whether the personalized alignment is achieved. Further, we construct a benchmark named PCogAlignBench, which includes 18k instances and 20 individuals with different Role-Sets. Finally, we present a framework called PCogAlign, which constructs a cognition-aware and action-based reward model for personalized alignment. Experimental results and human evaluations demonstrate the reliability of the PCogAlignBench and the effectiveness of our proposed PCogAlign. We will open-source the constructed benchmark and code after being accepted.</v>
      </c>
      <c r="D2098" s="7" t="str">
        <f>IFERROR(__xludf.DUMMYFUNCTION("""COMPUTED_VALUE"""),"Yongqi Li")</f>
        <v>Yongqi Li</v>
      </c>
      <c r="E2098" s="7" t="str">
        <f>IFERROR(__xludf.DUMMYFUNCTION("""COMPUTED_VALUE"""),"Yes")</f>
        <v>Yes</v>
      </c>
      <c r="F2098" s="7" t="str">
        <f>IFERROR(__xludf.DUMMYFUNCTION("""COMPUTED_VALUE"""),"IP-Poster")</f>
        <v>IP-Poster</v>
      </c>
      <c r="G2098" s="7" t="str">
        <f>IFERROR(__xludf.DUMMYFUNCTION("""COMPUTED_VALUE"""),"In-Person")</f>
        <v>In-Person</v>
      </c>
      <c r="H2098" s="7" t="str">
        <f>IFERROR(__xludf.DUMMYFUNCTION("""COMPUTED_VALUE"""),"Hall 4/5")</f>
        <v>Hall 4/5</v>
      </c>
      <c r="I2098" s="7" t="str">
        <f>IFERROR(__xludf.DUMMYFUNCTION("""COMPUTED_VALUE"""),"Session 2: IP-Posters ")</f>
        <v>Session 2: IP-Posters </v>
      </c>
      <c r="J2098" s="7" t="str">
        <f>IFERROR(__xludf.DUMMYFUNCTION("""COMPUTED_VALUE"""),"Poster Session 1")</f>
        <v>Poster Session 1</v>
      </c>
      <c r="K2098" s="7"/>
      <c r="L2098" s="8">
        <f>IFERROR(__xludf.DUMMYFUNCTION("""COMPUTED_VALUE"""),45866.0)</f>
        <v>45866</v>
      </c>
      <c r="M2098" s="7" t="str">
        <f>IFERROR(__xludf.DUMMYFUNCTION("""COMPUTED_VALUE"""),"11:00-12:30")</f>
        <v>11:00-12:30</v>
      </c>
      <c r="N2098" s="7"/>
    </row>
    <row r="2099">
      <c r="A2099" s="7" t="str">
        <f>IFERROR(__xludf.DUMMYFUNCTION("""COMPUTED_VALUE"""),"1135-MAIN")</f>
        <v>1135-MAIN</v>
      </c>
      <c r="B2099" s="7" t="str">
        <f>IFERROR(__xludf.DUMMYFUNCTION("""COMPUTED_VALUE"""),"Attention Entropy is a Key Factor: An Analysis of Parallel Context Encoding with Full-attention-based Pre-trained Language Models")</f>
        <v>Attention Entropy is a Key Factor: An Analysis of Parallel Context Encoding with Full-attention-based Pre-trained Language Models</v>
      </c>
      <c r="C2099" s="7" t="str">
        <f>IFERROR(__xludf.DUMMYFUNCTION("""COMPUTED_VALUE"""),"Large language models have shown remarkable performance across a wide range of language tasks, owing to their exceptional capabilities in context modeling. The most commonly used method of context modeling is full self-attention, as seen in standard decod"&amp;"er-only Transformers. Although powerful, this method can be inefficient for long sequences and may overlook inherent input structures. To address these problems, an alternative approach is parallel context encoding, which splits the context into sub-piece"&amp;"s and encodes them parallelly. Because parallel patterns are not encountered during training, naively applying parallel encoding leads to performance degradation. However, the underlying reasons and potential mitigations are unclear. In this work, we prov"&amp;"ide a detailed analysis of this issue and identify that unusually high attention entropy can be a key factor. Furthermore, we adopt two straightforward methods to reduce attention entropy by incorporating attention sinks and selective mechanisms. Experime"&amp;"nts on various tasks reveal that these methods effectively lower irregular attention entropy and narrow performance gaps. We hope this study can illuminate ways to enhance context modeling mechanisms.")</f>
        <v>Large language models have shown remarkable performance across a wide range of language tasks, owing to their exceptional capabilities in context modeling. The most commonly used method of context modeling is full self-attention, as seen in standard decoder-only Transformers. Although powerful, this method can be inefficient for long sequences and may overlook inherent input structures. To address these problems, an alternative approach is parallel context encoding, which splits the context into sub-pieces and encodes them parallelly. Because parallel patterns are not encountered during training, naively applying parallel encoding leads to performance degradation. However, the underlying reasons and potential mitigations are unclear. In this work, we provide a detailed analysis of this issue and identify that unusually high attention entropy can be a key factor. Furthermore, we adopt two straightforward methods to reduce attention entropy by incorporating attention sinks and selective mechanisms. Experiments on various tasks reveal that these methods effectively lower irregular attention entropy and narrow performance gaps. We hope this study can illuminate ways to enhance context modeling mechanisms.</v>
      </c>
      <c r="D2099" s="7" t="str">
        <f>IFERROR(__xludf.DUMMYFUNCTION("""COMPUTED_VALUE"""),"Tianqing Fang")</f>
        <v>Tianqing Fang</v>
      </c>
      <c r="E2099" s="7" t="str">
        <f>IFERROR(__xludf.DUMMYFUNCTION("""COMPUTED_VALUE"""),"Yes")</f>
        <v>Yes</v>
      </c>
      <c r="F2099" s="7" t="str">
        <f>IFERROR(__xludf.DUMMYFUNCTION("""COMPUTED_VALUE"""),"IP-Oral")</f>
        <v>IP-Oral</v>
      </c>
      <c r="G2099" s="7" t="str">
        <f>IFERROR(__xludf.DUMMYFUNCTION("""COMPUTED_VALUE"""),"In-Person")</f>
        <v>In-Person</v>
      </c>
      <c r="H2099" s="7" t="str">
        <f>IFERROR(__xludf.DUMMYFUNCTION("""COMPUTED_VALUE"""),"Room 1.15-16")</f>
        <v>Room 1.15-16</v>
      </c>
      <c r="I2099" s="7" t="str">
        <f>IFERROR(__xludf.DUMMYFUNCTION("""COMPUTED_VALUE"""),"Session 11: IP-Orals ")</f>
        <v>Session 11: IP-Orals </v>
      </c>
      <c r="J2099" s="7" t="str">
        <f>IFERROR(__xludf.DUMMYFUNCTION("""COMPUTED_VALUE"""),"Language Modeling 2")</f>
        <v>Language Modeling 2</v>
      </c>
      <c r="K2099" s="7"/>
      <c r="L2099" s="8">
        <f>IFERROR(__xludf.DUMMYFUNCTION("""COMPUTED_VALUE"""),45868.0)</f>
        <v>45868</v>
      </c>
      <c r="M2099" s="7" t="str">
        <f>IFERROR(__xludf.DUMMYFUNCTION("""COMPUTED_VALUE"""),"09:00-10:30")</f>
        <v>09:00-10:30</v>
      </c>
      <c r="N2099" s="7">
        <f>IFERROR(__xludf.DUMMYFUNCTION("""COMPUTED_VALUE"""),4.0)</f>
        <v>4</v>
      </c>
    </row>
    <row r="2100">
      <c r="A2100" s="7" t="str">
        <f>IFERROR(__xludf.DUMMYFUNCTION("""COMPUTED_VALUE"""),"1138-MAIN")</f>
        <v>1138-MAIN</v>
      </c>
      <c r="B2100" s="7" t="str">
        <f>IFERROR(__xludf.DUMMYFUNCTION("""COMPUTED_VALUE"""),"Faster Speculative Decoding via Effective Draft Decoder with Pruned Candidate Tree")</f>
        <v>Faster Speculative Decoding via Effective Draft Decoder with Pruned Candidate Tree</v>
      </c>
      <c r="C2100" s="7" t="str">
        <f>IFERROR(__xludf.DUMMYFUNCTION("""COMPUTED_VALUE"""),"Speculative Decoding (SD) is a promising method for reducing the inference latency of large language models (LLMs). A well-designed draft model and an effective draft candidate tree construction method are key to enhancing the acceleration effect of SD. I"&amp;"n this paper, we first propose the Effective Draft Decoder (EDD), which treats the LLM as a powerful encoder and generates more accurate draft tokens by leveraging the encoding results as soft prompts. Furthermore, we use KL divergence instead of the stan"&amp;"dard cross-entropy loss to better align the draft model's output with the LLM. Next, we introduce the Pruned Candidate Tree (PCT) algorithm to construct a more efficient candidate tree. Specifically, we found that the confidence scores predicted by the dr"&amp;"aft model are well-calibrated with the acceptance probability of draft tokens. Therefore, PCT estimates the expected time gain for each node in the candidate tree based on confidence scores and retains only the nodes that contribute to acceleration, pruni"&amp;"ng away redundant nodes. We conducted extensive experiments with various LLMs across four datasets. The experimental results verify the effectiveness of our proposed method, which significantly improves the performance of SD and reduces the inference late"&amp;"ncy of LLMs.")</f>
        <v>Speculative Decoding (SD) is a promising method for reducing the inference latency of large language models (LLMs). A well-designed draft model and an effective draft candidate tree construction method are key to enhancing the acceleration effect of SD. In this paper, we first propose the Effective Draft Decoder (EDD), which treats the LLM as a powerful encoder and generates more accurate draft tokens by leveraging the encoding results as soft prompts. Furthermore, we use KL divergence instead of the standard cross-entropy loss to better align the draft model's output with the LLM. Next, we introduce the Pruned Candidate Tree (PCT) algorithm to construct a more efficient candidate tree. Specifically, we found that the confidence scores predicted by the draft model are well-calibrated with the acceptance probability of draft tokens. Therefore, PCT estimates the expected time gain for each node in the candidate tree based on confidence scores and retains only the nodes that contribute to acceleration, pruning away redundant nodes. We conducted extensive experiments with various LLMs across four datasets. The experimental results verify the effectiveness of our proposed method, which significantly improves the performance of SD and reduces the inference latency of LLMs.</v>
      </c>
      <c r="D2100" s="7" t="str">
        <f>IFERROR(__xludf.DUMMYFUNCTION("""COMPUTED_VALUE"""),"Huanran Zheng")</f>
        <v>Huanran Zheng</v>
      </c>
      <c r="E2100" s="7" t="str">
        <f>IFERROR(__xludf.DUMMYFUNCTION("""COMPUTED_VALUE"""),"Yes")</f>
        <v>Yes</v>
      </c>
      <c r="F2100" s="7" t="str">
        <f>IFERROR(__xludf.DUMMYFUNCTION("""COMPUTED_VALUE"""),"IP-Poster")</f>
        <v>IP-Poster</v>
      </c>
      <c r="G2100" s="7" t="str">
        <f>IFERROR(__xludf.DUMMYFUNCTION("""COMPUTED_VALUE"""),"In-Person")</f>
        <v>In-Person</v>
      </c>
      <c r="H2100" s="7" t="str">
        <f>IFERROR(__xludf.DUMMYFUNCTION("""COMPUTED_VALUE"""),"Hall 4/5")</f>
        <v>Hall 4/5</v>
      </c>
      <c r="I2100" s="7" t="str">
        <f>IFERROR(__xludf.DUMMYFUNCTION("""COMPUTED_VALUE"""),"Session 2: IP-Posters ")</f>
        <v>Session 2: IP-Posters </v>
      </c>
      <c r="J2100" s="7" t="str">
        <f>IFERROR(__xludf.DUMMYFUNCTION("""COMPUTED_VALUE"""),"Poster Session 1")</f>
        <v>Poster Session 1</v>
      </c>
      <c r="K2100" s="7"/>
      <c r="L2100" s="8">
        <f>IFERROR(__xludf.DUMMYFUNCTION("""COMPUTED_VALUE"""),45866.0)</f>
        <v>45866</v>
      </c>
      <c r="M2100" s="7" t="str">
        <f>IFERROR(__xludf.DUMMYFUNCTION("""COMPUTED_VALUE"""),"11:00-12:30")</f>
        <v>11:00-12:30</v>
      </c>
      <c r="N2100" s="7"/>
    </row>
    <row r="2101">
      <c r="A2101" s="7" t="str">
        <f>IFERROR(__xludf.DUMMYFUNCTION("""COMPUTED_VALUE"""),"1139-MAIN")</f>
        <v>1139-MAIN</v>
      </c>
      <c r="B2101" s="7" t="str">
        <f>IFERROR(__xludf.DUMMYFUNCTION("""COMPUTED_VALUE"""),"Selecting and Merging: Towards Adaptable and Scalable Named Entity Recognition with Large Language Models")</f>
        <v>Selecting and Merging: Towards Adaptable and Scalable Named Entity Recognition with Large Language Models</v>
      </c>
      <c r="C2101" s="7" t="str">
        <f>IFERROR(__xludf.DUMMYFUNCTION("""COMPUTED_VALUE"""),"Supervised fine-tuning (SFT) is widely used to align large language models (LLMs) with information extraction (IE) tasks, such as named entity recognition (NER). However, annotating such fine-grained labels and training domain-specific models is costly. E"&amp;"xisting works typically train a unified model across multiple domains, but such approaches lack adaptation and scalability since not all training data benefits target domains and scaling trained models remains challenging. We propose the SaM framework, wh"&amp;"ich dynamically Selects and Merges expert models at inference time. Specifically, for a target domain, we select domain-specific experts pre-trained on existing domains based on (i) domain similarity to the target domain and (ii) performance on sampled in"&amp;"stances, respectively. The experts are then merged to create task-specific models optimized for the target domain. By dynamically merging experts beneficial to target domains, we improve generalization across various domains without extra training. Additi"&amp;"onally, experts can be added or removed conveniently, leading to great scalability. Extensive experiments on multiple benchmarks demonstrate our framework’s effectiveness, which outperforms the unified model by an average of 10%. We further provide insigh"&amp;"ts into potential improvements, practical experience, and extensions of our framework.")</f>
        <v>Supervised fine-tuning (SFT) is widely used to align large language models (LLMs) with information extraction (IE) tasks, such as named entity recognition (NER). However, annotating such fine-grained labels and training domain-specific models is costly. Existing works typically train a unified model across multiple domains, but such approaches lack adaptation and scalability since not all training data benefits target domains and scaling trained models remains challenging. We propose the SaM framework, which dynamically Selects and Merges expert models at inference time. Specifically, for a target domain, we select domain-specific experts pre-trained on existing domains based on (i) domain similarity to the target domain and (ii) performance on sampled instances, respectively. The experts are then merged to create task-specific models optimized for the target domain. By dynamically merging experts beneficial to target domains, we improve generalization across various domains without extra training. Additionally, experts can be added or removed conveniently, leading to great scalability. Extensive experiments on multiple benchmarks demonstrate our framework’s effectiveness, which outperforms the unified model by an average of 10%. We further provide insights into potential improvements, practical experience, and extensions of our framework.</v>
      </c>
      <c r="D2101" s="7" t="str">
        <f>IFERROR(__xludf.DUMMYFUNCTION("""COMPUTED_VALUE"""),"Zhuojun Ding")</f>
        <v>Zhuojun Ding</v>
      </c>
      <c r="E2101" s="7" t="str">
        <f>IFERROR(__xludf.DUMMYFUNCTION("""COMPUTED_VALUE"""),"Yes")</f>
        <v>Yes</v>
      </c>
      <c r="F2101" s="7" t="str">
        <f>IFERROR(__xludf.DUMMYFUNCTION("""COMPUTED_VALUE"""),"IP-Poster")</f>
        <v>IP-Poster</v>
      </c>
      <c r="G2101" s="7" t="str">
        <f>IFERROR(__xludf.DUMMYFUNCTION("""COMPUTED_VALUE"""),"In-Person")</f>
        <v>In-Person</v>
      </c>
      <c r="H2101" s="7" t="str">
        <f>IFERROR(__xludf.DUMMYFUNCTION("""COMPUTED_VALUE"""),"Hall 4/5")</f>
        <v>Hall 4/5</v>
      </c>
      <c r="I2101" s="7" t="str">
        <f>IFERROR(__xludf.DUMMYFUNCTION("""COMPUTED_VALUE"""),"Session 7: IP-Posters")</f>
        <v>Session 7: IP-Posters</v>
      </c>
      <c r="J2101" s="7" t="str">
        <f>IFERROR(__xludf.DUMMYFUNCTION("""COMPUTED_VALUE"""),"Poster Session 2")</f>
        <v>Poster Session 2</v>
      </c>
      <c r="K2101" s="7"/>
      <c r="L2101" s="8">
        <f>IFERROR(__xludf.DUMMYFUNCTION("""COMPUTED_VALUE"""),45867.0)</f>
        <v>45867</v>
      </c>
      <c r="M2101" s="7" t="str">
        <f>IFERROR(__xludf.DUMMYFUNCTION("""COMPUTED_VALUE"""),"10:30-12:00")</f>
        <v>10:30-12:00</v>
      </c>
      <c r="N2101" s="7"/>
    </row>
    <row r="2102">
      <c r="A2102" s="7" t="str">
        <f>IFERROR(__xludf.DUMMYFUNCTION("""COMPUTED_VALUE"""),"1142-MAIN")</f>
        <v>1142-MAIN</v>
      </c>
      <c r="B2102" s="7" t="str">
        <f>IFERROR(__xludf.DUMMYFUNCTION("""COMPUTED_VALUE"""),"Embracing Imperfection: Simulating Students with Diverse Cognitive Levels Using LLM-based Agents")</f>
        <v>Embracing Imperfection: Simulating Students with Diverse Cognitive Levels Using LLM-based Agents</v>
      </c>
      <c r="C2102" s="7" t="str">
        <f>IFERROR(__xludf.DUMMYFUNCTION("""COMPUTED_VALUE"""),"Large language models (LLMs) are revolutionizing education, with LLM-based agents playing a key role in simulating student behavior. A major challenge in student simulation is modeling the diverse learning patterns of students at various cognitive levels."&amp;" However, current LLMs, typically trained as ""helpful assistants"", target at generating perfect responses. As a result, they struggle to simulate students with diverse cognitive abilities, as they often produce overly advanced answers, missing the natur"&amp;"al imperfections that characterize student learning and resulting in unrealistic simulations. To address this issue, we propose a training-free framework for student simulation. We begin by constructing a cognitive prototype for each student using a knowl"&amp;"edge graph, which captures their understanding of concepts from past learning records. This prototype is then mapped to new tasks to predict student performance. Next, we simulate student solutions based on these predictions and iteratively refine them us"&amp;"ing a beam search method to better replicate realistic mistakes. To validate our approach, we construct the Student_100 dataset, consisting of 100 students working on Python programming and 5,000 learning records. Experimental results show that our method"&amp;" consistently outperforms baseline models, achieving 100% improvement in simulation accuracy and realism.")</f>
        <v>Large language models (LLMs) are revolutionizing education, with LLM-based agents playing a key role in simulating student behavior. A major challenge in student simulation is modeling the diverse learning patterns of students at various cognitive levels. However, current LLMs, typically trained as "helpful assistants", target at generating perfect responses. As a result, they struggle to simulate students with diverse cognitive abilities, as they often produce overly advanced answers, missing the natural imperfections that characterize student learning and resulting in unrealistic simulations. To address this issue, we propose a training-free framework for student simulation. We begin by constructing a cognitive prototype for each student using a knowledge graph, which captures their understanding of concepts from past learning records. This prototype is then mapped to new tasks to predict student performance. Next, we simulate student solutions based on these predictions and iteratively refine them using a beam search method to better replicate realistic mistakes. To validate our approach, we construct the Student_100 dataset, consisting of 100 students working on Python programming and 5,000 learning records. Experimental results show that our method consistently outperforms baseline models, achieving 100% improvement in simulation accuracy and realism.</v>
      </c>
      <c r="D2102" s="7" t="str">
        <f>IFERROR(__xludf.DUMMYFUNCTION("""COMPUTED_VALUE"""),"Tao Wu")</f>
        <v>Tao Wu</v>
      </c>
      <c r="E2102" s="7" t="str">
        <f>IFERROR(__xludf.DUMMYFUNCTION("""COMPUTED_VALUE"""),"Yes")</f>
        <v>Yes</v>
      </c>
      <c r="F2102" s="7" t="str">
        <f>IFERROR(__xludf.DUMMYFUNCTION("""COMPUTED_VALUE"""),"IP-Oral")</f>
        <v>IP-Oral</v>
      </c>
      <c r="G2102" s="7" t="str">
        <f>IFERROR(__xludf.DUMMYFUNCTION("""COMPUTED_VALUE"""),"In-Person")</f>
        <v>In-Person</v>
      </c>
      <c r="H2102" s="7" t="str">
        <f>IFERROR(__xludf.DUMMYFUNCTION("""COMPUTED_VALUE"""),"Room 1.85")</f>
        <v>Room 1.85</v>
      </c>
      <c r="I2102" s="7" t="str">
        <f>IFERROR(__xludf.DUMMYFUNCTION("""COMPUTED_VALUE"""),"Session 9: IP-Orals")</f>
        <v>Session 9: IP-Orals</v>
      </c>
      <c r="J2102" s="7" t="str">
        <f>IFERROR(__xludf.DUMMYFUNCTION("""COMPUTED_VALUE"""),"Computational Social Science and Cultural Analytics")</f>
        <v>Computational Social Science and Cultural Analytics</v>
      </c>
      <c r="K2102" s="7"/>
      <c r="L2102" s="8">
        <f>IFERROR(__xludf.DUMMYFUNCTION("""COMPUTED_VALUE"""),45867.0)</f>
        <v>45867</v>
      </c>
      <c r="M2102" s="7" t="str">
        <f>IFERROR(__xludf.DUMMYFUNCTION("""COMPUTED_VALUE"""),"14:00-15:30")</f>
        <v>14:00-15:30</v>
      </c>
      <c r="N2102" s="7">
        <f>IFERROR(__xludf.DUMMYFUNCTION("""COMPUTED_VALUE"""),3.0)</f>
        <v>3</v>
      </c>
    </row>
    <row r="2103">
      <c r="A2103" s="7" t="str">
        <f>IFERROR(__xludf.DUMMYFUNCTION("""COMPUTED_VALUE"""),"1144-MAIN")</f>
        <v>1144-MAIN</v>
      </c>
      <c r="B2103" s="7" t="str">
        <f>IFERROR(__xludf.DUMMYFUNCTION("""COMPUTED_VALUE"""),"CADReview: Automatically Reviewing CAD Programs with Error Detection and Correction")</f>
        <v>CADReview: Automatically Reviewing CAD Programs with Error Detection and Correction</v>
      </c>
      <c r="C2103" s="7" t="str">
        <f>IFERROR(__xludf.DUMMYFUNCTION("""COMPUTED_VALUE"""),"Computer-aided design (CAD) is crucial in prototyping 3D objects through geometric instructions (i.e., CAD programs). In practical design workflows, designers often engage in time-consuming reviews and refinements of these prototypes by comparing them wit"&amp;"h reference images. To bridge this gap, we introduce the CAD review task to automatically detect and correct potential errors, ensuring consistency between the constructed 3D objects and reference images. However, recent advanced multimodal large language"&amp;" models (MLLMs) struggle to recognize multiple geometric components and perform spatial geometric operations within the CAD program, leading to inaccurate reviews. In this paper, we propose the CAD program repairer (ReCAD) framework to effectively detect "&amp;"program errors and provide helpful feedback on error correction. Additionally, we create a dataset, CADReview, consisting of over 20K program-image pairs, with diverse errors for the CAD review task. Extensive experiments demonstrate that our ReCAD signif"&amp;"icantly outperforms existing MLLMs, which shows great potential in design applications.")</f>
        <v>Computer-aided design (CAD) is crucial in prototyping 3D objects through geometric instructions (i.e., CAD programs). In practical design workflows, designers often engage in time-consuming reviews and refinements of these prototypes by comparing them with reference images. To bridge this gap, we introduce the CAD review task to automatically detect and correct potential errors, ensuring consistency between the constructed 3D objects and reference images. However, recent advanced multimodal large language models (MLLMs) struggle to recognize multiple geometric components and perform spatial geometric operations within the CAD program, leading to inaccurate reviews. In this paper, we propose the CAD program repairer (ReCAD) framework to effectively detect program errors and provide helpful feedback on error correction. Additionally, we create a dataset, CADReview, consisting of over 20K program-image pairs, with diverse errors for the CAD review task. Extensive experiments demonstrate that our ReCAD significantly outperforms existing MLLMs, which shows great potential in design applications.</v>
      </c>
      <c r="D2103" s="7" t="str">
        <f>IFERROR(__xludf.DUMMYFUNCTION("""COMPUTED_VALUE"""),"Jiali Chen")</f>
        <v>Jiali Chen</v>
      </c>
      <c r="E2103" s="7" t="str">
        <f>IFERROR(__xludf.DUMMYFUNCTION("""COMPUTED_VALUE"""),"Yes")</f>
        <v>Yes</v>
      </c>
      <c r="F2103" s="7" t="str">
        <f>IFERROR(__xludf.DUMMYFUNCTION("""COMPUTED_VALUE"""),"IP-Oral")</f>
        <v>IP-Oral</v>
      </c>
      <c r="G2103" s="7" t="str">
        <f>IFERROR(__xludf.DUMMYFUNCTION("""COMPUTED_VALUE"""),"In-Person")</f>
        <v>In-Person</v>
      </c>
      <c r="H2103" s="7" t="str">
        <f>IFERROR(__xludf.DUMMYFUNCTION("""COMPUTED_VALUE"""),"Hall C")</f>
        <v>Hall C</v>
      </c>
      <c r="I2103" s="7" t="str">
        <f>IFERROR(__xludf.DUMMYFUNCTION("""COMPUTED_VALUE"""),"Session 3: IP-Orals")</f>
        <v>Session 3: IP-Orals</v>
      </c>
      <c r="J2103" s="7" t="str">
        <f>IFERROR(__xludf.DUMMYFUNCTION("""COMPUTED_VALUE"""),"Multimodality and Language Grounding 1")</f>
        <v>Multimodality and Language Grounding 1</v>
      </c>
      <c r="K2103" s="7"/>
      <c r="L2103" s="8">
        <f>IFERROR(__xludf.DUMMYFUNCTION("""COMPUTED_VALUE"""),45866.0)</f>
        <v>45866</v>
      </c>
      <c r="M2103" s="7" t="str">
        <f>IFERROR(__xludf.DUMMYFUNCTION("""COMPUTED_VALUE"""),"14:00-15:30")</f>
        <v>14:00-15:30</v>
      </c>
      <c r="N2103" s="7">
        <f>IFERROR(__xludf.DUMMYFUNCTION("""COMPUTED_VALUE"""),6.0)</f>
        <v>6</v>
      </c>
    </row>
    <row r="2104">
      <c r="A2104" s="7" t="str">
        <f>IFERROR(__xludf.DUMMYFUNCTION("""COMPUTED_VALUE"""),"1147-MAIN")</f>
        <v>1147-MAIN</v>
      </c>
      <c r="B2104" s="7" t="str">
        <f>IFERROR(__xludf.DUMMYFUNCTION("""COMPUTED_VALUE"""),"Think&amp;Cite: Improving Attributed Text Generation with Self-Guided Tree Search and Progress Reward Modeling")</f>
        <v>Think&amp;Cite: Improving Attributed Text Generation with Self-Guided Tree Search and Progress Reward Modeling</v>
      </c>
      <c r="C2104" s="7" t="str">
        <f>IFERROR(__xludf.DUMMYFUNCTION("""COMPUTED_VALUE"""),"Despite their outstanding capabilities, large language models (LLMs) are prone to hallucination and producing factually incorrect information. This challenge has spurred efforts in attributed text generation, which prompts LLMs to generate content with su"&amp;"pporting evidence. In this paper, we propose a novel framework, called Think&amp;Cite, and formulate attributed text generation as a multi-step reasoning problem integrated with search. Specifically, we propose Self-Guided Monte Carlo Tree Search (SG-MCTS), w"&amp;"hich capitalizes on the self-reflection capability of LLMs to reason about the intermediate states of MCTS for guiding the tree expansion process. To provide reliable and comprehensive feedback, we introduce Progress Reward Modeling to measure the progres"&amp;"s of tree search from the root to the current state from two aspects, i.e., generation and attribution progress. We conduct extensive experiments on three datasets and the results show that our approach significantly outperforms baseline approaches.")</f>
        <v>Despite their outstanding capabilities, large language models (LLMs) are prone to hallucination and producing factually incorrect information. This challenge has spurred efforts in attributed text generation, which prompts LLMs to generate content with supporting evidence. In this paper, we propose a novel framework, called Think&amp;Cite, and formulate attributed text generation as a multi-step reasoning problem integrated with search. Specifically, we propose Self-Guided Monte Carlo Tree Search (SG-MCTS), which capitalizes on the self-reflection capability of LLMs to reason about the intermediate states of MCTS for guiding the tree expansion process. To provide reliable and comprehensive feedback, we introduce Progress Reward Modeling to measure the progress of tree search from the root to the current state from two aspects, i.e., generation and attribution progress. We conduct extensive experiments on three datasets and the results show that our approach significantly outperforms baseline approaches.</v>
      </c>
      <c r="D2104" s="7" t="str">
        <f>IFERROR(__xludf.DUMMYFUNCTION("""COMPUTED_VALUE"""),"Junyi Li")</f>
        <v>Junyi Li</v>
      </c>
      <c r="E2104" s="7" t="str">
        <f>IFERROR(__xludf.DUMMYFUNCTION("""COMPUTED_VALUE"""),"Yes")</f>
        <v>Yes</v>
      </c>
      <c r="F2104" s="7" t="str">
        <f>IFERROR(__xludf.DUMMYFUNCTION("""COMPUTED_VALUE"""),"V-Presentation")</f>
        <v>V-Presentation</v>
      </c>
      <c r="G2104" s="7" t="str">
        <f>IFERROR(__xludf.DUMMYFUNCTION("""COMPUTED_VALUE"""),"Virtual/Gather")</f>
        <v>Virtual/Gather</v>
      </c>
      <c r="H2104" s="7" t="str">
        <f>IFERROR(__xludf.DUMMYFUNCTION("""COMPUTED_VALUE"""),"Zoom")</f>
        <v>Zoom</v>
      </c>
      <c r="I2104" s="7" t="str">
        <f>IFERROR(__xludf.DUMMYFUNCTION("""COMPUTED_VALUE"""),"Session 10: V-Presenations")</f>
        <v>Session 10: V-Presenations</v>
      </c>
      <c r="J2104" s="7" t="str">
        <f>IFERROR(__xludf.DUMMYFUNCTION("""COMPUTED_VALUE"""),"Virtual Presentations 3")</f>
        <v>Virtual Presentations 3</v>
      </c>
      <c r="K2104" s="7"/>
      <c r="L2104" s="8">
        <f>IFERROR(__xludf.DUMMYFUNCTION("""COMPUTED_VALUE"""),45867.0)</f>
        <v>45867</v>
      </c>
      <c r="M2104" s="7" t="str">
        <f>IFERROR(__xludf.DUMMYFUNCTION("""COMPUTED_VALUE"""),"16:00-17:30")</f>
        <v>16:00-17:30</v>
      </c>
      <c r="N2104" s="7"/>
    </row>
    <row r="2105">
      <c r="A2105" s="7" t="str">
        <f>IFERROR(__xludf.DUMMYFUNCTION("""COMPUTED_VALUE"""),"1148-MAIN")</f>
        <v>1148-MAIN</v>
      </c>
      <c r="B2105" s="7" t="str">
        <f>IFERROR(__xludf.DUMMYFUNCTION("""COMPUTED_VALUE"""),"The Lawyer That Never Thinks: Consistency and Fairness as Keys to Reliable AI")</f>
        <v>The Lawyer That Never Thinks: Consistency and Fairness as Keys to Reliable AI</v>
      </c>
      <c r="C2105" s="7" t="str">
        <f>IFERROR(__xludf.DUMMYFUNCTION("""COMPUTED_VALUE"""),"Large Language Models (LLMs) are increasingly used in high-stakes domains like law and research, yet their inconsistencies and response instability raise concerns about trustworthiness. This study evaluates six leading LLMs—GPT-3.5, GPT-4, Claude, Gemini,"&amp;" Mistral, and LLaMA 2—on rationality, stability, and ethical fairness through reasoning tests, legal challenges, and bias-sensitive scenarios. Results reveal significant inconsistencies, highlighting trade-offs between model scale, architecture, and logic"&amp;"al coherence. These findings underscore the risks of deploying LLMs in legal and policy settings, emphasizing the need for AI systems that prioritize transparency, fairness, and ethical robustness.")</f>
        <v>Large Language Models (LLMs) are increasingly used in high-stakes domains like law and research, yet their inconsistencies and response instability raise concerns about trustworthiness. This study evaluates six leading LLMs—GPT-3.5, GPT-4, Claude, Gemini, Mistral, and LLaMA 2—on rationality, stability, and ethical fairness through reasoning tests, legal challenges, and bias-sensitive scenarios. Results reveal significant inconsistencies, highlighting trade-offs between model scale, architecture, and logical coherence. These findings underscore the risks of deploying LLMs in legal and policy settings, emphasizing the need for AI systems that prioritize transparency, fairness, and ethical robustness.</v>
      </c>
      <c r="D2105" s="7" t="str">
        <f>IFERROR(__xludf.DUMMYFUNCTION("""COMPUTED_VALUE"""),"Dana Alsagheer")</f>
        <v>Dana Alsagheer</v>
      </c>
      <c r="E2105" s="7" t="str">
        <f>IFERROR(__xludf.DUMMYFUNCTION("""COMPUTED_VALUE"""),"Yes")</f>
        <v>Yes</v>
      </c>
      <c r="F2105" s="7" t="str">
        <f>IFERROR(__xludf.DUMMYFUNCTION("""COMPUTED_VALUE"""),"V-Presentation")</f>
        <v>V-Presentation</v>
      </c>
      <c r="G2105" s="7" t="str">
        <f>IFERROR(__xludf.DUMMYFUNCTION("""COMPUTED_VALUE"""),"Virtual/Gather")</f>
        <v>Virtual/Gather</v>
      </c>
      <c r="H2105" s="7" t="str">
        <f>IFERROR(__xludf.DUMMYFUNCTION("""COMPUTED_VALUE"""),"Zoom")</f>
        <v>Zoom</v>
      </c>
      <c r="I2105" s="7" t="str">
        <f>IFERROR(__xludf.DUMMYFUNCTION("""COMPUTED_VALUE"""),"Session 2: V-Presentations")</f>
        <v>Session 2: V-Presentations</v>
      </c>
      <c r="J2105" s="7" t="str">
        <f>IFERROR(__xludf.DUMMYFUNCTION("""COMPUTED_VALUE"""),"Virtual Presentations 1")</f>
        <v>Virtual Presentations 1</v>
      </c>
      <c r="K2105" s="7"/>
      <c r="L2105" s="8">
        <f>IFERROR(__xludf.DUMMYFUNCTION("""COMPUTED_VALUE"""),45866.0)</f>
        <v>45866</v>
      </c>
      <c r="M2105" s="7" t="str">
        <f>IFERROR(__xludf.DUMMYFUNCTION("""COMPUTED_VALUE"""),"11:00-12:30")</f>
        <v>11:00-12:30</v>
      </c>
      <c r="N2105" s="7"/>
    </row>
    <row r="2106">
      <c r="A2106" s="7" t="str">
        <f>IFERROR(__xludf.DUMMYFUNCTION("""COMPUTED_VALUE"""),"1149-MAIN")</f>
        <v>1149-MAIN</v>
      </c>
      <c r="B2106" s="7" t="str">
        <f>IFERROR(__xludf.DUMMYFUNCTION("""COMPUTED_VALUE"""),"Polishing Every Facet of the GEM: Testing Linguistic Competence of LLMs and Humans in Korean")</f>
        <v>Polishing Every Facet of the GEM: Testing Linguistic Competence of LLMs and Humans in Korean</v>
      </c>
      <c r="C2106" s="7" t="str">
        <f>IFERROR(__xludf.DUMMYFUNCTION("""COMPUTED_VALUE"""),"We introduce the $\underline{Ko}rean \underline{G}rammar \underline{E}valuation Bench\underline{M}ark (KoGEM)$, designed to assess the linguistic competence of LLMs and humans in Korean. KoGEM consists of 1.5k multiple-choice QA pairs covering five main c"&amp;"ategories and 16 subcategories. The zero-shot evaluation of 27 LLMs of various sizes and types reveals that while LLMs perform remarkably well on straightforward tasks requiring primarily definitional knowledge, they struggle with tasks that demand the in"&amp;"tegration of real-world experiential knowledge, such as phonological rules and pronunciation. Furthermore, our in-depth analysis suggests that incorporating such experiential knowledge could enhance the linguistic competence of LLMs. With KoGEM, we not on"&amp;"ly highlight the limitations of current LLMs in linguistic competence but also uncover hidden facets of LLMs in linguistic competence, paving the way for enhancing comprehensive language understanding. Our code and dataset are available at: https://github"&amp;".com/SungHo3268/KoGEM.")</f>
        <v>We introduce the $\underline{Ko}rean \underline{G}rammar \underline{E}valuation Bench\underline{M}ark (KoGEM)$, designed to assess the linguistic competence of LLMs and humans in Korean. KoGEM consists of 1.5k multiple-choice QA pairs covering five main categories and 16 subcategories. The zero-shot evaluation of 27 LLMs of various sizes and types reveals that while LLMs perform remarkably well on straightforward tasks requiring primarily definitional knowledge, they struggle with tasks that demand the integration of real-world experiential knowledge, such as phonological rules and pronunciation. Furthermore, our in-depth analysis suggests that incorporating such experiential knowledge could enhance the linguistic competence of LLMs. With KoGEM, we not only highlight the limitations of current LLMs in linguistic competence but also uncover hidden facets of LLMs in linguistic competence, paving the way for enhancing comprehensive language understanding. Our code and dataset are available at: https://github.com/SungHo3268/KoGEM.</v>
      </c>
      <c r="D2106" s="7" t="str">
        <f>IFERROR(__xludf.DUMMYFUNCTION("""COMPUTED_VALUE"""),"SungHo Kim")</f>
        <v>SungHo Kim</v>
      </c>
      <c r="E2106" s="7" t="str">
        <f>IFERROR(__xludf.DUMMYFUNCTION("""COMPUTED_VALUE"""),"Yes")</f>
        <v>Yes</v>
      </c>
      <c r="F2106" s="7" t="str">
        <f>IFERROR(__xludf.DUMMYFUNCTION("""COMPUTED_VALUE"""),"IP-Poster")</f>
        <v>IP-Poster</v>
      </c>
      <c r="G2106" s="7" t="str">
        <f>IFERROR(__xludf.DUMMYFUNCTION("""COMPUTED_VALUE"""),"In-Person")</f>
        <v>In-Person</v>
      </c>
      <c r="H2106" s="7" t="str">
        <f>IFERROR(__xludf.DUMMYFUNCTION("""COMPUTED_VALUE"""),"Hall 4/5")</f>
        <v>Hall 4/5</v>
      </c>
      <c r="I2106" s="7" t="str">
        <f>IFERROR(__xludf.DUMMYFUNCTION("""COMPUTED_VALUE"""),"Session 7: IP-Posters")</f>
        <v>Session 7: IP-Posters</v>
      </c>
      <c r="J2106" s="7" t="str">
        <f>IFERROR(__xludf.DUMMYFUNCTION("""COMPUTED_VALUE"""),"Poster Session 2")</f>
        <v>Poster Session 2</v>
      </c>
      <c r="K2106" s="7"/>
      <c r="L2106" s="8">
        <f>IFERROR(__xludf.DUMMYFUNCTION("""COMPUTED_VALUE"""),45867.0)</f>
        <v>45867</v>
      </c>
      <c r="M2106" s="7" t="str">
        <f>IFERROR(__xludf.DUMMYFUNCTION("""COMPUTED_VALUE"""),"10:30-12:00")</f>
        <v>10:30-12:00</v>
      </c>
      <c r="N2106" s="7"/>
    </row>
    <row r="2107">
      <c r="A2107" s="7" t="str">
        <f>IFERROR(__xludf.DUMMYFUNCTION("""COMPUTED_VALUE"""),"1150-MAIN")</f>
        <v>1150-MAIN</v>
      </c>
      <c r="B2107" s="7" t="str">
        <f>IFERROR(__xludf.DUMMYFUNCTION("""COMPUTED_VALUE"""),"SpeechFake: A Large-Scale Multilingual Speech Deepfake Dataset Incorporating Cutting-Edge Generation Methods")</f>
        <v>SpeechFake: A Large-Scale Multilingual Speech Deepfake Dataset Incorporating Cutting-Edge Generation Methods</v>
      </c>
      <c r="C2107" s="7" t="str">
        <f>IFERROR(__xludf.DUMMYFUNCTION("""COMPUTED_VALUE"""),"As speech generation technology advances, the risk of misuse through deepfake audio has become a pressing concern, which underscores the critical need for robust detection systems. However, many existing speech deepfake datasets are limited in scale and d"&amp;"iversity, making it challenging to train models that can generalize well to unseen deepfakes. To address these gaps, we introduce SpeechFake, a large-scale dataset designed specifically for speech deepfake detection. SpeechFake includes over 3 million dee"&amp;"pfake samples, totaling more than 3,000 hours of audio, generated using 40 different speech synthesis tools. The dataset encompasses a wide range of generation techniques, including text-to-speech, voice conversion, and neural vocoder, incorporating the l"&amp;"atest cutting-edge methods. It also provides multilingual support, spanning 46 languages. In this paper, we offer a detailed overview of the dataset’s creation, composition, and statistics. We also present baseline results by training detection models on "&amp;"SpeechFake, demonstrating strong performance on both its own test sets and various unseen test sets. Additionally, we conduct experiments to rigorously explore how generation methods, language diversity, and speaker variation affect detection performance."&amp;" We believe SpeechFake will be a valuable resource for advancing speech deepfake detection and developing more robust models for evolving generation techniques.")</f>
        <v>As speech generation technology advances, the risk of misuse through deepfake audio has become a pressing concern, which underscores the critical need for robust detection systems. However, many existing speech deepfake datasets are limited in scale and diversity, making it challenging to train models that can generalize well to unseen deepfakes. To address these gaps, we introduce SpeechFake, a large-scale dataset designed specifically for speech deepfake detection. SpeechFake includes over 3 million deepfake samples, totaling more than 3,000 hours of audio, generated using 40 different speech synthesis tools. The dataset encompasses a wide range of generation techniques, including text-to-speech, voice conversion, and neural vocoder, incorporating the latest cutting-edge methods. It also provides multilingual support, spanning 46 languages. In this paper, we offer a detailed overview of the dataset’s creation, composition, and statistics. We also present baseline results by training detection models on SpeechFake, demonstrating strong performance on both its own test sets and various unseen test sets. Additionally, we conduct experiments to rigorously explore how generation methods, language diversity, and speaker variation affect detection performance. We believe SpeechFake will be a valuable resource for advancing speech deepfake detection and developing more robust models for evolving generation techniques.</v>
      </c>
      <c r="D2107" s="7" t="str">
        <f>IFERROR(__xludf.DUMMYFUNCTION("""COMPUTED_VALUE"""),"Wen Huang")</f>
        <v>Wen Huang</v>
      </c>
      <c r="E2107" s="7" t="str">
        <f>IFERROR(__xludf.DUMMYFUNCTION("""COMPUTED_VALUE"""),"Yes")</f>
        <v>Yes</v>
      </c>
      <c r="F2107" s="7" t="str">
        <f>IFERROR(__xludf.DUMMYFUNCTION("""COMPUTED_VALUE"""),"V-Presentation")</f>
        <v>V-Presentation</v>
      </c>
      <c r="G2107" s="7" t="str">
        <f>IFERROR(__xludf.DUMMYFUNCTION("""COMPUTED_VALUE"""),"Virtual/Gather")</f>
        <v>Virtual/Gather</v>
      </c>
      <c r="H2107" s="7" t="str">
        <f>IFERROR(__xludf.DUMMYFUNCTION("""COMPUTED_VALUE"""),"Zoom")</f>
        <v>Zoom</v>
      </c>
      <c r="I2107" s="7" t="str">
        <f>IFERROR(__xludf.DUMMYFUNCTION("""COMPUTED_VALUE"""),"Session 12: V-Presentations")</f>
        <v>Session 12: V-Presentations</v>
      </c>
      <c r="J2107" s="7" t="str">
        <f>IFERROR(__xludf.DUMMYFUNCTION("""COMPUTED_VALUE"""),"Virtual Presentations 4")</f>
        <v>Virtual Presentations 4</v>
      </c>
      <c r="K2107" s="7"/>
      <c r="L2107" s="8">
        <f>IFERROR(__xludf.DUMMYFUNCTION("""COMPUTED_VALUE"""),45868.0)</f>
        <v>45868</v>
      </c>
      <c r="M2107" s="7" t="str">
        <f>IFERROR(__xludf.DUMMYFUNCTION("""COMPUTED_VALUE"""),"11:00-12:30")</f>
        <v>11:00-12:30</v>
      </c>
      <c r="N2107" s="7"/>
    </row>
    <row r="2108">
      <c r="A2108" s="7" t="str">
        <f>IFERROR(__xludf.DUMMYFUNCTION("""COMPUTED_VALUE"""),"1151-MAIN")</f>
        <v>1151-MAIN</v>
      </c>
      <c r="B2108" s="7" t="str">
        <f>IFERROR(__xludf.DUMMYFUNCTION("""COMPUTED_VALUE"""),"ReflectionCoder: Learning from Reflection Sequence for Enhanced One-off Code Generation")</f>
        <v>ReflectionCoder: Learning from Reflection Sequence for Enhanced One-off Code Generation</v>
      </c>
      <c r="C2108" s="7" t="str">
        <f>IFERROR(__xludf.DUMMYFUNCTION("""COMPUTED_VALUE"""),"Code generation plays a crucial role in various tasks, such as code auto-completion and mathematical reasoning. Previous work has proposed numerous methods to enhance code generation performance, including integrating feedback from the compiler. Inspired "&amp;"by this, we present ReflectionCoder, a novel approach that effectively leverages reflection sequences constructed by integrating compiler feedback to improve one-off code generation performance. Furthermore, we propose reflection self-distillation and dyn"&amp;"amically masked distillation to effectively utilize these reflection sequences. Extensive experiments on three benchmarks, i.e., HumanEval (+), MBPP (+), and MultiPl-E, demonstrate that models fine-tuned with our method achieve state-of-the-art performanc"&amp;"e. Beyond the code domain, we believe this approach can benefit other domains that focus on final results and require long reasoning paths. Code and data are available at https://github.com/SenseLLM/ReflectionCoder.")</f>
        <v>Code generation plays a crucial role in various tasks, such as code auto-completion and mathematical reasoning. Previous work has proposed numerous methods to enhance code generation performance, including integrating feedback from the compiler. Inspired by this, we present ReflectionCoder, a novel approach that effectively leverages reflection sequences constructed by integrating compiler feedback to improve one-off code generation performance. Furthermore, we propose reflection self-distillation and dynamically masked distillation to effectively utilize these reflection sequences. Extensive experiments on three benchmarks, i.e., HumanEval (+), MBPP (+), and MultiPl-E, demonstrate that models fine-tuned with our method achieve state-of-the-art performance. Beyond the code domain, we believe this approach can benefit other domains that focus on final results and require long reasoning paths. Code and data are available at https://github.com/SenseLLM/ReflectionCoder.</v>
      </c>
      <c r="D2108" s="7" t="str">
        <f>IFERROR(__xludf.DUMMYFUNCTION("""COMPUTED_VALUE"""),"Houxing Ren")</f>
        <v>Houxing Ren</v>
      </c>
      <c r="E2108" s="7" t="str">
        <f>IFERROR(__xludf.DUMMYFUNCTION("""COMPUTED_VALUE"""),"Yes")</f>
        <v>Yes</v>
      </c>
      <c r="F2108" s="7" t="str">
        <f>IFERROR(__xludf.DUMMYFUNCTION("""COMPUTED_VALUE"""),"V-Presentation")</f>
        <v>V-Presentation</v>
      </c>
      <c r="G2108" s="7" t="str">
        <f>IFERROR(__xludf.DUMMYFUNCTION("""COMPUTED_VALUE"""),"Virtual/Gather")</f>
        <v>Virtual/Gather</v>
      </c>
      <c r="H2108" s="7" t="str">
        <f>IFERROR(__xludf.DUMMYFUNCTION("""COMPUTED_VALUE"""),"Zoom")</f>
        <v>Zoom</v>
      </c>
      <c r="I2108" s="7" t="str">
        <f>IFERROR(__xludf.DUMMYFUNCTION("""COMPUTED_VALUE"""),"Session 7: V--Presentations ")</f>
        <v>Session 7: V--Presentations </v>
      </c>
      <c r="J2108" s="7" t="str">
        <f>IFERROR(__xludf.DUMMYFUNCTION("""COMPUTED_VALUE"""),"Virtual Presentations 2")</f>
        <v>Virtual Presentations 2</v>
      </c>
      <c r="K2108" s="7"/>
      <c r="L2108" s="8"/>
      <c r="M2108" s="7" t="str">
        <f>IFERROR(__xludf.DUMMYFUNCTION("""COMPUTED_VALUE"""),"10:30-12:00")</f>
        <v>10:30-12:00</v>
      </c>
      <c r="N2108" s="7"/>
    </row>
    <row r="2109">
      <c r="A2109" s="7" t="str">
        <f>IFERROR(__xludf.DUMMYFUNCTION("""COMPUTED_VALUE"""),"1152-MAIN")</f>
        <v>1152-MAIN</v>
      </c>
      <c r="B2109" s="7" t="str">
        <f>IFERROR(__xludf.DUMMYFUNCTION("""COMPUTED_VALUE"""),"InvestAlign: Overcoming Data Scarcity in Aligning Large Language Models with Investor Decision-Making Processes Under Herd Behavior")</f>
        <v>InvestAlign: Overcoming Data Scarcity in Aligning Large Language Models with Investor Decision-Making Processes Under Herd Behavior</v>
      </c>
      <c r="C2109" s="7" t="str">
        <f>IFERROR(__xludf.DUMMYFUNCTION("""COMPUTED_VALUE"""),"Aligning Large Language Models (LLMs) with investor decision-making processes under herd behavior is a critical challenge in behavioral finance, which grapples with a fundamental limitation: the scarcity of real-user data needed for Supervised Fine-Tuning"&amp;" (SFT). While SFT can bridge the gap between LLM outputs and human behavioral patterns, its reliance on massive authentic data imposes substantial collection costs and privacy risks. We propose **InvestAlign**, a novel framework that constructs high-quali"&amp;"ty SFT datasets by leveraging theoretical solutions to similar and simple optimal investment problems rather than the complex scenarios. Our theoretical analysis demonstrates that training LLMs with **InvestAlign**-generated data achieves faster parameter"&amp;" convergence than using real-user data, suggesting superior learning efficiency. Furthermore, we develop **InvestAgent**, an LLM agent fine-tuned with **InvestAlign**, which shows significantly closer alignment to real-user data than pre-SFT models in bot"&amp;"h simple and complex investment problems. This highlights our proposed **InvestAlign** as a promising approach with the potential to address complex optimal investment problems and align LLMs with investor decision-making processes under herd behavior. Ou"&amp;"r code is publicly available at https://github.com/thu-social-network-research-group/InvestAlign.")</f>
        <v>Aligning Large Language Models (LLMs) with investor decision-making processes under herd behavior is a critical challenge in behavioral finance, which grapples with a fundamental limitation: the scarcity of real-user data needed for Supervised Fine-Tuning (SFT). While SFT can bridge the gap between LLM outputs and human behavioral patterns, its reliance on massive authentic data imposes substantial collection costs and privacy risks. We propose **InvestAlign**, a novel framework that constructs high-quality SFT datasets by leveraging theoretical solutions to similar and simple optimal investment problems rather than the complex scenarios. Our theoretical analysis demonstrates that training LLMs with **InvestAlign**-generated data achieves faster parameter convergence than using real-user data, suggesting superior learning efficiency. Furthermore, we develop **InvestAgent**, an LLM agent fine-tuned with **InvestAlign**, which shows significantly closer alignment to real-user data than pre-SFT models in both simple and complex investment problems. This highlights our proposed **InvestAlign** as a promising approach with the potential to address complex optimal investment problems and align LLMs with investor decision-making processes under herd behavior. Our code is publicly available at https://github.com/thu-social-network-research-group/InvestAlign.</v>
      </c>
      <c r="D2109" s="7" t="str">
        <f>IFERROR(__xludf.DUMMYFUNCTION("""COMPUTED_VALUE"""),"Huisheng Wang")</f>
        <v>Huisheng Wang</v>
      </c>
      <c r="E2109" s="7" t="str">
        <f>IFERROR(__xludf.DUMMYFUNCTION("""COMPUTED_VALUE"""),"Yes")</f>
        <v>Yes</v>
      </c>
      <c r="F2109" s="7" t="str">
        <f>IFERROR(__xludf.DUMMYFUNCTION("""COMPUTED_VALUE"""),"IP-Poster")</f>
        <v>IP-Poster</v>
      </c>
      <c r="G2109" s="7" t="str">
        <f>IFERROR(__xludf.DUMMYFUNCTION("""COMPUTED_VALUE"""),"In-Person")</f>
        <v>In-Person</v>
      </c>
      <c r="H2109" s="7" t="str">
        <f>IFERROR(__xludf.DUMMYFUNCTION("""COMPUTED_VALUE"""),"Hall 4/5")</f>
        <v>Hall 4/5</v>
      </c>
      <c r="I2109" s="7" t="str">
        <f>IFERROR(__xludf.DUMMYFUNCTION("""COMPUTED_VALUE"""),"Session 12: IP-Posters")</f>
        <v>Session 12: IP-Posters</v>
      </c>
      <c r="J2109" s="7" t="str">
        <f>IFERROR(__xludf.DUMMYFUNCTION("""COMPUTED_VALUE"""),"Poster Session 4")</f>
        <v>Poster Session 4</v>
      </c>
      <c r="K2109" s="7"/>
      <c r="L2109" s="8">
        <f>IFERROR(__xludf.DUMMYFUNCTION("""COMPUTED_VALUE"""),45868.0)</f>
        <v>45868</v>
      </c>
      <c r="M2109" s="7" t="str">
        <f>IFERROR(__xludf.DUMMYFUNCTION("""COMPUTED_VALUE"""),"11:00-12:30")</f>
        <v>11:00-12:30</v>
      </c>
      <c r="N2109" s="7"/>
    </row>
    <row r="2110">
      <c r="A2110" s="7" t="str">
        <f>IFERROR(__xludf.DUMMYFUNCTION("""COMPUTED_VALUE"""),"1159-MAIN")</f>
        <v>1159-MAIN</v>
      </c>
      <c r="B2110" s="7" t="str">
        <f>IFERROR(__xludf.DUMMYFUNCTION("""COMPUTED_VALUE"""),"Enhancing Neural Machine Translation Through Target Language Data: A kNN-LM Approach for Domain Adaptation")</f>
        <v>Enhancing Neural Machine Translation Through Target Language Data: A kNN-LM Approach for Domain Adaptation</v>
      </c>
      <c r="C2110" s="7" t="str">
        <f>IFERROR(__xludf.DUMMYFUNCTION("""COMPUTED_VALUE"""),"Neural machine translation (NMT) has advanced significantly, yet challenges remain in adapting to new domains . In scenarios where bilingual data is limited, this issue is further exacerbated. To address this, we propose $k$NN-LM-NMT, a method that levera"&amp;"ges semantically similar target language sentences in the $k$NN framework. Our approach generates a probability distribution over these sentences during decoding, and this distribution is then interpolated with the NMT model's distribution. Additionally, "&amp;"we introduce an $n$-gram-based approach to focus on similar fragments, enabling the model to avoid the noise introduced by the non-similar parts. To enhance accuracy, we further incorporate cross-lingual retrieval similarity to refine the $k$NN probabilit"&amp;"y distribution. Extensive experiments on multi-domain datasets demonstrate significant performance improvements in both high-resource and low-resource scenarios. Our approach effectively extracts translation knowledge from limited target domain data, and "&amp;"well benefits from large-scale monolingual data for robust context representation.")</f>
        <v>Neural machine translation (NMT) has advanced significantly, yet challenges remain in adapting to new domains . In scenarios where bilingual data is limited, this issue is further exacerbated. To address this, we propose $k$NN-LM-NMT, a method that leverages semantically similar target language sentences in the $k$NN framework. Our approach generates a probability distribution over these sentences during decoding, and this distribution is then interpolated with the NMT model's distribution. Additionally, we introduce an $n$-gram-based approach to focus on similar fragments, enabling the model to avoid the noise introduced by the non-similar parts. To enhance accuracy, we further incorporate cross-lingual retrieval similarity to refine the $k$NN probability distribution. Extensive experiments on multi-domain datasets demonstrate significant performance improvements in both high-resource and low-resource scenarios. Our approach effectively extracts translation knowledge from limited target domain data, and well benefits from large-scale monolingual data for robust context representation.</v>
      </c>
      <c r="D2110" s="7" t="str">
        <f>IFERROR(__xludf.DUMMYFUNCTION("""COMPUTED_VALUE"""),"Abudurexiti Reheman")</f>
        <v>Abudurexiti Reheman</v>
      </c>
      <c r="E2110" s="7" t="str">
        <f>IFERROR(__xludf.DUMMYFUNCTION("""COMPUTED_VALUE"""),"Yes")</f>
        <v>Yes</v>
      </c>
      <c r="F2110" s="7" t="str">
        <f>IFERROR(__xludf.DUMMYFUNCTION("""COMPUTED_VALUE"""),"V-Presentation")</f>
        <v>V-Presentation</v>
      </c>
      <c r="G2110" s="7" t="str">
        <f>IFERROR(__xludf.DUMMYFUNCTION("""COMPUTED_VALUE"""),"Virtual/Gather")</f>
        <v>Virtual/Gather</v>
      </c>
      <c r="H2110" s="7" t="str">
        <f>IFERROR(__xludf.DUMMYFUNCTION("""COMPUTED_VALUE"""),"Zoom")</f>
        <v>Zoom</v>
      </c>
      <c r="I2110" s="7" t="str">
        <f>IFERROR(__xludf.DUMMYFUNCTION("""COMPUTED_VALUE"""),"Session 12: V-Presentations")</f>
        <v>Session 12: V-Presentations</v>
      </c>
      <c r="J2110" s="7" t="str">
        <f>IFERROR(__xludf.DUMMYFUNCTION("""COMPUTED_VALUE"""),"Virtual Presentations 4")</f>
        <v>Virtual Presentations 4</v>
      </c>
      <c r="K2110" s="7"/>
      <c r="L2110" s="8">
        <f>IFERROR(__xludf.DUMMYFUNCTION("""COMPUTED_VALUE"""),45868.0)</f>
        <v>45868</v>
      </c>
      <c r="M2110" s="7" t="str">
        <f>IFERROR(__xludf.DUMMYFUNCTION("""COMPUTED_VALUE"""),"11:00-12:30")</f>
        <v>11:00-12:30</v>
      </c>
      <c r="N2110" s="7"/>
    </row>
    <row r="2111">
      <c r="A2111" s="7" t="str">
        <f>IFERROR(__xludf.DUMMYFUNCTION("""COMPUTED_VALUE"""),"1160-MAIN")</f>
        <v>1160-MAIN</v>
      </c>
      <c r="B2111" s="7" t="str">
        <f>IFERROR(__xludf.DUMMYFUNCTION("""COMPUTED_VALUE"""),"Multi-level Relevance Document Identifier Learning for Generative Retrieval")</f>
        <v>Multi-level Relevance Document Identifier Learning for Generative Retrieval</v>
      </c>
      <c r="C2111" s="7" t="str">
        <f>IFERROR(__xludf.DUMMYFUNCTION("""COMPUTED_VALUE"""),"Generative Retrieval (GR) introduces a new information retrieval paradigm that directly generates unique document identifiers (DocIDs). The key challenge of GR lies in creating effective yet discrete DocIDs that preserve semantic relevance for similar doc"&amp;"uments while differentiating dissimilar ones. However, existing methods generate DocIDs solely based on the textual content of documents, which may result in DocIDs with weak semantic connections for similar documents due to variations in expression. Ther"&amp;"efore, we propose using queries as a bridge to connect documents with varying relevance levels for learning improved DocIDs. In this paper, we propose **M**ulti-l**E**vel **R**elevance document identifier learning for **G**enerative r**E**trieval (MERGE),"&amp;" a novel approach that utilizes multi-level document relevance to learn high-quality DocIDs. MERGE incorporates three modules: a multi-relevance query-document alignment module to effectively align document representations with related queries, an outer-l"&amp;"evel contrastive learning module to capture binary-level relevance, and an inner-level multi-level relevance learning module to distinguish documents with different relevance levels. Our approach encodes rich hierarchical semantic information and maintain"&amp;"s uniqueness across documents. Experimental results on real-world multilingual e-commerce search datasets demonstrate that MERGE significantly outperforms existing methods, underscoring its effectiveness. The source code is available at &lt;https://github.co"&amp;"m/zhangfw123/MERGE&gt;.")</f>
        <v>Generative Retrieval (GR) introduces a new information retrieval paradigm that directly generates unique document identifiers (DocIDs). The key challenge of GR lies in creating effective yet discrete DocIDs that preserve semantic relevance for similar documents while differentiating dissimilar ones. However, existing methods generate DocIDs solely based on the textual content of documents, which may result in DocIDs with weak semantic connections for similar documents due to variations in expression. Therefore, we propose using queries as a bridge to connect documents with varying relevance levels for learning improved DocIDs. In this paper, we propose **M**ulti-l**E**vel **R**elevance document identifier learning for **G**enerative r**E**trieval (MERGE), a novel approach that utilizes multi-level document relevance to learn high-quality DocIDs. MERGE incorporates three modules: a multi-relevance query-document alignment module to effectively align document representations with related queries, an outer-level contrastive learning module to capture binary-level relevance, and an inner-level multi-level relevance learning module to distinguish documents with different relevance levels. Our approach encodes rich hierarchical semantic information and maintains uniqueness across documents. Experimental results on real-world multilingual e-commerce search datasets demonstrate that MERGE significantly outperforms existing methods, underscoring its effectiveness. The source code is available at &lt;https://github.com/zhangfw123/MERGE&gt;.</v>
      </c>
      <c r="D2111" s="7" t="str">
        <f>IFERROR(__xludf.DUMMYFUNCTION("""COMPUTED_VALUE"""),"Fuwei Zhang")</f>
        <v>Fuwei Zhang</v>
      </c>
      <c r="E2111" s="7" t="str">
        <f>IFERROR(__xludf.DUMMYFUNCTION("""COMPUTED_VALUE"""),"Yes")</f>
        <v>Yes</v>
      </c>
      <c r="F2111" s="7" t="str">
        <f>IFERROR(__xludf.DUMMYFUNCTION("""COMPUTED_VALUE"""),"IP-Poster")</f>
        <v>IP-Poster</v>
      </c>
      <c r="G2111" s="7" t="str">
        <f>IFERROR(__xludf.DUMMYFUNCTION("""COMPUTED_VALUE"""),"In-Person")</f>
        <v>In-Person</v>
      </c>
      <c r="H2111" s="7" t="str">
        <f>IFERROR(__xludf.DUMMYFUNCTION("""COMPUTED_VALUE"""),"Hall 4/5")</f>
        <v>Hall 4/5</v>
      </c>
      <c r="I2111" s="7" t="str">
        <f>IFERROR(__xludf.DUMMYFUNCTION("""COMPUTED_VALUE"""),"Session 2: IP-Posters ")</f>
        <v>Session 2: IP-Posters </v>
      </c>
      <c r="J2111" s="7" t="str">
        <f>IFERROR(__xludf.DUMMYFUNCTION("""COMPUTED_VALUE"""),"Poster Session 1")</f>
        <v>Poster Session 1</v>
      </c>
      <c r="K2111" s="7"/>
      <c r="L2111" s="8">
        <f>IFERROR(__xludf.DUMMYFUNCTION("""COMPUTED_VALUE"""),45866.0)</f>
        <v>45866</v>
      </c>
      <c r="M2111" s="7" t="str">
        <f>IFERROR(__xludf.DUMMYFUNCTION("""COMPUTED_VALUE"""),"11:00-12:30")</f>
        <v>11:00-12:30</v>
      </c>
      <c r="N2111" s="7"/>
    </row>
    <row r="2112">
      <c r="A2112" s="7" t="str">
        <f>IFERROR(__xludf.DUMMYFUNCTION("""COMPUTED_VALUE"""),"1162-MAIN")</f>
        <v>1162-MAIN</v>
      </c>
      <c r="B2112" s="7" t="str">
        <f>IFERROR(__xludf.DUMMYFUNCTION("""COMPUTED_VALUE"""),"EfficientQAT: Efficient Quantization-Aware Training for Large Language Models")</f>
        <v>EfficientQAT: Efficient Quantization-Aware Training for Large Language Models</v>
      </c>
      <c r="C2112" s="7" t="str">
        <f>IFERROR(__xludf.DUMMYFUNCTION("""COMPUTED_VALUE"""),"Large language models (LLMs) are crucial in modern natural language processing and artificial intelligence. However, they face challenges in managing their significant memory requirements. Although quantization-aware training (QAT) offers a solution by re"&amp;"ducing memory consumption through low-bit representations with minimal accuracy loss, it is impractical due to substantial training resources. To address this, we propose Efficient Quantization-Aware Training (EfficientQAT), a more feasible QAT algorithm."&amp;" EfficientQAT involves two consecutive phases: Block-wise training of all parameters (Block-AP) and end-to-end training of quantization parameters (E2E-QP). To the best of our knowledge, Block-AP is the first method to enable direct training of all parame"&amp;"ters in a block-wise manner, reducing accuracy loss in low-bit scenarios by enhancing the solution space during optimization. E2E-QP then trains only the quantization parameters (step sizes) end-to-end, further improving the performance of quantized model"&amp;"s by considering interactions among all sub-modules. Extensive experiments demonstrate that EfficientQAT outperforms previous quantization methods across a range of models, including base LLMs, instruction-tuned LLMs, and multimodal LLMs, with scales from"&amp;" 7B to 70B parameters at various quantization bits. For instance, EfficientQAT obtains a 2-bit Llama-2-70B model on a single A100-80GB GPU in 41 hours, with less than 3 points accuracy degradation compared to the full precision (69.48 vs. 72.41). Code is "&amp;"available at https://github.com/OpenGVLab/EfficientQAT.")</f>
        <v>Large language models (LLMs) are crucial in modern natural language processing and artificial intelligence. However, they face challenges in managing their significant memory requirements. Although quantization-aware training (QAT) offers a solution by reducing memory consumption through low-bit representations with minimal accuracy loss, it is impractical due to substantial training resources. To address this, we propose Efficient Quantization-Aware Training (EfficientQAT), a more feasible QAT algorithm. EfficientQAT involves two consecutive phases: Block-wise training of all parameters (Block-AP) and end-to-end training of quantization parameters (E2E-QP). To the best of our knowledge, Block-AP is the first method to enable direct training of all parameters in a block-wise manner, reducing accuracy loss in low-bit scenarios by enhancing the solution space during optimization. E2E-QP then trains only the quantization parameters (step sizes) end-to-end, further improving the performance of quantized models by considering interactions among all sub-modules. Extensive experiments demonstrate that EfficientQAT outperforms previous quantization methods across a range of models, including base LLMs, instruction-tuned LLMs, and multimodal LLMs, with scales from 7B to 70B parameters at various quantization bits. For instance, EfficientQAT obtains a 2-bit Llama-2-70B model on a single A100-80GB GPU in 41 hours, with less than 3 points accuracy degradation compared to the full precision (69.48 vs. 72.41). Code is available at https://github.com/OpenGVLab/EfficientQAT.</v>
      </c>
      <c r="D2112" s="7" t="str">
        <f>IFERROR(__xludf.DUMMYFUNCTION("""COMPUTED_VALUE"""),"Mengzhao Chen")</f>
        <v>Mengzhao Chen</v>
      </c>
      <c r="E2112" s="7" t="str">
        <f>IFERROR(__xludf.DUMMYFUNCTION("""COMPUTED_VALUE"""),"Yes")</f>
        <v>Yes</v>
      </c>
      <c r="F2112" s="7" t="str">
        <f>IFERROR(__xludf.DUMMYFUNCTION("""COMPUTED_VALUE"""),"V-Presentation")</f>
        <v>V-Presentation</v>
      </c>
      <c r="G2112" s="7" t="str">
        <f>IFERROR(__xludf.DUMMYFUNCTION("""COMPUTED_VALUE"""),"Virtual/Gather")</f>
        <v>Virtual/Gather</v>
      </c>
      <c r="H2112" s="7" t="str">
        <f>IFERROR(__xludf.DUMMYFUNCTION("""COMPUTED_VALUE"""),"Zoom")</f>
        <v>Zoom</v>
      </c>
      <c r="I2112" s="7" t="str">
        <f>IFERROR(__xludf.DUMMYFUNCTION("""COMPUTED_VALUE"""),"Session 7: V--Presentations ")</f>
        <v>Session 7: V--Presentations </v>
      </c>
      <c r="J2112" s="7" t="str">
        <f>IFERROR(__xludf.DUMMYFUNCTION("""COMPUTED_VALUE"""),"Virtual Presentations 2")</f>
        <v>Virtual Presentations 2</v>
      </c>
      <c r="K2112" s="7"/>
      <c r="L2112" s="8"/>
      <c r="M2112" s="7" t="str">
        <f>IFERROR(__xludf.DUMMYFUNCTION("""COMPUTED_VALUE"""),"10:30-12:00")</f>
        <v>10:30-12:00</v>
      </c>
      <c r="N2112" s="7"/>
    </row>
    <row r="2113">
      <c r="A2113" s="7" t="str">
        <f>IFERROR(__xludf.DUMMYFUNCTION("""COMPUTED_VALUE"""),"1163-MAIN")</f>
        <v>1163-MAIN</v>
      </c>
      <c r="B2113" s="7" t="str">
        <f>IFERROR(__xludf.DUMMYFUNCTION("""COMPUTED_VALUE"""),"Exploring How Generative MLLMs Perceive More Than CLIP with the Same Vision Encoder")</f>
        <v>Exploring How Generative MLLMs Perceive More Than CLIP with the Same Vision Encoder</v>
      </c>
      <c r="C2113" s="7" t="str">
        <f>IFERROR(__xludf.DUMMYFUNCTION("""COMPUTED_VALUE"""),"Recent research has shown that CLIP models struggle with visual reasoning tasks that require grounding compositionality, understanding spatial relationships, or capturing fine-grained details. One natural hypothesis is that the CLIP vision encoder does no"&amp;"t embed essential information for these tasks. However, we find that this is not always the case: The encoder gathers query-relevant visual information, while CLIP fails to extract it. In particular, we show that another branch of Vision-Language Models ("&amp;"VLMs), Generative Multimodal Large Language Models (MLLMs), achieve significantly higher accuracy than CLIP in many of these tasks using the *same* vision encoder and weights, indicating that these Generative MLLMs *perceive more*—as they extract and util"&amp;"ize visual information more effectively. We conduct a series of controlled experiments and reveal that their success is attributed to multiple key design choices, including patch tokens, position embeddings, and prompt-based weighting. On the other hand, "&amp;"enhancing the training data alone or applying a stronger text encoder does not suffice to solve the task, and additional text tokens offer little benefit. Interestingly, we find that fine-grained visual reasoning is not exclusive to generative models trai"&amp;"ned by an autoregressive loss: When converted into CLIP-like encoders by contrastive finetuning, these MLLMs still outperform CLIP under the same cosine similarity-based evaluation protocol. Our study highlights the importance of VLM architectural choices"&amp;" and suggests directions for improving the performance of CLIP-like contrastive VLMs.")</f>
        <v>Recent research has shown that CLIP models struggle with visual reasoning tasks that require grounding compositionality, understanding spatial relationships, or capturing fine-grained details. One natural hypothesis is that the CLIP vision encoder does not embed essential information for these tasks. However, we find that this is not always the case: The encoder gathers query-relevant visual information, while CLIP fails to extract it. In particular, we show that another branch of Vision-Language Models (VLMs), Generative Multimodal Large Language Models (MLLMs), achieve significantly higher accuracy than CLIP in many of these tasks using the *same* vision encoder and weights, indicating that these Generative MLLMs *perceive more*—as they extract and utilize visual information more effectively. We conduct a series of controlled experiments and reveal that their success is attributed to multiple key design choices, including patch tokens, position embeddings, and prompt-based weighting. On the other hand, enhancing the training data alone or applying a stronger text encoder does not suffice to solve the task, and additional text tokens offer little benefit. Interestingly, we find that fine-grained visual reasoning is not exclusive to generative models trained by an autoregressive loss: When converted into CLIP-like encoders by contrastive finetuning, these MLLMs still outperform CLIP under the same cosine similarity-based evaluation protocol. Our study highlights the importance of VLM architectural choices and suggests directions for improving the performance of CLIP-like contrastive VLMs.</v>
      </c>
      <c r="D2113" s="7" t="str">
        <f>IFERROR(__xludf.DUMMYFUNCTION("""COMPUTED_VALUE"""),"Siting Li")</f>
        <v>Siting Li</v>
      </c>
      <c r="E2113" s="7" t="str">
        <f>IFERROR(__xludf.DUMMYFUNCTION("""COMPUTED_VALUE"""),"Yes")</f>
        <v>Yes</v>
      </c>
      <c r="F2113" s="7" t="str">
        <f>IFERROR(__xludf.DUMMYFUNCTION("""COMPUTED_VALUE"""),"V-Presentation")</f>
        <v>V-Presentation</v>
      </c>
      <c r="G2113" s="7" t="str">
        <f>IFERROR(__xludf.DUMMYFUNCTION("""COMPUTED_VALUE"""),"Virtual/Gather")</f>
        <v>Virtual/Gather</v>
      </c>
      <c r="H2113" s="7" t="str">
        <f>IFERROR(__xludf.DUMMYFUNCTION("""COMPUTED_VALUE"""),"Zoom")</f>
        <v>Zoom</v>
      </c>
      <c r="I2113" s="7" t="str">
        <f>IFERROR(__xludf.DUMMYFUNCTION("""COMPUTED_VALUE"""),"Session 10: V-Presenations")</f>
        <v>Session 10: V-Presenations</v>
      </c>
      <c r="J2113" s="7" t="str">
        <f>IFERROR(__xludf.DUMMYFUNCTION("""COMPUTED_VALUE"""),"Virtual Presentations 3")</f>
        <v>Virtual Presentations 3</v>
      </c>
      <c r="K2113" s="7"/>
      <c r="L2113" s="8">
        <f>IFERROR(__xludf.DUMMYFUNCTION("""COMPUTED_VALUE"""),45867.0)</f>
        <v>45867</v>
      </c>
      <c r="M2113" s="7" t="str">
        <f>IFERROR(__xludf.DUMMYFUNCTION("""COMPUTED_VALUE"""),"16:00-17:30")</f>
        <v>16:00-17:30</v>
      </c>
      <c r="N2113" s="7"/>
    </row>
    <row r="2114">
      <c r="A2114" s="7" t="str">
        <f>IFERROR(__xludf.DUMMYFUNCTION("""COMPUTED_VALUE"""),"1165-MAIN")</f>
        <v>1165-MAIN</v>
      </c>
      <c r="B2114" s="7" t="str">
        <f>IFERROR(__xludf.DUMMYFUNCTION("""COMPUTED_VALUE"""),"NexusSum: Hierarchical LLM Agents for Long-Form Narrative Summarization")</f>
        <v>NexusSum: Hierarchical LLM Agents for Long-Form Narrative Summarization</v>
      </c>
      <c r="C2114" s="7" t="str">
        <f>IFERROR(__xludf.DUMMYFUNCTION("""COMPUTED_VALUE"""),"Summarizing long-form narratives—such as books, movies, and TV scripts—requires capturing intricate plotlines, character interactions, and thematic coherence, a task that remains challenging for existing LLMs. We introduce NexusSum, a multi-agent LLM fram"&amp;"ework for narrative summarization that processes long-form text through a structured, sequential pipeline—without requiring fine-tuning. Our approach introduces two key innovations: **(1) Dialogue-to-Description Transformation**: A narrative-specific prep"&amp;"rocessing method that standardizes character dialogue and descriptive text into a unified format, improving coherence. **(2) Hierarchical Multi-LLM Summarization**: A structured summarization pipeline that optimizes chunk processing and controls output le"&amp;"ngth for accurate, high-quality summaries. Our method establishes a new state-of-the-art in narrative summarization, achieving up to **a 30.0% improvement in BERTScore (F1)** across books, movies, and TV scripts. These results demonstrate the effectivenes"&amp;"s of multi-agent LLMs in handling long-form content, offering a scalable approach for structured summarization in diverse storytelling domains.")</f>
        <v>Summarizing long-form narratives—such as books, movies, and TV scripts—requires capturing intricate plotlines, character interactions, and thematic coherence, a task that remains challenging for existing LLMs. We introduce NexusSum, a multi-agent LLM framework for narrative summarization that processes long-form text through a structured, sequential pipeline—without requiring fine-tuning. Our approach introduces two key innovations: **(1) Dialogue-to-Description Transformation**: A narrative-specific preprocessing method that standardizes character dialogue and descriptive text into a unified format, improving coherence. **(2) Hierarchical Multi-LLM Summarization**: A structured summarization pipeline that optimizes chunk processing and controls output length for accurate, high-quality summaries. Our method establishes a new state-of-the-art in narrative summarization, achieving up to **a 30.0% improvement in BERTScore (F1)** across books, movies, and TV scripts. These results demonstrate the effectiveness of multi-agent LLMs in handling long-form content, offering a scalable approach for structured summarization in diverse storytelling domains.</v>
      </c>
      <c r="D2114" s="7" t="str">
        <f>IFERROR(__xludf.DUMMYFUNCTION("""COMPUTED_VALUE"""),"Hyuntak Kim")</f>
        <v>Hyuntak Kim</v>
      </c>
      <c r="E2114" s="7" t="str">
        <f>IFERROR(__xludf.DUMMYFUNCTION("""COMPUTED_VALUE"""),"Yes")</f>
        <v>Yes</v>
      </c>
      <c r="F2114" s="7" t="str">
        <f>IFERROR(__xludf.DUMMYFUNCTION("""COMPUTED_VALUE"""),"IP-Poster")</f>
        <v>IP-Poster</v>
      </c>
      <c r="G2114" s="7" t="str">
        <f>IFERROR(__xludf.DUMMYFUNCTION("""COMPUTED_VALUE"""),"In-Person")</f>
        <v>In-Person</v>
      </c>
      <c r="H2114" s="7" t="str">
        <f>IFERROR(__xludf.DUMMYFUNCTION("""COMPUTED_VALUE"""),"Hall 4/5")</f>
        <v>Hall 4/5</v>
      </c>
      <c r="I2114" s="7" t="str">
        <f>IFERROR(__xludf.DUMMYFUNCTION("""COMPUTED_VALUE"""),"Session 2: IP-Posters ")</f>
        <v>Session 2: IP-Posters </v>
      </c>
      <c r="J2114" s="7" t="str">
        <f>IFERROR(__xludf.DUMMYFUNCTION("""COMPUTED_VALUE"""),"Poster Session 1")</f>
        <v>Poster Session 1</v>
      </c>
      <c r="K2114" s="7"/>
      <c r="L2114" s="8">
        <f>IFERROR(__xludf.DUMMYFUNCTION("""COMPUTED_VALUE"""),45866.0)</f>
        <v>45866</v>
      </c>
      <c r="M2114" s="7" t="str">
        <f>IFERROR(__xludf.DUMMYFUNCTION("""COMPUTED_VALUE"""),"11:00-12:30")</f>
        <v>11:00-12:30</v>
      </c>
      <c r="N2114" s="7"/>
    </row>
    <row r="2115">
      <c r="A2115" s="7" t="str">
        <f>IFERROR(__xludf.DUMMYFUNCTION("""COMPUTED_VALUE"""),"1166-MAIN")</f>
        <v>1166-MAIN</v>
      </c>
      <c r="B2115" s="7" t="str">
        <f>IFERROR(__xludf.DUMMYFUNCTION("""COMPUTED_VALUE"""),"HAIC: Improving Human Action Understanding and Generation with Better Captions for Multi-modal Large Language Models")</f>
        <v>HAIC: Improving Human Action Understanding and Generation with Better Captions for Multi-modal Large Language Models</v>
      </c>
      <c r="C2115" s="7" t="str">
        <f>IFERROR(__xludf.DUMMYFUNCTION("""COMPUTED_VALUE"""),"Recent Multi-modal Large Language Models (MLLMs) have made great progress in video understanding. However, their performance on videos involving human actions is still limited by the lack of high-quality data. To address this, we introduce a two-stage dat"&amp;"a annotation pipeline. First, we design strategies to accumulate videos featuring clear human actions from the Internet. Second, videos are annotated in a standardized caption format that uses human attributes to distinguish individuals and chronologicall"&amp;"y details their actions and interactions. Through this pipeline, we curate two datasets, namely HAICTrain and HAICBench. **HAICTrain** comprises 126K video-caption pairs generated by Gemini-Pro and verified for training purposes. Meanwhile, **HAICBench** "&amp;"includes 412 manually annotated video-caption pairs and 2,000 QA pairs, for a comprehensive evaluation of human action understanding. Experimental results demonstrate that training with HAICTrain not only significantly enhances human understanding abiliti"&amp;"es across 4 benchmarks, but can also improve text-to-video generation results. Both the HAICTrain and HAICBench will be made open-source to facilitate further research.")</f>
        <v>Recent Multi-modal Large Language Models (MLLMs) have made great progress in video understanding. However, their performance on videos involving human actions is still limited by the lack of high-quality data. To address this, we introduce a two-stage data annotation pipeline. First, we design strategies to accumulate videos featuring clear human actions from the Internet. Second, videos are annotated in a standardized caption format that uses human attributes to distinguish individuals and chronologically details their actions and interactions. Through this pipeline, we curate two datasets, namely HAICTrain and HAICBench. **HAICTrain** comprises 126K video-caption pairs generated by Gemini-Pro and verified for training purposes. Meanwhile, **HAICBench** includes 412 manually annotated video-caption pairs and 2,000 QA pairs, for a comprehensive evaluation of human action understanding. Experimental results demonstrate that training with HAICTrain not only significantly enhances human understanding abilities across 4 benchmarks, but can also improve text-to-video generation results. Both the HAICTrain and HAICBench will be made open-source to facilitate further research.</v>
      </c>
      <c r="D2115" s="7" t="str">
        <f>IFERROR(__xludf.DUMMYFUNCTION("""COMPUTED_VALUE"""),"Xiao Wang")</f>
        <v>Xiao Wang</v>
      </c>
      <c r="E2115" s="7" t="str">
        <f>IFERROR(__xludf.DUMMYFUNCTION("""COMPUTED_VALUE"""),"Yes")</f>
        <v>Yes</v>
      </c>
      <c r="F2115" s="7" t="str">
        <f>IFERROR(__xludf.DUMMYFUNCTION("""COMPUTED_VALUE"""),"IP-Poster")</f>
        <v>IP-Poster</v>
      </c>
      <c r="G2115" s="7" t="str">
        <f>IFERROR(__xludf.DUMMYFUNCTION("""COMPUTED_VALUE"""),"In-Person")</f>
        <v>In-Person</v>
      </c>
      <c r="H2115" s="7" t="str">
        <f>IFERROR(__xludf.DUMMYFUNCTION("""COMPUTED_VALUE"""),"Hall 4/5")</f>
        <v>Hall 4/5</v>
      </c>
      <c r="I2115" s="7" t="str">
        <f>IFERROR(__xludf.DUMMYFUNCTION("""COMPUTED_VALUE"""),"Session 2: IP-Posters ")</f>
        <v>Session 2: IP-Posters </v>
      </c>
      <c r="J2115" s="7" t="str">
        <f>IFERROR(__xludf.DUMMYFUNCTION("""COMPUTED_VALUE"""),"Poster Session 1")</f>
        <v>Poster Session 1</v>
      </c>
      <c r="K2115" s="7"/>
      <c r="L2115" s="8">
        <f>IFERROR(__xludf.DUMMYFUNCTION("""COMPUTED_VALUE"""),45866.0)</f>
        <v>45866</v>
      </c>
      <c r="M2115" s="7" t="str">
        <f>IFERROR(__xludf.DUMMYFUNCTION("""COMPUTED_VALUE"""),"11:00-12:30")</f>
        <v>11:00-12:30</v>
      </c>
      <c r="N2115" s="7"/>
    </row>
    <row r="2116">
      <c r="A2116" s="7" t="str">
        <f>IFERROR(__xludf.DUMMYFUNCTION("""COMPUTED_VALUE"""),"1171-MAIN")</f>
        <v>1171-MAIN</v>
      </c>
      <c r="B2116" s="7" t="str">
        <f>IFERROR(__xludf.DUMMYFUNCTION("""COMPUTED_VALUE"""),"Uni-Retrieval: A Multi-Style Retrieval Framework for STEM's Education")</f>
        <v>Uni-Retrieval: A Multi-Style Retrieval Framework for STEM's Education</v>
      </c>
      <c r="C2116" s="7" t="str">
        <f>IFERROR(__xludf.DUMMYFUNCTION("""COMPUTED_VALUE"""),"In AI-facilitated teaching, leveraging various query styles to interpret abstract text descriptions is crucial for ensuring high-quality teaching. However, current retrieval models primarily focus on natural text-image retrieval, making them insufficientl"&amp;"y tailored to educational scenarios due to the ambiguities in the retrieval process. In this paper, we propose a diverse expression retrieval task tailored to educational scenarios, supporting retrieval based on multiple query styles and expressions. We i"&amp;"ntroduce the STEM Education Retrieval Dataset (SER), which contains over 24,000 query pairs of different styles, and the Uni-Retrieval, an efficient and style-diversified retrieval vision-language model based on prompt tuning. Uni-Retrieval extracts query"&amp;" style features as prototypes and builds a continuously updated Prompt Bank containing prompt tokens for diverse queries. This bank can updated during test time to represent domain-specific knowledge for different subject retrieval scenarios. Our framewor"&amp;"k demonstrates scalability and robustness by dynamically retrieving prompt tokens based on prototype similarity, effectively facilitating learning for unknown queries. Experimental results indicate that Uni-Retrieval outperforms existing retrieval models "&amp;"in most retrieval tasks.")</f>
        <v>In AI-facilitated teaching, leveraging various query styles to interpret abstract text descriptions is crucial for ensuring high-quality teaching. However, current retrieval models primarily focus on natural text-image retrieval, making them insufficiently tailored to educational scenarios due to the ambiguities in the retrieval process. In this paper, we propose a diverse expression retrieval task tailored to educational scenarios, supporting retrieval based on multiple query styles and expressions. We introduce the STEM Education Retrieval Dataset (SER), which contains over 24,000 query pairs of different styles, and the Uni-Retrieval, an efficient and style-diversified retrieval vision-language model based on prompt tuning. Uni-Retrieval extracts query style features as prototypes and builds a continuously updated Prompt Bank containing prompt tokens for diverse queries. This bank can updated during test time to represent domain-specific knowledge for different subject retrieval scenarios. Our framework demonstrates scalability and robustness by dynamically retrieving prompt tokens based on prototype similarity, effectively facilitating learning for unknown queries. Experimental results indicate that Uni-Retrieval outperforms existing retrieval models in most retrieval tasks.</v>
      </c>
      <c r="D2116" s="7" t="str">
        <f>IFERROR(__xludf.DUMMYFUNCTION("""COMPUTED_VALUE"""),"yanhao jia")</f>
        <v>yanhao jia</v>
      </c>
      <c r="E2116" s="7" t="str">
        <f>IFERROR(__xludf.DUMMYFUNCTION("""COMPUTED_VALUE"""),"Yes")</f>
        <v>Yes</v>
      </c>
      <c r="F2116" s="7" t="str">
        <f>IFERROR(__xludf.DUMMYFUNCTION("""COMPUTED_VALUE"""),"V-Presentation")</f>
        <v>V-Presentation</v>
      </c>
      <c r="G2116" s="7" t="str">
        <f>IFERROR(__xludf.DUMMYFUNCTION("""COMPUTED_VALUE"""),"Virtual/Gather")</f>
        <v>Virtual/Gather</v>
      </c>
      <c r="H2116" s="7" t="str">
        <f>IFERROR(__xludf.DUMMYFUNCTION("""COMPUTED_VALUE"""),"Zoom")</f>
        <v>Zoom</v>
      </c>
      <c r="I2116" s="7" t="str">
        <f>IFERROR(__xludf.DUMMYFUNCTION("""COMPUTED_VALUE"""),"Session 12: V-Presentations")</f>
        <v>Session 12: V-Presentations</v>
      </c>
      <c r="J2116" s="7" t="str">
        <f>IFERROR(__xludf.DUMMYFUNCTION("""COMPUTED_VALUE"""),"Virtual Presentations 4")</f>
        <v>Virtual Presentations 4</v>
      </c>
      <c r="K2116" s="7"/>
      <c r="L2116" s="8">
        <f>IFERROR(__xludf.DUMMYFUNCTION("""COMPUTED_VALUE"""),45868.0)</f>
        <v>45868</v>
      </c>
      <c r="M2116" s="7" t="str">
        <f>IFERROR(__xludf.DUMMYFUNCTION("""COMPUTED_VALUE"""),"11:00-12:30")</f>
        <v>11:00-12:30</v>
      </c>
      <c r="N2116" s="7"/>
    </row>
    <row r="2117">
      <c r="A2117" s="7" t="str">
        <f>IFERROR(__xludf.DUMMYFUNCTION("""COMPUTED_VALUE"""),"1172-MAIN")</f>
        <v>1172-MAIN</v>
      </c>
      <c r="B2117" s="7" t="str">
        <f>IFERROR(__xludf.DUMMYFUNCTION("""COMPUTED_VALUE"""),"DenseLoRA: Dense Low-Rank Adaptation of Large Language Models")</f>
        <v>DenseLoRA: Dense Low-Rank Adaptation of Large Language Models</v>
      </c>
      <c r="C2117" s="7" t="str">
        <f>IFERROR(__xludf.DUMMYFUNCTION("""COMPUTED_VALUE"""),"Low-rank adaptation (LoRA) has been developed as an efficient approach for adapting large language models (LLMs) by fine-tuning two low-rank matrices, thereby reducing the number of trainable parameters. However, prior research indicates that many of the "&amp;"weights in these matrices are redundant, leading to inefficiencies in parameter utilization. To address this limitation, we introduce Dense Low-Rank Adaptation (DenseLoRA), a novel approach that enhances parameter efficiency while achieving superior perfo"&amp;"rmance compared to LoRA. DenseLoRA builds upon the concept of representation fine-tuning, incorporating a single Encoder-Decoder to refine and compress hidden representations across all adaptation layers before applying adaptation. Instead of relying on t"&amp;"wo redundant low-rank matrices as in LoRA, DenseLoRA adapts LLMs through a dense low-rank matrix, improving parameter utilization and adaptation efficiency. We evaluate DenseLoRA on various benchmarks, showing that it achieves 83.8% accuracy with only 0.0"&amp;"1% of trainable parameters, compared to LoRA's 80.8% accuracy with 0.70% of trainable parameters on LLaMA3-8B. Additionally, we conduct extensive experiments to systematically assess the impact of DenseLoRA’s components on overall model performance.")</f>
        <v>Low-rank adaptation (LoRA) has been developed as an efficient approach for adapting large language models (LLMs) by fine-tuning two low-rank matrices, thereby reducing the number of trainable parameters. However, prior research indicates that many of the weights in these matrices are redundant, leading to inefficiencies in parameter utilization. To address this limitation, we introduce Dense Low-Rank Adaptation (DenseLoRA), a novel approach that enhances parameter efficiency while achieving superior performance compared to LoRA. DenseLoRA builds upon the concept of representation fine-tuning, incorporating a single Encoder-Decoder to refine and compress hidden representations across all adaptation layers before applying adaptation. Instead of relying on two redundant low-rank matrices as in LoRA, DenseLoRA adapts LLMs through a dense low-rank matrix, improving parameter utilization and adaptation efficiency. We evaluate DenseLoRA on various benchmarks, showing that it achieves 83.8% accuracy with only 0.01% of trainable parameters, compared to LoRA's 80.8% accuracy with 0.70% of trainable parameters on LLaMA3-8B. Additionally, we conduct extensive experiments to systematically assess the impact of DenseLoRA’s components on overall model performance.</v>
      </c>
      <c r="D2117" s="7" t="str">
        <f>IFERROR(__xludf.DUMMYFUNCTION("""COMPUTED_VALUE"""),"Lin Mu, Xiaoyu Wang")</f>
        <v>Lin Mu, Xiaoyu Wang</v>
      </c>
      <c r="E2117" s="7" t="str">
        <f>IFERROR(__xludf.DUMMYFUNCTION("""COMPUTED_VALUE"""),"Yes")</f>
        <v>Yes</v>
      </c>
      <c r="F2117" s="7" t="str">
        <f>IFERROR(__xludf.DUMMYFUNCTION("""COMPUTED_VALUE"""),"IP-Poster")</f>
        <v>IP-Poster</v>
      </c>
      <c r="G2117" s="7" t="str">
        <f>IFERROR(__xludf.DUMMYFUNCTION("""COMPUTED_VALUE"""),"In-Person")</f>
        <v>In-Person</v>
      </c>
      <c r="H2117" s="7" t="str">
        <f>IFERROR(__xludf.DUMMYFUNCTION("""COMPUTED_VALUE"""),"Hall 4/5")</f>
        <v>Hall 4/5</v>
      </c>
      <c r="I2117" s="7" t="str">
        <f>IFERROR(__xludf.DUMMYFUNCTION("""COMPUTED_VALUE"""),"Session 10: IP-Posters")</f>
        <v>Session 10: IP-Posters</v>
      </c>
      <c r="J2117" s="7" t="str">
        <f>IFERROR(__xludf.DUMMYFUNCTION("""COMPUTED_VALUE"""),"Poster Session 3")</f>
        <v>Poster Session 3</v>
      </c>
      <c r="K2117" s="7"/>
      <c r="L2117" s="8">
        <f>IFERROR(__xludf.DUMMYFUNCTION("""COMPUTED_VALUE"""),45867.0)</f>
        <v>45867</v>
      </c>
      <c r="M2117" s="7" t="str">
        <f>IFERROR(__xludf.DUMMYFUNCTION("""COMPUTED_VALUE"""),"16:00-17:30")</f>
        <v>16:00-17:30</v>
      </c>
      <c r="N2117" s="7"/>
    </row>
    <row r="2118">
      <c r="A2118" s="7" t="str">
        <f>IFERROR(__xludf.DUMMYFUNCTION("""COMPUTED_VALUE"""),"1173-MAIN")</f>
        <v>1173-MAIN</v>
      </c>
      <c r="B2118" s="7" t="str">
        <f>IFERROR(__xludf.DUMMYFUNCTION("""COMPUTED_VALUE"""),"Exploring the Potential of LLMs as Personalized Assistants: Dataset, Evaluation, and Analysis")</f>
        <v>Exploring the Potential of LLMs as Personalized Assistants: Dataset, Evaluation, and Analysis</v>
      </c>
      <c r="C2118" s="7" t="str">
        <f>IFERROR(__xludf.DUMMYFUNCTION("""COMPUTED_VALUE"""),"Personalized AI assistants, a hallmark of the human-like capabilities of Large Language Models (LLMs), are a challenging application that intertwines multiple problems in LLM research. Despite the growing interest in the development of personalized assist"&amp;"ants, the lack of an open-source conversational dataset tailored for personalization remains a significant obstacle for researchers in the field. To address this research gap, we introduce HiCUPID, a new benchmark to probe and unleash the potential of LLM"&amp;"s to deliver personalized responses. Alongside a conversational dataset, HiCUPID provides a Llama-3.2-based automated evaluation model whose assessment closely mirrors human preferences. We release our dataset, evaluation model, and code at https://github"&amp;".com/12kimih/HiCUPID.")</f>
        <v>Personalized AI assistants, a hallmark of the human-like capabilities of Large Language Models (LLMs), are a challenging application that intertwines multiple problems in LLM research. Despite the growing interest in the development of personalized assistants, the lack of an open-source conversational dataset tailored for personalization remains a significant obstacle for researchers in the field. To address this research gap, we introduce HiCUPID, a new benchmark to probe and unleash the potential of LLMs to deliver personalized responses. Alongside a conversational dataset, HiCUPID provides a Llama-3.2-based automated evaluation model whose assessment closely mirrors human preferences. We release our dataset, evaluation model, and code at https://github.com/12kimih/HiCUPID.</v>
      </c>
      <c r="D2118" s="7" t="str">
        <f>IFERROR(__xludf.DUMMYFUNCTION("""COMPUTED_VALUE"""),"Jisoo Mok")</f>
        <v>Jisoo Mok</v>
      </c>
      <c r="E2118" s="7" t="str">
        <f>IFERROR(__xludf.DUMMYFUNCTION("""COMPUTED_VALUE"""),"Yes")</f>
        <v>Yes</v>
      </c>
      <c r="F2118" s="7" t="str">
        <f>IFERROR(__xludf.DUMMYFUNCTION("""COMPUTED_VALUE"""),"IP-Poster")</f>
        <v>IP-Poster</v>
      </c>
      <c r="G2118" s="7" t="str">
        <f>IFERROR(__xludf.DUMMYFUNCTION("""COMPUTED_VALUE"""),"In-Person")</f>
        <v>In-Person</v>
      </c>
      <c r="H2118" s="7" t="str">
        <f>IFERROR(__xludf.DUMMYFUNCTION("""COMPUTED_VALUE"""),"Hall 4/5")</f>
        <v>Hall 4/5</v>
      </c>
      <c r="I2118" s="7" t="str">
        <f>IFERROR(__xludf.DUMMYFUNCTION("""COMPUTED_VALUE"""),"Session 2: IP-Posters ")</f>
        <v>Session 2: IP-Posters </v>
      </c>
      <c r="J2118" s="7" t="str">
        <f>IFERROR(__xludf.DUMMYFUNCTION("""COMPUTED_VALUE"""),"Poster Session 1")</f>
        <v>Poster Session 1</v>
      </c>
      <c r="K2118" s="7"/>
      <c r="L2118" s="8">
        <f>IFERROR(__xludf.DUMMYFUNCTION("""COMPUTED_VALUE"""),45866.0)</f>
        <v>45866</v>
      </c>
      <c r="M2118" s="7" t="str">
        <f>IFERROR(__xludf.DUMMYFUNCTION("""COMPUTED_VALUE"""),"11:00-12:30")</f>
        <v>11:00-12:30</v>
      </c>
      <c r="N2118" s="7"/>
    </row>
    <row r="2119">
      <c r="A2119" s="7" t="str">
        <f>IFERROR(__xludf.DUMMYFUNCTION("""COMPUTED_VALUE"""),"1175-MAIN")</f>
        <v>1175-MAIN</v>
      </c>
      <c r="B2119" s="7" t="str">
        <f>IFERROR(__xludf.DUMMYFUNCTION("""COMPUTED_VALUE"""),"Cracking Factual Knowledge: A Comprehensive Analysis of Degenerate Knowledge Neurons in Large Language Models")</f>
        <v>Cracking Factual Knowledge: A Comprehensive Analysis of Degenerate Knowledge Neurons in Large Language Models</v>
      </c>
      <c r="C2119" s="7" t="str">
        <f>IFERROR(__xludf.DUMMYFUNCTION("""COMPUTED_VALUE"""),"Knowledge neuron theory provides a key approach to understanding the mechanisms of factual knowledge in Large Language Models (LLMs), which suggests that facts are stored within multi-layer perceptron neurons. This paper further explores **Degenerate Know"&amp;"ledge Neurons** (DKNs), where distinct sets of neurons can store identical facts, but unlike simple redundancy, they also participate in storing other different facts. Despite the novelty and unique properties of this concept, it has not been rigorously d"&amp;"efined and systematically studied. Our contributions are: (1) We pioneer the study of structures in knowledge neurons by analyzing weight connection patterns, providing a comprehensive definition of DKNs from both functional and structural aspects. (2) Ba"&amp;"sed on this definition, we develop the **Neuronal Topology Clustering** method, leading to a more accurate DKN identification. (3) We demonstrate the practical applications of DKNs in two aspects: guiding LLMs to learn new knowledge and relating to LLMs' "&amp;"robustness against input errors.")</f>
        <v>Knowledge neuron theory provides a key approach to understanding the mechanisms of factual knowledge in Large Language Models (LLMs), which suggests that facts are stored within multi-layer perceptron neurons. This paper further explores **Degenerate Knowledge Neurons** (DKNs), where distinct sets of neurons can store identical facts, but unlike simple redundancy, they also participate in storing other different facts. Despite the novelty and unique properties of this concept, it has not been rigorously defined and systematically studied. Our contributions are: (1) We pioneer the study of structures in knowledge neurons by analyzing weight connection patterns, providing a comprehensive definition of DKNs from both functional and structural aspects. (2) Based on this definition, we develop the **Neuronal Topology Clustering** method, leading to a more accurate DKN identification. (3) We demonstrate the practical applications of DKNs in two aspects: guiding LLMs to learn new knowledge and relating to LLMs' robustness against input errors.</v>
      </c>
      <c r="D2119" s="7" t="str">
        <f>IFERROR(__xludf.DUMMYFUNCTION("""COMPUTED_VALUE"""),"Yuheng Chen")</f>
        <v>Yuheng Chen</v>
      </c>
      <c r="E2119" s="7" t="str">
        <f>IFERROR(__xludf.DUMMYFUNCTION("""COMPUTED_VALUE"""),"Yes")</f>
        <v>Yes</v>
      </c>
      <c r="F2119" s="7" t="str">
        <f>IFERROR(__xludf.DUMMYFUNCTION("""COMPUTED_VALUE"""),"V-Presentation")</f>
        <v>V-Presentation</v>
      </c>
      <c r="G2119" s="7" t="str">
        <f>IFERROR(__xludf.DUMMYFUNCTION("""COMPUTED_VALUE"""),"Virtual/Gather")</f>
        <v>Virtual/Gather</v>
      </c>
      <c r="H2119" s="7" t="str">
        <f>IFERROR(__xludf.DUMMYFUNCTION("""COMPUTED_VALUE"""),"Zoom")</f>
        <v>Zoom</v>
      </c>
      <c r="I2119" s="7" t="str">
        <f>IFERROR(__xludf.DUMMYFUNCTION("""COMPUTED_VALUE"""),"Session 2: V-Presentations")</f>
        <v>Session 2: V-Presentations</v>
      </c>
      <c r="J2119" s="7" t="str">
        <f>IFERROR(__xludf.DUMMYFUNCTION("""COMPUTED_VALUE"""),"Virtual Presentations 1")</f>
        <v>Virtual Presentations 1</v>
      </c>
      <c r="K2119" s="7"/>
      <c r="L2119" s="8">
        <f>IFERROR(__xludf.DUMMYFUNCTION("""COMPUTED_VALUE"""),45866.0)</f>
        <v>45866</v>
      </c>
      <c r="M2119" s="7" t="str">
        <f>IFERROR(__xludf.DUMMYFUNCTION("""COMPUTED_VALUE"""),"11:00-12:30")</f>
        <v>11:00-12:30</v>
      </c>
      <c r="N2119" s="7"/>
    </row>
    <row r="2120">
      <c r="A2120" s="7" t="str">
        <f>IFERROR(__xludf.DUMMYFUNCTION("""COMPUTED_VALUE"""),"1176-MAIN")</f>
        <v>1176-MAIN</v>
      </c>
      <c r="B2120" s="7" t="str">
        <f>IFERROR(__xludf.DUMMYFUNCTION("""COMPUTED_VALUE"""),"Towards Context-Robust LLMs: A Gated Representation Fine-tuning Approach")</f>
        <v>Towards Context-Robust LLMs: A Gated Representation Fine-tuning Approach</v>
      </c>
      <c r="C2120" s="7" t="str">
        <f>IFERROR(__xludf.DUMMYFUNCTION("""COMPUTED_VALUE"""),"Large Language Models (LLMs) enhanced with external contexts, such as through retrieval-augmented generation (RAG), often face challenges in handling imperfect evidence. They tend to over-rely on external knowledge, making them vulnerable to misleading an"&amp;"d unhelpful contexts. To address this, we propose the concept of context-robust LLMs, which can effectively balance internal knowledge with external context, similar to human cognitive processes. Specifically, context-robust LLMs should rely on external c"&amp;"ontext only when lacking internal knowledge, identify contradictions between internal and external knowledge, and disregard unhelpful contexts. To achieve this goal, we introduce Grft, a lightweight and plug-and-play gated representation fine-tuning appro"&amp;"ach. Grft consists of two key components: a gating mechanism to detect and filter problematic inputs, and low-rank representation adapters to adjust hidden representations. By training a lightweight intervention function with only 0.0004% of model size on"&amp;" fewer than 200 examples, Grft can effectively adapt LLMs towards context-robust behaviors.")</f>
        <v>Large Language Models (LLMs) enhanced with external contexts, such as through retrieval-augmented generation (RAG), often face challenges in handling imperfect evidence. They tend to over-rely on external knowledge, making them vulnerable to misleading and unhelpful contexts. To address this, we propose the concept of context-robust LLMs, which can effectively balance internal knowledge with external context, similar to human cognitive processes. Specifically, context-robust LLMs should rely on external context only when lacking internal knowledge, identify contradictions between internal and external knowledge, and disregard unhelpful contexts. To achieve this goal, we introduce Grft, a lightweight and plug-and-play gated representation fine-tuning approach. Grft consists of two key components: a gating mechanism to detect and filter problematic inputs, and low-rank representation adapters to adjust hidden representations. By training a lightweight intervention function with only 0.0004% of model size on fewer than 200 examples, Grft can effectively adapt LLMs towards context-robust behaviors.</v>
      </c>
      <c r="D2120" s="7" t="str">
        <f>IFERROR(__xludf.DUMMYFUNCTION("""COMPUTED_VALUE"""),"Shenglai Zeng")</f>
        <v>Shenglai Zeng</v>
      </c>
      <c r="E2120" s="7" t="str">
        <f>IFERROR(__xludf.DUMMYFUNCTION("""COMPUTED_VALUE"""),"Yes")</f>
        <v>Yes</v>
      </c>
      <c r="F2120" s="7" t="str">
        <f>IFERROR(__xludf.DUMMYFUNCTION("""COMPUTED_VALUE"""),"V-Presentation")</f>
        <v>V-Presentation</v>
      </c>
      <c r="G2120" s="7" t="str">
        <f>IFERROR(__xludf.DUMMYFUNCTION("""COMPUTED_VALUE"""),"Virtual/Gather")</f>
        <v>Virtual/Gather</v>
      </c>
      <c r="H2120" s="7" t="str">
        <f>IFERROR(__xludf.DUMMYFUNCTION("""COMPUTED_VALUE"""),"Zoom")</f>
        <v>Zoom</v>
      </c>
      <c r="I2120" s="7" t="str">
        <f>IFERROR(__xludf.DUMMYFUNCTION("""COMPUTED_VALUE"""),"Session 12: V-Presentations")</f>
        <v>Session 12: V-Presentations</v>
      </c>
      <c r="J2120" s="7" t="str">
        <f>IFERROR(__xludf.DUMMYFUNCTION("""COMPUTED_VALUE"""),"Virtual Presentations 4")</f>
        <v>Virtual Presentations 4</v>
      </c>
      <c r="K2120" s="7"/>
      <c r="L2120" s="8">
        <f>IFERROR(__xludf.DUMMYFUNCTION("""COMPUTED_VALUE"""),45868.0)</f>
        <v>45868</v>
      </c>
      <c r="M2120" s="7" t="str">
        <f>IFERROR(__xludf.DUMMYFUNCTION("""COMPUTED_VALUE"""),"11:00-12:30")</f>
        <v>11:00-12:30</v>
      </c>
      <c r="N2120" s="7"/>
    </row>
    <row r="2121">
      <c r="A2121" s="7" t="str">
        <f>IFERROR(__xludf.DUMMYFUNCTION("""COMPUTED_VALUE"""),"1182-MAIN")</f>
        <v>1182-MAIN</v>
      </c>
      <c r="B2121" s="7" t="str">
        <f>IFERROR(__xludf.DUMMYFUNCTION("""COMPUTED_VALUE"""),"Seeking Rational Demonstrations for Large Language Models: A Domain Generalization Approach to Unsupervised Cross-Domain Keyphrase Generation")</f>
        <v>Seeking Rational Demonstrations for Large Language Models: A Domain Generalization Approach to Unsupervised Cross-Domain Keyphrase Generation</v>
      </c>
      <c r="C2121" s="7" t="str">
        <f>IFERROR(__xludf.DUMMYFUNCTION("""COMPUTED_VALUE"""),"Unsupervised cross-domain keyphrase generation is crucial in real-world natural language processing scenarios. However, the accuracy of up-to-date approaches is limited by the distribution shift between source and target domain, which stems from the cross"&amp;"-domain field. Large language models (LLMs) offer potential for the cross-domain keyphrase generation tasks due to their strong generalization abilities, facilitated by providing demonstrations relevant to the target task. Nevertheless, it is often diffic"&amp;"ult to obtain labeled samples from the target domain. To address this challenge, this paper aims to seek rational demonstrations from the source domain, thereby improving the LLMs' ability in the unsupervised cross-domain keyphrase generation setting. Spe"&amp;"cifically, we design a novel domain-aware retrieval model on the source domain. Guided by insights from domain generalization theory, we introduce two generalization terms, one for cross-domain relevance and another for each domain consistency to better s"&amp;"upport retrieval of rational demonstrations. By the retrieved source-domain demonstrations and distance-based relevant score, the proposed approach achieves optimal accuracy. Comprehensive experiments on widely used cross-domain KG benchmarks demonstrate "&amp;"our approach’s state-of-the-art performance and effectiveness.")</f>
        <v>Unsupervised cross-domain keyphrase generation is crucial in real-world natural language processing scenarios. However, the accuracy of up-to-date approaches is limited by the distribution shift between source and target domain, which stems from the cross-domain field. Large language models (LLMs) offer potential for the cross-domain keyphrase generation tasks due to their strong generalization abilities, facilitated by providing demonstrations relevant to the target task. Nevertheless, it is often difficult to obtain labeled samples from the target domain. To address this challenge, this paper aims to seek rational demonstrations from the source domain, thereby improving the LLMs' ability in the unsupervised cross-domain keyphrase generation setting. Specifically, we design a novel domain-aware retrieval model on the source domain. Guided by insights from domain generalization theory, we introduce two generalization terms, one for cross-domain relevance and another for each domain consistency to better support retrieval of rational demonstrations. By the retrieved source-domain demonstrations and distance-based relevant score, the proposed approach achieves optimal accuracy. Comprehensive experiments on widely used cross-domain KG benchmarks demonstrate our approach’s state-of-the-art performance and effectiveness.</v>
      </c>
      <c r="D2121" s="7" t="str">
        <f>IFERROR(__xludf.DUMMYFUNCTION("""COMPUTED_VALUE"""),"Guangzhen Zhao")</f>
        <v>Guangzhen Zhao</v>
      </c>
      <c r="E2121" s="7" t="str">
        <f>IFERROR(__xludf.DUMMYFUNCTION("""COMPUTED_VALUE"""),"Yes")</f>
        <v>Yes</v>
      </c>
      <c r="F2121" s="7" t="str">
        <f>IFERROR(__xludf.DUMMYFUNCTION("""COMPUTED_VALUE"""),"V-Presentation")</f>
        <v>V-Presentation</v>
      </c>
      <c r="G2121" s="7" t="str">
        <f>IFERROR(__xludf.DUMMYFUNCTION("""COMPUTED_VALUE"""),"Virtual/Gather")</f>
        <v>Virtual/Gather</v>
      </c>
      <c r="H2121" s="7" t="str">
        <f>IFERROR(__xludf.DUMMYFUNCTION("""COMPUTED_VALUE"""),"Zoom")</f>
        <v>Zoom</v>
      </c>
      <c r="I2121" s="7" t="str">
        <f>IFERROR(__xludf.DUMMYFUNCTION("""COMPUTED_VALUE"""),"Session 10: V-Presenations")</f>
        <v>Session 10: V-Presenations</v>
      </c>
      <c r="J2121" s="7" t="str">
        <f>IFERROR(__xludf.DUMMYFUNCTION("""COMPUTED_VALUE"""),"Virtual Presentations 3")</f>
        <v>Virtual Presentations 3</v>
      </c>
      <c r="K2121" s="7"/>
      <c r="L2121" s="8">
        <f>IFERROR(__xludf.DUMMYFUNCTION("""COMPUTED_VALUE"""),45867.0)</f>
        <v>45867</v>
      </c>
      <c r="M2121" s="7" t="str">
        <f>IFERROR(__xludf.DUMMYFUNCTION("""COMPUTED_VALUE"""),"16:00-17:30")</f>
        <v>16:00-17:30</v>
      </c>
      <c r="N2121" s="7"/>
    </row>
    <row r="2122">
      <c r="A2122" s="7" t="str">
        <f>IFERROR(__xludf.DUMMYFUNCTION("""COMPUTED_VALUE"""),"1183-MAIN")</f>
        <v>1183-MAIN</v>
      </c>
      <c r="B2122" s="7" t="str">
        <f>IFERROR(__xludf.DUMMYFUNCTION("""COMPUTED_VALUE"""),"On Support Samples of Next Word Prediction")</f>
        <v>On Support Samples of Next Word Prediction</v>
      </c>
      <c r="C2122" s="7" t="str">
        <f>IFERROR(__xludf.DUMMYFUNCTION("""COMPUTED_VALUE"""),"Language models excel in various tasks by making complex decisions, yet understanding the rationale behind these decisions remains a challenge. This paper investigates \emph{data-centric interpretability} in language models, focusing on the next-word pred"&amp;"iction task. Using representer theorem, we identify two types of \emph{support samples}—those that either promote or deter specific predictions. Our findings reveal that being a support sample is an intrinsic property, predictable even before training beg"&amp;"ins. Additionally, while non-support samples are less influential in direct predictions, they play a critical role in preventing overfitting and shaping generalization and representation learning. Notably, the importance of non-support samples increases i"&amp;"n deeper layers, suggesting their significant role in intermediate representation formation.These insights shed light on the interplay between data and model decisions, offering a new dimension to understanding language model behavior and interpretability"&amp;".")</f>
        <v>Language models excel in various tasks by making complex decisions, yet understanding the rationale behind these decisions remains a challenge. This paper investigates \emph{data-centric interpretability} in language models, focusing on the next-word prediction task. Using representer theorem, we identify two types of \emph{support samples}—those that either promote or deter specific predictions. Our findings reveal that being a support sample is an intrinsic property, predictable even before training begins. Additionally, while non-support samples are less influential in direct predictions, they play a critical role in preventing overfitting and shaping generalization and representation learning. Notably, the importance of non-support samples increases in deeper layers, suggesting their significant role in intermediate representation formation.These insights shed light on the interplay between data and model decisions, offering a new dimension to understanding language model behavior and interpretability.</v>
      </c>
      <c r="D2122" s="7" t="str">
        <f>IFERROR(__xludf.DUMMYFUNCTION("""COMPUTED_VALUE"""),"Yuqian Li")</f>
        <v>Yuqian Li</v>
      </c>
      <c r="E2122" s="7" t="str">
        <f>IFERROR(__xludf.DUMMYFUNCTION("""COMPUTED_VALUE"""),"Yes")</f>
        <v>Yes</v>
      </c>
      <c r="F2122" s="7" t="str">
        <f>IFERROR(__xludf.DUMMYFUNCTION("""COMPUTED_VALUE"""),"IP-Poster")</f>
        <v>IP-Poster</v>
      </c>
      <c r="G2122" s="7" t="str">
        <f>IFERROR(__xludf.DUMMYFUNCTION("""COMPUTED_VALUE"""),"In-Person")</f>
        <v>In-Person</v>
      </c>
      <c r="H2122" s="7" t="str">
        <f>IFERROR(__xludf.DUMMYFUNCTION("""COMPUTED_VALUE"""),"Hall 4/5")</f>
        <v>Hall 4/5</v>
      </c>
      <c r="I2122" s="7" t="str">
        <f>IFERROR(__xludf.DUMMYFUNCTION("""COMPUTED_VALUE"""),"Session 7: IP-Posters")</f>
        <v>Session 7: IP-Posters</v>
      </c>
      <c r="J2122" s="7" t="str">
        <f>IFERROR(__xludf.DUMMYFUNCTION("""COMPUTED_VALUE"""),"Poster Session 2")</f>
        <v>Poster Session 2</v>
      </c>
      <c r="K2122" s="7"/>
      <c r="L2122" s="8">
        <f>IFERROR(__xludf.DUMMYFUNCTION("""COMPUTED_VALUE"""),45867.0)</f>
        <v>45867</v>
      </c>
      <c r="M2122" s="7" t="str">
        <f>IFERROR(__xludf.DUMMYFUNCTION("""COMPUTED_VALUE"""),"10:30-12:00")</f>
        <v>10:30-12:00</v>
      </c>
      <c r="N2122" s="7"/>
    </row>
    <row r="2123">
      <c r="A2123" s="7" t="str">
        <f>IFERROR(__xludf.DUMMYFUNCTION("""COMPUTED_VALUE"""),"1185-MAIN")</f>
        <v>1185-MAIN</v>
      </c>
      <c r="B2123" s="7" t="str">
        <f>IFERROR(__xludf.DUMMYFUNCTION("""COMPUTED_VALUE"""),"WebWalker: Benchmarking LLMs in Web Traversal")</f>
        <v>WebWalker: Benchmarking LLMs in Web Traversal</v>
      </c>
      <c r="C2123" s="7" t="str">
        <f>IFERROR(__xludf.DUMMYFUNCTION("""COMPUTED_VALUE"""),"Retrieval-augmented generation (RAG) demonstrates remarkable performance across tasks in open-domain question-answering. However, traditional search engines may retrieve shallow content, limiting the ability of LLMs to handle complex, multi-layered inform"&amp;"ation. To address this, we introduce WebWalkerQA, a benchmark designed to assess the ability of LLMs to perform web traversal. It evaluates the capacity of LLMs to traverse a website's subpages to extract high-quality data systematically. We propose WebWa"&amp;"lker, which is a multi-agent framework that mimics human-like web navigation through an explore-critic paradigm. Extensive experimental results show that WebWalkerQA is challenging and demonstrates the effectiveness of RAG combined with WebWalker, through"&amp;" this horizontal and vertical integration in real-world scenarios.")</f>
        <v>Retrieval-augmented generation (RAG) demonstrates remarkable performance across tasks in open-domain question-answering. However, traditional search engines may retrieve shallow content, limiting the ability of LLMs to handle complex, multi-layered information. To address this, we introduce WebWalkerQA, a benchmark designed to assess the ability of LLMs to perform web traversal. It evaluates the capacity of LLMs to traverse a website's subpages to extract high-quality data systematically. We propose WebWalker, which is a multi-agent framework that mimics human-like web navigation through an explore-critic paradigm. Extensive experimental results show that WebWalkerQA is challenging and demonstrates the effectiveness of RAG combined with WebWalker, through this horizontal and vertical integration in real-world scenarios.</v>
      </c>
      <c r="D2123" s="7" t="str">
        <f>IFERROR(__xludf.DUMMYFUNCTION("""COMPUTED_VALUE"""),"Jialong Wu")</f>
        <v>Jialong Wu</v>
      </c>
      <c r="E2123" s="7" t="str">
        <f>IFERROR(__xludf.DUMMYFUNCTION("""COMPUTED_VALUE"""),"Yes")</f>
        <v>Yes</v>
      </c>
      <c r="F2123" s="7" t="str">
        <f>IFERROR(__xludf.DUMMYFUNCTION("""COMPUTED_VALUE"""),"IP-Poster")</f>
        <v>IP-Poster</v>
      </c>
      <c r="G2123" s="7" t="str">
        <f>IFERROR(__xludf.DUMMYFUNCTION("""COMPUTED_VALUE"""),"In-Person")</f>
        <v>In-Person</v>
      </c>
      <c r="H2123" s="7" t="str">
        <f>IFERROR(__xludf.DUMMYFUNCTION("""COMPUTED_VALUE"""),"Hall 4/5")</f>
        <v>Hall 4/5</v>
      </c>
      <c r="I2123" s="7" t="str">
        <f>IFERROR(__xludf.DUMMYFUNCTION("""COMPUTED_VALUE"""),"Session 7: IP-Posters")</f>
        <v>Session 7: IP-Posters</v>
      </c>
      <c r="J2123" s="7" t="str">
        <f>IFERROR(__xludf.DUMMYFUNCTION("""COMPUTED_VALUE"""),"Poster Session 2")</f>
        <v>Poster Session 2</v>
      </c>
      <c r="K2123" s="7"/>
      <c r="L2123" s="8">
        <f>IFERROR(__xludf.DUMMYFUNCTION("""COMPUTED_VALUE"""),45867.0)</f>
        <v>45867</v>
      </c>
      <c r="M2123" s="7" t="str">
        <f>IFERROR(__xludf.DUMMYFUNCTION("""COMPUTED_VALUE"""),"10:30-12:00")</f>
        <v>10:30-12:00</v>
      </c>
      <c r="N2123" s="7"/>
    </row>
    <row r="2124">
      <c r="A2124" s="7" t="str">
        <f>IFERROR(__xludf.DUMMYFUNCTION("""COMPUTED_VALUE"""),"1186-MAIN")</f>
        <v>1186-MAIN</v>
      </c>
      <c r="B2124" s="7" t="str">
        <f>IFERROR(__xludf.DUMMYFUNCTION("""COMPUTED_VALUE"""),"From Trade-off to Synergy: A Versatile Symbiotic Watermarking Framework for Large Language Models")</f>
        <v>From Trade-off to Synergy: A Versatile Symbiotic Watermarking Framework for Large Language Models</v>
      </c>
      <c r="C2124" s="7" t="str">
        <f>IFERROR(__xludf.DUMMYFUNCTION("""COMPUTED_VALUE"""),"The rise of Large Language Models (LLMs) has heightened concerns about the misuse of AI-generated text, making watermarking a promising solution. Mainstream watermarking schemes for LLMs fall into two categories: logits-based and sampling-based. However, "&amp;"current schemes entail trade-offs among robustness, text quality, and security. To mitigate this, we integrate logits-based and sampling-based schemes, harnessing their respective strengths to achieve synergy. In this paper, we propose a versatile symbiot"&amp;"ic watermarking framework with three strategies: serial, parallel, and hybrid. The hybrid framework adaptively embeds watermarks using token entropy and semantic entropy, optimizing the balance between detectability, robustness, text quality, and security"&amp;". Furthermore, we validate our approach through comprehensive experiments on various datasets and models. Experimental results indicate that our method outperforms existing baselines and achieves state-of-the-art (SOTA) performance. We believe this framew"&amp;"ork provides novel insights into diverse watermarking paradigms.")</f>
        <v>The rise of Large Language Models (LLMs) has heightened concerns about the misuse of AI-generated text, making watermarking a promising solution. Mainstream watermarking schemes for LLMs fall into two categories: logits-based and sampling-based. However, current schemes entail trade-offs among robustness, text quality, and security. To mitigate this, we integrate logits-based and sampling-based schemes, harnessing their respective strengths to achieve synergy. In this paper, we propose a versatile symbiotic watermarking framework with three strategies: serial, parallel, and hybrid. The hybrid framework adaptively embeds watermarks using token entropy and semantic entropy, optimizing the balance between detectability, robustness, text quality, and security. Furthermore, we validate our approach through comprehensive experiments on various datasets and models. Experimental results indicate that our method outperforms existing baselines and achieves state-of-the-art (SOTA) performance. We believe this framework provides novel insights into diverse watermarking paradigms.</v>
      </c>
      <c r="D2124" s="7" t="str">
        <f>IFERROR(__xludf.DUMMYFUNCTION("""COMPUTED_VALUE"""),"Yidan Wang")</f>
        <v>Yidan Wang</v>
      </c>
      <c r="E2124" s="7" t="str">
        <f>IFERROR(__xludf.DUMMYFUNCTION("""COMPUTED_VALUE"""),"Yes")</f>
        <v>Yes</v>
      </c>
      <c r="F2124" s="7" t="str">
        <f>IFERROR(__xludf.DUMMYFUNCTION("""COMPUTED_VALUE"""),"IP-Poster")</f>
        <v>IP-Poster</v>
      </c>
      <c r="G2124" s="7" t="str">
        <f>IFERROR(__xludf.DUMMYFUNCTION("""COMPUTED_VALUE"""),"In-Person")</f>
        <v>In-Person</v>
      </c>
      <c r="H2124" s="7" t="str">
        <f>IFERROR(__xludf.DUMMYFUNCTION("""COMPUTED_VALUE"""),"Hall 4/5")</f>
        <v>Hall 4/5</v>
      </c>
      <c r="I2124" s="7" t="str">
        <f>IFERROR(__xludf.DUMMYFUNCTION("""COMPUTED_VALUE"""),"Session 2: IP-Posters ")</f>
        <v>Session 2: IP-Posters </v>
      </c>
      <c r="J2124" s="7" t="str">
        <f>IFERROR(__xludf.DUMMYFUNCTION("""COMPUTED_VALUE"""),"Poster Session 1")</f>
        <v>Poster Session 1</v>
      </c>
      <c r="K2124" s="7"/>
      <c r="L2124" s="8">
        <f>IFERROR(__xludf.DUMMYFUNCTION("""COMPUTED_VALUE"""),45866.0)</f>
        <v>45866</v>
      </c>
      <c r="M2124" s="7" t="str">
        <f>IFERROR(__xludf.DUMMYFUNCTION("""COMPUTED_VALUE"""),"11:00-12:30")</f>
        <v>11:00-12:30</v>
      </c>
      <c r="N2124" s="7"/>
    </row>
    <row r="2125">
      <c r="A2125" s="7" t="str">
        <f>IFERROR(__xludf.DUMMYFUNCTION("""COMPUTED_VALUE"""),"1190-MAIN")</f>
        <v>1190-MAIN</v>
      </c>
      <c r="B2125" s="7" t="str">
        <f>IFERROR(__xludf.DUMMYFUNCTION("""COMPUTED_VALUE"""),"AutoGUI: Scaling GUI Grounding with Automatic Functionality Annotations from LLMs")</f>
        <v>AutoGUI: Scaling GUI Grounding with Automatic Functionality Annotations from LLMs</v>
      </c>
      <c r="C2125" s="7" t="str">
        <f>IFERROR(__xludf.DUMMYFUNCTION("""COMPUTED_VALUE"""),"User interface understanding with vision-language models (VLMs) has received much attention due to its potential for enhancing software automation.
However, existing datasets used to build UI-VLMs either only contain large-scale context-free element annot"&amp;"ations or contextualized functional descriptions for elements at a small scale.
In this work, we propose the \textbf{AutoGUI} pipeline for automatically annotating UI elements with detailed functionality descriptions at scale.
Specifically, we leverage la"&amp;"rge language models (LLMs) to infer element functionality by comparing UI state changes before and after simulated interactions. To improve annotation quality, we propose LLM-aided rejection and verification, eliminating invalid annotations without human "&amp;"labor.
We construct a high-quality AutoGUI-704k dataset using the proposed pipeline, featuring diverse and detailed functionality annotations that are hardly provided by previous datasets.
Human evaluation shows that we achieve annotation correctness comp"&amp;"arable to a trained human annotator. Extensive experiments show that our dataset remarkably enhances VLM's UI grounding capabilities and exhibits significant scaling effects. We also show the interesting potential use of our dataset in UI agent tasks. Ple"&amp;"ase view our project at https://autogui-project.github.io/.")</f>
        <v>User interface understanding with vision-language models (VLMs) has received much attention due to its potential for enhancing software automation.
However, existing datasets used to build UI-VLMs either only contain large-scale context-free element annotations or contextualized functional descriptions for elements at a small scale.
In this work, we propose the \textbf{AutoGUI} pipeline for automatically annotating UI elements with detailed functionality descriptions at scale.
Specifically, we leverage large language models (LLMs) to infer element functionality by comparing UI state changes before and after simulated interactions. To improve annotation quality, we propose LLM-aided rejection and verification, eliminating invalid annotations without human labor.
We construct a high-quality AutoGUI-704k dataset using the proposed pipeline, featuring diverse and detailed functionality annotations that are hardly provided by previous datasets.
Human evaluation shows that we achieve annotation correctness comparable to a trained human annotator. Extensive experiments show that our dataset remarkably enhances VLM's UI grounding capabilities and exhibits significant scaling effects. We also show the interesting potential use of our dataset in UI agent tasks. Please view our project at https://autogui-project.github.io/.</v>
      </c>
      <c r="D2125" s="7" t="str">
        <f>IFERROR(__xludf.DUMMYFUNCTION("""COMPUTED_VALUE"""),"Hongxin Li")</f>
        <v>Hongxin Li</v>
      </c>
      <c r="E2125" s="7" t="str">
        <f>IFERROR(__xludf.DUMMYFUNCTION("""COMPUTED_VALUE"""),"Yes")</f>
        <v>Yes</v>
      </c>
      <c r="F2125" s="7" t="str">
        <f>IFERROR(__xludf.DUMMYFUNCTION("""COMPUTED_VALUE"""),"V-Presentation")</f>
        <v>V-Presentation</v>
      </c>
      <c r="G2125" s="7" t="str">
        <f>IFERROR(__xludf.DUMMYFUNCTION("""COMPUTED_VALUE"""),"Virtual/Gather")</f>
        <v>Virtual/Gather</v>
      </c>
      <c r="H2125" s="7" t="str">
        <f>IFERROR(__xludf.DUMMYFUNCTION("""COMPUTED_VALUE"""),"Zoom")</f>
        <v>Zoom</v>
      </c>
      <c r="I2125" s="7" t="str">
        <f>IFERROR(__xludf.DUMMYFUNCTION("""COMPUTED_VALUE"""),"Session 7: V--Presentations ")</f>
        <v>Session 7: V--Presentations </v>
      </c>
      <c r="J2125" s="7" t="str">
        <f>IFERROR(__xludf.DUMMYFUNCTION("""COMPUTED_VALUE"""),"Virtual Presentations 2")</f>
        <v>Virtual Presentations 2</v>
      </c>
      <c r="K2125" s="7"/>
      <c r="L2125" s="8"/>
      <c r="M2125" s="7" t="str">
        <f>IFERROR(__xludf.DUMMYFUNCTION("""COMPUTED_VALUE"""),"10:30-12:00")</f>
        <v>10:30-12:00</v>
      </c>
      <c r="N2125" s="7"/>
    </row>
    <row r="2126">
      <c r="A2126" s="7" t="str">
        <f>IFERROR(__xludf.DUMMYFUNCTION("""COMPUTED_VALUE"""),"1192-MAIN")</f>
        <v>1192-MAIN</v>
      </c>
      <c r="B2126" s="7" t="str">
        <f>IFERROR(__xludf.DUMMYFUNCTION("""COMPUTED_VALUE"""),"Introducing Graph Context into Language Models through Parameter-Efficient Fine-Tuning for Lexical Relation Mining")</f>
        <v>Introducing Graph Context into Language Models through Parameter-Efficient Fine-Tuning for Lexical Relation Mining</v>
      </c>
      <c r="C2126" s="7" t="str">
        <f>IFERROR(__xludf.DUMMYFUNCTION("""COMPUTED_VALUE"""),"Lexical relation refers to the way words are related within a language. Prior work has demonstrated that pretrained language models (PLMs) can effectively mine lexical relations between word pairs. However, they overlook the potential of graph structures "&amp;"composed of lexical relations, which can be integrated with the semantic knowledge of PLMs. In this work, we propose a parameter-efficient fine-tuning method through graph context, which integrates graph features and semantic representations for lexical r"&amp;"elation classification (LRC) and lexical entailment (LE) tasks. Our experiments show that graph features can help PLMs better understand more complex lexical relations, establishing a new state-of-the-art for LRC and LE. Finally, we perform an error analy"&amp;"sis, identifying the bottlenecks of language models in lexical relation mining tasks and providing insights for future improvements.")</f>
        <v>Lexical relation refers to the way words are related within a language. Prior work has demonstrated that pretrained language models (PLMs) can effectively mine lexical relations between word pairs. However, they overlook the potential of graph structures composed of lexical relations, which can be integrated with the semantic knowledge of PLMs. In this work, we propose a parameter-efficient fine-tuning method through graph context, which integrates graph features and semantic representations for lexical relation classification (LRC) and lexical entailment (LE) tasks. Our experiments show that graph features can help PLMs better understand more complex lexical relations, establishing a new state-of-the-art for LRC and LE. Finally, we perform an error analysis, identifying the bottlenecks of language models in lexical relation mining tasks and providing insights for future improvements.</v>
      </c>
      <c r="D2126" s="7" t="str">
        <f>IFERROR(__xludf.DUMMYFUNCTION("""COMPUTED_VALUE"""),"Jingwen Sun")</f>
        <v>Jingwen Sun</v>
      </c>
      <c r="E2126" s="7" t="str">
        <f>IFERROR(__xludf.DUMMYFUNCTION("""COMPUTED_VALUE"""),"Yes")</f>
        <v>Yes</v>
      </c>
      <c r="F2126" s="7" t="str">
        <f>IFERROR(__xludf.DUMMYFUNCTION("""COMPUTED_VALUE"""),"V-Presentation")</f>
        <v>V-Presentation</v>
      </c>
      <c r="G2126" s="7" t="str">
        <f>IFERROR(__xludf.DUMMYFUNCTION("""COMPUTED_VALUE"""),"Virtual/Gather")</f>
        <v>Virtual/Gather</v>
      </c>
      <c r="H2126" s="7" t="str">
        <f>IFERROR(__xludf.DUMMYFUNCTION("""COMPUTED_VALUE"""),"Zoom")</f>
        <v>Zoom</v>
      </c>
      <c r="I2126" s="7" t="str">
        <f>IFERROR(__xludf.DUMMYFUNCTION("""COMPUTED_VALUE"""),"Session 2: V-Presentations")</f>
        <v>Session 2: V-Presentations</v>
      </c>
      <c r="J2126" s="7" t="str">
        <f>IFERROR(__xludf.DUMMYFUNCTION("""COMPUTED_VALUE"""),"Virtual Presentations 1")</f>
        <v>Virtual Presentations 1</v>
      </c>
      <c r="K2126" s="7"/>
      <c r="L2126" s="8">
        <f>IFERROR(__xludf.DUMMYFUNCTION("""COMPUTED_VALUE"""),45866.0)</f>
        <v>45866</v>
      </c>
      <c r="M2126" s="7" t="str">
        <f>IFERROR(__xludf.DUMMYFUNCTION("""COMPUTED_VALUE"""),"11:00-12:30")</f>
        <v>11:00-12:30</v>
      </c>
      <c r="N2126" s="7"/>
    </row>
    <row r="2127">
      <c r="A2127" s="7" t="str">
        <f>IFERROR(__xludf.DUMMYFUNCTION("""COMPUTED_VALUE"""),"1193-MAIN")</f>
        <v>1193-MAIN</v>
      </c>
      <c r="B2127" s="7" t="str">
        <f>IFERROR(__xludf.DUMMYFUNCTION("""COMPUTED_VALUE"""),"S-RAG: A Novel Audit Framework for Detecting Unauthorized Use of Personal Data in RAG Systems")</f>
        <v>S-RAG: A Novel Audit Framework for Detecting Unauthorized Use of Personal Data in RAG Systems</v>
      </c>
      <c r="C2127" s="7" t="str">
        <f>IFERROR(__xludf.DUMMYFUNCTION("""COMPUTED_VALUE"""),"Retrieval-Augmented Generation (RAG) systems combine external data retrieval with text generation and have become essential in applications requiring accurate and context-specific responses. However, their reliance on external data raises critical concern"&amp;"s about unauthorized collection and usage of personal information. To ensure compliance with data protection regulations like GDPR and detect improper use of data, we propose the Shadow RAG Auditing Data Provenance (S-RAG) framework. S-RAG enables users t"&amp;"o determine whether their textual data has been utilized in RAG systems, even in black-box settings with no prior system knowledge. It is effective across open-source and closed-source RAG systems and resilient to defense strategies. Experiments demonstra"&amp;"te that S-RAG achieves an improvement in Accuracy by 19.9% (compared to the best baseline), while maintaining strong performance under adversarial defenses. Furthermore, we analyze how the auditor's knowledge of the target system affects performance, offe"&amp;"ring practical insights for privacy-preserving AI systems. Our code is open-sourced online.")</f>
        <v>Retrieval-Augmented Generation (RAG) systems combine external data retrieval with text generation and have become essential in applications requiring accurate and context-specific responses. However, their reliance on external data raises critical concerns about unauthorized collection and usage of personal information. To ensure compliance with data protection regulations like GDPR and detect improper use of data, we propose the Shadow RAG Auditing Data Provenance (S-RAG) framework. S-RAG enables users to determine whether their textual data has been utilized in RAG systems, even in black-box settings with no prior system knowledge. It is effective across open-source and closed-source RAG systems and resilient to defense strategies. Experiments demonstrate that S-RAG achieves an improvement in Accuracy by 19.9% (compared to the best baseline), while maintaining strong performance under adversarial defenses. Furthermore, we analyze how the auditor's knowledge of the target system affects performance, offering practical insights for privacy-preserving AI systems. Our code is open-sourced online.</v>
      </c>
      <c r="D2127" s="7" t="str">
        <f>IFERROR(__xludf.DUMMYFUNCTION("""COMPUTED_VALUE"""),"zhirui zeng")</f>
        <v>zhirui zeng</v>
      </c>
      <c r="E2127" s="7" t="str">
        <f>IFERROR(__xludf.DUMMYFUNCTION("""COMPUTED_VALUE"""),"Yes")</f>
        <v>Yes</v>
      </c>
      <c r="F2127" s="7" t="str">
        <f>IFERROR(__xludf.DUMMYFUNCTION("""COMPUTED_VALUE"""),"IP-Poster")</f>
        <v>IP-Poster</v>
      </c>
      <c r="G2127" s="7" t="str">
        <f>IFERROR(__xludf.DUMMYFUNCTION("""COMPUTED_VALUE"""),"In-Person")</f>
        <v>In-Person</v>
      </c>
      <c r="H2127" s="7" t="str">
        <f>IFERROR(__xludf.DUMMYFUNCTION("""COMPUTED_VALUE"""),"Hall 4/5")</f>
        <v>Hall 4/5</v>
      </c>
      <c r="I2127" s="7" t="str">
        <f>IFERROR(__xludf.DUMMYFUNCTION("""COMPUTED_VALUE"""),"Session 2: IP-Posters ")</f>
        <v>Session 2: IP-Posters </v>
      </c>
      <c r="J2127" s="7" t="str">
        <f>IFERROR(__xludf.DUMMYFUNCTION("""COMPUTED_VALUE"""),"Poster Session 1")</f>
        <v>Poster Session 1</v>
      </c>
      <c r="K2127" s="7"/>
      <c r="L2127" s="8">
        <f>IFERROR(__xludf.DUMMYFUNCTION("""COMPUTED_VALUE"""),45866.0)</f>
        <v>45866</v>
      </c>
      <c r="M2127" s="7" t="str">
        <f>IFERROR(__xludf.DUMMYFUNCTION("""COMPUTED_VALUE"""),"11:00-12:30")</f>
        <v>11:00-12:30</v>
      </c>
      <c r="N2127" s="7"/>
    </row>
    <row r="2128">
      <c r="A2128" s="7" t="str">
        <f>IFERROR(__xludf.DUMMYFUNCTION("""COMPUTED_VALUE"""),"1195-MAIN")</f>
        <v>1195-MAIN</v>
      </c>
      <c r="B2128" s="7" t="str">
        <f>IFERROR(__xludf.DUMMYFUNCTION("""COMPUTED_VALUE"""),"Praetor: A Fine-Grained Generative LLM Evaluator with Instance-Level Customizable Evaluation Criteria")</f>
        <v>Praetor: A Fine-Grained Generative LLM Evaluator with Instance-Level Customizable Evaluation Criteria</v>
      </c>
      <c r="C2128" s="7" t="str">
        <f>IFERROR(__xludf.DUMMYFUNCTION("""COMPUTED_VALUE"""),"With the increasing capability of large language models (LLMs), LLM-as-a-judge has emerged as a new evaluation paradigm. Compared with traditional automatic and manual evaluation, LLM evaluators exhibit better interpretability and efficiency. Despite this"&amp;", existing LLM evaluators suffer from limited use scenarios and poor flexibility. To mitigate these issues, we propose Praetor, a fine-grained generative LLM evaluator with instance-level customazable evaluation criteria. To train Praetor, we curate a lar"&amp;"ge-scale dataset guided with a hierarchical guideline covering a wide range of tasks and instance-level evaluation criteria. We train Praetor on this dataset in a multi-task learning fashion, which enables to evaluate LLMs in either pointwise grading or p"&amp;"airwise comparison way and support two languages simultaneously with a high flexibility of setting evaluation criteria. Extensive experiments demonstrate that Praetor outperforms previous LLM evaluators and instruction-tuned LLMs on multiple benchmarks, s"&amp;"etting new SOTA results. It also exhibits the potential for generating critiques as scalable feedback to further improve LLMs. Our model and related resources are released at \url{https://github.com/tjunlp-lab/Praetor}.")</f>
        <v>With the increasing capability of large language models (LLMs), LLM-as-a-judge has emerged as a new evaluation paradigm. Compared with traditional automatic and manual evaluation, LLM evaluators exhibit better interpretability and efficiency. Despite this, existing LLM evaluators suffer from limited use scenarios and poor flexibility. To mitigate these issues, we propose Praetor, a fine-grained generative LLM evaluator with instance-level customazable evaluation criteria. To train Praetor, we curate a large-scale dataset guided with a hierarchical guideline covering a wide range of tasks and instance-level evaluation criteria. We train Praetor on this dataset in a multi-task learning fashion, which enables to evaluate LLMs in either pointwise grading or pairwise comparison way and support two languages simultaneously with a high flexibility of setting evaluation criteria. Extensive experiments demonstrate that Praetor outperforms previous LLM evaluators and instruction-tuned LLMs on multiple benchmarks, setting new SOTA results. It also exhibits the potential for generating critiques as scalable feedback to further improve LLMs. Our model and related resources are released at \url{https://github.com/tjunlp-lab/Praetor}.</v>
      </c>
      <c r="D2128" s="7" t="str">
        <f>IFERROR(__xludf.DUMMYFUNCTION("""COMPUTED_VALUE"""),"Yongqi Leng")</f>
        <v>Yongqi Leng</v>
      </c>
      <c r="E2128" s="7" t="str">
        <f>IFERROR(__xludf.DUMMYFUNCTION("""COMPUTED_VALUE"""),"Yes")</f>
        <v>Yes</v>
      </c>
      <c r="F2128" s="7" t="str">
        <f>IFERROR(__xludf.DUMMYFUNCTION("""COMPUTED_VALUE"""),"V-Presentation")</f>
        <v>V-Presentation</v>
      </c>
      <c r="G2128" s="7" t="str">
        <f>IFERROR(__xludf.DUMMYFUNCTION("""COMPUTED_VALUE"""),"Virtual/Gather")</f>
        <v>Virtual/Gather</v>
      </c>
      <c r="H2128" s="7" t="str">
        <f>IFERROR(__xludf.DUMMYFUNCTION("""COMPUTED_VALUE"""),"Zoom")</f>
        <v>Zoom</v>
      </c>
      <c r="I2128" s="7" t="str">
        <f>IFERROR(__xludf.DUMMYFUNCTION("""COMPUTED_VALUE"""),"Session 2: V-Presentations")</f>
        <v>Session 2: V-Presentations</v>
      </c>
      <c r="J2128" s="7" t="str">
        <f>IFERROR(__xludf.DUMMYFUNCTION("""COMPUTED_VALUE"""),"Virtual Presentations 1")</f>
        <v>Virtual Presentations 1</v>
      </c>
      <c r="K2128" s="7"/>
      <c r="L2128" s="8">
        <f>IFERROR(__xludf.DUMMYFUNCTION("""COMPUTED_VALUE"""),45866.0)</f>
        <v>45866</v>
      </c>
      <c r="M2128" s="7" t="str">
        <f>IFERROR(__xludf.DUMMYFUNCTION("""COMPUTED_VALUE"""),"11:00-12:30")</f>
        <v>11:00-12:30</v>
      </c>
      <c r="N2128" s="7"/>
    </row>
    <row r="2129">
      <c r="A2129" s="7" t="str">
        <f>IFERROR(__xludf.DUMMYFUNCTION("""COMPUTED_VALUE"""),"1196-MAIN")</f>
        <v>1196-MAIN</v>
      </c>
      <c r="B2129" s="7" t="str">
        <f>IFERROR(__xludf.DUMMYFUNCTION("""COMPUTED_VALUE"""),"LexKeyPlan: Planning with Keyphrases and Retrieval Augmentation for Legal Text Generation: A Case Study on European Court of Human Rights Cases")</f>
        <v>LexKeyPlan: Planning with Keyphrases and Retrieval Augmentation for Legal Text Generation: A Case Study on European Court of Human Rights Cases</v>
      </c>
      <c r="C2129" s="7" t="str">
        <f>IFERROR(__xludf.DUMMYFUNCTION("""COMPUTED_VALUE"""),"Large language models excel at legal text generation but often produce hallucinations due to their sole reliance on parametric knowledge. Retrieval-augmented models mitigate this by providing relevant external documents to the model but struggle when retr"&amp;"ieval is based only on past context, which may not align with the model’s intended future content. We introduce LexKeyPlan, a novel framework that integrates anticipatory planning into generation. Instead of relying solely on context for retrieval, LexKey"&amp;"Plan generates keyphrases outlining future content serving as forward-looking plan, guiding retrieval for more accurate text generation. This work incorporates planning into legal text generation, demonstrating how keyphrases—representing legal concepts—e"&amp;"nhance factual accuracy. By structuring retrieval around legal concepts, LexKeyPlan better aligns with legal reasoning, making it particularly suited for legal applications. Using the ECHR corpus as case study, we show that LexKeyPlan improves factual acc"&amp;"uracy and coherence by retrieving information aligned with the intended content.")</f>
        <v>Large language models excel at legal text generation but often produce hallucinations due to their sole reliance on parametric knowledge. Retrieval-augmented models mitigate this by providing relevant external documents to the model but struggle when retrieval is based only on past context, which may not align with the model’s intended future content. We introduce LexKeyPlan, a novel framework that integrates anticipatory planning into generation. Instead of relying solely on context for retrieval, LexKeyPlan generates keyphrases outlining future content serving as forward-looking plan, guiding retrieval for more accurate text generation. This work incorporates planning into legal text generation, demonstrating how keyphrases—representing legal concepts—enhance factual accuracy. By structuring retrieval around legal concepts, LexKeyPlan better aligns with legal reasoning, making it particularly suited for legal applications. Using the ECHR corpus as case study, we show that LexKeyPlan improves factual accuracy and coherence by retrieving information aligned with the intended content.</v>
      </c>
      <c r="D2129" s="7" t="str">
        <f>IFERROR(__xludf.DUMMYFUNCTION("""COMPUTED_VALUE"""),"Santosh T.Y.S.S")</f>
        <v>Santosh T.Y.S.S</v>
      </c>
      <c r="E2129" s="7" t="str">
        <f>IFERROR(__xludf.DUMMYFUNCTION("""COMPUTED_VALUE"""),"Yes")</f>
        <v>Yes</v>
      </c>
      <c r="F2129" s="7" t="str">
        <f>IFERROR(__xludf.DUMMYFUNCTION("""COMPUTED_VALUE"""),"V-Presentation")</f>
        <v>V-Presentation</v>
      </c>
      <c r="G2129" s="7" t="str">
        <f>IFERROR(__xludf.DUMMYFUNCTION("""COMPUTED_VALUE"""),"Virtual/Gather")</f>
        <v>Virtual/Gather</v>
      </c>
      <c r="H2129" s="7" t="str">
        <f>IFERROR(__xludf.DUMMYFUNCTION("""COMPUTED_VALUE"""),"Zoom")</f>
        <v>Zoom</v>
      </c>
      <c r="I2129" s="7" t="str">
        <f>IFERROR(__xludf.DUMMYFUNCTION("""COMPUTED_VALUE"""),"Session 10: V-Presenations")</f>
        <v>Session 10: V-Presenations</v>
      </c>
      <c r="J2129" s="7" t="str">
        <f>IFERROR(__xludf.DUMMYFUNCTION("""COMPUTED_VALUE"""),"Virtual Presentations 3")</f>
        <v>Virtual Presentations 3</v>
      </c>
      <c r="K2129" s="7"/>
      <c r="L2129" s="8">
        <f>IFERROR(__xludf.DUMMYFUNCTION("""COMPUTED_VALUE"""),45867.0)</f>
        <v>45867</v>
      </c>
      <c r="M2129" s="7" t="str">
        <f>IFERROR(__xludf.DUMMYFUNCTION("""COMPUTED_VALUE"""),"16:00-17:30")</f>
        <v>16:00-17:30</v>
      </c>
      <c r="N2129" s="7"/>
    </row>
    <row r="2130">
      <c r="A2130" s="7" t="str">
        <f>IFERROR(__xludf.DUMMYFUNCTION("""COMPUTED_VALUE"""),"1201-MAIN")</f>
        <v>1201-MAIN</v>
      </c>
      <c r="B2130" s="7" t="str">
        <f>IFERROR(__xludf.DUMMYFUNCTION("""COMPUTED_VALUE"""),"Mitigating Gender Confounding Bias from Spoken Language in Dementia Detection via Weight Masking")</f>
        <v>Mitigating Gender Confounding Bias from Spoken Language in Dementia Detection via Weight Masking</v>
      </c>
      <c r="C2130" s="7" t="str">
        <f>IFERROR(__xludf.DUMMYFUNCTION("""COMPUTED_VALUE"""),"Deep transformer models have been used to detect linguistic anomalies in patient transcripts for early Alzheimer’s disease (AD) screening. While pre-trained neural language models (LMs) fine-tuned on AD transcripts perform well, little research has explor"&amp;"ed the effects of the gender of the speakers represented by these transcripts. This work addresses gender confounding in dementia detection and proposes two methods: the Extended Confounding Filter and the Dual Filter, which isolate and ablate weights ass"&amp;"ociated with gender. We evaluate these methods on dementia datasets with first-person narratives from patients with cognitive impairment and healthy controls. Our results show transformer models tend to overfit to training data distributions. Disrupting g"&amp;"ender-related weights results in a deconfounded dementia classifier, with the trade-off of slightly reduced dementia detection performance.")</f>
        <v>Deep transformer models have been used to detect linguistic anomalies in patient transcripts for early Alzheimer’s disease (AD) screening. While pre-trained neural language models (LMs) fine-tuned on AD transcripts perform well, little research has explored the effects of the gender of the speakers represented by these transcripts. This work addresses gender confounding in dementia detection and proposes two methods: the Extended Confounding Filter and the Dual Filter, which isolate and ablate weights associated with gender. We evaluate these methods on dementia datasets with first-person narratives from patients with cognitive impairment and healthy controls. Our results show transformer models tend to overfit to training data distributions. Disrupting gender-related weights results in a deconfounded dementia classifier, with the trade-off of slightly reduced dementia detection performance.</v>
      </c>
      <c r="D2130" s="7" t="str">
        <f>IFERROR(__xludf.DUMMYFUNCTION("""COMPUTED_VALUE"""),"Zhecheng Sheng")</f>
        <v>Zhecheng Sheng</v>
      </c>
      <c r="E2130" s="7" t="str">
        <f>IFERROR(__xludf.DUMMYFUNCTION("""COMPUTED_VALUE"""),"Yes")</f>
        <v>Yes</v>
      </c>
      <c r="F2130" s="7" t="str">
        <f>IFERROR(__xludf.DUMMYFUNCTION("""COMPUTED_VALUE"""),"IP-Poster")</f>
        <v>IP-Poster</v>
      </c>
      <c r="G2130" s="7" t="str">
        <f>IFERROR(__xludf.DUMMYFUNCTION("""COMPUTED_VALUE"""),"In-Person")</f>
        <v>In-Person</v>
      </c>
      <c r="H2130" s="7" t="str">
        <f>IFERROR(__xludf.DUMMYFUNCTION("""COMPUTED_VALUE"""),"Hall 4/5")</f>
        <v>Hall 4/5</v>
      </c>
      <c r="I2130" s="7" t="str">
        <f>IFERROR(__xludf.DUMMYFUNCTION("""COMPUTED_VALUE"""),"Session 12: IP-Posters")</f>
        <v>Session 12: IP-Posters</v>
      </c>
      <c r="J2130" s="7" t="str">
        <f>IFERROR(__xludf.DUMMYFUNCTION("""COMPUTED_VALUE"""),"Poster Session 4")</f>
        <v>Poster Session 4</v>
      </c>
      <c r="K2130" s="7"/>
      <c r="L2130" s="8">
        <f>IFERROR(__xludf.DUMMYFUNCTION("""COMPUTED_VALUE"""),45868.0)</f>
        <v>45868</v>
      </c>
      <c r="M2130" s="7" t="str">
        <f>IFERROR(__xludf.DUMMYFUNCTION("""COMPUTED_VALUE"""),"11:00-12:30")</f>
        <v>11:00-12:30</v>
      </c>
      <c r="N2130" s="7"/>
    </row>
    <row r="2131">
      <c r="A2131" s="7" t="str">
        <f>IFERROR(__xludf.DUMMYFUNCTION("""COMPUTED_VALUE"""),"1202-MAIN")</f>
        <v>1202-MAIN</v>
      </c>
      <c r="B2131" s="7" t="str">
        <f>IFERROR(__xludf.DUMMYFUNCTION("""COMPUTED_VALUE"""),"MCS-Bench: A Comprehensive Benchmark for Evaluating Multimodal Large Language Models in Chinese Classical Studies")</f>
        <v>MCS-Bench: A Comprehensive Benchmark for Evaluating Multimodal Large Language Models in Chinese Classical Studies</v>
      </c>
      <c r="C2131" s="7" t="str">
        <f>IFERROR(__xludf.DUMMYFUNCTION("""COMPUTED_VALUE"""),"With the rapid development of Multimodal Large Language Models (MLLMs), their potential in Chinese Classical Studies (CCS), a field which plays a vital role in preserving and promoting China’s rich cultural heritage, remains largely unexplored due to the "&amp;"absence of specialized benchmarks. To bridge this gap, we propose MCS-Bench, the first-of-its-kind multimodal benchmark specifically designed for CCS across multiple subdomains. MCS-Bench spans seven core subdomains (Ancient Chinese Text, Calligraphy, Pai"&amp;"nting, Oracle Bone Script, Seal, Cultural Relic, and Illustration), with a total of 45 meticulously designed tasks. Through extensive evaluation of 37 representative MLLMs, we observe that even the top-performing model (InternVL2.5-78B) achieves an averag"&amp;"e score below 50, indicating substantial room for improvement. Our analysis reveals significant performance variations across different tasks and identifies critical challenges in areas such as Optical Character Recognition (OCR) and cultural context inte"&amp;"rpretation. MCS-Bench not only establishes a standardized baseline for CCS-focused MLLM research but also provides valuable insights for advancing cultural heritage preservation and innovation in the Artificial General Intelligence (AGI) era. Data and cod"&amp;"e will be publicly available.")</f>
        <v>With the rapid development of Multimodal Large Language Models (MLLMs), their potential in Chinese Classical Studies (CCS), a field which plays a vital role in preserving and promoting China’s rich cultural heritage, remains largely unexplored due to the absence of specialized benchmarks. To bridge this gap, we propose MCS-Bench, the first-of-its-kind multimodal benchmark specifically designed for CCS across multiple subdomains. MCS-Bench spans seven core subdomains (Ancient Chinese Text, Calligraphy, Painting, Oracle Bone Script, Seal, Cultural Relic, and Illustration), with a total of 45 meticulously designed tasks. Through extensive evaluation of 37 representative MLLMs, we observe that even the top-performing model (InternVL2.5-78B) achieves an average score below 50, indicating substantial room for improvement. Our analysis reveals significant performance variations across different tasks and identifies critical challenges in areas such as Optical Character Recognition (OCR) and cultural context interpretation. MCS-Bench not only establishes a standardized baseline for CCS-focused MLLM research but also provides valuable insights for advancing cultural heritage preservation and innovation in the Artificial General Intelligence (AGI) era. Data and code will be publicly available.</v>
      </c>
      <c r="D2131" s="7" t="str">
        <f>IFERROR(__xludf.DUMMYFUNCTION("""COMPUTED_VALUE"""),"Yang Liu")</f>
        <v>Yang Liu</v>
      </c>
      <c r="E2131" s="7" t="str">
        <f>IFERROR(__xludf.DUMMYFUNCTION("""COMPUTED_VALUE"""),"Yes")</f>
        <v>Yes</v>
      </c>
      <c r="F2131" s="7" t="str">
        <f>IFERROR(__xludf.DUMMYFUNCTION("""COMPUTED_VALUE"""),"V-Presentation")</f>
        <v>V-Presentation</v>
      </c>
      <c r="G2131" s="7" t="str">
        <f>IFERROR(__xludf.DUMMYFUNCTION("""COMPUTED_VALUE"""),"Virtual/Gather")</f>
        <v>Virtual/Gather</v>
      </c>
      <c r="H2131" s="7" t="str">
        <f>IFERROR(__xludf.DUMMYFUNCTION("""COMPUTED_VALUE"""),"Zoom")</f>
        <v>Zoom</v>
      </c>
      <c r="I2131" s="7" t="str">
        <f>IFERROR(__xludf.DUMMYFUNCTION("""COMPUTED_VALUE"""),"Session 7: V--Presentations ")</f>
        <v>Session 7: V--Presentations </v>
      </c>
      <c r="J2131" s="7" t="str">
        <f>IFERROR(__xludf.DUMMYFUNCTION("""COMPUTED_VALUE"""),"Virtual Presentations 2")</f>
        <v>Virtual Presentations 2</v>
      </c>
      <c r="K2131" s="7"/>
      <c r="L2131" s="8"/>
      <c r="M2131" s="7" t="str">
        <f>IFERROR(__xludf.DUMMYFUNCTION("""COMPUTED_VALUE"""),"10:30-12:00")</f>
        <v>10:30-12:00</v>
      </c>
      <c r="N2131" s="7"/>
    </row>
    <row r="2132">
      <c r="A2132" s="7" t="str">
        <f>IFERROR(__xludf.DUMMYFUNCTION("""COMPUTED_VALUE"""),"1212-MAIN")</f>
        <v>1212-MAIN</v>
      </c>
      <c r="B2132" s="7" t="str">
        <f>IFERROR(__xludf.DUMMYFUNCTION("""COMPUTED_VALUE"""),"The Knowledge Microscope: Features as Better Analytical Lenses than Neurons")</f>
        <v>The Knowledge Microscope: Features as Better Analytical Lenses than Neurons</v>
      </c>
      <c r="C2132" s="7" t="str">
        <f>IFERROR(__xludf.DUMMYFUNCTION("""COMPUTED_VALUE"""),"We demonstrate that features, rather than neurons, serve as superior analytical units for understanding the mechanisms of factual knowledge in Language Models (LMs). Previous studies primarily utilize MLP neurons as units of analysis; however, neurons suf"&amp;"fer from polysemanticity, leading to limited knowledge expression and poor interpretability. We first conduct preliminary experiments to validate that SAE can effectively decompose neurons into features. With this established, our core findings reveal thr"&amp;"ee key advantages of features over neurons: (1) Features exhibit stronger influence on knowledge expression and superior interpretability. (2) Features demonstrate enhanced monosemanticity, showing distinct activation patterns between related and unrelate"&amp;"d facts. (3) Feature-based method demonstrates superior performance over neuron-based approaches in erasing privacy-sensitive information from LMs. Additionally, we propose FeatureEdit, the first feature-based editing method. Code and dataset will be avai"&amp;"lable.")</f>
        <v>We demonstrate that features, rather than neurons, serve as superior analytical units for understanding the mechanisms of factual knowledge in Language Models (LMs). Previous studies primarily utilize MLP neurons as units of analysis; however, neurons suffer from polysemanticity, leading to limited knowledge expression and poor interpretability. We first conduct preliminary experiments to validate that SAE can effectively decompose neurons into features. With this established, our core findings reveal three key advantages of features over neurons: (1) Features exhibit stronger influence on knowledge expression and superior interpretability. (2) Features demonstrate enhanced monosemanticity, showing distinct activation patterns between related and unrelated facts. (3) Feature-based method demonstrates superior performance over neuron-based approaches in erasing privacy-sensitive information from LMs. Additionally, we propose FeatureEdit, the first feature-based editing method. Code and dataset will be available.</v>
      </c>
      <c r="D2132" s="7" t="str">
        <f>IFERROR(__xludf.DUMMYFUNCTION("""COMPUTED_VALUE"""),"Yuheng Chen")</f>
        <v>Yuheng Chen</v>
      </c>
      <c r="E2132" s="7" t="str">
        <f>IFERROR(__xludf.DUMMYFUNCTION("""COMPUTED_VALUE"""),"Yes")</f>
        <v>Yes</v>
      </c>
      <c r="F2132" s="7" t="str">
        <f>IFERROR(__xludf.DUMMYFUNCTION("""COMPUTED_VALUE"""),"V-Presentation")</f>
        <v>V-Presentation</v>
      </c>
      <c r="G2132" s="7" t="str">
        <f>IFERROR(__xludf.DUMMYFUNCTION("""COMPUTED_VALUE"""),"Virtual/Gather")</f>
        <v>Virtual/Gather</v>
      </c>
      <c r="H2132" s="7" t="str">
        <f>IFERROR(__xludf.DUMMYFUNCTION("""COMPUTED_VALUE"""),"Zoom")</f>
        <v>Zoom</v>
      </c>
      <c r="I2132" s="7" t="str">
        <f>IFERROR(__xludf.DUMMYFUNCTION("""COMPUTED_VALUE"""),"Session 2: V-Presentations")</f>
        <v>Session 2: V-Presentations</v>
      </c>
      <c r="J2132" s="7" t="str">
        <f>IFERROR(__xludf.DUMMYFUNCTION("""COMPUTED_VALUE"""),"Virtual Presentations 1")</f>
        <v>Virtual Presentations 1</v>
      </c>
      <c r="K2132" s="7"/>
      <c r="L2132" s="8">
        <f>IFERROR(__xludf.DUMMYFUNCTION("""COMPUTED_VALUE"""),45866.0)</f>
        <v>45866</v>
      </c>
      <c r="M2132" s="7" t="str">
        <f>IFERROR(__xludf.DUMMYFUNCTION("""COMPUTED_VALUE"""),"11:00-12:30")</f>
        <v>11:00-12:30</v>
      </c>
      <c r="N2132" s="7"/>
    </row>
    <row r="2133">
      <c r="A2133" s="7" t="str">
        <f>IFERROR(__xludf.DUMMYFUNCTION("""COMPUTED_VALUE"""),"1213-MAIN")</f>
        <v>1213-MAIN</v>
      </c>
      <c r="B2133" s="7" t="str">
        <f>IFERROR(__xludf.DUMMYFUNCTION("""COMPUTED_VALUE"""),"From Real to Synthetic: Synthesizing Millions of Diversified and Complicated User Instructions with Attributed Grounding")</f>
        <v>From Real to Synthetic: Synthesizing Millions of Diversified and Complicated User Instructions with Attributed Grounding</v>
      </c>
      <c r="C2133" s="7" t="str">
        <f>IFERROR(__xludf.DUMMYFUNCTION("""COMPUTED_VALUE"""),"The pursuit of diverse, complex, and large-scale instruction data is crucial for automatically aligning large language models (LLMs). While there are methods capable of generating synthetic instructions at scale, they either suffer from limited grounding "&amp;"sources, leading to a narrow distribution, or rely on trivial extensions that fail to produce meaningful trajectories in terms of complexity. In contrast, instructions that benefit efficient alignment are typically crafted with cognitive insights and grou"&amp;"nded in real-world use cases. In this paper, we synthesize such instructions using attributed grounding, which involves 1) a top-down attribution process that grounds a selective set of real instructions to situated users, and 2) a bottom-up synthesis pro"&amp;"cess that leverages web documents to first generate a situation, then a meaningful instruction. This framework allows us to harvest diverse and complex instructions at scale, utilizing the vast range of web documents. Specifically, we construct a dataset "&amp;"of 1 million instructions, called SynthQuestions, and demonstrate that models trained on it achieve leading performance on several common benchmarks, with improvements that continually scale with more web corpora.")</f>
        <v>The pursuit of diverse, complex, and large-scale instruction data is crucial for automatically aligning large language models (LLMs). While there are methods capable of generating synthetic instructions at scale, they either suffer from limited grounding sources, leading to a narrow distribution, or rely on trivial extensions that fail to produce meaningful trajectories in terms of complexity. In contrast, instructions that benefit efficient alignment are typically crafted with cognitive insights and grounded in real-world use cases. In this paper, we synthesize such instructions using attributed grounding, which involves 1) a top-down attribution process that grounds a selective set of real instructions to situated users, and 2) a bottom-up synthesis process that leverages web documents to first generate a situation, then a meaningful instruction. This framework allows us to harvest diverse and complex instructions at scale, utilizing the vast range of web documents. Specifically, we construct a dataset of 1 million instructions, called SynthQuestions, and demonstrate that models trained on it achieve leading performance on several common benchmarks, with improvements that continually scale with more web corpora.</v>
      </c>
      <c r="D2133" s="7" t="str">
        <f>IFERROR(__xludf.DUMMYFUNCTION("""COMPUTED_VALUE"""),"Chiwei Zhu")</f>
        <v>Chiwei Zhu</v>
      </c>
      <c r="E2133" s="7" t="str">
        <f>IFERROR(__xludf.DUMMYFUNCTION("""COMPUTED_VALUE"""),"Yes")</f>
        <v>Yes</v>
      </c>
      <c r="F2133" s="7" t="str">
        <f>IFERROR(__xludf.DUMMYFUNCTION("""COMPUTED_VALUE"""),"IP-Oral")</f>
        <v>IP-Oral</v>
      </c>
      <c r="G2133" s="7" t="str">
        <f>IFERROR(__xludf.DUMMYFUNCTION("""COMPUTED_VALUE"""),"In-Person")</f>
        <v>In-Person</v>
      </c>
      <c r="H2133" s="7" t="str">
        <f>IFERROR(__xludf.DUMMYFUNCTION("""COMPUTED_VALUE"""),"Hall A ")</f>
        <v>Hall A </v>
      </c>
      <c r="I2133" s="7" t="str">
        <f>IFERROR(__xludf.DUMMYFUNCTION("""COMPUTED_VALUE"""),"Session 3: IP-Orals")</f>
        <v>Session 3: IP-Orals</v>
      </c>
      <c r="J2133" s="7" t="str">
        <f>IFERROR(__xludf.DUMMYFUNCTION("""COMPUTED_VALUE"""),"Resources and Evaluation 1")</f>
        <v>Resources and Evaluation 1</v>
      </c>
      <c r="K2133" s="7"/>
      <c r="L2133" s="8">
        <f>IFERROR(__xludf.DUMMYFUNCTION("""COMPUTED_VALUE"""),45866.0)</f>
        <v>45866</v>
      </c>
      <c r="M2133" s="7" t="str">
        <f>IFERROR(__xludf.DUMMYFUNCTION("""COMPUTED_VALUE"""),"14:00-15:30")</f>
        <v>14:00-15:30</v>
      </c>
      <c r="N2133" s="7">
        <f>IFERROR(__xludf.DUMMYFUNCTION("""COMPUTED_VALUE"""),5.0)</f>
        <v>5</v>
      </c>
    </row>
    <row r="2134">
      <c r="A2134" s="7" t="str">
        <f>IFERROR(__xludf.DUMMYFUNCTION("""COMPUTED_VALUE"""),"1222-MAIN")</f>
        <v>1222-MAIN</v>
      </c>
      <c r="B2134" s="7" t="str">
        <f>IFERROR(__xludf.DUMMYFUNCTION("""COMPUTED_VALUE"""),"PrivaCI-Bench: Evaluating Privacy with Contextual Integrity and Legal Compliance")</f>
        <v>PrivaCI-Bench: Evaluating Privacy with Contextual Integrity and Legal Compliance</v>
      </c>
      <c r="C2134" s="7" t="str">
        <f>IFERROR(__xludf.DUMMYFUNCTION("""COMPUTED_VALUE"""),"Recent advancements in generative large language models (LLMs) have enabled wider applicability, accessibility, and flexibility. However, their reliability and trustworthiness are still in doubt, especially for concerns regarding individuals' data privacy"&amp;". Great efforts have been made on privacy by building various evaluation benchmarks to study LLMs' privacy awareness and robustness from their generated outputs to their hidden representations. Unfortunately, most of these works adopt a narrow formulation"&amp;" of privacy and only investigate personally identifiable information (PII). In this paper, we follow the merit of the Contextual Integrity (CI) theory, which posits that privacy evaluation should not only cover the transmitted attributes but also encompas"&amp;"s the whole relevant social context through private information flows. We present PrivaCI-Bench, a comprehensive contextual privacy evaluation benchmark targeted at legal compliance to cover well-annotated privacy and safety regulations, real court cases,"&amp;" privacy policies, and synthetic data built from the official toolkit to study LLMs' privacy and safety compliance. We evaluate the latest LLMs, including the recent reasoner models QwQ-32B and Deepseek R1. Our experimental results suggest that though LLM"&amp;"s can effectively capture key CI parameters inside a given context, they still require further advancements for privacy compliance.")</f>
        <v>Recent advancements in generative large language models (LLMs) have enabled wider applicability, accessibility, and flexibility. However, their reliability and trustworthiness are still in doubt, especially for concerns regarding individuals' data privacy. Great efforts have been made on privacy by building various evaluation benchmarks to study LLMs' privacy awareness and robustness from their generated outputs to their hidden representations. Unfortunately, most of these works adopt a narrow formulation of privacy and only investigate personally identifiable information (PII). In this paper, we follow the merit of the Contextual Integrity (CI) theory, which posits that privacy evaluation should not only cover the transmitted attributes but also encompass the whole relevant social context through private information flows. We present PrivaCI-Bench, a comprehensive contextual privacy evaluation benchmark targeted at legal compliance to cover well-annotated privacy and safety regulations, real court cases, privacy policies, and synthetic data built from the official toolkit to study LLMs' privacy and safety compliance. We evaluate the latest LLMs, including the recent reasoner models QwQ-32B and Deepseek R1. Our experimental results suggest that though LLMs can effectively capture key CI parameters inside a given context, they still require further advancements for privacy compliance.</v>
      </c>
      <c r="D2134" s="7" t="str">
        <f>IFERROR(__xludf.DUMMYFUNCTION("""COMPUTED_VALUE"""),"Haoran Li")</f>
        <v>Haoran Li</v>
      </c>
      <c r="E2134" s="7" t="str">
        <f>IFERROR(__xludf.DUMMYFUNCTION("""COMPUTED_VALUE"""),"Yes")</f>
        <v>Yes</v>
      </c>
      <c r="F2134" s="7" t="str">
        <f>IFERROR(__xludf.DUMMYFUNCTION("""COMPUTED_VALUE"""),"IP-Poster")</f>
        <v>IP-Poster</v>
      </c>
      <c r="G2134" s="7" t="str">
        <f>IFERROR(__xludf.DUMMYFUNCTION("""COMPUTED_VALUE"""),"In-Person")</f>
        <v>In-Person</v>
      </c>
      <c r="H2134" s="7" t="str">
        <f>IFERROR(__xludf.DUMMYFUNCTION("""COMPUTED_VALUE"""),"Hall 4/5")</f>
        <v>Hall 4/5</v>
      </c>
      <c r="I2134" s="7" t="str">
        <f>IFERROR(__xludf.DUMMYFUNCTION("""COMPUTED_VALUE"""),"Session 7: IP-Posters")</f>
        <v>Session 7: IP-Posters</v>
      </c>
      <c r="J2134" s="7" t="str">
        <f>IFERROR(__xludf.DUMMYFUNCTION("""COMPUTED_VALUE"""),"Poster Session 2")</f>
        <v>Poster Session 2</v>
      </c>
      <c r="K2134" s="7"/>
      <c r="L2134" s="8">
        <f>IFERROR(__xludf.DUMMYFUNCTION("""COMPUTED_VALUE"""),45867.0)</f>
        <v>45867</v>
      </c>
      <c r="M2134" s="7" t="str">
        <f>IFERROR(__xludf.DUMMYFUNCTION("""COMPUTED_VALUE"""),"10:30-12:00")</f>
        <v>10:30-12:00</v>
      </c>
      <c r="N2134" s="7"/>
    </row>
    <row r="2135">
      <c r="A2135" s="7" t="str">
        <f>IFERROR(__xludf.DUMMYFUNCTION("""COMPUTED_VALUE"""),"1223-MAIN")</f>
        <v>1223-MAIN</v>
      </c>
      <c r="B2135" s="7" t="str">
        <f>IFERROR(__xludf.DUMMYFUNCTION("""COMPUTED_VALUE"""),"Unveiling Environmental Impacts of Large Language Model Serving: A Functional Unit View")</f>
        <v>Unveiling Environmental Impacts of Large Language Model Serving: A Functional Unit View</v>
      </c>
      <c r="C2135" s="7" t="str">
        <f>IFERROR(__xludf.DUMMYFUNCTION("""COMPUTED_VALUE"""),"Large language models (LLMs) offer powerful capabilities but come with significant environmental impact, particularly in carbon emissions. Existing studies benchmark carbon emissions but lack a standardized basis for comparison across different model conf"&amp;"igurations. To address this, we introduce the concept of functional unit (FU) as a standardized basis and develop FUEL, the first FU-based framework for evaluating LLM serving’s environmental impact. Through three case studies, we uncover key insights and"&amp;" trade-offs in reducing carbon emissions by optimizing model size, quantization strategy, and hardware choice, paving the way for more sustainable LLM serving. The code is available at https://github.com/jojacola/FUEL.")</f>
        <v>Large language models (LLMs) offer powerful capabilities but come with significant environmental impact, particularly in carbon emissions. Existing studies benchmark carbon emissions but lack a standardized basis for comparison across different model configurations. To address this, we introduce the concept of functional unit (FU) as a standardized basis and develop FUEL, the first FU-based framework for evaluating LLM serving’s environmental impact. Through three case studies, we uncover key insights and trade-offs in reducing carbon emissions by optimizing model size, quantization strategy, and hardware choice, paving the way for more sustainable LLM serving. The code is available at https://github.com/jojacola/FUEL.</v>
      </c>
      <c r="D2135" s="7" t="str">
        <f>IFERROR(__xludf.DUMMYFUNCTION("""COMPUTED_VALUE"""),"Yanran Wu")</f>
        <v>Yanran Wu</v>
      </c>
      <c r="E2135" s="7" t="str">
        <f>IFERROR(__xludf.DUMMYFUNCTION("""COMPUTED_VALUE"""),"Yes")</f>
        <v>Yes</v>
      </c>
      <c r="F2135" s="7" t="str">
        <f>IFERROR(__xludf.DUMMYFUNCTION("""COMPUTED_VALUE"""),"V-Presentation")</f>
        <v>V-Presentation</v>
      </c>
      <c r="G2135" s="7" t="str">
        <f>IFERROR(__xludf.DUMMYFUNCTION("""COMPUTED_VALUE"""),"Virtual/Gather")</f>
        <v>Virtual/Gather</v>
      </c>
      <c r="H2135" s="7" t="str">
        <f>IFERROR(__xludf.DUMMYFUNCTION("""COMPUTED_VALUE"""),"Zoom")</f>
        <v>Zoom</v>
      </c>
      <c r="I2135" s="7" t="str">
        <f>IFERROR(__xludf.DUMMYFUNCTION("""COMPUTED_VALUE"""),"Session 10: V-Presenations")</f>
        <v>Session 10: V-Presenations</v>
      </c>
      <c r="J2135" s="7" t="str">
        <f>IFERROR(__xludf.DUMMYFUNCTION("""COMPUTED_VALUE"""),"Virtual Presentations 3")</f>
        <v>Virtual Presentations 3</v>
      </c>
      <c r="K2135" s="7"/>
      <c r="L2135" s="8">
        <f>IFERROR(__xludf.DUMMYFUNCTION("""COMPUTED_VALUE"""),45867.0)</f>
        <v>45867</v>
      </c>
      <c r="M2135" s="7" t="str">
        <f>IFERROR(__xludf.DUMMYFUNCTION("""COMPUTED_VALUE"""),"16:00-17:30")</f>
        <v>16:00-17:30</v>
      </c>
      <c r="N2135" s="7"/>
    </row>
    <row r="2136">
      <c r="A2136" s="7" t="str">
        <f>IFERROR(__xludf.DUMMYFUNCTION("""COMPUTED_VALUE"""),"1228-MAIN")</f>
        <v>1228-MAIN</v>
      </c>
      <c r="B2136" s="7" t="str">
        <f>IFERROR(__xludf.DUMMYFUNCTION("""COMPUTED_VALUE"""),"ExpeTrans: LLMs Are Experiential Transfer Learners")</f>
        <v>ExpeTrans: LLMs Are Experiential Transfer Learners</v>
      </c>
      <c r="C2136" s="7" t="str">
        <f>IFERROR(__xludf.DUMMYFUNCTION("""COMPUTED_VALUE"""),"Recent studies provide large language models (LLMs) with textual task-solving experiences via prompts to improve their performance.
However, previous methods rely on substantial human labor or time to gather such experiences for each task, which is imprac"&amp;"tical given the growing variety of task types in user queries to LLMs.
To address this issue, we design an autonomous experience transfer framework to explore whether LLMs can mimic human cognitive intelligence to autonomously transfer experience from exi"&amp;"sting source tasks to newly encountered target tasks. This not only allows the acquisition of experience without extensive costs of previous methods, but also offers a novel path for the generalization of LLMs.
Experimental results on 13 datasets demonstr"&amp;"ate that our framework effectively improves the performance of LLMs. Furthermore, we provide a detailed analysis of each module in the framework.")</f>
        <v>Recent studies provide large language models (LLMs) with textual task-solving experiences via prompts to improve their performance.
However, previous methods rely on substantial human labor or time to gather such experiences for each task, which is impractical given the growing variety of task types in user queries to LLMs.
To address this issue, we design an autonomous experience transfer framework to explore whether LLMs can mimic human cognitive intelligence to autonomously transfer experience from existing source tasks to newly encountered target tasks. This not only allows the acquisition of experience without extensive costs of previous methods, but also offers a novel path for the generalization of LLMs.
Experimental results on 13 datasets demonstrate that our framework effectively improves the performance of LLMs. Furthermore, we provide a detailed analysis of each module in the framework.</v>
      </c>
      <c r="D2136" s="7" t="str">
        <f>IFERROR(__xludf.DUMMYFUNCTION("""COMPUTED_VALUE"""),"Jinglong Gao")</f>
        <v>Jinglong Gao</v>
      </c>
      <c r="E2136" s="7" t="str">
        <f>IFERROR(__xludf.DUMMYFUNCTION("""COMPUTED_VALUE"""),"Yes")</f>
        <v>Yes</v>
      </c>
      <c r="F2136" s="7" t="str">
        <f>IFERROR(__xludf.DUMMYFUNCTION("""COMPUTED_VALUE"""),"IP-Poster")</f>
        <v>IP-Poster</v>
      </c>
      <c r="G2136" s="7" t="str">
        <f>IFERROR(__xludf.DUMMYFUNCTION("""COMPUTED_VALUE"""),"In-Person")</f>
        <v>In-Person</v>
      </c>
      <c r="H2136" s="7" t="str">
        <f>IFERROR(__xludf.DUMMYFUNCTION("""COMPUTED_VALUE"""),"Hall 4/5")</f>
        <v>Hall 4/5</v>
      </c>
      <c r="I2136" s="7" t="str">
        <f>IFERROR(__xludf.DUMMYFUNCTION("""COMPUTED_VALUE"""),"Session 10: IP-Posters")</f>
        <v>Session 10: IP-Posters</v>
      </c>
      <c r="J2136" s="7" t="str">
        <f>IFERROR(__xludf.DUMMYFUNCTION("""COMPUTED_VALUE"""),"Poster Session 3")</f>
        <v>Poster Session 3</v>
      </c>
      <c r="K2136" s="7"/>
      <c r="L2136" s="8">
        <f>IFERROR(__xludf.DUMMYFUNCTION("""COMPUTED_VALUE"""),45867.0)</f>
        <v>45867</v>
      </c>
      <c r="M2136" s="7" t="str">
        <f>IFERROR(__xludf.DUMMYFUNCTION("""COMPUTED_VALUE"""),"16:00-17:30")</f>
        <v>16:00-17:30</v>
      </c>
      <c r="N2136" s="7"/>
    </row>
    <row r="2137">
      <c r="A2137" s="7" t="str">
        <f>IFERROR(__xludf.DUMMYFUNCTION("""COMPUTED_VALUE"""),"1232-MAIN")</f>
        <v>1232-MAIN</v>
      </c>
      <c r="B2137" s="7" t="str">
        <f>IFERROR(__xludf.DUMMYFUNCTION("""COMPUTED_VALUE"""),"Cool-Fusion: Fuse Large Language Models without Training")</f>
        <v>Cool-Fusion: Fuse Large Language Models without Training</v>
      </c>
      <c r="C2137" s="7" t="str">
        <f>IFERROR(__xludf.DUMMYFUNCTION("""COMPUTED_VALUE"""),"We focus on the problem of fusing two or more heterogeneous large language models (LLMs) to leverage their complementary strengths. One of the challenges of model fusion is high computational load, specifically in fine-tuning or aligning vocabularies. To "&amp;"address this, we propose Cool-Fusion, a simple yet effective approach that fuses the knowledge of source LLMs, which does not require training. Unlike ensemble methods, Cool-Fusion is applicable to any set of source LLMs that have different vocabularies. "&amp;"To overcome the vocabulary discrepancies among LLMs, we ensemble LLMs on text level, allowing them to rerank the generated texts by each other with different granularities. Extensive experiments have been conducted across a variety of benchmark datasets. "&amp;"On GSM8K, Cool-Fusion increases accuracy from three strong source LLMs by a significant margin of 17.4\%.")</f>
        <v>We focus on the problem of fusing two or more heterogeneous large language models (LLMs) to leverage their complementary strengths. One of the challenges of model fusion is high computational load, specifically in fine-tuning or aligning vocabularies. To address this, we propose Cool-Fusion, a simple yet effective approach that fuses the knowledge of source LLMs, which does not require training. Unlike ensemble methods, Cool-Fusion is applicable to any set of source LLMs that have different vocabularies. To overcome the vocabulary discrepancies among LLMs, we ensemble LLMs on text level, allowing them to rerank the generated texts by each other with different granularities. Extensive experiments have been conducted across a variety of benchmark datasets. On GSM8K, Cool-Fusion increases accuracy from three strong source LLMs by a significant margin of 17.4\%.</v>
      </c>
      <c r="D2137" s="7" t="str">
        <f>IFERROR(__xludf.DUMMYFUNCTION("""COMPUTED_VALUE"""),"Xiaojun Quan")</f>
        <v>Xiaojun Quan</v>
      </c>
      <c r="E2137" s="7" t="str">
        <f>IFERROR(__xludf.DUMMYFUNCTION("""COMPUTED_VALUE"""),"Yes")</f>
        <v>Yes</v>
      </c>
      <c r="F2137" s="7" t="str">
        <f>IFERROR(__xludf.DUMMYFUNCTION("""COMPUTED_VALUE"""),"IP-Poster")</f>
        <v>IP-Poster</v>
      </c>
      <c r="G2137" s="7" t="str">
        <f>IFERROR(__xludf.DUMMYFUNCTION("""COMPUTED_VALUE"""),"In-Person")</f>
        <v>In-Person</v>
      </c>
      <c r="H2137" s="7" t="str">
        <f>IFERROR(__xludf.DUMMYFUNCTION("""COMPUTED_VALUE"""),"Hall 4/5")</f>
        <v>Hall 4/5</v>
      </c>
      <c r="I2137" s="7" t="str">
        <f>IFERROR(__xludf.DUMMYFUNCTION("""COMPUTED_VALUE"""),"Session 10: IP-Posters")</f>
        <v>Session 10: IP-Posters</v>
      </c>
      <c r="J2137" s="7" t="str">
        <f>IFERROR(__xludf.DUMMYFUNCTION("""COMPUTED_VALUE"""),"Poster Session 3")</f>
        <v>Poster Session 3</v>
      </c>
      <c r="K2137" s="7"/>
      <c r="L2137" s="8">
        <f>IFERROR(__xludf.DUMMYFUNCTION("""COMPUTED_VALUE"""),45867.0)</f>
        <v>45867</v>
      </c>
      <c r="M2137" s="7" t="str">
        <f>IFERROR(__xludf.DUMMYFUNCTION("""COMPUTED_VALUE"""),"16:00-17:30")</f>
        <v>16:00-17:30</v>
      </c>
      <c r="N2137" s="7"/>
    </row>
    <row r="2138">
      <c r="A2138" s="7" t="str">
        <f>IFERROR(__xludf.DUMMYFUNCTION("""COMPUTED_VALUE"""),"1233-MAIN")</f>
        <v>1233-MAIN</v>
      </c>
      <c r="B2138" s="7" t="str">
        <f>IFERROR(__xludf.DUMMYFUNCTION("""COMPUTED_VALUE"""),"DAPE V2: Process Attention Score as Feature Map for Length Extrapolation")</f>
        <v>DAPE V2: Process Attention Score as Feature Map for Length Extrapolation</v>
      </c>
      <c r="C2138" s="7" t="str">
        <f>IFERROR(__xludf.DUMMYFUNCTION("""COMPUTED_VALUE"""),"The attention mechanism is a fundamental component of the Transformer model, contributing to interactions among distinct tokens. In general, the attention scores are determined simply by the key-query products. However, this work's occasional trial (combi"&amp;"ning DAPE and NoPE) of including additional MLPs on attention scores without position encoding indicates that the classical key-query multiplication may limit the performance of Transformers. 
In this work, we conceptualize attention as a feature map and "&amp;"apply the convolution operator (for neighboring attention scores across different heads) to mimic the processing methods in computer vision. Specifically, **the main contribution of this paper is identifying and interpreting the Transformer length extrapo"&amp;"lation problem as a result of the limited expressiveness of the naive query and key dot product, and we successfully translate the length extrapolation issue into a well-understood feature map processing problem**, which is called Convolutional Data-Adapt"&amp;"ive Position Encoding (CDAPE).
The novel insight, which can be adapted to various attention-related models, reveals that the current Transformer architecture has the potential for further evolution.  Extensive experiments demonstrate that treating attenti"&amp;"on as a feature map and applying convolution as a processing method significantly enhances Transformer performance.")</f>
        <v>The attention mechanism is a fundamental component of the Transformer model, contributing to interactions among distinct tokens. In general, the attention scores are determined simply by the key-query products. However, this work's occasional trial (combining DAPE and NoPE) of including additional MLPs on attention scores without position encoding indicates that the classical key-query multiplication may limit the performance of Transformers. 
In this work, we conceptualize attention as a feature map and apply the convolution operator (for neighboring attention scores across different heads) to mimic the processing methods in computer vision. Specifically, **the main contribution of this paper is identifying and interpreting the Transformer length extrapolation problem as a result of the limited expressiveness of the naive query and key dot product, and we successfully translate the length extrapolation issue into a well-understood feature map processing problem**, which is called Convolutional Data-Adaptive Position Encoding (CDAPE).
The novel insight, which can be adapted to various attention-related models, reveals that the current Transformer architecture has the potential for further evolution.  Extensive experiments demonstrate that treating attention as a feature map and applying convolution as a processing method significantly enhances Transformer performance.</v>
      </c>
      <c r="D2138" s="7" t="str">
        <f>IFERROR(__xludf.DUMMYFUNCTION("""COMPUTED_VALUE"""),"Chuanyang Zheng")</f>
        <v>Chuanyang Zheng</v>
      </c>
      <c r="E2138" s="7" t="str">
        <f>IFERROR(__xludf.DUMMYFUNCTION("""COMPUTED_VALUE"""),"Yes")</f>
        <v>Yes</v>
      </c>
      <c r="F2138" s="7" t="str">
        <f>IFERROR(__xludf.DUMMYFUNCTION("""COMPUTED_VALUE"""),"IP-Poster")</f>
        <v>IP-Poster</v>
      </c>
      <c r="G2138" s="7" t="str">
        <f>IFERROR(__xludf.DUMMYFUNCTION("""COMPUTED_VALUE"""),"In-Person")</f>
        <v>In-Person</v>
      </c>
      <c r="H2138" s="7" t="str">
        <f>IFERROR(__xludf.DUMMYFUNCTION("""COMPUTED_VALUE"""),"Hall 4/5")</f>
        <v>Hall 4/5</v>
      </c>
      <c r="I2138" s="7" t="str">
        <f>IFERROR(__xludf.DUMMYFUNCTION("""COMPUTED_VALUE"""),"Session 12: IP-Posters")</f>
        <v>Session 12: IP-Posters</v>
      </c>
      <c r="J2138" s="7" t="str">
        <f>IFERROR(__xludf.DUMMYFUNCTION("""COMPUTED_VALUE"""),"Poster Session 4")</f>
        <v>Poster Session 4</v>
      </c>
      <c r="K2138" s="7"/>
      <c r="L2138" s="8">
        <f>IFERROR(__xludf.DUMMYFUNCTION("""COMPUTED_VALUE"""),45868.0)</f>
        <v>45868</v>
      </c>
      <c r="M2138" s="7" t="str">
        <f>IFERROR(__xludf.DUMMYFUNCTION("""COMPUTED_VALUE"""),"11:00-12:30")</f>
        <v>11:00-12:30</v>
      </c>
      <c r="N2138" s="7"/>
    </row>
    <row r="2139">
      <c r="A2139" s="7" t="str">
        <f>IFERROR(__xludf.DUMMYFUNCTION("""COMPUTED_VALUE"""),"1235-MAIN")</f>
        <v>1235-MAIN</v>
      </c>
      <c r="B2139" s="7" t="str">
        <f>IFERROR(__xludf.DUMMYFUNCTION("""COMPUTED_VALUE"""),"MuSC: Improving Complex Instruction Following with Multi-granularity Self-Contrastive Training")</f>
        <v>MuSC: Improving Complex Instruction Following with Multi-granularity Self-Contrastive Training</v>
      </c>
      <c r="C2139" s="7" t="str">
        <f>IFERROR(__xludf.DUMMYFUNCTION("""COMPUTED_VALUE"""),"Complex instruction-following with elaborate constraints is imperative for Large Language Models (LLMs). While existing methods have constructed data for complex instruction alignment, they all rely on a more advanced model, especially GPT-4, limiting the"&amp;"ir application. In this paper, we propose a Multi-granularity Self-Contrastive Training (MuSC) framework, to improve the complex instruction alignment without relying on a stronger model. Our method is conducted on both coarse and fine granularity. On coa"&amp;"rse-granularity, we construct constraint-aware preference data based on instruction decomposition and recombination. On fine-granularity, we perform token-aware preference optimization with dynamic token-level supervision. Our method is evaluated on open-"&amp;"sourced models, and experiment results show our method achieves significant improvement on both complex and general instruction-following benchmarks, surpassing previous self-alignment methods.")</f>
        <v>Complex instruction-following with elaborate constraints is imperative for Large Language Models (LLMs). While existing methods have constructed data for complex instruction alignment, they all rely on a more advanced model, especially GPT-4, limiting their application. In this paper, we propose a Multi-granularity Self-Contrastive Training (MuSC) framework, to improve the complex instruction alignment without relying on a stronger model. Our method is conducted on both coarse and fine granularity. On coarse-granularity, we construct constraint-aware preference data based on instruction decomposition and recombination. On fine-granularity, we perform token-aware preference optimization with dynamic token-level supervision. Our method is evaluated on open-sourced models, and experiment results show our method achieves significant improvement on both complex and general instruction-following benchmarks, surpassing previous self-alignment methods.</v>
      </c>
      <c r="D2139" s="7" t="str">
        <f>IFERROR(__xludf.DUMMYFUNCTION("""COMPUTED_VALUE"""),"Hui Huang")</f>
        <v>Hui Huang</v>
      </c>
      <c r="E2139" s="7" t="str">
        <f>IFERROR(__xludf.DUMMYFUNCTION("""COMPUTED_VALUE"""),"Yes")</f>
        <v>Yes</v>
      </c>
      <c r="F2139" s="7" t="str">
        <f>IFERROR(__xludf.DUMMYFUNCTION("""COMPUTED_VALUE"""),"IP-Poster")</f>
        <v>IP-Poster</v>
      </c>
      <c r="G2139" s="7" t="str">
        <f>IFERROR(__xludf.DUMMYFUNCTION("""COMPUTED_VALUE"""),"In-Person")</f>
        <v>In-Person</v>
      </c>
      <c r="H2139" s="7" t="str">
        <f>IFERROR(__xludf.DUMMYFUNCTION("""COMPUTED_VALUE"""),"Hall 4/5")</f>
        <v>Hall 4/5</v>
      </c>
      <c r="I2139" s="7" t="str">
        <f>IFERROR(__xludf.DUMMYFUNCTION("""COMPUTED_VALUE"""),"Session 12: IP-Posters")</f>
        <v>Session 12: IP-Posters</v>
      </c>
      <c r="J2139" s="7" t="str">
        <f>IFERROR(__xludf.DUMMYFUNCTION("""COMPUTED_VALUE"""),"Poster Session 4")</f>
        <v>Poster Session 4</v>
      </c>
      <c r="K2139" s="7"/>
      <c r="L2139" s="8">
        <f>IFERROR(__xludf.DUMMYFUNCTION("""COMPUTED_VALUE"""),45868.0)</f>
        <v>45868</v>
      </c>
      <c r="M2139" s="7" t="str">
        <f>IFERROR(__xludf.DUMMYFUNCTION("""COMPUTED_VALUE"""),"11:00-12:30")</f>
        <v>11:00-12:30</v>
      </c>
      <c r="N2139" s="7"/>
    </row>
    <row r="2140">
      <c r="A2140" s="7" t="str">
        <f>IFERROR(__xludf.DUMMYFUNCTION("""COMPUTED_VALUE"""),"1236-MAIN")</f>
        <v>1236-MAIN</v>
      </c>
      <c r="B2140" s="7" t="str">
        <f>IFERROR(__xludf.DUMMYFUNCTION("""COMPUTED_VALUE"""),"LongReD: Mitigating Short-Text Degradation of Long-Context Large Language Models via Restoration Distillation")</f>
        <v>LongReD: Mitigating Short-Text Degradation of Long-Context Large Language Models via Restoration Distillation</v>
      </c>
      <c r="C2140" s="7" t="str">
        <f>IFERROR(__xludf.DUMMYFUNCTION("""COMPUTED_VALUE"""),"Large language models (LLMs) have gained extended context windows through scaling positional encodings and lightweight continual pre-training. However, this often leads to degraded performance on short-text tasks, while the reasons for this degradation re"&amp;"main insufficiently explored. In this work, we identify two primary factors contributing to this issue: distribution drift in hidden states and attention scores, and catastrophic forgetting during continual pre-training. To address these challenges, we pr"&amp;"opose Long Context Pre-training with Restoration Distillation (LongReD), a novel approach designed to mitigate short-text performance degradation through minimizing the distribution discrepancy between the extended and original models. Besides training on"&amp;" long texts, LongReD distills the hidden state of selected layers from the original model on short texts. Additionally, LongReD also introduces a short-to-long distillation, aligning the output distribution on short texts with that on long texts by levera"&amp;"ging skipped positional indices. Experiments on common benchmarks demonstrate that LongReD effectively preserves the model's short-text performance while maintaining or even enhancing its long-context abilities.")</f>
        <v>Large language models (LLMs) have gained extended context windows through scaling positional encodings and lightweight continual pre-training. However, this often leads to degraded performance on short-text tasks, while the reasons for this degradation remain insufficiently explored. In this work, we identify two primary factors contributing to this issue: distribution drift in hidden states and attention scores, and catastrophic forgetting during continual pre-training. To address these challenges, we propose Long Context Pre-training with Restoration Distillation (LongReD), a novel approach designed to mitigate short-text performance degradation through minimizing the distribution discrepancy between the extended and original models. Besides training on long texts, LongReD distills the hidden state of selected layers from the original model on short texts. Additionally, LongReD also introduces a short-to-long distillation, aligning the output distribution on short texts with that on long texts by leveraging skipped positional indices. Experiments on common benchmarks demonstrate that LongReD effectively preserves the model's short-text performance while maintaining or even enhancing its long-context abilities.</v>
      </c>
      <c r="D2140" s="7" t="str">
        <f>IFERROR(__xludf.DUMMYFUNCTION("""COMPUTED_VALUE"""),"Zican Dong")</f>
        <v>Zican Dong</v>
      </c>
      <c r="E2140" s="7" t="str">
        <f>IFERROR(__xludf.DUMMYFUNCTION("""COMPUTED_VALUE"""),"Yes")</f>
        <v>Yes</v>
      </c>
      <c r="F2140" s="7" t="str">
        <f>IFERROR(__xludf.DUMMYFUNCTION("""COMPUTED_VALUE"""),"IP-Oral")</f>
        <v>IP-Oral</v>
      </c>
      <c r="G2140" s="7" t="str">
        <f>IFERROR(__xludf.DUMMYFUNCTION("""COMPUTED_VALUE"""),"In-Person")</f>
        <v>In-Person</v>
      </c>
      <c r="H2140" s="7" t="str">
        <f>IFERROR(__xludf.DUMMYFUNCTION("""COMPUTED_VALUE"""),"Room 1.15-16")</f>
        <v>Room 1.15-16</v>
      </c>
      <c r="I2140" s="7" t="str">
        <f>IFERROR(__xludf.DUMMYFUNCTION("""COMPUTED_VALUE"""),"Session 11: IP-Orals ")</f>
        <v>Session 11: IP-Orals </v>
      </c>
      <c r="J2140" s="7" t="str">
        <f>IFERROR(__xludf.DUMMYFUNCTION("""COMPUTED_VALUE"""),"Language Modeling 2")</f>
        <v>Language Modeling 2</v>
      </c>
      <c r="K2140" s="7"/>
      <c r="L2140" s="8">
        <f>IFERROR(__xludf.DUMMYFUNCTION("""COMPUTED_VALUE"""),45868.0)</f>
        <v>45868</v>
      </c>
      <c r="M2140" s="7" t="str">
        <f>IFERROR(__xludf.DUMMYFUNCTION("""COMPUTED_VALUE"""),"09:00-10:30")</f>
        <v>09:00-10:30</v>
      </c>
      <c r="N2140" s="7">
        <f>IFERROR(__xludf.DUMMYFUNCTION("""COMPUTED_VALUE"""),5.0)</f>
        <v>5</v>
      </c>
    </row>
    <row r="2141">
      <c r="A2141" s="7" t="str">
        <f>IFERROR(__xludf.DUMMYFUNCTION("""COMPUTED_VALUE"""),"1238-MAIN")</f>
        <v>1238-MAIN</v>
      </c>
      <c r="B2141" s="7" t="str">
        <f>IFERROR(__xludf.DUMMYFUNCTION("""COMPUTED_VALUE"""),"APB: Accelerating Distributed Long-Context Inference by Passing Compressed Context Blocks across GPUs")</f>
        <v>APB: Accelerating Distributed Long-Context Inference by Passing Compressed Context Blocks across GPUs</v>
      </c>
      <c r="C2141" s="7" t="str">
        <f>IFERROR(__xludf.DUMMYFUNCTION("""COMPUTED_VALUE"""),"While long-context inference is crucial for advancing large language model (LLM) applications, its prefill speed remains a significant bottleneck. Current approaches, including sequence parallelism strategies and compute reduction through approximate atte"&amp;"ntion mechanisms, still fall short of delivering optimal inference efficiency. This hinders scaling the inputs to longer sequences and processing long-context queries in a timely manner. To address this, we introduce APB, an efficient long-context inferen"&amp;"ce framework that leverages multi-host approximate attention to enhance prefill speed by reducing compute and enhancing parallelism simultaneously. APB introduces a communication mechanism for essential key-value pairs within a sequence parallelism framew"&amp;"ork, enabling a faster inference speed while maintaining task performance. We implement APB by incorporating a tailored FlashAttn kernel alongside optimized distribution strategies, supporting diverse models and parallelism configurations. APB achieves sp"&amp;"eedups of up to 9.2$\times$, 4.2$\times$, and 1.6$\times$ compared with FlashAttn, RingAttn, and StarAttn, respectively, without any observable task performance degradation.")</f>
        <v>While long-context inference is crucial for advancing large language model (LLM) applications, its prefill speed remains a significant bottleneck. Current approaches, including sequence parallelism strategies and compute reduction through approximate attention mechanisms, still fall short of delivering optimal inference efficiency. This hinders scaling the inputs to longer sequences and processing long-context queries in a timely manner. To address this, we introduce APB, an efficient long-context inference framework that leverages multi-host approximate attention to enhance prefill speed by reducing compute and enhancing parallelism simultaneously. APB introduces a communication mechanism for essential key-value pairs within a sequence parallelism framework, enabling a faster inference speed while maintaining task performance. We implement APB by incorporating a tailored FlashAttn kernel alongside optimized distribution strategies, supporting diverse models and parallelism configurations. APB achieves speedups of up to 9.2$\times$, 4.2$\times$, and 1.6$\times$ compared with FlashAttn, RingAttn, and StarAttn, respectively, without any observable task performance degradation.</v>
      </c>
      <c r="D2141" s="7" t="str">
        <f>IFERROR(__xludf.DUMMYFUNCTION("""COMPUTED_VALUE"""),"Yuxiang Huang")</f>
        <v>Yuxiang Huang</v>
      </c>
      <c r="E2141" s="7" t="str">
        <f>IFERROR(__xludf.DUMMYFUNCTION("""COMPUTED_VALUE"""),"Yes")</f>
        <v>Yes</v>
      </c>
      <c r="F2141" s="7" t="str">
        <f>IFERROR(__xludf.DUMMYFUNCTION("""COMPUTED_VALUE"""),"IP-Oral")</f>
        <v>IP-Oral</v>
      </c>
      <c r="G2141" s="7" t="str">
        <f>IFERROR(__xludf.DUMMYFUNCTION("""COMPUTED_VALUE"""),"In-Person")</f>
        <v>In-Person</v>
      </c>
      <c r="H2141" s="7" t="str">
        <f>IFERROR(__xludf.DUMMYFUNCTION("""COMPUTED_VALUE"""),"Hall M.1")</f>
        <v>Hall M.1</v>
      </c>
      <c r="I2141" s="7" t="str">
        <f>IFERROR(__xludf.DUMMYFUNCTION("""COMPUTED_VALUE"""),"Session 3: IP-Orals")</f>
        <v>Session 3: IP-Orals</v>
      </c>
      <c r="J2141" s="7" t="str">
        <f>IFERROR(__xludf.DUMMYFUNCTION("""COMPUTED_VALUE"""),"Generation")</f>
        <v>Generation</v>
      </c>
      <c r="K2141" s="7"/>
      <c r="L2141" s="8">
        <f>IFERROR(__xludf.DUMMYFUNCTION("""COMPUTED_VALUE"""),45866.0)</f>
        <v>45866</v>
      </c>
      <c r="M2141" s="7" t="str">
        <f>IFERROR(__xludf.DUMMYFUNCTION("""COMPUTED_VALUE"""),"14:00-15:30")</f>
        <v>14:00-15:30</v>
      </c>
      <c r="N2141" s="7">
        <f>IFERROR(__xludf.DUMMYFUNCTION("""COMPUTED_VALUE"""),3.0)</f>
        <v>3</v>
      </c>
    </row>
    <row r="2142">
      <c r="A2142" s="7" t="str">
        <f>IFERROR(__xludf.DUMMYFUNCTION("""COMPUTED_VALUE"""),"1241-MAIN")</f>
        <v>1241-MAIN</v>
      </c>
      <c r="B2142" s="7" t="str">
        <f>IFERROR(__xludf.DUMMYFUNCTION("""COMPUTED_VALUE"""),"PPT: A Minor Language News Recommendation Model via Cross-Lingual Preference Pattern Transfer")</f>
        <v>PPT: A Minor Language News Recommendation Model via Cross-Lingual Preference Pattern Transfer</v>
      </c>
      <c r="C2142" s="7" t="str">
        <f>IFERROR(__xludf.DUMMYFUNCTION("""COMPUTED_VALUE"""),"Rich user-item interactions are essential for building reliable recommender systems, as they reflect user preference patterns. However, minor language news recommendation platforms suffer from limited interactions due to a small user base. A natural solut"&amp;"ion is to apply well-established English recommender systems to minor language news recommendation, but the linguistic gap can lead to inaccurate modeling of minor language news content. Therefore, enabling few-shot minor language news recommender systems"&amp;" to capture both content information and preference patterns remains a challenge. Based on the observation that preference patterns are similar across languages, we propose a minor language news recommendation model by cross-lingual preference pattern tra"&amp;"nsfer, named PPT. Our model adopts the widely used two-tower architecture and employs the large language model as the backbone of the news encoder. Through cross-lingual alignment, the strong English capability of the news encoder is extended to minor lan"&amp;"guages, thus enhancing news content representations. Additionally, through cross-lingual news augmentation, PPT simulates interactions of minor language news in the English domain, which facilitates the transfer of preference patterns from the many-shot E"&amp;"nglish domain to the few-shot minor language domain. Extensive experiments on two real-world datasets across 15 minor languages demonstrate the superiority and generalization of our proposed PPT in addressing minor language news recommendation.")</f>
        <v>Rich user-item interactions are essential for building reliable recommender systems, as they reflect user preference patterns. However, minor language news recommendation platforms suffer from limited interactions due to a small user base. A natural solution is to apply well-established English recommender systems to minor language news recommendation, but the linguistic gap can lead to inaccurate modeling of minor language news content. Therefore, enabling few-shot minor language news recommender systems to capture both content information and preference patterns remains a challenge. Based on the observation that preference patterns are similar across languages, we propose a minor language news recommendation model by cross-lingual preference pattern transfer, named PPT. Our model adopts the widely used two-tower architecture and employs the large language model as the backbone of the news encoder. Through cross-lingual alignment, the strong English capability of the news encoder is extended to minor languages, thus enhancing news content representations. Additionally, through cross-lingual news augmentation, PPT simulates interactions of minor language news in the English domain, which facilitates the transfer of preference patterns from the many-shot English domain to the few-shot minor language domain. Extensive experiments on two real-world datasets across 15 minor languages demonstrate the superiority and generalization of our proposed PPT in addressing minor language news recommendation.</v>
      </c>
      <c r="D2142" s="7" t="str">
        <f>IFERROR(__xludf.DUMMYFUNCTION("""COMPUTED_VALUE"""),"Yiyang Zhang")</f>
        <v>Yiyang Zhang</v>
      </c>
      <c r="E2142" s="7" t="str">
        <f>IFERROR(__xludf.DUMMYFUNCTION("""COMPUTED_VALUE"""),"Yes")</f>
        <v>Yes</v>
      </c>
      <c r="F2142" s="7" t="str">
        <f>IFERROR(__xludf.DUMMYFUNCTION("""COMPUTED_VALUE"""),"IP-Poster")</f>
        <v>IP-Poster</v>
      </c>
      <c r="G2142" s="7" t="str">
        <f>IFERROR(__xludf.DUMMYFUNCTION("""COMPUTED_VALUE"""),"In-Person")</f>
        <v>In-Person</v>
      </c>
      <c r="H2142" s="7" t="str">
        <f>IFERROR(__xludf.DUMMYFUNCTION("""COMPUTED_VALUE"""),"Hall 4/5")</f>
        <v>Hall 4/5</v>
      </c>
      <c r="I2142" s="7" t="str">
        <f>IFERROR(__xludf.DUMMYFUNCTION("""COMPUTED_VALUE"""),"Session 7: IP-Posters")</f>
        <v>Session 7: IP-Posters</v>
      </c>
      <c r="J2142" s="7" t="str">
        <f>IFERROR(__xludf.DUMMYFUNCTION("""COMPUTED_VALUE"""),"Poster Session 2")</f>
        <v>Poster Session 2</v>
      </c>
      <c r="K2142" s="7"/>
      <c r="L2142" s="8">
        <f>IFERROR(__xludf.DUMMYFUNCTION("""COMPUTED_VALUE"""),45867.0)</f>
        <v>45867</v>
      </c>
      <c r="M2142" s="7" t="str">
        <f>IFERROR(__xludf.DUMMYFUNCTION("""COMPUTED_VALUE"""),"10:30-12:00")</f>
        <v>10:30-12:00</v>
      </c>
      <c r="N2142" s="7"/>
    </row>
    <row r="2143">
      <c r="A2143" s="7" t="str">
        <f>IFERROR(__xludf.DUMMYFUNCTION("""COMPUTED_VALUE"""),"1243-MAIN")</f>
        <v>1243-MAIN</v>
      </c>
      <c r="B2143" s="7" t="str">
        <f>IFERROR(__xludf.DUMMYFUNCTION("""COMPUTED_VALUE"""),"GainRAG: Preference Alignment in Retrieval-Augmented Generation through Gain Signal Synthesis")</f>
        <v>GainRAG: Preference Alignment in Retrieval-Augmented Generation through Gain Signal Synthesis</v>
      </c>
      <c r="C2143" s="7" t="str">
        <f>IFERROR(__xludf.DUMMYFUNCTION("""COMPUTED_VALUE"""),"The Retrieval-Augmented Generation (RAG) framework introduces a retrieval module to dynamicaslly inject retrieved information into the input context of large language models (LLMs), and has demonstrated significant success in various NLP tasks. However, t"&amp;"he current study points out that there is a preference gap between retrievers and LLMs in the RAG framework, which limit the further improvement of system performance. 
Some highly relevant passages may interfere with LLM reasoning because they contain co"&amp;"mplex or contradictory information; while some indirectly related or even inaccurate content may help LLM generate more accurate answers by providing suggestive information or logical clues. 
To solve this, we propose **GainRAG**, a novel approach that al"&amp;"igns the retriever’s and LLM’s preferences by defining a new metric, “gain’’, which measure how well an input passage contributes to correct outputs.
We then propose a method to estimate these gain signals and train a middleware that aligns the preference"&amp;"s of the retriever and the LLM using only limited data.
In addition, we introduce a pseudo-passage strategy to mitigate degradation.
The experimental results on 6 datasets verify the effectiveness of GainRAG.")</f>
        <v>The Retrieval-Augmented Generation (RAG) framework introduces a retrieval module to dynamicaslly inject retrieved information into the input context of large language models (LLMs), and has demonstrated significant success in various NLP tasks. However, the current study points out that there is a preference gap between retrievers and LLMs in the RAG framework, which limit the further improvement of system performance. 
Some highly relevant passages may interfere with LLM reasoning because they contain complex or contradictory information; while some indirectly related or even inaccurate content may help LLM generate more accurate answers by providing suggestive information or logical clues. 
To solve this, we propose **GainRAG**, a novel approach that aligns the retriever’s and LLM’s preferences by defining a new metric, “gain’’, which measure how well an input passage contributes to correct outputs.
We then propose a method to estimate these gain signals and train a middleware that aligns the preferences of the retriever and the LLM using only limited data.
In addition, we introduce a pseudo-passage strategy to mitigate degradation.
The experimental results on 6 datasets verify the effectiveness of GainRAG.</v>
      </c>
      <c r="D2143" s="7" t="str">
        <f>IFERROR(__xludf.DUMMYFUNCTION("""COMPUTED_VALUE"""),"Yi Jiang")</f>
        <v>Yi Jiang</v>
      </c>
      <c r="E2143" s="7" t="str">
        <f>IFERROR(__xludf.DUMMYFUNCTION("""COMPUTED_VALUE"""),"Yes")</f>
        <v>Yes</v>
      </c>
      <c r="F2143" s="7" t="str">
        <f>IFERROR(__xludf.DUMMYFUNCTION("""COMPUTED_VALUE"""),"V-Presentation")</f>
        <v>V-Presentation</v>
      </c>
      <c r="G2143" s="7" t="str">
        <f>IFERROR(__xludf.DUMMYFUNCTION("""COMPUTED_VALUE"""),"Virtual/Gather")</f>
        <v>Virtual/Gather</v>
      </c>
      <c r="H2143" s="7" t="str">
        <f>IFERROR(__xludf.DUMMYFUNCTION("""COMPUTED_VALUE"""),"Zoom")</f>
        <v>Zoom</v>
      </c>
      <c r="I2143" s="7" t="str">
        <f>IFERROR(__xludf.DUMMYFUNCTION("""COMPUTED_VALUE"""),"Session 10: V-Presentations")</f>
        <v>Session 10: V-Presentations</v>
      </c>
      <c r="J2143" s="7" t="str">
        <f>IFERROR(__xludf.DUMMYFUNCTION("""COMPUTED_VALUE"""),"Virtual Presentations 3")</f>
        <v>Virtual Presentations 3</v>
      </c>
      <c r="K2143" s="7"/>
      <c r="L2143" s="8">
        <f>IFERROR(__xludf.DUMMYFUNCTION("""COMPUTED_VALUE"""),45867.0)</f>
        <v>45867</v>
      </c>
      <c r="M2143" s="7" t="str">
        <f>IFERROR(__xludf.DUMMYFUNCTION("""COMPUTED_VALUE"""),"16:00-17:30")</f>
        <v>16:00-17:30</v>
      </c>
      <c r="N2143" s="7"/>
    </row>
    <row r="2144">
      <c r="A2144" s="7" t="str">
        <f>IFERROR(__xludf.DUMMYFUNCTION("""COMPUTED_VALUE"""),"1246-MAIN")</f>
        <v>1246-MAIN</v>
      </c>
      <c r="B2144" s="7" t="str">
        <f>IFERROR(__xludf.DUMMYFUNCTION("""COMPUTED_VALUE"""),"Top-nσ: Eliminating Noise in Logit Space for Robust Token Sampling of LLM")</f>
        <v>Top-nσ: Eliminating Noise in Logit Space for Robust Token Sampling of LLM</v>
      </c>
      <c r="C2144" s="7" t="str">
        <f>IFERROR(__xludf.DUMMYFUNCTION("""COMPUTED_VALUE"""),"Large language models (LLMs) rely heavily on sampling methods to generate diverse and high-quality text.
While existing sampling methods like top-$p$ and min-$p$ have identified the detrimental effects of low-probability tails in LLMs&amp;#x27; outputs, they "&amp;"still fail to effectively distinguish between diversity and noise. 
This limitation stems from their reliance on probability-based metrics that are inherently sensitive to temperature scaling. 
Through empirical and theoretical analysis, we make two key d"&amp;"iscoveries: (1) the pre-softmax logits exhibit a clear statistical separation between informative tokens and noise, and (2) we prove the mathematical equivalence of min-$p$ and top-(1-$p$) under uniform distribution over logits. 
These findings motivate t"&amp;"he design of top-n$\sigma$, a novel sampling method that identifies informative tokens by eliminating noise directly in logit space.
Unlike existing methods that become unstable at high temperatures, top-$n\sigma$ achieves temperature-invariant token sele"&amp;"ction while preserving output diversity. 
Extensive experiments across reasoning and creative writing tasks demonstrate that our method consistently outperforms existing approaches, with particularly significant improvements in high-temperature settings.")</f>
        <v>Large language models (LLMs) rely heavily on sampling methods to generate diverse and high-quality text.
While existing sampling methods like top-$p$ and min-$p$ have identified the detrimental effects of low-probability tails in LLMs&amp;#x27; outputs, they still fail to effectively distinguish between diversity and noise. 
This limitation stems from their reliance on probability-based metrics that are inherently sensitive to temperature scaling. 
Through empirical and theoretical analysis, we make two key discoveries: (1) the pre-softmax logits exhibit a clear statistical separation between informative tokens and noise, and (2) we prove the mathematical equivalence of min-$p$ and top-(1-$p$) under uniform distribution over logits. 
These findings motivate the design of top-n$\sigma$, a novel sampling method that identifies informative tokens by eliminating noise directly in logit space.
Unlike existing methods that become unstable at high temperatures, top-$n\sigma$ achieves temperature-invariant token selection while preserving output diversity. 
Extensive experiments across reasoning and creative writing tasks demonstrate that our method consistently outperforms existing approaches, with particularly significant improvements in high-temperature settings.</v>
      </c>
      <c r="D2144" s="7" t="str">
        <f>IFERROR(__xludf.DUMMYFUNCTION("""COMPUTED_VALUE"""),"Chenxia Tang")</f>
        <v>Chenxia Tang</v>
      </c>
      <c r="E2144" s="7" t="str">
        <f>IFERROR(__xludf.DUMMYFUNCTION("""COMPUTED_VALUE"""),"Yes")</f>
        <v>Yes</v>
      </c>
      <c r="F2144" s="7" t="str">
        <f>IFERROR(__xludf.DUMMYFUNCTION("""COMPUTED_VALUE"""),"IP-Poster")</f>
        <v>IP-Poster</v>
      </c>
      <c r="G2144" s="7" t="str">
        <f>IFERROR(__xludf.DUMMYFUNCTION("""COMPUTED_VALUE"""),"In-Person")</f>
        <v>In-Person</v>
      </c>
      <c r="H2144" s="7" t="str">
        <f>IFERROR(__xludf.DUMMYFUNCTION("""COMPUTED_VALUE"""),"Hall 4/5")</f>
        <v>Hall 4/5</v>
      </c>
      <c r="I2144" s="7" t="str">
        <f>IFERROR(__xludf.DUMMYFUNCTION("""COMPUTED_VALUE"""),"Session 2: IP-Posters ")</f>
        <v>Session 2: IP-Posters </v>
      </c>
      <c r="J2144" s="7" t="str">
        <f>IFERROR(__xludf.DUMMYFUNCTION("""COMPUTED_VALUE"""),"Poster Session 1")</f>
        <v>Poster Session 1</v>
      </c>
      <c r="K2144" s="7"/>
      <c r="L2144" s="8">
        <f>IFERROR(__xludf.DUMMYFUNCTION("""COMPUTED_VALUE"""),45866.0)</f>
        <v>45866</v>
      </c>
      <c r="M2144" s="7" t="str">
        <f>IFERROR(__xludf.DUMMYFUNCTION("""COMPUTED_VALUE"""),"11:00-12:30")</f>
        <v>11:00-12:30</v>
      </c>
      <c r="N2144" s="7"/>
    </row>
    <row r="2145">
      <c r="A2145" s="7" t="str">
        <f>IFERROR(__xludf.DUMMYFUNCTION("""COMPUTED_VALUE"""),"1247-MAIN")</f>
        <v>1247-MAIN</v>
      </c>
      <c r="B2145" s="7" t="str">
        <f>IFERROR(__xludf.DUMMYFUNCTION("""COMPUTED_VALUE"""),"SCOPE: Optimizing Key-Value Cache Compression in Long-context Generation")</f>
        <v>SCOPE: Optimizing Key-Value Cache Compression in Long-context Generation</v>
      </c>
      <c r="C2145" s="7" t="str">
        <f>IFERROR(__xludf.DUMMYFUNCTION("""COMPUTED_VALUE"""),"Key-Value (KV) cache has become a bottleneck of LLMs for long-context generation. Despite the numerous efforts in this area, the optimization for the decoding phase is generally ignored. However, we believe such optimization is crucial, especially for lon"&amp;"g-output generation tasks based on the following two observations: (i) Excessive compression during the prefill phase, which requires specific full context impairs the comprehension of the reasoning task; (ii) Deviation of heavy hitters occurs in the reas"&amp;"oning tasks with long outputs. Therefore, SCOPE, a simple yet efficient framework that separately performs KV cache optimization during the prefill and decoding phases, is introduced. Specifically, the KV cache during the prefill phase is preserved to mai"&amp;"ntain the essential information, while a novel strategy based on sliding is proposed to select essential heavy hitters for the decoding phase. Memory usage and memory transfer are further optimized using adaptive and discontinuous strategies. Extensive ex"&amp;"periments on LongGenBench show the effectiveness and generalization of SCOPE and its compatibility as a plug-in to other prefill-only KV compression methods.")</f>
        <v>Key-Value (KV) cache has become a bottleneck of LLMs for long-context generation. Despite the numerous efforts in this area, the optimization for the decoding phase is generally ignored. However, we believe such optimization is crucial, especially for long-output generation tasks based on the following two observations: (i) Excessive compression during the prefill phase, which requires specific full context impairs the comprehension of the reasoning task; (ii) Deviation of heavy hitters occurs in the reasoning tasks with long outputs. Therefore, SCOPE, a simple yet efficient framework that separately performs KV cache optimization during the prefill and decoding phases, is introduced. Specifically, the KV cache during the prefill phase is preserved to maintain the essential information, while a novel strategy based on sliding is proposed to select essential heavy hitters for the decoding phase. Memory usage and memory transfer are further optimized using adaptive and discontinuous strategies. Extensive experiments on LongGenBench show the effectiveness and generalization of SCOPE and its compatibility as a plug-in to other prefill-only KV compression methods.</v>
      </c>
      <c r="D2145" s="7" t="str">
        <f>IFERROR(__xludf.DUMMYFUNCTION("""COMPUTED_VALUE"""),"Jialong Wu")</f>
        <v>Jialong Wu</v>
      </c>
      <c r="E2145" s="7" t="str">
        <f>IFERROR(__xludf.DUMMYFUNCTION("""COMPUTED_VALUE"""),"Yes")</f>
        <v>Yes</v>
      </c>
      <c r="F2145" s="7" t="str">
        <f>IFERROR(__xludf.DUMMYFUNCTION("""COMPUTED_VALUE"""),"IP-Oral")</f>
        <v>IP-Oral</v>
      </c>
      <c r="G2145" s="7" t="str">
        <f>IFERROR(__xludf.DUMMYFUNCTION("""COMPUTED_VALUE"""),"In-Person")</f>
        <v>In-Person</v>
      </c>
      <c r="H2145" s="7" t="str">
        <f>IFERROR(__xludf.DUMMYFUNCTION("""COMPUTED_VALUE"""),"Room 1.62")</f>
        <v>Room 1.62</v>
      </c>
      <c r="I2145" s="7" t="str">
        <f>IFERROR(__xludf.DUMMYFUNCTION("""COMPUTED_VALUE"""),"Session 11: IP-Orals ")</f>
        <v>Session 11: IP-Orals </v>
      </c>
      <c r="J2145" s="7" t="str">
        <f>IFERROR(__xludf.DUMMYFUNCTION("""COMPUTED_VALUE"""),"Efficient Methods for NLP 2")</f>
        <v>Efficient Methods for NLP 2</v>
      </c>
      <c r="K2145" s="7"/>
      <c r="L2145" s="8">
        <f>IFERROR(__xludf.DUMMYFUNCTION("""COMPUTED_VALUE"""),45868.0)</f>
        <v>45868</v>
      </c>
      <c r="M2145" s="7" t="str">
        <f>IFERROR(__xludf.DUMMYFUNCTION("""COMPUTED_VALUE"""),"09:00-10:30")</f>
        <v>09:00-10:30</v>
      </c>
      <c r="N2145" s="7">
        <f>IFERROR(__xludf.DUMMYFUNCTION("""COMPUTED_VALUE"""),3.0)</f>
        <v>3</v>
      </c>
    </row>
    <row r="2146">
      <c r="A2146" s="7" t="str">
        <f>IFERROR(__xludf.DUMMYFUNCTION("""COMPUTED_VALUE"""),"1248-MAIN")</f>
        <v>1248-MAIN</v>
      </c>
      <c r="B2146" s="7" t="str">
        <f>IFERROR(__xludf.DUMMYFUNCTION("""COMPUTED_VALUE"""),"Mitigating Non-Representative Prototypes and Representation Bias in Few-Shot Continual Relation Extraction")</f>
        <v>Mitigating Non-Representative Prototypes and Representation Bias in Few-Shot Continual Relation Extraction</v>
      </c>
      <c r="C2146" s="7" t="str">
        <f>IFERROR(__xludf.DUMMYFUNCTION("""COMPUTED_VALUE"""),"To address the phenomenon of similar classes, existing methods in few-shot continual relation extraction (FCRE) face two main challenges: non-representative prototypes and representation bias, especially when the number of available samples is limited. In"&amp;" our work, we propose Minion to address these challenges. Firstly, we leverage the General Orthogonal Frame (GOF) structure,  based on the concept of Neural Collapse, to create robust class prototypes with clear separation, even between analogous classes."&amp;" Secondly, we utilize label description representations as global class representatives within the fast-slow contrastive learning paradigm. These representations consistently encapsulate the essential attributes of each relation, acting as global informat"&amp;"ion that helps mitigate overfitting and reduces representation bias caused by the limited local few-shot examples within a class. Extensive experiments on well-known FCRE benchmarks show that our method outperforms state-of-the-art approaches, demonstrati"&amp;"ng its effectiveness for advancing RE system.")</f>
        <v>To address the phenomenon of similar classes, existing methods in few-shot continual relation extraction (FCRE) face two main challenges: non-representative prototypes and representation bias, especially when the number of available samples is limited. In our work, we propose Minion to address these challenges. Firstly, we leverage the General Orthogonal Frame (GOF) structure,  based on the concept of Neural Collapse, to create robust class prototypes with clear separation, even between analogous classes. Secondly, we utilize label description representations as global class representatives within the fast-slow contrastive learning paradigm. These representations consistently encapsulate the essential attributes of each relation, acting as global information that helps mitigate overfitting and reduces representation bias caused by the limited local few-shot examples within a class. Extensive experiments on well-known FCRE benchmarks show that our method outperforms state-of-the-art approaches, demonstrating its effectiveness for advancing RE system.</v>
      </c>
      <c r="D2146" s="7" t="str">
        <f>IFERROR(__xludf.DUMMYFUNCTION("""COMPUTED_VALUE"""),"Thien Huu Nguyen")</f>
        <v>Thien Huu Nguyen</v>
      </c>
      <c r="E2146" s="7" t="str">
        <f>IFERROR(__xludf.DUMMYFUNCTION("""COMPUTED_VALUE"""),"Yes")</f>
        <v>Yes</v>
      </c>
      <c r="F2146" s="7" t="str">
        <f>IFERROR(__xludf.DUMMYFUNCTION("""COMPUTED_VALUE"""),"V-Presentation")</f>
        <v>V-Presentation</v>
      </c>
      <c r="G2146" s="7" t="str">
        <f>IFERROR(__xludf.DUMMYFUNCTION("""COMPUTED_VALUE"""),"Virtual/Gather")</f>
        <v>Virtual/Gather</v>
      </c>
      <c r="H2146" s="7" t="str">
        <f>IFERROR(__xludf.DUMMYFUNCTION("""COMPUTED_VALUE"""),"Zoom")</f>
        <v>Zoom</v>
      </c>
      <c r="I2146" s="7" t="str">
        <f>IFERROR(__xludf.DUMMYFUNCTION("""COMPUTED_VALUE"""),"Session 7: V--Presentations ")</f>
        <v>Session 7: V--Presentations </v>
      </c>
      <c r="J2146" s="7" t="str">
        <f>IFERROR(__xludf.DUMMYFUNCTION("""COMPUTED_VALUE"""),"Virtual Presentations 2")</f>
        <v>Virtual Presentations 2</v>
      </c>
      <c r="K2146" s="7"/>
      <c r="L2146" s="8"/>
      <c r="M2146" s="7" t="str">
        <f>IFERROR(__xludf.DUMMYFUNCTION("""COMPUTED_VALUE"""),"10:30-12:00")</f>
        <v>10:30-12:00</v>
      </c>
      <c r="N2146" s="7"/>
    </row>
    <row r="2147">
      <c r="A2147" s="7" t="str">
        <f>IFERROR(__xludf.DUMMYFUNCTION("""COMPUTED_VALUE"""),"1249-MAIN")</f>
        <v>1249-MAIN</v>
      </c>
      <c r="B2147" s="7" t="str">
        <f>IFERROR(__xludf.DUMMYFUNCTION("""COMPUTED_VALUE"""),"MoQAE: Mixed-Precision Quantization for Long-Context LLM Inference via Mixture of Quantization-Aware Experts")</f>
        <v>MoQAE: Mixed-Precision Quantization for Long-Context LLM Inference via Mixture of Quantization-Aware Experts</v>
      </c>
      <c r="C2147" s="7" t="str">
        <f>IFERROR(__xludf.DUMMYFUNCTION("""COMPUTED_VALUE"""),"One of the primary challenges in optimizing large language models (LLMs) for long-context inference lies in the high memory consumption of the Key-Value (KV) cache. Existing approaches, such as quantization, have demonstrated promising results in reducing"&amp;" memory usage. However, current quantization methods cannot take both effectiveness and efficiency into account. In this paper, we propose MoQAE, a novel mixed-precision quantization method via mixture of quantization-aware experts. First, we view differe"&amp;"nt quantization bit-width configurations as experts and use the traditional mixture of experts (MoE) method to select the optimal configuration. To avoid the inefficiency caused by inputting tokens one by one into the router in the traditional MoE method,"&amp;" we input the tokens into the router chunk by chunk. Second, we design a lightweight router-only fine-tuning process to train MoQAE with a comprehensive loss to learn the trade-off between model accuracy and memory usage. Finally, we introduce a routing f"&amp;"reezing (RF) and a routing sharing (RS) mechanism to further reduce the inference overhead. Extensive experiments on multiple benchmark datasets demonstrate that our method outperforms state-of-the-art KV cache quantization approaches in both efficiency a"&amp;"nd effectiveness.")</f>
        <v>One of the primary challenges in optimizing large language models (LLMs) for long-context inference lies in the high memory consumption of the Key-Value (KV) cache. Existing approaches, such as quantization, have demonstrated promising results in reducing memory usage. However, current quantization methods cannot take both effectiveness and efficiency into account. In this paper, we propose MoQAE, a novel mixed-precision quantization method via mixture of quantization-aware experts. First, we view different quantization bit-width configurations as experts and use the traditional mixture of experts (MoE) method to select the optimal configuration. To avoid the inefficiency caused by inputting tokens one by one into the router in the traditional MoE method, we input the tokens into the router chunk by chunk. Second, we design a lightweight router-only fine-tuning process to train MoQAE with a comprehensive loss to learn the trade-off between model accuracy and memory usage. Finally, we introduce a routing freezing (RF) and a routing sharing (RS) mechanism to further reduce the inference overhead. Extensive experiments on multiple benchmark datasets demonstrate that our method outperforms state-of-the-art KV cache quantization approaches in both efficiency and effectiveness.</v>
      </c>
      <c r="D2147" s="7" t="str">
        <f>IFERROR(__xludf.DUMMYFUNCTION("""COMPUTED_VALUE"""),"Wei Tao")</f>
        <v>Wei Tao</v>
      </c>
      <c r="E2147" s="7" t="str">
        <f>IFERROR(__xludf.DUMMYFUNCTION("""COMPUTED_VALUE"""),"Yes")</f>
        <v>Yes</v>
      </c>
      <c r="F2147" s="7" t="str">
        <f>IFERROR(__xludf.DUMMYFUNCTION("""COMPUTED_VALUE"""),"IP-Poster")</f>
        <v>IP-Poster</v>
      </c>
      <c r="G2147" s="7" t="str">
        <f>IFERROR(__xludf.DUMMYFUNCTION("""COMPUTED_VALUE"""),"In-Person")</f>
        <v>In-Person</v>
      </c>
      <c r="H2147" s="7" t="str">
        <f>IFERROR(__xludf.DUMMYFUNCTION("""COMPUTED_VALUE"""),"Hall 4/5")</f>
        <v>Hall 4/5</v>
      </c>
      <c r="I2147" s="7" t="str">
        <f>IFERROR(__xludf.DUMMYFUNCTION("""COMPUTED_VALUE"""),"Session 10: IP-Posters")</f>
        <v>Session 10: IP-Posters</v>
      </c>
      <c r="J2147" s="7" t="str">
        <f>IFERROR(__xludf.DUMMYFUNCTION("""COMPUTED_VALUE"""),"Poster Session 3")</f>
        <v>Poster Session 3</v>
      </c>
      <c r="K2147" s="7"/>
      <c r="L2147" s="8">
        <f>IFERROR(__xludf.DUMMYFUNCTION("""COMPUTED_VALUE"""),45867.0)</f>
        <v>45867</v>
      </c>
      <c r="M2147" s="7" t="str">
        <f>IFERROR(__xludf.DUMMYFUNCTION("""COMPUTED_VALUE"""),"16:00-17:30")</f>
        <v>16:00-17:30</v>
      </c>
      <c r="N2147" s="7"/>
    </row>
    <row r="2148">
      <c r="A2148" s="7" t="str">
        <f>IFERROR(__xludf.DUMMYFUNCTION("""COMPUTED_VALUE"""),"1254-MAIN")</f>
        <v>1254-MAIN</v>
      </c>
      <c r="B2148" s="7" t="str">
        <f>IFERROR(__xludf.DUMMYFUNCTION("""COMPUTED_VALUE"""),"PrivacyRestore: Privacy-Preserving Inference in Large Language Models via Privacy Removal and Restoration")</f>
        <v>PrivacyRestore: Privacy-Preserving Inference in Large Language Models via Privacy Removal and Restoration</v>
      </c>
      <c r="C2148" s="7" t="str">
        <f>IFERROR(__xludf.DUMMYFUNCTION("""COMPUTED_VALUE"""),"The widespread usage of online Large Language Models (LLMs) inference services has raised significant privacy concerns about the potential exposure of private information in user inputs. Existing privacy protection methods for LLMs suffer from either insu"&amp;"fficient privacy protection with performance degradation, or large inference time overhead. To address these limitations, we propose PrivacyRestore, a plug-and-play method to protect the privacy of user inputs during LLM inference for the client-server sc"&amp;"enario. The server first trains restoration vectors for each privacy span type offline and then releases them to the clients. During inference, the client aggregates restoration vectors of all privacy spans in the user query into a meta restoration vector"&amp;", which is later sent to the server to restore information. Before transmission, the client removes all privacy spans in the user query and applies $d_\chi$-privacy mechanism to the meta vector for privacy protection. We prove that our method can inherent"&amp;"ly prevent the linear growth of the privacy budget. We conduct extensive experimental, covering the medical and legal domains, and demonstrate that PrivacyRestore effectively protects private information and maintains acceptable levels of performance and "&amp;"inference efficiency")</f>
        <v>The widespread usage of online Large Language Models (LLMs) inference services has raised significant privacy concerns about the potential exposure of private information in user inputs. Existing privacy protection methods for LLMs suffer from either insufficient privacy protection with performance degradation, or large inference time overhead. To address these limitations, we propose PrivacyRestore, a plug-and-play method to protect the privacy of user inputs during LLM inference for the client-server scenario. The server first trains restoration vectors for each privacy span type offline and then releases them to the clients. During inference, the client aggregates restoration vectors of all privacy spans in the user query into a meta restoration vector, which is later sent to the server to restore information. Before transmission, the client removes all privacy spans in the user query and applies $d_\chi$-privacy mechanism to the meta vector for privacy protection. We prove that our method can inherently prevent the linear growth of the privacy budget. We conduct extensive experimental, covering the medical and legal domains, and demonstrate that PrivacyRestore effectively protects private information and maintains acceptable levels of performance and inference efficiency</v>
      </c>
      <c r="D2148" s="7" t="str">
        <f>IFERROR(__xludf.DUMMYFUNCTION("""COMPUTED_VALUE"""),"Haoran Li")</f>
        <v>Haoran Li</v>
      </c>
      <c r="E2148" s="7" t="str">
        <f>IFERROR(__xludf.DUMMYFUNCTION("""COMPUTED_VALUE"""),"Yes")</f>
        <v>Yes</v>
      </c>
      <c r="F2148" s="7" t="str">
        <f>IFERROR(__xludf.DUMMYFUNCTION("""COMPUTED_VALUE"""),"IP-Poster")</f>
        <v>IP-Poster</v>
      </c>
      <c r="G2148" s="7" t="str">
        <f>IFERROR(__xludf.DUMMYFUNCTION("""COMPUTED_VALUE"""),"In-Person")</f>
        <v>In-Person</v>
      </c>
      <c r="H2148" s="7" t="str">
        <f>IFERROR(__xludf.DUMMYFUNCTION("""COMPUTED_VALUE"""),"Hall 4/5")</f>
        <v>Hall 4/5</v>
      </c>
      <c r="I2148" s="7" t="str">
        <f>IFERROR(__xludf.DUMMYFUNCTION("""COMPUTED_VALUE"""),"Session 7: IP-Posters")</f>
        <v>Session 7: IP-Posters</v>
      </c>
      <c r="J2148" s="7" t="str">
        <f>IFERROR(__xludf.DUMMYFUNCTION("""COMPUTED_VALUE"""),"Poster Session 2")</f>
        <v>Poster Session 2</v>
      </c>
      <c r="K2148" s="7"/>
      <c r="L2148" s="8">
        <f>IFERROR(__xludf.DUMMYFUNCTION("""COMPUTED_VALUE"""),45867.0)</f>
        <v>45867</v>
      </c>
      <c r="M2148" s="7" t="str">
        <f>IFERROR(__xludf.DUMMYFUNCTION("""COMPUTED_VALUE"""),"10:30-12:00")</f>
        <v>10:30-12:00</v>
      </c>
      <c r="N2148" s="7"/>
    </row>
    <row r="2149">
      <c r="A2149" s="7" t="str">
        <f>IFERROR(__xludf.DUMMYFUNCTION("""COMPUTED_VALUE"""),"1255-MAIN")</f>
        <v>1255-MAIN</v>
      </c>
      <c r="B2149" s="7" t="str">
        <f>IFERROR(__xludf.DUMMYFUNCTION("""COMPUTED_VALUE"""),"Meta-rater: A Multi-dimensional Data Selection Method for Pre-training Language Models")</f>
        <v>Meta-rater: A Multi-dimensional Data Selection Method for Pre-training Language Models</v>
      </c>
      <c r="C2149" s="7" t="str">
        <f>IFERROR(__xludf.DUMMYFUNCTION("""COMPUTED_VALUE"""),"The composition of pre-training datasets for large language models (LLMs) remains largely undisclosed, hindering transparency and efforts to optimize data quality—a critical driver of model performance. Current data selection methods, such as natural lang"&amp;"uage quality assessments, diversity-based filters, and classifier-based approaches, are limited by single-dimensional evaluation or redundancy-focused strategies. To address these gaps, we propose four dimensions to evaluate data quality: professionalism,"&amp;" readability, reasoning, and cleanliness. We further introduce \textbf{Meta-rater}, a multi-dimensional data selection method that integrates these dimensions with existing quality metrics through learned optimal weightings. Meta-rater employs proxy model"&amp;"s to train a regression model that predicts validation loss, enabling the identification of optimal combinations of quality scores. Experiments demonstrate that Meta-rater \textbf{doubles convergence speed} for 1.3B parameter models and improves downstrea"&amp;"m task performance by \textbf{3.23\%}, with advantages that scale to models as large as 7.2B parameters. Our work establishes that holistic, multi-dimensional quality integration significantly outperforms conventional single-dimension approaches, offering"&amp;" a scalable paradigm for enhancing pre-training efficiency and model capability. To advance future research, we release scripts, data, and models at \url{https://github.com/opendatalab/Meta-rater}.")</f>
        <v>The composition of pre-training datasets for large language models (LLMs) remains largely undisclosed, hindering transparency and efforts to optimize data quality—a critical driver of model performance. Current data selection methods, such as natural language quality assessments, diversity-based filters, and classifier-based approaches, are limited by single-dimensional evaluation or redundancy-focused strategies. To address these gaps, we propose four dimensions to evaluate data quality: professionalism, readability, reasoning, and cleanliness. We further introduce \textbf{Meta-rater}, a multi-dimensional data selection method that integrates these dimensions with existing quality metrics through learned optimal weightings. Meta-rater employs proxy models to train a regression model that predicts validation loss, enabling the identification of optimal combinations of quality scores. Experiments demonstrate that Meta-rater \textbf{doubles convergence speed} for 1.3B parameter models and improves downstream task performance by \textbf{3.23\%}, with advantages that scale to models as large as 7.2B parameters. Our work establishes that holistic, multi-dimensional quality integration significantly outperforms conventional single-dimension approaches, offering a scalable paradigm for enhancing pre-training efficiency and model capability. To advance future research, we release scripts, data, and models at \url{https://github.com/opendatalab/Meta-rater}.</v>
      </c>
      <c r="D2149" s="7" t="str">
        <f>IFERROR(__xludf.DUMMYFUNCTION("""COMPUTED_VALUE"""),"Ren Ma
Xinlin Zhuang")</f>
        <v>Ren Ma
Xinlin Zhuang</v>
      </c>
      <c r="E2149" s="7" t="str">
        <f>IFERROR(__xludf.DUMMYFUNCTION("""COMPUTED_VALUE"""),"Yes")</f>
        <v>Yes</v>
      </c>
      <c r="F2149" s="7" t="str">
        <f>IFERROR(__xludf.DUMMYFUNCTION("""COMPUTED_VALUE"""),"IP-Oral")</f>
        <v>IP-Oral</v>
      </c>
      <c r="G2149" s="7" t="str">
        <f>IFERROR(__xludf.DUMMYFUNCTION("""COMPUTED_VALUE"""),"In-Person")</f>
        <v>In-Person</v>
      </c>
      <c r="H2149" s="7" t="str">
        <f>IFERROR(__xludf.DUMMYFUNCTION("""COMPUTED_VALUE"""),"Room 1.62")</f>
        <v>Room 1.62</v>
      </c>
      <c r="I2149" s="7" t="str">
        <f>IFERROR(__xludf.DUMMYFUNCTION("""COMPUTED_VALUE"""),"Session 11: IP-Orals ")</f>
        <v>Session 11: IP-Orals </v>
      </c>
      <c r="J2149" s="7" t="str">
        <f>IFERROR(__xludf.DUMMYFUNCTION("""COMPUTED_VALUE"""),"Efficient Methods for NLP 2")</f>
        <v>Efficient Methods for NLP 2</v>
      </c>
      <c r="K2149" s="7"/>
      <c r="L2149" s="8">
        <f>IFERROR(__xludf.DUMMYFUNCTION("""COMPUTED_VALUE"""),45868.0)</f>
        <v>45868</v>
      </c>
      <c r="M2149" s="7" t="str">
        <f>IFERROR(__xludf.DUMMYFUNCTION("""COMPUTED_VALUE"""),"09:00-10:30")</f>
        <v>09:00-10:30</v>
      </c>
      <c r="N2149" s="7">
        <f>IFERROR(__xludf.DUMMYFUNCTION("""COMPUTED_VALUE"""),4.0)</f>
        <v>4</v>
      </c>
    </row>
    <row r="2150">
      <c r="A2150" s="7" t="str">
        <f>IFERROR(__xludf.DUMMYFUNCTION("""COMPUTED_VALUE"""),"1256-MAIN")</f>
        <v>1256-MAIN</v>
      </c>
      <c r="B2150" s="7" t="str">
        <f>IFERROR(__xludf.DUMMYFUNCTION("""COMPUTED_VALUE"""),"GuessArena: Guess Who I Am? A Self-Adaptive Framework for Evaluating LLMs in Domain-Specific Knowledge and Reasoning")</f>
        <v>GuessArena: Guess Who I Am? A Self-Adaptive Framework for Evaluating LLMs in Domain-Specific Knowledge and Reasoning</v>
      </c>
      <c r="C2150" s="7" t="str">
        <f>IFERROR(__xludf.DUMMYFUNCTION("""COMPUTED_VALUE"""),"The evaluation of large language models (LLMs) has traditionally relied on static benchmarks, a paradigm that poses two major limitations: (1) predefined test sets lack adaptability to diverse application domains, and (2) standardized evaluation protocols"&amp;" often fail to capture fine-grained assessments of domain-specific knowledge and contextual reasoning abilities. To overcome these challenges, we propose GuessArena, an adaptive evaluation framework grounded in adversarial game-based interactions. Inspire"&amp;"d by the interactive structure of the Guess Who I Am? game, our framework seamlessly integrates dynamic domain knowledge modeling with progressive reasoning assessment to improve evaluation fidelity. Empirical studies across five vertical domains-finance,"&amp;" healthcare, manufacturing, information technology, and education-demonstrate that GuessArena effectively distinguishes LLMs in terms of domain knowledge coverage and reasoning chain completeness. Compared to conventional benchmarks, our method provides s"&amp;"ubstantial advantages in interpretability, scalability, and scenario adaptability.")</f>
        <v>The evaluation of large language models (LLMs) has traditionally relied on static benchmarks, a paradigm that poses two major limitations: (1) predefined test sets lack adaptability to diverse application domains, and (2) standardized evaluation protocols often fail to capture fine-grained assessments of domain-specific knowledge and contextual reasoning abilities. To overcome these challenges, we propose GuessArena, an adaptive evaluation framework grounded in adversarial game-based interactions. Inspired by the interactive structure of the Guess Who I Am? game, our framework seamlessly integrates dynamic domain knowledge modeling with progressive reasoning assessment to improve evaluation fidelity. Empirical studies across five vertical domains-finance, healthcare, manufacturing, information technology, and education-demonstrate that GuessArena effectively distinguishes LLMs in terms of domain knowledge coverage and reasoning chain completeness. Compared to conventional benchmarks, our method provides substantial advantages in interpretability, scalability, and scenario adaptability.</v>
      </c>
      <c r="D2150" s="7" t="str">
        <f>IFERROR(__xludf.DUMMYFUNCTION("""COMPUTED_VALUE"""),"Qingchen Yu")</f>
        <v>Qingchen Yu</v>
      </c>
      <c r="E2150" s="7" t="str">
        <f>IFERROR(__xludf.DUMMYFUNCTION("""COMPUTED_VALUE"""),"Yes")</f>
        <v>Yes</v>
      </c>
      <c r="F2150" s="7" t="str">
        <f>IFERROR(__xludf.DUMMYFUNCTION("""COMPUTED_VALUE"""),"V-Presentation")</f>
        <v>V-Presentation</v>
      </c>
      <c r="G2150" s="7" t="str">
        <f>IFERROR(__xludf.DUMMYFUNCTION("""COMPUTED_VALUE"""),"Virtual/Gather")</f>
        <v>Virtual/Gather</v>
      </c>
      <c r="H2150" s="7" t="str">
        <f>IFERROR(__xludf.DUMMYFUNCTION("""COMPUTED_VALUE"""),"Zoom")</f>
        <v>Zoom</v>
      </c>
      <c r="I2150" s="7" t="str">
        <f>IFERROR(__xludf.DUMMYFUNCTION("""COMPUTED_VALUE"""),"Session 10: V-Presenations")</f>
        <v>Session 10: V-Presenations</v>
      </c>
      <c r="J2150" s="7" t="str">
        <f>IFERROR(__xludf.DUMMYFUNCTION("""COMPUTED_VALUE"""),"Virtual Presentations 3")</f>
        <v>Virtual Presentations 3</v>
      </c>
      <c r="K2150" s="7"/>
      <c r="L2150" s="8">
        <f>IFERROR(__xludf.DUMMYFUNCTION("""COMPUTED_VALUE"""),45867.0)</f>
        <v>45867</v>
      </c>
      <c r="M2150" s="7" t="str">
        <f>IFERROR(__xludf.DUMMYFUNCTION("""COMPUTED_VALUE"""),"16:00-17:30")</f>
        <v>16:00-17:30</v>
      </c>
      <c r="N2150" s="7"/>
    </row>
    <row r="2151">
      <c r="A2151" s="7" t="str">
        <f>IFERROR(__xludf.DUMMYFUNCTION("""COMPUTED_VALUE"""),"1267-MAIN")</f>
        <v>1267-MAIN</v>
      </c>
      <c r="B2151" s="7" t="str">
        <f>IFERROR(__xludf.DUMMYFUNCTION("""COMPUTED_VALUE"""),"Sample-Efficient Human Evaluation of Large Language Models via Maximum Discrepancy Competition")</f>
        <v>Sample-Efficient Human Evaluation of Large Language Models via Maximum Discrepancy Competition</v>
      </c>
      <c r="C2151" s="7" t="str">
        <f>IFERROR(__xludf.DUMMYFUNCTION("""COMPUTED_VALUE"""),"The past years have witnessed a proliferation of large language models (LLMs). Yet, reliable evaluation of LLMs is challenging due to the inaccuracy of standard metrics in human perception of text quality and the inefficiency in sampling informative test "&amp;"examples for human evaluation. This paper presents a sample-efficient human evaluation method for LLMs based on the principle of MAximum Discrepancy (MAD) competition. MAD automatically selects a small set of informative input instructions, each of which "&amp;"maximizes the discrepancy of two LLMs’ reponses, which are subsequently subject to three-alternative forced choice by human subjects. The pairwise comparison results of multiple LLMs are then aggregated into a global ranking using the Elo rating system. W"&amp;"e compare eight representative LLMs in terms of four skills: knowledge understanding, mathematical reasoning, writing, and coding. Experimental results show that the proposed method reliably achieves the ""golden"" ranking of LLMs with a minimum set of in"&amp;"put instructions, which in turn reveal their relative strengths and weaknesses, and offers valuable insights for further LLM advancement.")</f>
        <v>The past years have witnessed a proliferation of large language models (LLMs). Yet, reliable evaluation of LLMs is challenging due to the inaccuracy of standard metrics in human perception of text quality and the inefficiency in sampling informative test examples for human evaluation. This paper presents a sample-efficient human evaluation method for LLMs based on the principle of MAximum Discrepancy (MAD) competition. MAD automatically selects a small set of informative input instructions, each of which maximizes the discrepancy of two LLMs’ reponses, which are subsequently subject to three-alternative forced choice by human subjects. The pairwise comparison results of multiple LLMs are then aggregated into a global ranking using the Elo rating system. We compare eight representative LLMs in terms of four skills: knowledge understanding, mathematical reasoning, writing, and coding. Experimental results show that the proposed method reliably achieves the "golden" ranking of LLMs with a minimum set of input instructions, which in turn reveal their relative strengths and weaknesses, and offers valuable insights for further LLM advancement.</v>
      </c>
      <c r="D2151" s="7" t="str">
        <f>IFERROR(__xludf.DUMMYFUNCTION("""COMPUTED_VALUE"""),"Kehua Feng")</f>
        <v>Kehua Feng</v>
      </c>
      <c r="E2151" s="7" t="str">
        <f>IFERROR(__xludf.DUMMYFUNCTION("""COMPUTED_VALUE"""),"Yes")</f>
        <v>Yes</v>
      </c>
      <c r="F2151" s="7" t="str">
        <f>IFERROR(__xludf.DUMMYFUNCTION("""COMPUTED_VALUE"""),"IP-Poster")</f>
        <v>IP-Poster</v>
      </c>
      <c r="G2151" s="7" t="str">
        <f>IFERROR(__xludf.DUMMYFUNCTION("""COMPUTED_VALUE"""),"In-Person")</f>
        <v>In-Person</v>
      </c>
      <c r="H2151" s="7" t="str">
        <f>IFERROR(__xludf.DUMMYFUNCTION("""COMPUTED_VALUE"""),"Hall 4/5")</f>
        <v>Hall 4/5</v>
      </c>
      <c r="I2151" s="7" t="str">
        <f>IFERROR(__xludf.DUMMYFUNCTION("""COMPUTED_VALUE"""),"Session 2: IP-Posters ")</f>
        <v>Session 2: IP-Posters </v>
      </c>
      <c r="J2151" s="7" t="str">
        <f>IFERROR(__xludf.DUMMYFUNCTION("""COMPUTED_VALUE"""),"Poster Session 1")</f>
        <v>Poster Session 1</v>
      </c>
      <c r="K2151" s="7"/>
      <c r="L2151" s="8">
        <f>IFERROR(__xludf.DUMMYFUNCTION("""COMPUTED_VALUE"""),45866.0)</f>
        <v>45866</v>
      </c>
      <c r="M2151" s="7" t="str">
        <f>IFERROR(__xludf.DUMMYFUNCTION("""COMPUTED_VALUE"""),"11:00-12:30")</f>
        <v>11:00-12:30</v>
      </c>
      <c r="N2151" s="7"/>
    </row>
    <row r="2152">
      <c r="A2152" s="7" t="str">
        <f>IFERROR(__xludf.DUMMYFUNCTION("""COMPUTED_VALUE"""),"1270-MAIN")</f>
        <v>1270-MAIN</v>
      </c>
      <c r="B2152" s="7" t="str">
        <f>IFERROR(__xludf.DUMMYFUNCTION("""COMPUTED_VALUE"""),"DTCRS: Dynamic Tree Construction for Recursive Summarization")</f>
        <v>DTCRS: Dynamic Tree Construction for Recursive Summarization</v>
      </c>
      <c r="C2152" s="7" t="str">
        <f>IFERROR(__xludf.DUMMYFUNCTION("""COMPUTED_VALUE"""),"Retrieval-Augmented Generation (RAG) mitigates the hallucination problem of Large Language Models (LLMs) by incorporating external knowledge. Recursive summarization constructs a hierarchical summary tree by clustering text chunks, integrating information"&amp;" from multiple parts of a document to provide evidence for abstractive questions involving multi-step reasoning. However, summary trees often contain a large number of redundant summary nodes, which not only increase construction time but may also negativ"&amp;"ely impact question answering. Moreover, recursive summarization is not suitable for all types of questions. We introduce DTCRS, a method that dynamically generates summary trees based on document structure and query semantics. DTCRS determines whether a "&amp;"summary tree is necessary by analyzing the question type. It then decomposes the question and uses the embeddings of sub-questions as initial cluster centers, reducing redundant summaries while improving the relevance between summaries and the question. O"&amp;"ur approach significantly reduces summary tree construction time and achieves substantial improvements across three QA tasks. Additionally, we investigate the applicability of recursive summarization to different question types, providing valuable insight"&amp;"s for future research.")</f>
        <v>Retrieval-Augmented Generation (RAG) mitigates the hallucination problem of Large Language Models (LLMs) by incorporating external knowledge. Recursive summarization constructs a hierarchical summary tree by clustering text chunks, integrating information from multiple parts of a document to provide evidence for abstractive questions involving multi-step reasoning. However, summary trees often contain a large number of redundant summary nodes, which not only increase construction time but may also negatively impact question answering. Moreover, recursive summarization is not suitable for all types of questions. We introduce DTCRS, a method that dynamically generates summary trees based on document structure and query semantics. DTCRS determines whether a summary tree is necessary by analyzing the question type. It then decomposes the question and uses the embeddings of sub-questions as initial cluster centers, reducing redundant summaries while improving the relevance between summaries and the question. Our approach significantly reduces summary tree construction time and achieves substantial improvements across three QA tasks. Additionally, we investigate the applicability of recursive summarization to different question types, providing valuable insights for future research.</v>
      </c>
      <c r="D2152" s="7" t="str">
        <f>IFERROR(__xludf.DUMMYFUNCTION("""COMPUTED_VALUE"""),"Guanran Luo")</f>
        <v>Guanran Luo</v>
      </c>
      <c r="E2152" s="7" t="str">
        <f>IFERROR(__xludf.DUMMYFUNCTION("""COMPUTED_VALUE"""),"Yes")</f>
        <v>Yes</v>
      </c>
      <c r="F2152" s="7" t="str">
        <f>IFERROR(__xludf.DUMMYFUNCTION("""COMPUTED_VALUE"""),"IP-Poster")</f>
        <v>IP-Poster</v>
      </c>
      <c r="G2152" s="7" t="str">
        <f>IFERROR(__xludf.DUMMYFUNCTION("""COMPUTED_VALUE"""),"In-Person")</f>
        <v>In-Person</v>
      </c>
      <c r="H2152" s="7" t="str">
        <f>IFERROR(__xludf.DUMMYFUNCTION("""COMPUTED_VALUE"""),"Hall 4/5")</f>
        <v>Hall 4/5</v>
      </c>
      <c r="I2152" s="7" t="str">
        <f>IFERROR(__xludf.DUMMYFUNCTION("""COMPUTED_VALUE"""),"Session 10: IP-Posters")</f>
        <v>Session 10: IP-Posters</v>
      </c>
      <c r="J2152" s="7" t="str">
        <f>IFERROR(__xludf.DUMMYFUNCTION("""COMPUTED_VALUE"""),"Poster Session 3")</f>
        <v>Poster Session 3</v>
      </c>
      <c r="K2152" s="7"/>
      <c r="L2152" s="8">
        <f>IFERROR(__xludf.DUMMYFUNCTION("""COMPUTED_VALUE"""),45867.0)</f>
        <v>45867</v>
      </c>
      <c r="M2152" s="7" t="str">
        <f>IFERROR(__xludf.DUMMYFUNCTION("""COMPUTED_VALUE"""),"16:00-17:30")</f>
        <v>16:00-17:30</v>
      </c>
      <c r="N2152" s="7"/>
    </row>
    <row r="2153">
      <c r="A2153" s="7" t="str">
        <f>IFERROR(__xludf.DUMMYFUNCTION("""COMPUTED_VALUE"""),"1271-MAIN")</f>
        <v>1271-MAIN</v>
      </c>
      <c r="B2153" s="7" t="str">
        <f>IFERROR(__xludf.DUMMYFUNCTION("""COMPUTED_VALUE"""),"A Generative Adaptive Replay Continual Learning Model for Temporal Knowledge Graph Reasoning")</f>
        <v>A Generative Adaptive Replay Continual Learning Model for Temporal Knowledge Graph Reasoning</v>
      </c>
      <c r="C2153" s="7" t="str">
        <f>IFERROR(__xludf.DUMMYFUNCTION("""COMPUTED_VALUE"""),"Recent Continual Learning (CL)-based Temporal Knowledge Graph Reasoning (TKGR) methods focus on significantly reducing computational cost and mitigating catastrophic forgetting caused by fine-tuning models with new data. However, existing CL-based TKGR me"&amp;"thods still face two key limitations: (1) They usually one-sidedly reorganize individual historical facts, while overlooking the historical context essential for accurately understanding the historical semantics of these facts; (2) They preserve historica"&amp;"l knowledge by simply replaying historical facts, while ignoring the potential conflicts between historical and emerging facts. In this paper, we propose a $\textbf{D}$eep $\textbf{G}$enerative $\textbf{A}$daptive $\textbf{R}$eplay (DGAR) method, which ca"&amp;"n generate and adaptively replay historical entity distribution representations from the whole historical context. To address the first challenge, historical context prompts as sampling units are built to preserve the whole historical context information."&amp;" To overcome the second challenge, a pre-trained diffusion model is adopted to generate the historical distribution. During the generation process, the common features between the historical and current distributions are enhanced under the guidance of the"&amp;" TKGR model. In addition, a layer-by-layer adaptive replay mechanism is designed to effectively integrate historical and current distributions. Experimental results demonstrate that DGAR significantly outperforms baselines in reasoning and mitigating forg"&amp;"etting.")</f>
        <v>Recent Continual Learning (CL)-based Temporal Knowledge Graph Reasoning (TKGR) methods focus on significantly reducing computational cost and mitigating catastrophic forgetting caused by fine-tuning models with new data. However, existing CL-based TKGR methods still face two key limitations: (1) They usually one-sidedly reorganize individual historical facts, while overlooking the historical context essential for accurately understanding the historical semantics of these facts; (2) They preserve historical knowledge by simply replaying historical facts, while ignoring the potential conflicts between historical and emerging facts. In this paper, we propose a $\textbf{D}$eep $\textbf{G}$enerative $\textbf{A}$daptive $\textbf{R}$eplay (DGAR) method, which can generate and adaptively replay historical entity distribution representations from the whole historical context. To address the first challenge, historical context prompts as sampling units are built to preserve the whole historical context information. To overcome the second challenge, a pre-trained diffusion model is adopted to generate the historical distribution. During the generation process, the common features between the historical and current distributions are enhanced under the guidance of the TKGR model. In addition, a layer-by-layer adaptive replay mechanism is designed to effectively integrate historical and current distributions. Experimental results demonstrate that DGAR significantly outperforms baselines in reasoning and mitigating forgetting.</v>
      </c>
      <c r="D2153" s="7" t="str">
        <f>IFERROR(__xludf.DUMMYFUNCTION("""COMPUTED_VALUE"""),"Zhiyu Zhang")</f>
        <v>Zhiyu Zhang</v>
      </c>
      <c r="E2153" s="7" t="str">
        <f>IFERROR(__xludf.DUMMYFUNCTION("""COMPUTED_VALUE"""),"Yes")</f>
        <v>Yes</v>
      </c>
      <c r="F2153" s="7" t="str">
        <f>IFERROR(__xludf.DUMMYFUNCTION("""COMPUTED_VALUE"""),"IP-Poster")</f>
        <v>IP-Poster</v>
      </c>
      <c r="G2153" s="7" t="str">
        <f>IFERROR(__xludf.DUMMYFUNCTION("""COMPUTED_VALUE"""),"In-Person")</f>
        <v>In-Person</v>
      </c>
      <c r="H2153" s="7" t="str">
        <f>IFERROR(__xludf.DUMMYFUNCTION("""COMPUTED_VALUE"""),"Hall 4/5")</f>
        <v>Hall 4/5</v>
      </c>
      <c r="I2153" s="7" t="str">
        <f>IFERROR(__xludf.DUMMYFUNCTION("""COMPUTED_VALUE"""),"Session 7: IP-Posters")</f>
        <v>Session 7: IP-Posters</v>
      </c>
      <c r="J2153" s="7" t="str">
        <f>IFERROR(__xludf.DUMMYFUNCTION("""COMPUTED_VALUE"""),"Poster Session 2")</f>
        <v>Poster Session 2</v>
      </c>
      <c r="K2153" s="7"/>
      <c r="L2153" s="8">
        <f>IFERROR(__xludf.DUMMYFUNCTION("""COMPUTED_VALUE"""),45867.0)</f>
        <v>45867</v>
      </c>
      <c r="M2153" s="7" t="str">
        <f>IFERROR(__xludf.DUMMYFUNCTION("""COMPUTED_VALUE"""),"10:30-12:00")</f>
        <v>10:30-12:00</v>
      </c>
      <c r="N2153" s="7"/>
    </row>
    <row r="2154">
      <c r="A2154" s="7" t="str">
        <f>IFERROR(__xludf.DUMMYFUNCTION("""COMPUTED_VALUE"""),"1273-MAIN")</f>
        <v>1273-MAIN</v>
      </c>
      <c r="B2154" s="7" t="str">
        <f>IFERROR(__xludf.DUMMYFUNCTION("""COMPUTED_VALUE"""),"ARise: Towards Knowledge-Augmented Reasoning via Risk-Adaptive Search")</f>
        <v>ARise: Towards Knowledge-Augmented Reasoning via Risk-Adaptive Search</v>
      </c>
      <c r="C2154" s="7" t="str">
        <f>IFERROR(__xludf.DUMMYFUNCTION("""COMPUTED_VALUE"""),"Large language models (LLMs) have demonstrated impressive capabilities and are receiving increasing attention to enhance their reasoning through scaling test-time compute. However, their application in open-ended, knowledge-intensive, complex reasoning sc"&amp;"enarios is still limited. Reasoning-oriented methods struggle to generalize to open-ended scenarios due to implicit assumptions of complete world knowledge. Meanwhile, knowledge-augmented reasoning (KAR) methods fails to address two core challenges: 1) er"&amp;"ror propagation, where errors in early steps cascade through the chain, and 2) verification bottleneck, where the explore–exploit trade-off arises in multi-branch decision processes. To overcome these limitations, we introduce ARise, a novel framework tha"&amp;"t integrates risk assessment of intermediate reasoning states with dynamic retrieval-augmented generation (RAG) within a Monte Carlo tree search paradigm. This approach enables effective construction and optimization of reasoning plans across multiple mai"&amp;"ntained hypothesis branches. Experimental results show that ARise significantly outperforms the state-of-the-art KAR methods by up to 23.10%, and the latest RAG-equipped large reasoning models by up to 25.37%. Our project page is at https://opencausalab.g"&amp;"ithub.io/ARise.")</f>
        <v>Large language models (LLMs) have demonstrated impressive capabilities and are receiving increasing attention to enhance their reasoning through scaling test-time compute. However, their application in open-ended, knowledge-intensive, complex reasoning scenarios is still limited. Reasoning-oriented methods struggle to generalize to open-ended scenarios due to implicit assumptions of complete world knowledge. Meanwhile, knowledge-augmented reasoning (KAR) methods fails to address two core challenges: 1) error propagation, where errors in early steps cascade through the chain, and 2) verification bottleneck, where the explore–exploit trade-off arises in multi-branch decision processes. To overcome these limitations, we introduce ARise, a novel framework that integrates risk assessment of intermediate reasoning states with dynamic retrieval-augmented generation (RAG) within a Monte Carlo tree search paradigm. This approach enables effective construction and optimization of reasoning plans across multiple maintained hypothesis branches. Experimental results show that ARise significantly outperforms the state-of-the-art KAR methods by up to 23.10%, and the latest RAG-equipped large reasoning models by up to 25.37%. Our project page is at https://opencausalab.github.io/ARise.</v>
      </c>
      <c r="D2154" s="7" t="str">
        <f>IFERROR(__xludf.DUMMYFUNCTION("""COMPUTED_VALUE"""),"Yize Zhang")</f>
        <v>Yize Zhang</v>
      </c>
      <c r="E2154" s="7" t="str">
        <f>IFERROR(__xludf.DUMMYFUNCTION("""COMPUTED_VALUE"""),"Yes")</f>
        <v>Yes</v>
      </c>
      <c r="F2154" s="7" t="str">
        <f>IFERROR(__xludf.DUMMYFUNCTION("""COMPUTED_VALUE"""),"IP-Poster")</f>
        <v>IP-Poster</v>
      </c>
      <c r="G2154" s="7" t="str">
        <f>IFERROR(__xludf.DUMMYFUNCTION("""COMPUTED_VALUE"""),"In-Person")</f>
        <v>In-Person</v>
      </c>
      <c r="H2154" s="7" t="str">
        <f>IFERROR(__xludf.DUMMYFUNCTION("""COMPUTED_VALUE"""),"Hall 4/5")</f>
        <v>Hall 4/5</v>
      </c>
      <c r="I2154" s="7" t="str">
        <f>IFERROR(__xludf.DUMMYFUNCTION("""COMPUTED_VALUE"""),"Session 12: IP-Posters")</f>
        <v>Session 12: IP-Posters</v>
      </c>
      <c r="J2154" s="7" t="str">
        <f>IFERROR(__xludf.DUMMYFUNCTION("""COMPUTED_VALUE"""),"Poster Session 4")</f>
        <v>Poster Session 4</v>
      </c>
      <c r="K2154" s="7"/>
      <c r="L2154" s="8">
        <f>IFERROR(__xludf.DUMMYFUNCTION("""COMPUTED_VALUE"""),45868.0)</f>
        <v>45868</v>
      </c>
      <c r="M2154" s="7" t="str">
        <f>IFERROR(__xludf.DUMMYFUNCTION("""COMPUTED_VALUE"""),"11:00-12:30")</f>
        <v>11:00-12:30</v>
      </c>
      <c r="N2154" s="7"/>
    </row>
    <row r="2155">
      <c r="A2155" s="7" t="str">
        <f>IFERROR(__xludf.DUMMYFUNCTION("""COMPUTED_VALUE"""),"1274-MAIN")</f>
        <v>1274-MAIN</v>
      </c>
      <c r="B2155" s="7" t="str">
        <f>IFERROR(__xludf.DUMMYFUNCTION("""COMPUTED_VALUE"""),"PKAG-DDI: Pairwise Knowledge-Augmented Language Model for Drug-Drug Interaction Event Text Generation")</f>
        <v>PKAG-DDI: Pairwise Knowledge-Augmented Language Model for Drug-Drug Interaction Event Text Generation</v>
      </c>
      <c r="C2155" s="7" t="str">
        <f>IFERROR(__xludf.DUMMYFUNCTION("""COMPUTED_VALUE"""),"Drug-drug interactions (DDIs) arise when multiple drugs are administered concurrently. Accurately predicting the specific mechanisms underlying DDIs (named DDI events or DDIEs) is critical for the safe clinical use of drugs. DDIEs are typically represente"&amp;"d as textual descriptions. However, most computational methods focus more on predicting the DDIE class label over generating human-readable natural language increasing clinicians' interpretation costs. Furthermore, current methods overlook the fact that e"&amp;"ach drug assumes distinct biological functions in a DDI, which, when used as input context, can enhance the understanding of the DDIE process and benefit DDIE generation by the language model (LM). In this work, we propose a novel pairwise knowledge-augme"&amp;"nted generative method (termed PKAG-DDI) for DDIE text generation. It consists of a pairwise knowledge selector efficiently injecting structural information between drugs bidirectionally and simultaneously to select pairwise biological functions from the "&amp;"knowledge set, and a pairwise knowledge integration strategy that matches and integrates the selected biological functions into the LM. Experiments on two professional datasets show that PKAG-DDI outperforms existing methods in DDIE text generation, espec"&amp;"ially in challenging inductive scenarios, indicating its practicality and generalization.")</f>
        <v>Drug-drug interactions (DDIs) arise when multiple drugs are administered concurrently. Accurately predicting the specific mechanisms underlying DDIs (named DDI events or DDIEs) is critical for the safe clinical use of drugs. DDIEs are typically represented as textual descriptions. However, most computational methods focus more on predicting the DDIE class label over generating human-readable natural language increasing clinicians' interpretation costs. Furthermore, current methods overlook the fact that each drug assumes distinct biological functions in a DDI, which, when used as input context, can enhance the understanding of the DDIE process and benefit DDIE generation by the language model (LM). In this work, we propose a novel pairwise knowledge-augmented generative method (termed PKAG-DDI) for DDIE text generation. It consists of a pairwise knowledge selector efficiently injecting structural information between drugs bidirectionally and simultaneously to select pairwise biological functions from the knowledge set, and a pairwise knowledge integration strategy that matches and integrates the selected biological functions into the LM. Experiments on two professional datasets show that PKAG-DDI outperforms existing methods in DDIE text generation, especially in challenging inductive scenarios, indicating its practicality and generalization.</v>
      </c>
      <c r="D2155" s="7" t="str">
        <f>IFERROR(__xludf.DUMMYFUNCTION("""COMPUTED_VALUE"""),"Ziyan Wang")</f>
        <v>Ziyan Wang</v>
      </c>
      <c r="E2155" s="7" t="str">
        <f>IFERROR(__xludf.DUMMYFUNCTION("""COMPUTED_VALUE"""),"yes")</f>
        <v>yes</v>
      </c>
      <c r="F2155" s="7" t="str">
        <f>IFERROR(__xludf.DUMMYFUNCTION("""COMPUTED_VALUE"""),"V-Presentation")</f>
        <v>V-Presentation</v>
      </c>
      <c r="G2155" s="7" t="str">
        <f>IFERROR(__xludf.DUMMYFUNCTION("""COMPUTED_VALUE"""),"Virtual/Gather")</f>
        <v>Virtual/Gather</v>
      </c>
      <c r="H2155" s="7" t="str">
        <f>IFERROR(__xludf.DUMMYFUNCTION("""COMPUTED_VALUE"""),"Zoom")</f>
        <v>Zoom</v>
      </c>
      <c r="I2155" s="7" t="str">
        <f>IFERROR(__xludf.DUMMYFUNCTION("""COMPUTED_VALUE"""),"Session 7: V--Presentations ")</f>
        <v>Session 7: V--Presentations </v>
      </c>
      <c r="J2155" s="7" t="str">
        <f>IFERROR(__xludf.DUMMYFUNCTION("""COMPUTED_VALUE"""),"Virtual Presentations 2")</f>
        <v>Virtual Presentations 2</v>
      </c>
      <c r="K2155" s="7"/>
      <c r="L2155" s="8"/>
      <c r="M2155" s="7" t="str">
        <f>IFERROR(__xludf.DUMMYFUNCTION("""COMPUTED_VALUE"""),"10:30-12:00")</f>
        <v>10:30-12:00</v>
      </c>
      <c r="N2155" s="7"/>
    </row>
    <row r="2156">
      <c r="A2156" s="7" t="str">
        <f>IFERROR(__xludf.DUMMYFUNCTION("""COMPUTED_VALUE"""),"1275-MAIN")</f>
        <v>1275-MAIN</v>
      </c>
      <c r="B2156" s="7" t="str">
        <f>IFERROR(__xludf.DUMMYFUNCTION("""COMPUTED_VALUE"""),"Knowledge-Augmented Multimodal Clinical Rationale Generation for Disease Diagnosis with Small Language Models")</f>
        <v>Knowledge-Augmented Multimodal Clinical Rationale Generation for Disease Diagnosis with Small Language Models</v>
      </c>
      <c r="C2156" s="7" t="str">
        <f>IFERROR(__xludf.DUMMYFUNCTION("""COMPUTED_VALUE"""),"Interpretation is critical for disease diagnosis, but existing models struggle to balance predictive accuracy with human-understandable rationales. While large language models (LLMs) offer strong reasoning abilities, their clinical use is limited by high "&amp;"computational costs and restricted multimodal reasoning ability. Small language models (SLMs) are efficient but lack advanced reasoning for integrating multimodal medical data. In addition, both LLMs and SLMs lack domain knowledge for trustworthy reasonin"&amp;"g. Therefore, we propose ClinRaGen, enhancing SLMs by leveraging LLM-derived reasoning ability via rationale distillation and domain knowledge injection for trustworthy multimodal rationale generation. Key innovations include a sequential rationale distil"&amp;"lation framework that equips SLMs with LLM-comparable multimodal reasoning abilities, and a knowledge-augmented attention mechanism that jointly unifies multimodal representation from time series and textual data in the same encoding space, enabling it to"&amp;" be naturally interpreted by SLMs while incorporating domain knowledge for reliable rationale generation. Experiments on real-world medical datasets show that ClinRaGen achieves state-of-the-art performance in disease diagnosis and rationale generation, d"&amp;"emonstrating the effectiveness of combining LLM-driven reasoning with knowledge augmentation for improved interpretability.")</f>
        <v>Interpretation is critical for disease diagnosis, but existing models struggle to balance predictive accuracy with human-understandable rationales. While large language models (LLMs) offer strong reasoning abilities, their clinical use is limited by high computational costs and restricted multimodal reasoning ability. Small language models (SLMs) are efficient but lack advanced reasoning for integrating multimodal medical data. In addition, both LLMs and SLMs lack domain knowledge for trustworthy reasoning. Therefore, we propose ClinRaGen, enhancing SLMs by leveraging LLM-derived reasoning ability via rationale distillation and domain knowledge injection for trustworthy multimodal rationale generation. Key innovations include a sequential rationale distillation framework that equips SLMs with LLM-comparable multimodal reasoning abilities, and a knowledge-augmented attention mechanism that jointly unifies multimodal representation from time series and textual data in the same encoding space, enabling it to be naturally interpreted by SLMs while incorporating domain knowledge for reliable rationale generation. Experiments on real-world medical datasets show that ClinRaGen achieves state-of-the-art performance in disease diagnosis and rationale generation, demonstrating the effectiveness of combining LLM-driven reasoning with knowledge augmentation for improved interpretability.</v>
      </c>
      <c r="D2156" s="7" t="str">
        <f>IFERROR(__xludf.DUMMYFUNCTION("""COMPUTED_VALUE"""),"Xian Yang")</f>
        <v>Xian Yang</v>
      </c>
      <c r="E2156" s="7" t="str">
        <f>IFERROR(__xludf.DUMMYFUNCTION("""COMPUTED_VALUE"""),"Yes")</f>
        <v>Yes</v>
      </c>
      <c r="F2156" s="7" t="str">
        <f>IFERROR(__xludf.DUMMYFUNCTION("""COMPUTED_VALUE"""),"IP-Poster")</f>
        <v>IP-Poster</v>
      </c>
      <c r="G2156" s="7" t="str">
        <f>IFERROR(__xludf.DUMMYFUNCTION("""COMPUTED_VALUE"""),"In-Person")</f>
        <v>In-Person</v>
      </c>
      <c r="H2156" s="7" t="str">
        <f>IFERROR(__xludf.DUMMYFUNCTION("""COMPUTED_VALUE"""),"Hall 4/5")</f>
        <v>Hall 4/5</v>
      </c>
      <c r="I2156" s="7" t="str">
        <f>IFERROR(__xludf.DUMMYFUNCTION("""COMPUTED_VALUE"""),"Session 12: IP-Posters")</f>
        <v>Session 12: IP-Posters</v>
      </c>
      <c r="J2156" s="7" t="str">
        <f>IFERROR(__xludf.DUMMYFUNCTION("""COMPUTED_VALUE"""),"Poster Session 4")</f>
        <v>Poster Session 4</v>
      </c>
      <c r="K2156" s="7"/>
      <c r="L2156" s="8">
        <f>IFERROR(__xludf.DUMMYFUNCTION("""COMPUTED_VALUE"""),45868.0)</f>
        <v>45868</v>
      </c>
      <c r="M2156" s="7" t="str">
        <f>IFERROR(__xludf.DUMMYFUNCTION("""COMPUTED_VALUE"""),"11:00-12:30")</f>
        <v>11:00-12:30</v>
      </c>
      <c r="N2156" s="7"/>
    </row>
    <row r="2157">
      <c r="A2157" s="7" t="str">
        <f>IFERROR(__xludf.DUMMYFUNCTION("""COMPUTED_VALUE"""),"1279-MAIN")</f>
        <v>1279-MAIN</v>
      </c>
      <c r="B2157" s="7" t="str">
        <f>IFERROR(__xludf.DUMMYFUNCTION("""COMPUTED_VALUE"""),"TWIST: Text-encoder Weight-editing for Inserting Secret Trojans in Text-to-Image Models")</f>
        <v>TWIST: Text-encoder Weight-editing for Inserting Secret Trojans in Text-to-Image Models</v>
      </c>
      <c r="C2157" s="7" t="str">
        <f>IFERROR(__xludf.DUMMYFUNCTION("""COMPUTED_VALUE"""),"Text-to-image (T2I) models excel at generating high-quality images from text via powerful text encoders but training these encoders demands substantial computational resources. Consequently, many users seek pre-trained text encoders from model plugin-shar"&amp;"ing platforms like Civitai and Hugging Face, which introduces an underexplored threat: the potential for adversaries to embed Trojans within these plugins. Existing Trojan attacks often require extensive training data and suffer from poor generalization a"&amp;"cross different triggers, limiting their effectiveness and scalability. To the best of our knowledge, this paper introduces the first **T**ext-encoder **W**eight-editing method for **I**nserting **S**ecret **T**rojans (**TWIST**). By identifying the *bott"&amp;"leneck MLP layer*—the critical point where minimal edits can dominantly control cross-modal alignment—TWIST achieves training-free and data-free Trojan insertion, which makes it highly efficient and practical. The experimental results across various trigg"&amp;"ers demonstrate that TWIST attains an average attack success rate of 91%, a 78% improvement over the state-of-the-art (SOTA) method proposed in 2024 and highlights the excellent generalization capability. Moreover, TWIST reduces modified parameters by 8-f"&amp;"old and cuts injection time to 25 seconds. Our findings underscore the security risks associated with text encoders in real-world applications and emphasize the need for more robust defense mechanisms.")</f>
        <v>Text-to-image (T2I) models excel at generating high-quality images from text via powerful text encoders but training these encoders demands substantial computational resources. Consequently, many users seek pre-trained text encoders from model plugin-sharing platforms like Civitai and Hugging Face, which introduces an underexplored threat: the potential for adversaries to embed Trojans within these plugins. Existing Trojan attacks often require extensive training data and suffer from poor generalization across different triggers, limiting their effectiveness and scalability. To the best of our knowledge, this paper introduces the first **T**ext-encoder **W**eight-editing method for **I**nserting **S**ecret **T**rojans (**TWIST**). By identifying the *bottleneck MLP layer*—the critical point where minimal edits can dominantly control cross-modal alignment—TWIST achieves training-free and data-free Trojan insertion, which makes it highly efficient and practical. The experimental results across various triggers demonstrate that TWIST attains an average attack success rate of 91%, a 78% improvement over the state-of-the-art (SOTA) method proposed in 2024 and highlights the excellent generalization capability. Moreover, TWIST reduces modified parameters by 8-fold and cuts injection time to 25 seconds. Our findings underscore the security risks associated with text encoders in real-world applications and emphasize the need for more robust defense mechanisms.</v>
      </c>
      <c r="D2157" s="7" t="str">
        <f>IFERROR(__xludf.DUMMYFUNCTION("""COMPUTED_VALUE"""),"Xindi Li")</f>
        <v>Xindi Li</v>
      </c>
      <c r="E2157" s="7" t="str">
        <f>IFERROR(__xludf.DUMMYFUNCTION("""COMPUTED_VALUE"""),"Yes")</f>
        <v>Yes</v>
      </c>
      <c r="F2157" s="7" t="str">
        <f>IFERROR(__xludf.DUMMYFUNCTION("""COMPUTED_VALUE"""),"IP-Poster")</f>
        <v>IP-Poster</v>
      </c>
      <c r="G2157" s="7" t="str">
        <f>IFERROR(__xludf.DUMMYFUNCTION("""COMPUTED_VALUE"""),"In-Person")</f>
        <v>In-Person</v>
      </c>
      <c r="H2157" s="7" t="str">
        <f>IFERROR(__xludf.DUMMYFUNCTION("""COMPUTED_VALUE"""),"Hall 4/5")</f>
        <v>Hall 4/5</v>
      </c>
      <c r="I2157" s="7" t="str">
        <f>IFERROR(__xludf.DUMMYFUNCTION("""COMPUTED_VALUE"""),"Session 2: IP-Posters ")</f>
        <v>Session 2: IP-Posters </v>
      </c>
      <c r="J2157" s="7" t="str">
        <f>IFERROR(__xludf.DUMMYFUNCTION("""COMPUTED_VALUE"""),"Poster Session 1")</f>
        <v>Poster Session 1</v>
      </c>
      <c r="K2157" s="7"/>
      <c r="L2157" s="8">
        <f>IFERROR(__xludf.DUMMYFUNCTION("""COMPUTED_VALUE"""),45866.0)</f>
        <v>45866</v>
      </c>
      <c r="M2157" s="7" t="str">
        <f>IFERROR(__xludf.DUMMYFUNCTION("""COMPUTED_VALUE"""),"11:00-12:30")</f>
        <v>11:00-12:30</v>
      </c>
      <c r="N2157" s="7"/>
    </row>
    <row r="2158">
      <c r="A2158" s="7" t="str">
        <f>IFERROR(__xludf.DUMMYFUNCTION("""COMPUTED_VALUE"""),"1284-MAIN")</f>
        <v>1284-MAIN</v>
      </c>
      <c r="B2158" s="7" t="str">
        <f>IFERROR(__xludf.DUMMYFUNCTION("""COMPUTED_VALUE"""),"Frictional Agent Alignment Framework: Slow Down and Don’t Break Things")</f>
        <v>Frictional Agent Alignment Framework: Slow Down and Don’t Break Things</v>
      </c>
      <c r="C2158" s="7" t="str">
        <f>IFERROR(__xludf.DUMMYFUNCTION("""COMPUTED_VALUE"""),"AI support of collaborative interactions entails mediating potential misalignment between interlocutor beliefs. Common preference alignment methods like DPO excel in static settings, but struggle in dynamic collaborative tasks where the explicit signals o"&amp;"f interlocutor beliefs are sparse and skewed. We propose the Frictional Agent Alignment Framework (FAAF), to generate precise, context-aware ""friction"" that prompts for deliberation and re-examination of existing evidence. FAAF’s two-player objective de"&amp;"couples from data skew: a frictive-state policy identifies belief misalignments, while an intervention policy crafts collaborator-preferred responses. We derive an analytical solution to this objective, enabling training a single policy via a simple super"&amp;"vised loss. Experiments on three benchmarks show FAAF outperforms competitors in producing concise, interpretable friction and in OOD generalization. By aligning LLMs to act as adaptive ""thought partners""---not passive responders---FAAF advances scalabl"&amp;"e, dynamic human-AI collaboration. Our code and data can be found at https://github.com/csu-signal/FAAF_ACL.")</f>
        <v>AI support of collaborative interactions entails mediating potential misalignment between interlocutor beliefs. Common preference alignment methods like DPO excel in static settings, but struggle in dynamic collaborative tasks where the explicit signals of interlocutor beliefs are sparse and skewed. We propose the Frictional Agent Alignment Framework (FAAF), to generate precise, context-aware "friction" that prompts for deliberation and re-examination of existing evidence. FAAF’s two-player objective decouples from data skew: a frictive-state policy identifies belief misalignments, while an intervention policy crafts collaborator-preferred responses. We derive an analytical solution to this objective, enabling training a single policy via a simple supervised loss. Experiments on three benchmarks show FAAF outperforms competitors in producing concise, interpretable friction and in OOD generalization. By aligning LLMs to act as adaptive "thought partners"---not passive responders---FAAF advances scalable, dynamic human-AI collaboration. Our code and data can be found at https://github.com/csu-signal/FAAF_ACL.</v>
      </c>
      <c r="D2158" s="7" t="str">
        <f>IFERROR(__xludf.DUMMYFUNCTION("""COMPUTED_VALUE"""),"Abhijnan Nath")</f>
        <v>Abhijnan Nath</v>
      </c>
      <c r="E2158" s="7" t="str">
        <f>IFERROR(__xludf.DUMMYFUNCTION("""COMPUTED_VALUE"""),"Yes")</f>
        <v>Yes</v>
      </c>
      <c r="F2158" s="7" t="str">
        <f>IFERROR(__xludf.DUMMYFUNCTION("""COMPUTED_VALUE"""),"IP-Poster")</f>
        <v>IP-Poster</v>
      </c>
      <c r="G2158" s="7" t="str">
        <f>IFERROR(__xludf.DUMMYFUNCTION("""COMPUTED_VALUE"""),"In-Person")</f>
        <v>In-Person</v>
      </c>
      <c r="H2158" s="7" t="str">
        <f>IFERROR(__xludf.DUMMYFUNCTION("""COMPUTED_VALUE"""),"Hall 4/5")</f>
        <v>Hall 4/5</v>
      </c>
      <c r="I2158" s="7" t="str">
        <f>IFERROR(__xludf.DUMMYFUNCTION("""COMPUTED_VALUE"""),"Session 10: IP-Posters")</f>
        <v>Session 10: IP-Posters</v>
      </c>
      <c r="J2158" s="7" t="str">
        <f>IFERROR(__xludf.DUMMYFUNCTION("""COMPUTED_VALUE"""),"Poster Session 3")</f>
        <v>Poster Session 3</v>
      </c>
      <c r="K2158" s="7"/>
      <c r="L2158" s="8">
        <f>IFERROR(__xludf.DUMMYFUNCTION("""COMPUTED_VALUE"""),45867.0)</f>
        <v>45867</v>
      </c>
      <c r="M2158" s="7" t="str">
        <f>IFERROR(__xludf.DUMMYFUNCTION("""COMPUTED_VALUE"""),"16:00-17:30")</f>
        <v>16:00-17:30</v>
      </c>
      <c r="N2158" s="7"/>
    </row>
    <row r="2159">
      <c r="A2159" s="7" t="str">
        <f>IFERROR(__xludf.DUMMYFUNCTION("""COMPUTED_VALUE"""),"1287-MAIN")</f>
        <v>1287-MAIN</v>
      </c>
      <c r="B2159" s="7" t="str">
        <f>IFERROR(__xludf.DUMMYFUNCTION("""COMPUTED_VALUE"""),"Powerformer: Efficient and High-Accuracy Privacy-Preserving Language Model with Homomorphic Encryption")</f>
        <v>Powerformer: Efficient and High-Accuracy Privacy-Preserving Language Model with Homomorphic Encryption</v>
      </c>
      <c r="C2159" s="7" t="str">
        <f>IFERROR(__xludf.DUMMYFUNCTION("""COMPUTED_VALUE"""),"We propose Powerformer, an efficient homomorphic encryption (HE)-based privacy-preserving language model (PPLM) designed to reduce computation overhead while maintaining model performance. Powerformer incorporates three key techniques to optimize encrypte"&amp;"d computations:
1. A novel distillation technique that replaces softmax and layer normalization (LN) with computationally efficient power and linear functions, ensuring no performance degradation while enabling seamless encrypted computation.
2. A pseudo"&amp;"-sign composite approximation method that accurately approximates GELU and tanh functions with minimal computational overhead.
3. A homomorphic matrix multiplication algorithm specifically optimized for Transformer models, enhancing efficiency in encrypte"&amp;"d environments.
By integrating these techniques, Powerformer based on the BERT-base model achieves a 45% reduction in computation time compared to the state-of-the-art HE-based PPLM without any loss in accuracy.")</f>
        <v>We propose Powerformer, an efficient homomorphic encryption (HE)-based privacy-preserving language model (PPLM) designed to reduce computation overhead while maintaining model performance. Powerformer incorporates three key techniques to optimize encrypted computations:
1. A novel distillation technique that replaces softmax and layer normalization (LN) with computationally efficient power and linear functions, ensuring no performance degradation while enabling seamless encrypted computation.
2. A pseudo-sign composite approximation method that accurately approximates GELU and tanh functions with minimal computational overhead.
3. A homomorphic matrix multiplication algorithm specifically optimized for Transformer models, enhancing efficiency in encrypted environments.
By integrating these techniques, Powerformer based on the BERT-base model achieves a 45% reduction in computation time compared to the state-of-the-art HE-based PPLM without any loss in accuracy.</v>
      </c>
      <c r="D2159" s="7" t="str">
        <f>IFERROR(__xludf.DUMMYFUNCTION("""COMPUTED_VALUE"""),"Dongjin Park")</f>
        <v>Dongjin Park</v>
      </c>
      <c r="E2159" s="7" t="str">
        <f>IFERROR(__xludf.DUMMYFUNCTION("""COMPUTED_VALUE"""),"Yes")</f>
        <v>Yes</v>
      </c>
      <c r="F2159" s="7" t="str">
        <f>IFERROR(__xludf.DUMMYFUNCTION("""COMPUTED_VALUE"""),"IP-Poster")</f>
        <v>IP-Poster</v>
      </c>
      <c r="G2159" s="7" t="str">
        <f>IFERROR(__xludf.DUMMYFUNCTION("""COMPUTED_VALUE"""),"In-Person")</f>
        <v>In-Person</v>
      </c>
      <c r="H2159" s="7" t="str">
        <f>IFERROR(__xludf.DUMMYFUNCTION("""COMPUTED_VALUE"""),"Hall 4/5")</f>
        <v>Hall 4/5</v>
      </c>
      <c r="I2159" s="7" t="str">
        <f>IFERROR(__xludf.DUMMYFUNCTION("""COMPUTED_VALUE"""),"Session 12: IP-Posters")</f>
        <v>Session 12: IP-Posters</v>
      </c>
      <c r="J2159" s="7" t="str">
        <f>IFERROR(__xludf.DUMMYFUNCTION("""COMPUTED_VALUE"""),"Poster Session 4")</f>
        <v>Poster Session 4</v>
      </c>
      <c r="K2159" s="7"/>
      <c r="L2159" s="8">
        <f>IFERROR(__xludf.DUMMYFUNCTION("""COMPUTED_VALUE"""),45868.0)</f>
        <v>45868</v>
      </c>
      <c r="M2159" s="7" t="str">
        <f>IFERROR(__xludf.DUMMYFUNCTION("""COMPUTED_VALUE"""),"11:00-12:30")</f>
        <v>11:00-12:30</v>
      </c>
      <c r="N2159" s="7"/>
    </row>
    <row r="2160">
      <c r="A2160" s="7" t="str">
        <f>IFERROR(__xludf.DUMMYFUNCTION("""COMPUTED_VALUE"""),"1291-MAIN")</f>
        <v>1291-MAIN</v>
      </c>
      <c r="B2160" s="7" t="str">
        <f>IFERROR(__xludf.DUMMYFUNCTION("""COMPUTED_VALUE"""),"Beware of Your Po! Measuring and Mitigating AI Safety Risks in Role-Play Fine-Tuning of LLMs")</f>
        <v>Beware of Your Po! Measuring and Mitigating AI Safety Risks in Role-Play Fine-Tuning of LLMs</v>
      </c>
      <c r="C2160" s="7" t="str">
        <f>IFERROR(__xludf.DUMMYFUNCTION("""COMPUTED_VALUE"""),"Role-playing enables large language models (LLMs) to engage users in immersive and personalized interactions, but it also introduces significant safety risks. Existing role-play fine-tuning techniques improve role adaptability but may degrade safety perfo"&amp;"rmance, particularly for villainous characters. In this work, we conduct the first comprehensive assessment of role-play fine-tuning risks by training 95 role-specific LLMs using RoleBench. Our experiments reveal that role-play fine-tuning leads to a noti"&amp;"ceable decline in safety performance, with safety risks varying based on character traits. To tackle this challenge, we propose Safety-Aware Role-Play Fine-Tuning (SaRFT), a novel method designed to balance role-playing capabilities and safety. Extensive "&amp;"experiments on LLaMA-3-8B-Instruct, Gemma-2-9B-it, and Qwen2.5-7B-Instruct demonstrate that SaRFT consistently outperforms state-of-the-art baselines under both LoRA and full-parameter fine-tuning settings. Our findings highlight the necessity of role-ada"&amp;"ptive safety measures and provide insights into mitigating role-specific safety risks in role-playing LLMs.")</f>
        <v>Role-playing enables large language models (LLMs) to engage users in immersive and personalized interactions, but it also introduces significant safety risks. Existing role-play fine-tuning techniques improve role adaptability but may degrade safety performance, particularly for villainous characters. In this work, we conduct the first comprehensive assessment of role-play fine-tuning risks by training 95 role-specific LLMs using RoleBench. Our experiments reveal that role-play fine-tuning leads to a noticeable decline in safety performance, with safety risks varying based on character traits. To tackle this challenge, we propose Safety-Aware Role-Play Fine-Tuning (SaRFT), a novel method designed to balance role-playing capabilities and safety. Extensive experiments on LLaMA-3-8B-Instruct, Gemma-2-9B-it, and Qwen2.5-7B-Instruct demonstrate that SaRFT consistently outperforms state-of-the-art baselines under both LoRA and full-parameter fine-tuning settings. Our findings highlight the necessity of role-adaptive safety measures and provide insights into mitigating role-specific safety risks in role-playing LLMs.</v>
      </c>
      <c r="D2160" s="7" t="str">
        <f>IFERROR(__xludf.DUMMYFUNCTION("""COMPUTED_VALUE"""),"Weixiang Zhao")</f>
        <v>Weixiang Zhao</v>
      </c>
      <c r="E2160" s="7" t="str">
        <f>IFERROR(__xludf.DUMMYFUNCTION("""COMPUTED_VALUE"""),"Yes")</f>
        <v>Yes</v>
      </c>
      <c r="F2160" s="7" t="str">
        <f>IFERROR(__xludf.DUMMYFUNCTION("""COMPUTED_VALUE"""),"IP-Poster")</f>
        <v>IP-Poster</v>
      </c>
      <c r="G2160" s="7" t="str">
        <f>IFERROR(__xludf.DUMMYFUNCTION("""COMPUTED_VALUE"""),"In-Person")</f>
        <v>In-Person</v>
      </c>
      <c r="H2160" s="7" t="str">
        <f>IFERROR(__xludf.DUMMYFUNCTION("""COMPUTED_VALUE"""),"Hall 4/5")</f>
        <v>Hall 4/5</v>
      </c>
      <c r="I2160" s="7" t="str">
        <f>IFERROR(__xludf.DUMMYFUNCTION("""COMPUTED_VALUE"""),"Session 2: IP-Posters ")</f>
        <v>Session 2: IP-Posters </v>
      </c>
      <c r="J2160" s="7" t="str">
        <f>IFERROR(__xludf.DUMMYFUNCTION("""COMPUTED_VALUE"""),"Poster Session 1")</f>
        <v>Poster Session 1</v>
      </c>
      <c r="K2160" s="7"/>
      <c r="L2160" s="8">
        <f>IFERROR(__xludf.DUMMYFUNCTION("""COMPUTED_VALUE"""),45866.0)</f>
        <v>45866</v>
      </c>
      <c r="M2160" s="7" t="str">
        <f>IFERROR(__xludf.DUMMYFUNCTION("""COMPUTED_VALUE"""),"11:00-12:30")</f>
        <v>11:00-12:30</v>
      </c>
      <c r="N2160" s="7"/>
    </row>
    <row r="2161">
      <c r="A2161" s="7" t="str">
        <f>IFERROR(__xludf.DUMMYFUNCTION("""COMPUTED_VALUE"""),"1292-MAIN")</f>
        <v>1292-MAIN</v>
      </c>
      <c r="B2161" s="7" t="str">
        <f>IFERROR(__xludf.DUMMYFUNCTION("""COMPUTED_VALUE"""),"Can Graph Neural Networks Learn Language with Extremely Weak Text Supervision?")</f>
        <v>Can Graph Neural Networks Learn Language with Extremely Weak Text Supervision?</v>
      </c>
      <c r="C2161" s="7" t="str">
        <f>IFERROR(__xludf.DUMMYFUNCTION("""COMPUTED_VALUE"""),"While great success has been achieved in building vision models with Contrastive Language-Image Pre-training (CLIP) over Internet-scale image-text pairs, building transferable Graph Neural Networks (GNNs) with CLIP pipeline is challenging because of the s"&amp;"carcity of labeled data and text supervision, different levels of downstream tasks, and the conceptual gaps between domains. In this work, to address these issues, we propose a multi-modal prompt learning paradigm to effectively adapt pre-trained GNN to d"&amp;"ownstream tasks and data, given only a few semantically labeled samples, each with extremely weak text supervision. Our new paradigm embeds the graphs directly in the same space as the Large Language Models (LLMs) by learning both graph prompts and text p"&amp;"rompts simultaneously. We demonstrate the superior performance of our paradigm in few-shot, multi-task-level, and cross-domain settings. Moreover, we build the first CLIP-style zero-shot classification prototype that can generalize GNNs to unseen classes "&amp;"with extremely weak text supervision.")</f>
        <v>While great success has been achieved in building vision models with Contrastive Language-Image Pre-training (CLIP) over Internet-scale image-text pairs, building transferable Graph Neural Networks (GNNs) with CLIP pipeline is challenging because of the scarcity of labeled data and text supervision, different levels of downstream tasks, and the conceptual gaps between domains. In this work, to address these issues, we propose a multi-modal prompt learning paradigm to effectively adapt pre-trained GNN to downstream tasks and data, given only a few semantically labeled samples, each with extremely weak text supervision. Our new paradigm embeds the graphs directly in the same space as the Large Language Models (LLMs) by learning both graph prompts and text prompts simultaneously. We demonstrate the superior performance of our paradigm in few-shot, multi-task-level, and cross-domain settings. Moreover, we build the first CLIP-style zero-shot classification prototype that can generalize GNNs to unseen classes with extremely weak text supervision.</v>
      </c>
      <c r="D2161" s="7" t="str">
        <f>IFERROR(__xludf.DUMMYFUNCTION("""COMPUTED_VALUE"""),"Zihao Li")</f>
        <v>Zihao Li</v>
      </c>
      <c r="E2161" s="7" t="str">
        <f>IFERROR(__xludf.DUMMYFUNCTION("""COMPUTED_VALUE"""),"Yes")</f>
        <v>Yes</v>
      </c>
      <c r="F2161" s="7" t="str">
        <f>IFERROR(__xludf.DUMMYFUNCTION("""COMPUTED_VALUE"""),"IP-Poster")</f>
        <v>IP-Poster</v>
      </c>
      <c r="G2161" s="7" t="str">
        <f>IFERROR(__xludf.DUMMYFUNCTION("""COMPUTED_VALUE"""),"In-Person")</f>
        <v>In-Person</v>
      </c>
      <c r="H2161" s="7" t="str">
        <f>IFERROR(__xludf.DUMMYFUNCTION("""COMPUTED_VALUE"""),"Hall 4/5")</f>
        <v>Hall 4/5</v>
      </c>
      <c r="I2161" s="7" t="str">
        <f>IFERROR(__xludf.DUMMYFUNCTION("""COMPUTED_VALUE"""),"Session 10: IP-Posters")</f>
        <v>Session 10: IP-Posters</v>
      </c>
      <c r="J2161" s="7" t="str">
        <f>IFERROR(__xludf.DUMMYFUNCTION("""COMPUTED_VALUE"""),"Poster Session 3")</f>
        <v>Poster Session 3</v>
      </c>
      <c r="K2161" s="7"/>
      <c r="L2161" s="8">
        <f>IFERROR(__xludf.DUMMYFUNCTION("""COMPUTED_VALUE"""),45867.0)</f>
        <v>45867</v>
      </c>
      <c r="M2161" s="7" t="str">
        <f>IFERROR(__xludf.DUMMYFUNCTION("""COMPUTED_VALUE"""),"16:00-17:30")</f>
        <v>16:00-17:30</v>
      </c>
      <c r="N2161" s="7"/>
    </row>
    <row r="2162">
      <c r="A2162" s="7" t="str">
        <f>IFERROR(__xludf.DUMMYFUNCTION("""COMPUTED_VALUE"""),"1293-MAIN")</f>
        <v>1293-MAIN</v>
      </c>
      <c r="B2162" s="7" t="str">
        <f>IFERROR(__xludf.DUMMYFUNCTION("""COMPUTED_VALUE"""),"Towards Enhanced Immersion and Agency for LLM-based Interactive Drama")</f>
        <v>Towards Enhanced Immersion and Agency for LLM-based Interactive Drama</v>
      </c>
      <c r="C2162" s="7" t="str">
        <f>IFERROR(__xludf.DUMMYFUNCTION("""COMPUTED_VALUE"""),"LLM-based Interactive Drama is a novel AI-based dialogue scenario, where the user (i.e. the player) plays the role of a character in the story, has conversations with characters played by LLM agents, and experiences an unfolding story. This paper begins w"&amp;"ith understanding interactive drama from two aspects: Immersion—the player's feeling of being present in the story—and Agency—the player's ability to influence the story world. Both are crucial to creating an enjoyable interactive experience, while they h"&amp;"ave been underexplored in previous work. To enhance these two aspects, we first propose Playwriting-guided Generation, a novel method that helps LLMs craft dramatic stories with substantially improved structures and narrative quality. Additionally, we int"&amp;"roduce Plot-based Reflection for LLM agents to refine their reactions to align with the player's intentions. Our evaluation relies on human judgment to assess the gains of our methods in terms of immersion and agency.")</f>
        <v>LLM-based Interactive Drama is a novel AI-based dialogue scenario, where the user (i.e. the player) plays the role of a character in the story, has conversations with characters played by LLM agents, and experiences an unfolding story. This paper begins with understanding interactive drama from two aspects: Immersion—the player's feeling of being present in the story—and Agency—the player's ability to influence the story world. Both are crucial to creating an enjoyable interactive experience, while they have been underexplored in previous work. To enhance these two aspects, we first propose Playwriting-guided Generation, a novel method that helps LLMs craft dramatic stories with substantially improved structures and narrative quality. Additionally, we introduce Plot-based Reflection for LLM agents to refine their reactions to align with the player's intentions. Our evaluation relies on human judgment to assess the gains of our methods in terms of immersion and agency.</v>
      </c>
      <c r="D2162" s="7" t="str">
        <f>IFERROR(__xludf.DUMMYFUNCTION("""COMPUTED_VALUE"""),"Hongqiu Wu")</f>
        <v>Hongqiu Wu</v>
      </c>
      <c r="E2162" s="7" t="str">
        <f>IFERROR(__xludf.DUMMYFUNCTION("""COMPUTED_VALUE"""),"Yes")</f>
        <v>Yes</v>
      </c>
      <c r="F2162" s="7" t="str">
        <f>IFERROR(__xludf.DUMMYFUNCTION("""COMPUTED_VALUE"""),"IP-Poster")</f>
        <v>IP-Poster</v>
      </c>
      <c r="G2162" s="7" t="str">
        <f>IFERROR(__xludf.DUMMYFUNCTION("""COMPUTED_VALUE"""),"In-Person")</f>
        <v>In-Person</v>
      </c>
      <c r="H2162" s="7" t="str">
        <f>IFERROR(__xludf.DUMMYFUNCTION("""COMPUTED_VALUE"""),"Hall 4/5")</f>
        <v>Hall 4/5</v>
      </c>
      <c r="I2162" s="7" t="str">
        <f>IFERROR(__xludf.DUMMYFUNCTION("""COMPUTED_VALUE"""),"Session 12: IP-Posters")</f>
        <v>Session 12: IP-Posters</v>
      </c>
      <c r="J2162" s="7" t="str">
        <f>IFERROR(__xludf.DUMMYFUNCTION("""COMPUTED_VALUE"""),"Poster Session 4")</f>
        <v>Poster Session 4</v>
      </c>
      <c r="K2162" s="7"/>
      <c r="L2162" s="8">
        <f>IFERROR(__xludf.DUMMYFUNCTION("""COMPUTED_VALUE"""),45868.0)</f>
        <v>45868</v>
      </c>
      <c r="M2162" s="7" t="str">
        <f>IFERROR(__xludf.DUMMYFUNCTION("""COMPUTED_VALUE"""),"11:00-12:30")</f>
        <v>11:00-12:30</v>
      </c>
      <c r="N2162" s="7"/>
    </row>
    <row r="2163">
      <c r="A2163" s="7" t="str">
        <f>IFERROR(__xludf.DUMMYFUNCTION("""COMPUTED_VALUE"""),"1294-MAIN")</f>
        <v>1294-MAIN</v>
      </c>
      <c r="B2163" s="7" t="str">
        <f>IFERROR(__xludf.DUMMYFUNCTION("""COMPUTED_VALUE"""),"Disambiguating Reference in Visually Grounded Dialogues through Joint Modeling of Textual and Multimodal Semantic Structures")</f>
        <v>Disambiguating Reference in Visually Grounded Dialogues through Joint Modeling of Textual and Multimodal Semantic Structures</v>
      </c>
      <c r="C2163" s="7" t="str">
        <f>IFERROR(__xludf.DUMMYFUNCTION("""COMPUTED_VALUE"""),"Multimodal reference resolution, including phrase grounding, aims to understand the semantic relations between mentions and real-world objects. Phrase grounding between images and their captions is a well-established task. In contrast, for real-world appl"&amp;"ications, it is essential to integrate textual and multimodal reference resolution to unravel the reference relations within dialogue, especially in handling ambiguities caused by pronouns and ellipses. This paper presents a framework that unifies textual"&amp;" and multimodal reference resolution by mapping mention embeddings to object embeddings and selecting mentions or objects based on their similarity. Our experiments show that learning textual reference resolution, such as coreference resolution and predic"&amp;"ate-argument structure analysis, positively affects performance in multimodal reference resolution. In particular, our model with coreference resolution performs better in pronoun phrase grounding than representative models for this task, MDETR and GLIP. "&amp;"Our qualitative analysis demonstrates that incorporating textual reference relations strengthens the confidence scores between mentions, including pronouns and predicates, and objects, which can reduce the ambiguities that arise in visually grounded dialo"&amp;"gues.")</f>
        <v>Multimodal reference resolution, including phrase grounding, aims to understand the semantic relations between mentions and real-world objects. Phrase grounding between images and their captions is a well-established task. In contrast, for real-world applications, it is essential to integrate textual and multimodal reference resolution to unravel the reference relations within dialogue, especially in handling ambiguities caused by pronouns and ellipses. This paper presents a framework that unifies textual and multimodal reference resolution by mapping mention embeddings to object embeddings and selecting mentions or objects based on their similarity. Our experiments show that learning textual reference resolution, such as coreference resolution and predicate-argument structure analysis, positively affects performance in multimodal reference resolution. In particular, our model with coreference resolution performs better in pronoun phrase grounding than representative models for this task, MDETR and GLIP. Our qualitative analysis demonstrates that incorporating textual reference relations strengthens the confidence scores between mentions, including pronouns and predicates, and objects, which can reduce the ambiguities that arise in visually grounded dialogues.</v>
      </c>
      <c r="D2163" s="7" t="str">
        <f>IFERROR(__xludf.DUMMYFUNCTION("""COMPUTED_VALUE"""),"Shun Inadumi")</f>
        <v>Shun Inadumi</v>
      </c>
      <c r="E2163" s="7" t="str">
        <f>IFERROR(__xludf.DUMMYFUNCTION("""COMPUTED_VALUE"""),"Yes")</f>
        <v>Yes</v>
      </c>
      <c r="F2163" s="7" t="str">
        <f>IFERROR(__xludf.DUMMYFUNCTION("""COMPUTED_VALUE"""),"IP-Poster")</f>
        <v>IP-Poster</v>
      </c>
      <c r="G2163" s="7" t="str">
        <f>IFERROR(__xludf.DUMMYFUNCTION("""COMPUTED_VALUE"""),"In-Person")</f>
        <v>In-Person</v>
      </c>
      <c r="H2163" s="7" t="str">
        <f>IFERROR(__xludf.DUMMYFUNCTION("""COMPUTED_VALUE"""),"Hall 4/5")</f>
        <v>Hall 4/5</v>
      </c>
      <c r="I2163" s="7" t="str">
        <f>IFERROR(__xludf.DUMMYFUNCTION("""COMPUTED_VALUE"""),"Session 2: IP-Posters ")</f>
        <v>Session 2: IP-Posters </v>
      </c>
      <c r="J2163" s="7" t="str">
        <f>IFERROR(__xludf.DUMMYFUNCTION("""COMPUTED_VALUE"""),"Poster Session 1")</f>
        <v>Poster Session 1</v>
      </c>
      <c r="K2163" s="7"/>
      <c r="L2163" s="8">
        <f>IFERROR(__xludf.DUMMYFUNCTION("""COMPUTED_VALUE"""),45866.0)</f>
        <v>45866</v>
      </c>
      <c r="M2163" s="7" t="str">
        <f>IFERROR(__xludf.DUMMYFUNCTION("""COMPUTED_VALUE"""),"11:00-12:30")</f>
        <v>11:00-12:30</v>
      </c>
      <c r="N2163" s="7"/>
    </row>
    <row r="2164">
      <c r="A2164" s="7" t="str">
        <f>IFERROR(__xludf.DUMMYFUNCTION("""COMPUTED_VALUE"""),"1301-MAIN")</f>
        <v>1301-MAIN</v>
      </c>
      <c r="B2164" s="7" t="str">
        <f>IFERROR(__xludf.DUMMYFUNCTION("""COMPUTED_VALUE"""),"Improving Factuality with Explicit Working Memory")</f>
        <v>Improving Factuality with Explicit Working Memory</v>
      </c>
      <c r="C2164" s="7" t="str">
        <f>IFERROR(__xludf.DUMMYFUNCTION("""COMPUTED_VALUE"""),"Large language models can generate factually inaccurate content, a problem known as hallucination. Recent works have built upon retrieved-augmented generation to improve factuality through iterative prompting but these methods are limited by the tradition"&amp;"al RAG design. To address these challenges, we introduce Ewe (Explicit Working Memory), a novel approach that enhances factuality in long-form text generation by integrating a working memory that receives real-time feedback from external resources. The me"&amp;"mory is refreshed based on online fact-checking and retrieval feedback, allowing Ewe to rectify false claims during the generation process and ensure more accurate and reliable outputs. Our experiments demonstrate that Ewe outperforms strong baselines on "&amp;"four fact-seeking long-form generation datasets, increasing the factuality metric, VeriScore, by 2 to 6 points absolute without sacrificing the helpfulness of the responses. Further analysis reveals that the design of rules for memory updates, configurati"&amp;"ons of memory units, and the quality of the retrieval datastore are crucial factors for influencing model performance.")</f>
        <v>Large language models can generate factually inaccurate content, a problem known as hallucination. Recent works have built upon retrieved-augmented generation to improve factuality through iterative prompting but these methods are limited by the traditional RAG design. To address these challenges, we introduce Ewe (Explicit Working Memory), a novel approach that enhances factuality in long-form text generation by integrating a working memory that receives real-time feedback from external resources. The memory is refreshed based on online fact-checking and retrieval feedback, allowing Ewe to rectify false claims during the generation process and ensure more accurate and reliable outputs. Our experiments demonstrate that Ewe outperforms strong baselines on four fact-seeking long-form generation datasets, increasing the factuality metric, VeriScore, by 2 to 6 points absolute without sacrificing the helpfulness of the responses. Further analysis reveals that the design of rules for memory updates, configurations of memory units, and the quality of the retrieval datastore are crucial factors for influencing model performance.</v>
      </c>
      <c r="D2164" s="7" t="str">
        <f>IFERROR(__xludf.DUMMYFUNCTION("""COMPUTED_VALUE"""),"Scott Yih")</f>
        <v>Scott Yih</v>
      </c>
      <c r="E2164" s="7" t="str">
        <f>IFERROR(__xludf.DUMMYFUNCTION("""COMPUTED_VALUE"""),"Yes")</f>
        <v>Yes</v>
      </c>
      <c r="F2164" s="7" t="str">
        <f>IFERROR(__xludf.DUMMYFUNCTION("""COMPUTED_VALUE"""),"IP-Poster")</f>
        <v>IP-Poster</v>
      </c>
      <c r="G2164" s="7" t="str">
        <f>IFERROR(__xludf.DUMMYFUNCTION("""COMPUTED_VALUE"""),"In-Person")</f>
        <v>In-Person</v>
      </c>
      <c r="H2164" s="7" t="str">
        <f>IFERROR(__xludf.DUMMYFUNCTION("""COMPUTED_VALUE"""),"Hall 4/5")</f>
        <v>Hall 4/5</v>
      </c>
      <c r="I2164" s="7" t="str">
        <f>IFERROR(__xludf.DUMMYFUNCTION("""COMPUTED_VALUE"""),"Session 10: IP-Posters")</f>
        <v>Session 10: IP-Posters</v>
      </c>
      <c r="J2164" s="7" t="str">
        <f>IFERROR(__xludf.DUMMYFUNCTION("""COMPUTED_VALUE"""),"Poster Session 3")</f>
        <v>Poster Session 3</v>
      </c>
      <c r="K2164" s="7"/>
      <c r="L2164" s="8">
        <f>IFERROR(__xludf.DUMMYFUNCTION("""COMPUTED_VALUE"""),45867.0)</f>
        <v>45867</v>
      </c>
      <c r="M2164" s="7" t="str">
        <f>IFERROR(__xludf.DUMMYFUNCTION("""COMPUTED_VALUE"""),"16:00-17:30")</f>
        <v>16:00-17:30</v>
      </c>
      <c r="N2164" s="7"/>
    </row>
    <row r="2165">
      <c r="A2165" s="7" t="str">
        <f>IFERROR(__xludf.DUMMYFUNCTION("""COMPUTED_VALUE"""),"1303-MAIN")</f>
        <v>1303-MAIN</v>
      </c>
      <c r="B2165" s="7" t="str">
        <f>IFERROR(__xludf.DUMMYFUNCTION("""COMPUTED_VALUE"""),"Gradient-Adaptive Policy Optimization: Towards Multi-Objective Alignment of Large Language Models")</f>
        <v>Gradient-Adaptive Policy Optimization: Towards Multi-Objective Alignment of Large Language Models</v>
      </c>
      <c r="C2165" s="7" t="str">
        <f>IFERROR(__xludf.DUMMYFUNCTION("""COMPUTED_VALUE"""),"Reinforcement Learning from Human Feedback (RLHF) has emerged as a powerful technique for aligning large language models (LLMs) with human preferences. However, effectively aligning LLMs with diverse human preferences remains a significant challenge, part"&amp;"icularly when they are conflict. To address this issue, we frame human value alignment as a multi-objective optimization problem, aiming to maximize a set of potentially conflicting objectives. We introduce Gradient-Adaptive Policy Optimization (GAPO), a "&amp;"novel fine-tuning paradigm that employs multiple-gradient descent to align LLMs with diverse preference distributions. GAPO adaptively rescales the gradients for each objective to determine an update direction that optimally balances the trade-offs betwee"&amp;"n objectives. Additionally, we introduce P-GAPO, which incorporates user preferences across different objectives and achieves Pareto solutions that better align with the user's specific needs.")</f>
        <v>Reinforcement Learning from Human Feedback (RLHF) has emerged as a powerful technique for aligning large language models (LLMs) with human preferences. However, effectively aligning LLMs with diverse human preferences remains a significant challenge, particularly when they are conflict. To address this issue, we frame human value alignment as a multi-objective optimization problem, aiming to maximize a set of potentially conflicting objectives. We introduce Gradient-Adaptive Policy Optimization (GAPO), a novel fine-tuning paradigm that employs multiple-gradient descent to align LLMs with diverse preference distributions. GAPO adaptively rescales the gradients for each objective to determine an update direction that optimally balances the trade-offs between objectives. Additionally, we introduce P-GAPO, which incorporates user preferences across different objectives and achieves Pareto solutions that better align with the user's specific needs.</v>
      </c>
      <c r="D2165" s="7" t="str">
        <f>IFERROR(__xludf.DUMMYFUNCTION("""COMPUTED_VALUE"""),"Chengao Li")</f>
        <v>Chengao Li</v>
      </c>
      <c r="E2165" s="7" t="str">
        <f>IFERROR(__xludf.DUMMYFUNCTION("""COMPUTED_VALUE"""),"Yes")</f>
        <v>Yes</v>
      </c>
      <c r="F2165" s="7" t="str">
        <f>IFERROR(__xludf.DUMMYFUNCTION("""COMPUTED_VALUE"""),"IP-Poster")</f>
        <v>IP-Poster</v>
      </c>
      <c r="G2165" s="7" t="str">
        <f>IFERROR(__xludf.DUMMYFUNCTION("""COMPUTED_VALUE"""),"In-Person")</f>
        <v>In-Person</v>
      </c>
      <c r="H2165" s="7" t="str">
        <f>IFERROR(__xludf.DUMMYFUNCTION("""COMPUTED_VALUE"""),"Hall 4/5")</f>
        <v>Hall 4/5</v>
      </c>
      <c r="I2165" s="7" t="str">
        <f>IFERROR(__xludf.DUMMYFUNCTION("""COMPUTED_VALUE"""),"Session 10: IP-Posters")</f>
        <v>Session 10: IP-Posters</v>
      </c>
      <c r="J2165" s="7" t="str">
        <f>IFERROR(__xludf.DUMMYFUNCTION("""COMPUTED_VALUE"""),"Poster Session 3")</f>
        <v>Poster Session 3</v>
      </c>
      <c r="K2165" s="7"/>
      <c r="L2165" s="8">
        <f>IFERROR(__xludf.DUMMYFUNCTION("""COMPUTED_VALUE"""),45867.0)</f>
        <v>45867</v>
      </c>
      <c r="M2165" s="7" t="str">
        <f>IFERROR(__xludf.DUMMYFUNCTION("""COMPUTED_VALUE"""),"16:00-17:30")</f>
        <v>16:00-17:30</v>
      </c>
      <c r="N2165" s="7"/>
    </row>
    <row r="2166">
      <c r="A2166" s="7" t="str">
        <f>IFERROR(__xludf.DUMMYFUNCTION("""COMPUTED_VALUE"""),"1305-MAIN")</f>
        <v>1305-MAIN</v>
      </c>
      <c r="B2166" s="7" t="str">
        <f>IFERROR(__xludf.DUMMYFUNCTION("""COMPUTED_VALUE"""),"Dynamic Parallel Tree Search for Efficient LLM Reasoning")</f>
        <v>Dynamic Parallel Tree Search for Efficient LLM Reasoning</v>
      </c>
      <c r="C2166" s="7" t="str">
        <f>IFERROR(__xludf.DUMMYFUNCTION("""COMPUTED_VALUE"""),"Tree of Thoughts (ToT) enhances Large Language Model (LLM) reasoning by structuring problem-solving as a spanning tree. However, recent methods focus on search accuracy while overlooking computational efficiency. The challenges of accelerating the ToT lie"&amp;" in the frequent switching of reasoning focus, and the redundant exploration of suboptimal solutions. To alleviate this dilemma, we propose Dynamic Parallel Tree Search (DPTS), a novel parallelism framework that aims to dynamically optimize the reasoning "&amp;"path in inference. 
It includes the Parallelism Streamline in the generation phase to build up a flexible and adaptive parallelism with arbitrary paths by cache management and alignment. Meanwhile, the Search and Transition Mechanism filters potential can"&amp;"didates to dynamically maintain the reasoning focus on more possible solutions with less redundancy. Experiments on Qwen-2.5 and Llama-3 on math and code datasets show that DPTS significantly improves efficiency by 2-4$\times$ on average while maintaining"&amp;" or even surpassing existing reasoning algorithms in accuracy, making ToT-based reasoning more scalable and computationally efficient. Codes are released at: https://github.com/yifu-ding/DPTS.")</f>
        <v>Tree of Thoughts (ToT) enhances Large Language Model (LLM) reasoning by structuring problem-solving as a spanning tree. However, recent methods focus on search accuracy while overlooking computational efficiency. The challenges of accelerating the ToT lie in the frequent switching of reasoning focus, and the redundant exploration of suboptimal solutions. To alleviate this dilemma, we propose Dynamic Parallel Tree Search (DPTS), a novel parallelism framework that aims to dynamically optimize the reasoning path in inference. 
It includes the Parallelism Streamline in the generation phase to build up a flexible and adaptive parallelism with arbitrary paths by cache management and alignment. Meanwhile, the Search and Transition Mechanism filters potential candidates to dynamically maintain the reasoning focus on more possible solutions with less redundancy. Experiments on Qwen-2.5 and Llama-3 on math and code datasets show that DPTS significantly improves efficiency by 2-4$\times$ on average while maintaining or even surpassing existing reasoning algorithms in accuracy, making ToT-based reasoning more scalable and computationally efficient. Codes are released at: https://github.com/yifu-ding/DPTS.</v>
      </c>
      <c r="D2166" s="7" t="str">
        <f>IFERROR(__xludf.DUMMYFUNCTION("""COMPUTED_VALUE"""),"Yifu Ding")</f>
        <v>Yifu Ding</v>
      </c>
      <c r="E2166" s="7" t="str">
        <f>IFERROR(__xludf.DUMMYFUNCTION("""COMPUTED_VALUE"""),"Yes")</f>
        <v>Yes</v>
      </c>
      <c r="F2166" s="7" t="str">
        <f>IFERROR(__xludf.DUMMYFUNCTION("""COMPUTED_VALUE"""),"V-Presentation")</f>
        <v>V-Presentation</v>
      </c>
      <c r="G2166" s="7" t="str">
        <f>IFERROR(__xludf.DUMMYFUNCTION("""COMPUTED_VALUE"""),"Virtual/Gather")</f>
        <v>Virtual/Gather</v>
      </c>
      <c r="H2166" s="7" t="str">
        <f>IFERROR(__xludf.DUMMYFUNCTION("""COMPUTED_VALUE"""),"Zoom")</f>
        <v>Zoom</v>
      </c>
      <c r="I2166" s="7" t="str">
        <f>IFERROR(__xludf.DUMMYFUNCTION("""COMPUTED_VALUE"""),"Session 2: V-Presentations")</f>
        <v>Session 2: V-Presentations</v>
      </c>
      <c r="J2166" s="7" t="str">
        <f>IFERROR(__xludf.DUMMYFUNCTION("""COMPUTED_VALUE"""),"Virtual Presentations 1")</f>
        <v>Virtual Presentations 1</v>
      </c>
      <c r="K2166" s="7"/>
      <c r="L2166" s="8">
        <f>IFERROR(__xludf.DUMMYFUNCTION("""COMPUTED_VALUE"""),45866.0)</f>
        <v>45866</v>
      </c>
      <c r="M2166" s="7" t="str">
        <f>IFERROR(__xludf.DUMMYFUNCTION("""COMPUTED_VALUE"""),"11:00-12:30")</f>
        <v>11:00-12:30</v>
      </c>
      <c r="N2166" s="7"/>
    </row>
    <row r="2167">
      <c r="A2167" s="7" t="str">
        <f>IFERROR(__xludf.DUMMYFUNCTION("""COMPUTED_VALUE"""),"1307-MAIN")</f>
        <v>1307-MAIN</v>
      </c>
      <c r="B2167" s="7" t="str">
        <f>IFERROR(__xludf.DUMMYFUNCTION("""COMPUTED_VALUE"""),"Pre³: Enabling Deterministic Pushdown Automata for Faster Structured LLM Generation")</f>
        <v>Pre³: Enabling Deterministic Pushdown Automata for Faster Structured LLM Generation</v>
      </c>
      <c r="C2167" s="7" t="str">
        <f>IFERROR(__xludf.DUMMYFUNCTION("""COMPUTED_VALUE"""),"Extensive LLM applications demand efficient structured generations, particularly for LR(1) grammars, to produce outputs in specified formats (e.g., JSON). 
Existing methods primarily parse LR(1) grammars into a pushdown automaton (PDA), leading to runtime"&amp;" execution overhead for context-dependent token processing, especially inefficient under large inference batches.
To address these issues, we propose $\text{Pre}^3$ that exploits deterministic pushdown automata (DPDA) to optimize the constrained LLM decod"&amp;"ing efficiency.
First, by **pre**computing **pre**fix-conditioned edges during the **pre**processing, $\text{Pre}^3$ enables ahead-of-time edge analysis and thus makes parallel transition processing possible.
Futher, leveraging the prefix-conditioned edge"&amp;"s, $\text{Pre}^3$ introduces a novel approach that transforms LR(1) transition graphs into DPDA, eliminating the need for runtime path exploration and achieving edge transitions with minimal overhead.
$\text{Pre}^3$ can be seamlessly integrated into stand"&amp;"ard LLM inference frameworks, improving time per output token (TPOT) by up to 40\% and throughput by up to 36\%  in our experiments. Our code is available at https://github.com/ModelTC/lightllm.")</f>
        <v>Extensive LLM applications demand efficient structured generations, particularly for LR(1) grammars, to produce outputs in specified formats (e.g., JSON). 
Existing methods primarily parse LR(1) grammars into a pushdown automaton (PDA), leading to runtime execution overhead for context-dependent token processing, especially inefficient under large inference batches.
To address these issues, we propose $\text{Pre}^3$ that exploits deterministic pushdown automata (DPDA) to optimize the constrained LLM decoding efficiency.
First, by **pre**computing **pre**fix-conditioned edges during the **pre**processing, $\text{Pre}^3$ enables ahead-of-time edge analysis and thus makes parallel transition processing possible.
Futher, leveraging the prefix-conditioned edges, $\text{Pre}^3$ introduces a novel approach that transforms LR(1) transition graphs into DPDA, eliminating the need for runtime path exploration and achieving edge transitions with minimal overhead.
$\text{Pre}^3$ can be seamlessly integrated into standard LLM inference frameworks, improving time per output token (TPOT) by up to 40\% and throughput by up to 36\%  in our experiments. Our code is available at https://github.com/ModelTC/lightllm.</v>
      </c>
      <c r="D2167" s="7" t="str">
        <f>IFERROR(__xludf.DUMMYFUNCTION("""COMPUTED_VALUE"""),"Junyi Chen")</f>
        <v>Junyi Chen</v>
      </c>
      <c r="E2167" s="7" t="str">
        <f>IFERROR(__xludf.DUMMYFUNCTION("""COMPUTED_VALUE"""),"Yes")</f>
        <v>Yes</v>
      </c>
      <c r="F2167" s="7" t="str">
        <f>IFERROR(__xludf.DUMMYFUNCTION("""COMPUTED_VALUE"""),"IP-Oral")</f>
        <v>IP-Oral</v>
      </c>
      <c r="G2167" s="7" t="str">
        <f>IFERROR(__xludf.DUMMYFUNCTION("""COMPUTED_VALUE"""),"In-Person")</f>
        <v>In-Person</v>
      </c>
      <c r="H2167" s="7" t="str">
        <f>IFERROR(__xludf.DUMMYFUNCTION("""COMPUTED_VALUE"""),"Hall M.1")</f>
        <v>Hall M.1</v>
      </c>
      <c r="I2167" s="7" t="str">
        <f>IFERROR(__xludf.DUMMYFUNCTION("""COMPUTED_VALUE"""),"Session 3: IP-Orals")</f>
        <v>Session 3: IP-Orals</v>
      </c>
      <c r="J2167" s="7" t="str">
        <f>IFERROR(__xludf.DUMMYFUNCTION("""COMPUTED_VALUE"""),"Generation")</f>
        <v>Generation</v>
      </c>
      <c r="K2167" s="7"/>
      <c r="L2167" s="8">
        <f>IFERROR(__xludf.DUMMYFUNCTION("""COMPUTED_VALUE"""),45866.0)</f>
        <v>45866</v>
      </c>
      <c r="M2167" s="7" t="str">
        <f>IFERROR(__xludf.DUMMYFUNCTION("""COMPUTED_VALUE"""),"14:00-15:30")</f>
        <v>14:00-15:30</v>
      </c>
      <c r="N2167" s="7">
        <f>IFERROR(__xludf.DUMMYFUNCTION("""COMPUTED_VALUE"""),4.0)</f>
        <v>4</v>
      </c>
    </row>
    <row r="2168">
      <c r="A2168" s="7" t="str">
        <f>IFERROR(__xludf.DUMMYFUNCTION("""COMPUTED_VALUE"""),"1310-MAIN")</f>
        <v>1310-MAIN</v>
      </c>
      <c r="B2168" s="7" t="str">
        <f>IFERROR(__xludf.DUMMYFUNCTION("""COMPUTED_VALUE"""),"SHARE: An SLM-based Hierarchical Action CorREction Assistant for Text-to-SQL")</f>
        <v>SHARE: An SLM-based Hierarchical Action CorREction Assistant for Text-to-SQL</v>
      </c>
      <c r="C2168" s="7" t="str">
        <f>IFERROR(__xludf.DUMMYFUNCTION("""COMPUTED_VALUE"""),"Current self-correction approaches in text-to-SQL face two critical limitations: 1) Conventional self-correction methods rely on recursive self-calls of LLMs, resulting in multiplicative computational overhead, and 2) LLMs struggle to implement effective "&amp;"error detection and correction for monolithic SQL queries, as they fail to demonstrate the underlying reasoning path. In this work, we propose **SHARE**, a **S**LM-based **H**ierarchical **A**ction cor**RE**ction assistant that enables LLMs to perform mor"&amp;"e precise error localization and efficient correction. SHARE orchestrates three specialized Small Language Models (SLMs) in a sequential pipeline, where it first transforms monolithic SQL queries into stepwise action trajectories that reveal underlying re"&amp;"asoning, followed by a two-phase granular refinement. We further propose a novel hierarchical self-evolution strategy for data-efficient training. Our experimental results demonstrate that SHARE effectively enhances self-correction capabilities while prov"&amp;"ing robust across various LLMs. Furthermore, our comprehensive analysis shows that SHARE maintains strong performance even in low-resource training settings, which is particularly valuable for text-to-SQL applications with data privacy constraints.")</f>
        <v>Current self-correction approaches in text-to-SQL face two critical limitations: 1) Conventional self-correction methods rely on recursive self-calls of LLMs, resulting in multiplicative computational overhead, and 2) LLMs struggle to implement effective error detection and correction for monolithic SQL queries, as they fail to demonstrate the underlying reasoning path. In this work, we propose **SHARE**, a **S**LM-based **H**ierarchical **A**ction cor**RE**ction assistant that enables LLMs to perform more precise error localization and efficient correction. SHARE orchestrates three specialized Small Language Models (SLMs) in a sequential pipeline, where it first transforms monolithic SQL queries into stepwise action trajectories that reveal underlying reasoning, followed by a two-phase granular refinement. We further propose a novel hierarchical self-evolution strategy for data-efficient training. Our experimental results demonstrate that SHARE effectively enhances self-correction capabilities while proving robust across various LLMs. Furthermore, our comprehensive analysis shows that SHARE maintains strong performance even in low-resource training settings, which is particularly valuable for text-to-SQL applications with data privacy constraints.</v>
      </c>
      <c r="D2168" s="7" t="str">
        <f>IFERROR(__xludf.DUMMYFUNCTION("""COMPUTED_VALUE"""),"Nan Huo")</f>
        <v>Nan Huo</v>
      </c>
      <c r="E2168" s="7" t="str">
        <f>IFERROR(__xludf.DUMMYFUNCTION("""COMPUTED_VALUE"""),"Yes")</f>
        <v>Yes</v>
      </c>
      <c r="F2168" s="7" t="str">
        <f>IFERROR(__xludf.DUMMYFUNCTION("""COMPUTED_VALUE"""),"IP-Poster")</f>
        <v>IP-Poster</v>
      </c>
      <c r="G2168" s="7" t="str">
        <f>IFERROR(__xludf.DUMMYFUNCTION("""COMPUTED_VALUE"""),"In-Person")</f>
        <v>In-Person</v>
      </c>
      <c r="H2168" s="7" t="str">
        <f>IFERROR(__xludf.DUMMYFUNCTION("""COMPUTED_VALUE"""),"Hall 4/5")</f>
        <v>Hall 4/5</v>
      </c>
      <c r="I2168" s="7" t="str">
        <f>IFERROR(__xludf.DUMMYFUNCTION("""COMPUTED_VALUE"""),"Session 12: IP-Posters")</f>
        <v>Session 12: IP-Posters</v>
      </c>
      <c r="J2168" s="7" t="str">
        <f>IFERROR(__xludf.DUMMYFUNCTION("""COMPUTED_VALUE"""),"Poster Session 4")</f>
        <v>Poster Session 4</v>
      </c>
      <c r="K2168" s="7"/>
      <c r="L2168" s="8">
        <f>IFERROR(__xludf.DUMMYFUNCTION("""COMPUTED_VALUE"""),45868.0)</f>
        <v>45868</v>
      </c>
      <c r="M2168" s="7" t="str">
        <f>IFERROR(__xludf.DUMMYFUNCTION("""COMPUTED_VALUE"""),"11:00-12:30")</f>
        <v>11:00-12:30</v>
      </c>
      <c r="N2168" s="7"/>
    </row>
    <row r="2169">
      <c r="A2169" s="7" t="str">
        <f>IFERROR(__xludf.DUMMYFUNCTION("""COMPUTED_VALUE"""),"1311-MAIN")</f>
        <v>1311-MAIN</v>
      </c>
      <c r="B2169" s="7" t="str">
        <f>IFERROR(__xludf.DUMMYFUNCTION("""COMPUTED_VALUE"""),"GenderAlign: An Alignment Dataset for Mitigating Gender Bias in Large Language Models")</f>
        <v>GenderAlign: An Alignment Dataset for Mitigating Gender Bias in Large Language Models</v>
      </c>
      <c r="C2169" s="7" t="str">
        <f>IFERROR(__xludf.DUMMYFUNCTION("""COMPUTED_VALUE"""),"Large Language Models (LLMs) are prone to generating content that exhibits gender biases, raising significant ethical concerns. Alignment, the process of fine-tuning LLMs to better align with desired behaviors, is recognized as an effective approach to mi"&amp;"tigate gender biases. Although proprietary LLMs have made significant strides in mitigating gender bias, their alignment datasets are not publicly available. The commonly used and publicly available alignment dataset, HH-RLHF, still exhibits gender bias t"&amp;"o some extent. There is a lack of publicly available alignment datasets specifically designed to address gender bias. Hence, we developed a new dataset named GenderAlign, aiming at mitigating a comprehensive set of gender biases in LLMs. This dataset comp"&amp;"rises 8k single-turn dialogues, each paired with a ""chosen"" and a ""rejected"" response. Compared to the ""rejected"" responses, the ""chosen"" responses demonstrate lower levels of gender bias and higher quality. Furthermore, we categorized the gender "&amp;"biases in the ""rejected"" responses of GenderAlign into 4 principal categories. The experimental results show the effectiveness of GenderAlign in reducing gender bias in LLMs.")</f>
        <v>Large Language Models (LLMs) are prone to generating content that exhibits gender biases, raising significant ethical concerns. Alignment, the process of fine-tuning LLMs to better align with desired behaviors, is recognized as an effective approach to mitigate gender biases. Although proprietary LLMs have made significant strides in mitigating gender bias, their alignment datasets are not publicly available. The commonly used and publicly available alignment dataset, HH-RLHF, still exhibits gender bias to some extent. There is a lack of publicly available alignment datasets specifically designed to address gender bias. Hence, we developed a new dataset named GenderAlign, aiming at mitigating a comprehensive set of gender biases in LLMs. This dataset comprises 8k single-turn dialogues, each paired with a "chosen" and a "rejected" response. Compared to the "rejected" responses, the "chosen" responses demonstrate lower levels of gender bias and higher quality. Furthermore, we categorized the gender biases in the "rejected" responses of GenderAlign into 4 principal categories. The experimental results show the effectiveness of GenderAlign in reducing gender bias in LLMs.</v>
      </c>
      <c r="D2169" s="7" t="str">
        <f>IFERROR(__xludf.DUMMYFUNCTION("""COMPUTED_VALUE"""),"Ziqian Zeng")</f>
        <v>Ziqian Zeng</v>
      </c>
      <c r="E2169" s="7" t="str">
        <f>IFERROR(__xludf.DUMMYFUNCTION("""COMPUTED_VALUE"""),"Yes")</f>
        <v>Yes</v>
      </c>
      <c r="F2169" s="7" t="str">
        <f>IFERROR(__xludf.DUMMYFUNCTION("""COMPUTED_VALUE"""),"IP-Oral")</f>
        <v>IP-Oral</v>
      </c>
      <c r="G2169" s="7" t="str">
        <f>IFERROR(__xludf.DUMMYFUNCTION("""COMPUTED_VALUE"""),"In-Person")</f>
        <v>In-Person</v>
      </c>
      <c r="H2169" s="7" t="str">
        <f>IFERROR(__xludf.DUMMYFUNCTION("""COMPUTED_VALUE"""),"Hall M.2")</f>
        <v>Hall M.2</v>
      </c>
      <c r="I2169" s="7" t="str">
        <f>IFERROR(__xludf.DUMMYFUNCTION("""COMPUTED_VALUE"""),"Session 3: IP-Orals")</f>
        <v>Session 3: IP-Orals</v>
      </c>
      <c r="J2169" s="7" t="str">
        <f>IFERROR(__xludf.DUMMYFUNCTION("""COMPUTED_VALUE"""),"Ethics, Bias, and Fairness")</f>
        <v>Ethics, Bias, and Fairness</v>
      </c>
      <c r="K2169" s="7"/>
      <c r="L2169" s="8">
        <f>IFERROR(__xludf.DUMMYFUNCTION("""COMPUTED_VALUE"""),45866.0)</f>
        <v>45866</v>
      </c>
      <c r="M2169" s="7" t="str">
        <f>IFERROR(__xludf.DUMMYFUNCTION("""COMPUTED_VALUE"""),"14:00-15:30")</f>
        <v>14:00-15:30</v>
      </c>
      <c r="N2169" s="7">
        <f>IFERROR(__xludf.DUMMYFUNCTION("""COMPUTED_VALUE"""),2.0)</f>
        <v>2</v>
      </c>
    </row>
    <row r="2170">
      <c r="A2170" s="7" t="str">
        <f>IFERROR(__xludf.DUMMYFUNCTION("""COMPUTED_VALUE"""),"1312-MAIN")</f>
        <v>1312-MAIN</v>
      </c>
      <c r="B2170" s="7" t="str">
        <f>IFERROR(__xludf.DUMMYFUNCTION("""COMPUTED_VALUE"""),"Large Language and Protein Assistant for Protein-Protein Interactions Prediction")</f>
        <v>Large Language and Protein Assistant for Protein-Protein Interactions Prediction</v>
      </c>
      <c r="C2170" s="7" t="str">
        <f>IFERROR(__xludf.DUMMYFUNCTION("""COMPUTED_VALUE"""),"Predicting the types and affinities of protein-protein interactions (PPIs) is crucial for understanding biological processes and developing novel therapeutic approaches. While encoding proteins themselves is essential, PPI networks can also provide rich p"&amp;"rior knowledge for these predictive tasks. However, existing methods oversimplify the problem of PPI prediction in a semi-supervised manner when utilizing PPI networks, limiting their practical application. Furthermore, how to effectively use the rich pri"&amp;"or knowledge of PPI networks for novel proteins not present in the network remains an unexplored issue. Additionally, due to inflexible architectures, most of existing methods cannot handle complexes containing an flexible number of proteins. To overcome "&amp;"these limitations, we introduce LLaPA (Large Language and Protein Assistant), a multimodal large language model that integrates proteins and PPI networks. LLaPA offers a more rational approach to utilizing PPI networks for PPI prediction and can fully exp"&amp;"loit the information of PPI networks for unseen proteins. Through natural language instructions, LLaPA can accept flexible number of protein sequences and has the potential to perform various protein tasks. Experiments show that LLaPA achieves state-of-th"&amp;"e-art performance in multi-label PPI (mPPI) type prediction and is capable of predicting the binding affinity between multiple interacting proteins based on sequence data.")</f>
        <v>Predicting the types and affinities of protein-protein interactions (PPIs) is crucial for understanding biological processes and developing novel therapeutic approaches. While encoding proteins themselves is essential, PPI networks can also provide rich prior knowledge for these predictive tasks. However, existing methods oversimplify the problem of PPI prediction in a semi-supervised manner when utilizing PPI networks, limiting their practical application. Furthermore, how to effectively use the rich prior knowledge of PPI networks for novel proteins not present in the network remains an unexplored issue. Additionally, due to inflexible architectures, most of existing methods cannot handle complexes containing an flexible number of proteins. To overcome these limitations, we introduce LLaPA (Large Language and Protein Assistant), a multimodal large language model that integrates proteins and PPI networks. LLaPA offers a more rational approach to utilizing PPI networks for PPI prediction and can fully exploit the information of PPI networks for unseen proteins. Through natural language instructions, LLaPA can accept flexible number of protein sequences and has the potential to perform various protein tasks. Experiments show that LLaPA achieves state-of-the-art performance in multi-label PPI (mPPI) type prediction and is capable of predicting the binding affinity between multiple interacting proteins based on sequence data.</v>
      </c>
      <c r="D2170" s="7" t="str">
        <f>IFERROR(__xludf.DUMMYFUNCTION("""COMPUTED_VALUE"""),"Peng Zhou")</f>
        <v>Peng Zhou</v>
      </c>
      <c r="E2170" s="7" t="str">
        <f>IFERROR(__xludf.DUMMYFUNCTION("""COMPUTED_VALUE"""),"Yes")</f>
        <v>Yes</v>
      </c>
      <c r="F2170" s="7" t="str">
        <f>IFERROR(__xludf.DUMMYFUNCTION("""COMPUTED_VALUE"""),"IP-Poster")</f>
        <v>IP-Poster</v>
      </c>
      <c r="G2170" s="7" t="str">
        <f>IFERROR(__xludf.DUMMYFUNCTION("""COMPUTED_VALUE"""),"In-Person")</f>
        <v>In-Person</v>
      </c>
      <c r="H2170" s="7" t="str">
        <f>IFERROR(__xludf.DUMMYFUNCTION("""COMPUTED_VALUE"""),"Hall 4/5")</f>
        <v>Hall 4/5</v>
      </c>
      <c r="I2170" s="7" t="str">
        <f>IFERROR(__xludf.DUMMYFUNCTION("""COMPUTED_VALUE"""),"Session 7: IP-Posters")</f>
        <v>Session 7: IP-Posters</v>
      </c>
      <c r="J2170" s="7" t="str">
        <f>IFERROR(__xludf.DUMMYFUNCTION("""COMPUTED_VALUE"""),"Poster Session 2")</f>
        <v>Poster Session 2</v>
      </c>
      <c r="K2170" s="7"/>
      <c r="L2170" s="8">
        <f>IFERROR(__xludf.DUMMYFUNCTION("""COMPUTED_VALUE"""),45867.0)</f>
        <v>45867</v>
      </c>
      <c r="M2170" s="7" t="str">
        <f>IFERROR(__xludf.DUMMYFUNCTION("""COMPUTED_VALUE"""),"10:30-12:00")</f>
        <v>10:30-12:00</v>
      </c>
      <c r="N2170" s="7"/>
    </row>
    <row r="2171">
      <c r="A2171" s="7" t="str">
        <f>IFERROR(__xludf.DUMMYFUNCTION("""COMPUTED_VALUE"""),"1318-MAIN")</f>
        <v>1318-MAIN</v>
      </c>
      <c r="B2171" s="7" t="str">
        <f>IFERROR(__xludf.DUMMYFUNCTION("""COMPUTED_VALUE"""),"SynWorld: Virtual Scenario Synthesis for Agentic Action Knowledge Refinement")</f>
        <v>SynWorld: Virtual Scenario Synthesis for Agentic Action Knowledge Refinement</v>
      </c>
      <c r="C2171" s="7" t="str">
        <f>IFERROR(__xludf.DUMMYFUNCTION("""COMPUTED_VALUE"""),"In the interaction between agents and their environments, agents expand their capabilities by planning and executing actions. However, LLM-based agents face substantial challenges when deployed in novel environments or required to navigate unconventional "&amp;"action spaces. To empower agents to autonomously explore environments, optimize workflows, and enhance their understanding of actions, we propose SynWorld, a framework that allows agents to synthesize possible scenarios with multi-step action invocation w"&amp;"ithin the action space and perform Monte Carlo Tree Search (MCTS) exploration to effectively refine their action knowledge in the current environment. Our experiments demonstrate that SynWorld is an effective and general approach to learning action knowle"&amp;"dge in new environments.")</f>
        <v>In the interaction between agents and their environments, agents expand their capabilities by planning and executing actions. However, LLM-based agents face substantial challenges when deployed in novel environments or required to navigate unconventional action spaces. To empower agents to autonomously explore environments, optimize workflows, and enhance their understanding of actions, we propose SynWorld, a framework that allows agents to synthesize possible scenarios with multi-step action invocation within the action space and perform Monte Carlo Tree Search (MCTS) exploration to effectively refine their action knowledge in the current environment. Our experiments demonstrate that SynWorld is an effective and general approach to learning action knowledge in new environments.</v>
      </c>
      <c r="D2171" s="7" t="str">
        <f>IFERROR(__xludf.DUMMYFUNCTION("""COMPUTED_VALUE"""),"Shuofei Qiao")</f>
        <v>Shuofei Qiao</v>
      </c>
      <c r="E2171" s="7" t="str">
        <f>IFERROR(__xludf.DUMMYFUNCTION("""COMPUTED_VALUE"""),"Yes")</f>
        <v>Yes</v>
      </c>
      <c r="F2171" s="7" t="str">
        <f>IFERROR(__xludf.DUMMYFUNCTION("""COMPUTED_VALUE"""),"IP-Poster")</f>
        <v>IP-Poster</v>
      </c>
      <c r="G2171" s="7" t="str">
        <f>IFERROR(__xludf.DUMMYFUNCTION("""COMPUTED_VALUE"""),"In-Person")</f>
        <v>In-Person</v>
      </c>
      <c r="H2171" s="7" t="str">
        <f>IFERROR(__xludf.DUMMYFUNCTION("""COMPUTED_VALUE"""),"Hall 4/5")</f>
        <v>Hall 4/5</v>
      </c>
      <c r="I2171" s="7" t="str">
        <f>IFERROR(__xludf.DUMMYFUNCTION("""COMPUTED_VALUE"""),"Session 7: IP-Posters")</f>
        <v>Session 7: IP-Posters</v>
      </c>
      <c r="J2171" s="7" t="str">
        <f>IFERROR(__xludf.DUMMYFUNCTION("""COMPUTED_VALUE"""),"Poster Session 2")</f>
        <v>Poster Session 2</v>
      </c>
      <c r="K2171" s="7"/>
      <c r="L2171" s="8">
        <f>IFERROR(__xludf.DUMMYFUNCTION("""COMPUTED_VALUE"""),45867.0)</f>
        <v>45867</v>
      </c>
      <c r="M2171" s="7" t="str">
        <f>IFERROR(__xludf.DUMMYFUNCTION("""COMPUTED_VALUE"""),"10:30-12:00")</f>
        <v>10:30-12:00</v>
      </c>
      <c r="N2171" s="7"/>
    </row>
    <row r="2172">
      <c r="A2172" s="7" t="str">
        <f>IFERROR(__xludf.DUMMYFUNCTION("""COMPUTED_VALUE"""),"1324-MAIN")</f>
        <v>1324-MAIN</v>
      </c>
      <c r="B2172" s="7" t="str">
        <f>IFERROR(__xludf.DUMMYFUNCTION("""COMPUTED_VALUE"""),"An Empirical Study of Many-to-Many Summarization with Large Language Models")</f>
        <v>An Empirical Study of Many-to-Many Summarization with Large Language Models</v>
      </c>
      <c r="C2172" s="7" t="str">
        <f>IFERROR(__xludf.DUMMYFUNCTION("""COMPUTED_VALUE"""),"Many-to-many summarization (M2MS) aims to process documents in any language and generate the corresponding summaries also in any language. Recently, large language models (LLMs) have shown strong multi-lingual abilities, giving them the potential to perfo"&amp;"rm M2MS in real applications. This work presents a systematic empirical study on LLMs' M2MS ability. Specifically, we first reorganize M2MS data based on eight previous domain-specific datasets. The reorganized data contains 47.8K samples spanning five do"&amp;"mains and six languages, which could be used to train and evaluate LLMs. Then, we benchmark 18 LLMs in a zero-shot manner and an instruction-tuning manner. Fine-tuned traditional models (e.g., mBART) are also conducted for comparisons. Our experiments rev"&amp;"eal that, zero-shot LLMs achieve competitive results with fine-tuned traditional models. After instruct-tuning, open-source LLMs can significantly improve their M2MS ability, and outperform zero-shot LLMs (including GPT-4) in terms of automatic evaluation"&amp;"s. In addition, we demonstrate this task-specific improvement does not sacrifice the LLMs' general task-solving abilities. However, as revealed by our human evaluation, LLMs still face the factuality issue, and the instruction tuning might intensify the i"&amp;"ssue. Thus, how to control factual errors becomes the key when building LLM summarizers in real applications, and is worthy to be noted in future research.")</f>
        <v>Many-to-many summarization (M2MS) aims to process documents in any language and generate the corresponding summaries also in any language. Recently, large language models (LLMs) have shown strong multi-lingual abilities, giving them the potential to perform M2MS in real applications. This work presents a systematic empirical study on LLMs' M2MS ability. Specifically, we first reorganize M2MS data based on eight previous domain-specific datasets. The reorganized data contains 47.8K samples spanning five domains and six languages, which could be used to train and evaluate LLMs. Then, we benchmark 18 LLMs in a zero-shot manner and an instruction-tuning manner. Fine-tuned traditional models (e.g., mBART) are also conducted for comparisons. Our experiments reveal that, zero-shot LLMs achieve competitive results with fine-tuned traditional models. After instruct-tuning, open-source LLMs can significantly improve their M2MS ability, and outperform zero-shot LLMs (including GPT-4) in terms of automatic evaluations. In addition, we demonstrate this task-specific improvement does not sacrifice the LLMs' general task-solving abilities. However, as revealed by our human evaluation, LLMs still face the factuality issue, and the instruction tuning might intensify the issue. Thus, how to control factual errors becomes the key when building LLM summarizers in real applications, and is worthy to be noted in future research.</v>
      </c>
      <c r="D2172" s="7" t="str">
        <f>IFERROR(__xludf.DUMMYFUNCTION("""COMPUTED_VALUE"""),"Jiaan Wang")</f>
        <v>Jiaan Wang</v>
      </c>
      <c r="E2172" s="7" t="str">
        <f>IFERROR(__xludf.DUMMYFUNCTION("""COMPUTED_VALUE"""),"Yes")</f>
        <v>Yes</v>
      </c>
      <c r="F2172" s="7" t="str">
        <f>IFERROR(__xludf.DUMMYFUNCTION("""COMPUTED_VALUE"""),"IP-Oral")</f>
        <v>IP-Oral</v>
      </c>
      <c r="G2172" s="7" t="str">
        <f>IFERROR(__xludf.DUMMYFUNCTION("""COMPUTED_VALUE"""),"In-Person")</f>
        <v>In-Person</v>
      </c>
      <c r="H2172" s="7" t="str">
        <f>IFERROR(__xludf.DUMMYFUNCTION("""COMPUTED_VALUE"""),"Hall N.2")</f>
        <v>Hall N.2</v>
      </c>
      <c r="I2172" s="7" t="str">
        <f>IFERROR(__xludf.DUMMYFUNCTION("""COMPUTED_VALUE"""),"Session 9: IP-Orals")</f>
        <v>Session 9: IP-Orals</v>
      </c>
      <c r="J2172" s="7" t="str">
        <f>IFERROR(__xludf.DUMMYFUNCTION("""COMPUTED_VALUE"""),"Summarization and Information Extraction ")</f>
        <v>Summarization and Information Extraction </v>
      </c>
      <c r="K2172" s="7"/>
      <c r="L2172" s="8">
        <f>IFERROR(__xludf.DUMMYFUNCTION("""COMPUTED_VALUE"""),45867.0)</f>
        <v>45867</v>
      </c>
      <c r="M2172" s="7" t="str">
        <f>IFERROR(__xludf.DUMMYFUNCTION("""COMPUTED_VALUE"""),"14:00-15:30")</f>
        <v>14:00-15:30</v>
      </c>
      <c r="N2172" s="7">
        <f>IFERROR(__xludf.DUMMYFUNCTION("""COMPUTED_VALUE"""),4.0)</f>
        <v>4</v>
      </c>
    </row>
    <row r="2173">
      <c r="A2173" s="7" t="str">
        <f>IFERROR(__xludf.DUMMYFUNCTION("""COMPUTED_VALUE"""),"1326-MAIN")</f>
        <v>1326-MAIN</v>
      </c>
      <c r="B2173" s="7" t="str">
        <f>IFERROR(__xludf.DUMMYFUNCTION("""COMPUTED_VALUE"""),"Locate-and-Focus: Enhancing Terminology Translation in Speech Language Models")</f>
        <v>Locate-and-Focus: Enhancing Terminology Translation in Speech Language Models</v>
      </c>
      <c r="C2173" s="7" t="str">
        <f>IFERROR(__xludf.DUMMYFUNCTION("""COMPUTED_VALUE"""),"Direct speech translation (ST) has garnered increasing attention nowadays, yet the accurate translation of terminology within utterances remains a great challenge. In this regard, current studies mainly concentrate on leveraging various translation knowle"&amp;"dge into ST models. However, these methods often struggle with interference from irrelevant noise and can not fully utilize the translation knowledge. To address these issues, in this paper, we propose a novel Locate-and-Focus method for terminology trans"&amp;"lation. It first effectively locates the speech clips containing terminologies within the utterance to construct translation knowledge, minimizing irrelevant information for the ST model. Subsequently, it associates the translation knowledge with the utte"&amp;"rance and hypothesis from both audio and textual modalities, allowing the ST model to better focus on translation knowledge during translation. Experimental results across various datasets demonstrate that our method effectively locates terminologies with"&amp;"in utterances and enhances the success rate of terminology translation, while maintaining robust general translation performance.")</f>
        <v>Direct speech translation (ST) has garnered increasing attention nowadays, yet the accurate translation of terminology within utterances remains a great challenge. In this regard, current studies mainly concentrate on leveraging various translation knowledge into ST models. However, these methods often struggle with interference from irrelevant noise and can not fully utilize the translation knowledge. To address these issues, in this paper, we propose a novel Locate-and-Focus method for terminology translation. It first effectively locates the speech clips containing terminologies within the utterance to construct translation knowledge, minimizing irrelevant information for the ST model. Subsequently, it associates the translation knowledge with the utterance and hypothesis from both audio and textual modalities, allowing the ST model to better focus on translation knowledge during translation. Experimental results across various datasets demonstrate that our method effectively locates terminologies within utterances and enhances the success rate of terminology translation, while maintaining robust general translation performance.</v>
      </c>
      <c r="D2173" s="7" t="str">
        <f>IFERROR(__xludf.DUMMYFUNCTION("""COMPUTED_VALUE"""),"Suhang Wu")</f>
        <v>Suhang Wu</v>
      </c>
      <c r="E2173" s="7" t="str">
        <f>IFERROR(__xludf.DUMMYFUNCTION("""COMPUTED_VALUE"""),"Yes")</f>
        <v>Yes</v>
      </c>
      <c r="F2173" s="7" t="str">
        <f>IFERROR(__xludf.DUMMYFUNCTION("""COMPUTED_VALUE"""),"V-Presentation")</f>
        <v>V-Presentation</v>
      </c>
      <c r="G2173" s="7" t="str">
        <f>IFERROR(__xludf.DUMMYFUNCTION("""COMPUTED_VALUE"""),"Virtual/Gather")</f>
        <v>Virtual/Gather</v>
      </c>
      <c r="H2173" s="7" t="str">
        <f>IFERROR(__xludf.DUMMYFUNCTION("""COMPUTED_VALUE"""),"Zoom")</f>
        <v>Zoom</v>
      </c>
      <c r="I2173" s="7" t="str">
        <f>IFERROR(__xludf.DUMMYFUNCTION("""COMPUTED_VALUE"""),"Session 7: V--Presentations ")</f>
        <v>Session 7: V--Presentations </v>
      </c>
      <c r="J2173" s="7" t="str">
        <f>IFERROR(__xludf.DUMMYFUNCTION("""COMPUTED_VALUE"""),"Virtual Presentations 2")</f>
        <v>Virtual Presentations 2</v>
      </c>
      <c r="K2173" s="7"/>
      <c r="L2173" s="8"/>
      <c r="M2173" s="7" t="str">
        <f>IFERROR(__xludf.DUMMYFUNCTION("""COMPUTED_VALUE"""),"10:30-12:00")</f>
        <v>10:30-12:00</v>
      </c>
      <c r="N2173" s="7"/>
    </row>
    <row r="2174">
      <c r="A2174" s="7" t="str">
        <f>IFERROR(__xludf.DUMMYFUNCTION("""COMPUTED_VALUE"""),"1332-MAIN")</f>
        <v>1332-MAIN</v>
      </c>
      <c r="B2174" s="7" t="str">
        <f>IFERROR(__xludf.DUMMYFUNCTION("""COMPUTED_VALUE"""),"GuideBench: Benchmarking Domain-Oriented Guideline Following for LLM Agents")</f>
        <v>GuideBench: Benchmarking Domain-Oriented Guideline Following for LLM Agents</v>
      </c>
      <c r="C2174" s="7" t="str">
        <f>IFERROR(__xludf.DUMMYFUNCTION("""COMPUTED_VALUE"""),"Large language models (LLMs) have been widely deployed as autonomous agents capable of following user instructions and making decisions in real-world applications. Previous studies have made notable progress in benchmarking the instruction following capab"&amp;"ilities of LLMs in general domains, with a primary focus on their inherent commonsense knowledge. Recently, LLMs have been increasingly deployed as domain-oriented agents, which rely on domain-oriented guidelines that may conflict with their commonsense k"&amp;"nowledge. These guidelines exhibit two key characteristics: they consist of a wide range of domain-oriented rules and are subject to frequent updates. Despite these challenges, the absence of comprehensive benchmarks for evaluating the domain-oriented gui"&amp;"deline following capabilities of LLMs presents a significant obstacle to their effective assessment and further development. In this paper, we introduce GuideBench, a comprehensive benchmark designed to evaluate guideline following performance of LLMs. Gu"&amp;"ideBench evaluates LLMs on three critical aspects: (i) adherence to diverse rules, (ii) robustness to rule updates, and (iii) alignment with human preferences. Experimental results on a range of LLMs indicate substantial opportunities for improving their "&amp;"ability to follow domain-oriented guidelines. Data and code are available at Anonymous.")</f>
        <v>Large language models (LLMs) have been widely deployed as autonomous agents capable of following user instructions and making decisions in real-world applications. Previous studies have made notable progress in benchmarking the instruction following capabilities of LLMs in general domains, with a primary focus on their inherent commonsense knowledge. Recently, LLMs have been increasingly deployed as domain-oriented agents, which rely on domain-oriented guidelines that may conflict with their commonsense knowledge. These guidelines exhibit two key characteristics: they consist of a wide range of domain-oriented rules and are subject to frequent updates. Despite these challenges, the absence of comprehensive benchmarks for evaluating the domain-oriented guideline following capabilities of LLMs presents a significant obstacle to their effective assessment and further development. In this paper, we introduce GuideBench, a comprehensive benchmark designed to evaluate guideline following performance of LLMs. GuideBench evaluates LLMs on three critical aspects: (i) adherence to diverse rules, (ii) robustness to rule updates, and (iii) alignment with human preferences. Experimental results on a range of LLMs indicate substantial opportunities for improving their ability to follow domain-oriented guidelines. Data and code are available at Anonymous.</v>
      </c>
      <c r="D2174" s="7" t="str">
        <f>IFERROR(__xludf.DUMMYFUNCTION("""COMPUTED_VALUE"""),"Lingxiao Diao")</f>
        <v>Lingxiao Diao</v>
      </c>
      <c r="E2174" s="7" t="str">
        <f>IFERROR(__xludf.DUMMYFUNCTION("""COMPUTED_VALUE"""),"Yes")</f>
        <v>Yes</v>
      </c>
      <c r="F2174" s="7" t="str">
        <f>IFERROR(__xludf.DUMMYFUNCTION("""COMPUTED_VALUE"""),"IP-Poster")</f>
        <v>IP-Poster</v>
      </c>
      <c r="G2174" s="7" t="str">
        <f>IFERROR(__xludf.DUMMYFUNCTION("""COMPUTED_VALUE"""),"In-Person")</f>
        <v>In-Person</v>
      </c>
      <c r="H2174" s="7" t="str">
        <f>IFERROR(__xludf.DUMMYFUNCTION("""COMPUTED_VALUE"""),"Hall 4/5")</f>
        <v>Hall 4/5</v>
      </c>
      <c r="I2174" s="7" t="str">
        <f>IFERROR(__xludf.DUMMYFUNCTION("""COMPUTED_VALUE"""),"Session 7: IP-Posters")</f>
        <v>Session 7: IP-Posters</v>
      </c>
      <c r="J2174" s="7" t="str">
        <f>IFERROR(__xludf.DUMMYFUNCTION("""COMPUTED_VALUE"""),"Poster Session 2")</f>
        <v>Poster Session 2</v>
      </c>
      <c r="K2174" s="7"/>
      <c r="L2174" s="8">
        <f>IFERROR(__xludf.DUMMYFUNCTION("""COMPUTED_VALUE"""),45867.0)</f>
        <v>45867</v>
      </c>
      <c r="M2174" s="7" t="str">
        <f>IFERROR(__xludf.DUMMYFUNCTION("""COMPUTED_VALUE"""),"10:30-12:00")</f>
        <v>10:30-12:00</v>
      </c>
      <c r="N2174" s="7"/>
    </row>
    <row r="2175">
      <c r="A2175" s="7" t="str">
        <f>IFERROR(__xludf.DUMMYFUNCTION("""COMPUTED_VALUE"""),"1333-MAIN")</f>
        <v>1333-MAIN</v>
      </c>
      <c r="B2175" s="7" t="str">
        <f>IFERROR(__xludf.DUMMYFUNCTION("""COMPUTED_VALUE"""),"TC–RAG: Turing–Complete RAG’s Case study on Medical LLM Systems")</f>
        <v>TC–RAG: Turing–Complete RAG’s Case study on Medical LLM Systems</v>
      </c>
      <c r="C2175" s="7" t="str">
        <f>IFERROR(__xludf.DUMMYFUNCTION("""COMPUTED_VALUE"""),"In the pursuit of enhancing domain-specific Large Language Models (LLMs), Retrieval-Augmented Generation (RAG) emerges as a promising solution to mitigate issues such as hallucinations, outdated knowledge, and limited expertise in highly specialized queri"&amp;"es. However, existing approaches to RAG fall short by neglecting system state variables, which are crucial for ensuring adaptive control, retrieval halting, and system convergence. In this paper, we introduce the Turing-Complete-RAG (TC-RAG) through rigor"&amp;"ous proof, a novel framework that addresses these challenges by incorporating a Turing Complete System to manage state variables, thereby enabling more efficient and accurate knowledge retrieval. By leveraging a memory stack system with adaptive retrieval"&amp;", reasoning, and planning capabilities, TC-RAG not only ensures the controlled halting of retrieval processes but also mitigates the accumulation of erroneous knowledge via Push and Pop actions. In the case study of the medical and general domain, our ext"&amp;"ensive experiments on seven real-world healthcare and general-domain datasets demonstrate the superiority of TC-RAG over existing methods in accuracy by over 7.20%. Our code, datasets and RAG resources have been available at https://github.com/Artessay/TC"&amp;"-RAG.")</f>
        <v>In the pursuit of enhancing domain-specific Large Language Models (LLMs), Retrieval-Augmented Generation (RAG) emerges as a promising solution to mitigate issues such as hallucinations, outdated knowledge, and limited expertise in highly specialized queries. However, existing approaches to RAG fall short by neglecting system state variables, which are crucial for ensuring adaptive control, retrieval halting, and system convergence. In this paper, we introduce the Turing-Complete-RAG (TC-RAG) through rigorous proof, a novel framework that addresses these challenges by incorporating a Turing Complete System to manage state variables, thereby enabling more efficient and accurate knowledge retrieval. By leveraging a memory stack system with adaptive retrieval, reasoning, and planning capabilities, TC-RAG not only ensures the controlled halting of retrieval processes but also mitigates the accumulation of erroneous knowledge via Push and Pop actions. In the case study of the medical and general domain, our extensive experiments on seven real-world healthcare and general-domain datasets demonstrate the superiority of TC-RAG over existing methods in accuracy by over 7.20%. Our code, datasets and RAG resources have been available at https://github.com/Artessay/TC-RAG.</v>
      </c>
      <c r="D2175" s="7" t="str">
        <f>IFERROR(__xludf.DUMMYFUNCTION("""COMPUTED_VALUE"""),"Xinke Jiang")</f>
        <v>Xinke Jiang</v>
      </c>
      <c r="E2175" s="7" t="str">
        <f>IFERROR(__xludf.DUMMYFUNCTION("""COMPUTED_VALUE"""),"Yes")</f>
        <v>Yes</v>
      </c>
      <c r="F2175" s="7" t="str">
        <f>IFERROR(__xludf.DUMMYFUNCTION("""COMPUTED_VALUE"""),"IP-Oral")</f>
        <v>IP-Oral</v>
      </c>
      <c r="G2175" s="7" t="str">
        <f>IFERROR(__xludf.DUMMYFUNCTION("""COMPUTED_VALUE"""),"In-Person")</f>
        <v>In-Person</v>
      </c>
      <c r="H2175" s="7" t="str">
        <f>IFERROR(__xludf.DUMMYFUNCTION("""COMPUTED_VALUE"""),"Hall M.1")</f>
        <v>Hall M.1</v>
      </c>
      <c r="I2175" s="7" t="str">
        <f>IFERROR(__xludf.DUMMYFUNCTION("""COMPUTED_VALUE"""),"Session 3: IP-Orals")</f>
        <v>Session 3: IP-Orals</v>
      </c>
      <c r="J2175" s="7" t="str">
        <f>IFERROR(__xludf.DUMMYFUNCTION("""COMPUTED_VALUE"""),"Generation")</f>
        <v>Generation</v>
      </c>
      <c r="K2175" s="7"/>
      <c r="L2175" s="8">
        <f>IFERROR(__xludf.DUMMYFUNCTION("""COMPUTED_VALUE"""),45866.0)</f>
        <v>45866</v>
      </c>
      <c r="M2175" s="7" t="str">
        <f>IFERROR(__xludf.DUMMYFUNCTION("""COMPUTED_VALUE"""),"14:00-15:30")</f>
        <v>14:00-15:30</v>
      </c>
      <c r="N2175" s="7">
        <f>IFERROR(__xludf.DUMMYFUNCTION("""COMPUTED_VALUE"""),5.0)</f>
        <v>5</v>
      </c>
    </row>
    <row r="2176">
      <c r="A2176" s="7" t="str">
        <f>IFERROR(__xludf.DUMMYFUNCTION("""COMPUTED_VALUE"""),"1335-MAIN")</f>
        <v>1335-MAIN</v>
      </c>
      <c r="B2176" s="7" t="str">
        <f>IFERROR(__xludf.DUMMYFUNCTION("""COMPUTED_VALUE"""),"SoRFT: Issue Resolving with Subtask-oriented Reinforced Fine-Tuning")</f>
        <v>SoRFT: Issue Resolving with Subtask-oriented Reinforced Fine-Tuning</v>
      </c>
      <c r="C2176" s="7" t="str">
        <f>IFERROR(__xludf.DUMMYFUNCTION("""COMPUTED_VALUE"""),"Mainstream issue-resolving frameworks predominantly rely on commercial models, leading to high costs and privacy concerns. Existing training approaches for issue resolving struggle with poor generalization and fail to fully leverage open-source developmen"&amp;"t resources. We propose **S**ubtask-**o**riented **R**einforced **F**ine-**T**uning (**SoRFT**), a novel training approach to enhance the issue resolving capability of LLMs. We decomposes issue resolving into structured subtasks: file localization, functi"&amp;"on localization, line localization, and code edit generation. SoRFT consists of two training stages: (1) **rejection-sampled supervised fine-tuning**, Chain of Thought (CoT) data is filtered using ground-truth before fine-tuning the LLM, and (2) **rule-ba"&amp;"sed reinforcement learning**, which leverages PPO with ground-truth based rewards. We evaluate the SoRFT-trained model on SWE-Bench Verified and SWE-Bench Lite, achieving state-of-the-art (SOTA) performance among open-source models (e.g., resolve 21.4% is"&amp;"sues on SWE-Bench Verified with SoRFT-Qwen-7B). The experimental results demonstrate that SoRFT significantly enhances issue-resolving performance, improves model generalization, and provides a cost-efficient alternative to commercial models.")</f>
        <v>Mainstream issue-resolving frameworks predominantly rely on commercial models, leading to high costs and privacy concerns. Existing training approaches for issue resolving struggle with poor generalization and fail to fully leverage open-source development resources. We propose **S**ubtask-**o**riented **R**einforced **F**ine-**T**uning (**SoRFT**), a novel training approach to enhance the issue resolving capability of LLMs. We decomposes issue resolving into structured subtasks: file localization, function localization, line localization, and code edit generation. SoRFT consists of two training stages: (1) **rejection-sampled supervised fine-tuning**, Chain of Thought (CoT) data is filtered using ground-truth before fine-tuning the LLM, and (2) **rule-based reinforcement learning**, which leverages PPO with ground-truth based rewards. We evaluate the SoRFT-trained model on SWE-Bench Verified and SWE-Bench Lite, achieving state-of-the-art (SOTA) performance among open-source models (e.g., resolve 21.4% issues on SWE-Bench Verified with SoRFT-Qwen-7B). The experimental results demonstrate that SoRFT significantly enhances issue-resolving performance, improves model generalization, and provides a cost-efficient alternative to commercial models.</v>
      </c>
      <c r="D2176" s="7" t="str">
        <f>IFERROR(__xludf.DUMMYFUNCTION("""COMPUTED_VALUE"""),"Zexiong Ma")</f>
        <v>Zexiong Ma</v>
      </c>
      <c r="E2176" s="7" t="str">
        <f>IFERROR(__xludf.DUMMYFUNCTION("""COMPUTED_VALUE"""),"Yes")</f>
        <v>Yes</v>
      </c>
      <c r="F2176" s="7" t="str">
        <f>IFERROR(__xludf.DUMMYFUNCTION("""COMPUTED_VALUE"""),"IP-Poster")</f>
        <v>IP-Poster</v>
      </c>
      <c r="G2176" s="7" t="str">
        <f>IFERROR(__xludf.DUMMYFUNCTION("""COMPUTED_VALUE"""),"In-Person")</f>
        <v>In-Person</v>
      </c>
      <c r="H2176" s="7" t="str">
        <f>IFERROR(__xludf.DUMMYFUNCTION("""COMPUTED_VALUE"""),"Hall 4/5")</f>
        <v>Hall 4/5</v>
      </c>
      <c r="I2176" s="7" t="str">
        <f>IFERROR(__xludf.DUMMYFUNCTION("""COMPUTED_VALUE"""),"Session 7: IP-Posters")</f>
        <v>Session 7: IP-Posters</v>
      </c>
      <c r="J2176" s="7" t="str">
        <f>IFERROR(__xludf.DUMMYFUNCTION("""COMPUTED_VALUE"""),"Poster Session 2")</f>
        <v>Poster Session 2</v>
      </c>
      <c r="K2176" s="7"/>
      <c r="L2176" s="8">
        <f>IFERROR(__xludf.DUMMYFUNCTION("""COMPUTED_VALUE"""),45867.0)</f>
        <v>45867</v>
      </c>
      <c r="M2176" s="7" t="str">
        <f>IFERROR(__xludf.DUMMYFUNCTION("""COMPUTED_VALUE"""),"10:30-12:00")</f>
        <v>10:30-12:00</v>
      </c>
      <c r="N2176" s="7"/>
    </row>
    <row r="2177">
      <c r="A2177" s="7" t="str">
        <f>IFERROR(__xludf.DUMMYFUNCTION("""COMPUTED_VALUE"""),"1336-MAIN")</f>
        <v>1336-MAIN</v>
      </c>
      <c r="B2177" s="7" t="str">
        <f>IFERROR(__xludf.DUMMYFUNCTION("""COMPUTED_VALUE"""),"MiniLongBench: The Low-cost Long Context Understanding Benchmark for Large Language Models")</f>
        <v>MiniLongBench: The Low-cost Long Context Understanding Benchmark for Large Language Models</v>
      </c>
      <c r="C2177" s="7" t="str">
        <f>IFERROR(__xludf.DUMMYFUNCTION("""COMPUTED_VALUE"""),"Long Context Understanding (LCU) is a critical area for exploration in current large language models (LLMs). However, due to the inherently lengthy nature of long-text data, existing LCU benchmarks for LLMs often result in prohibitively high evaluation co"&amp;"sts, like testing time and inference expenses. Through extensive experimentation, we discover that existing LCU benchmarks exhibit significant redundancy, which means the inefficiency in evaluation. In this paper, we propose a concise data compression met"&amp;"hod tailored for long-text data with sparse information characteristics. By pruning the well-known LCU benchmark LongBench, we create MiniLongBench. This benchmark includes only 237 test samples across six major task categories and 21 distinct tasks. Thro"&amp;"ugh empirical analysis of over 60 LLMs, MiniLongBench achieves an average evaluation cost reduced to only 4.5% of the original while maintaining an average rank correlation coefficient of 0.97 with LongBench results. Therefore, our MiniLongBench, as a low"&amp;"-cost benchmark, holds great potential to substantially drive future research into the LCU capabilities of LLMs.")</f>
        <v>Long Context Understanding (LCU) is a critical area for exploration in current large language models (LLMs). However, due to the inherently lengthy nature of long-text data, existing LCU benchmarks for LLMs often result in prohibitively high evaluation costs, like testing time and inference expenses. Through extensive experimentation, we discover that existing LCU benchmarks exhibit significant redundancy, which means the inefficiency in evaluation. In this paper, we propose a concise data compression method tailored for long-text data with sparse information characteristics. By pruning the well-known LCU benchmark LongBench, we create MiniLongBench. This benchmark includes only 237 test samples across six major task categories and 21 distinct tasks. Through empirical analysis of over 60 LLMs, MiniLongBench achieves an average evaluation cost reduced to only 4.5% of the original while maintaining an average rank correlation coefficient of 0.97 with LongBench results. Therefore, our MiniLongBench, as a low-cost benchmark, holds great potential to substantially drive future research into the LCU capabilities of LLMs.</v>
      </c>
      <c r="D2177" s="7" t="str">
        <f>IFERROR(__xludf.DUMMYFUNCTION("""COMPUTED_VALUE"""),"Guoming Ling")</f>
        <v>Guoming Ling</v>
      </c>
      <c r="E2177" s="7" t="str">
        <f>IFERROR(__xludf.DUMMYFUNCTION("""COMPUTED_VALUE"""),"Yes")</f>
        <v>Yes</v>
      </c>
      <c r="F2177" s="7" t="str">
        <f>IFERROR(__xludf.DUMMYFUNCTION("""COMPUTED_VALUE"""),"V-Presentation")</f>
        <v>V-Presentation</v>
      </c>
      <c r="G2177" s="7" t="str">
        <f>IFERROR(__xludf.DUMMYFUNCTION("""COMPUTED_VALUE"""),"Virtual/Gather")</f>
        <v>Virtual/Gather</v>
      </c>
      <c r="H2177" s="7" t="str">
        <f>IFERROR(__xludf.DUMMYFUNCTION("""COMPUTED_VALUE"""),"Zoom")</f>
        <v>Zoom</v>
      </c>
      <c r="I2177" s="7" t="str">
        <f>IFERROR(__xludf.DUMMYFUNCTION("""COMPUTED_VALUE"""),"Session 2: V-Presentations")</f>
        <v>Session 2: V-Presentations</v>
      </c>
      <c r="J2177" s="7" t="str">
        <f>IFERROR(__xludf.DUMMYFUNCTION("""COMPUTED_VALUE"""),"Virtual Presentations 1")</f>
        <v>Virtual Presentations 1</v>
      </c>
      <c r="K2177" s="7"/>
      <c r="L2177" s="8">
        <f>IFERROR(__xludf.DUMMYFUNCTION("""COMPUTED_VALUE"""),45866.0)</f>
        <v>45866</v>
      </c>
      <c r="M2177" s="7" t="str">
        <f>IFERROR(__xludf.DUMMYFUNCTION("""COMPUTED_VALUE"""),"11:00-12:30")</f>
        <v>11:00-12:30</v>
      </c>
      <c r="N2177" s="7"/>
    </row>
    <row r="2178">
      <c r="A2178" s="7" t="str">
        <f>IFERROR(__xludf.DUMMYFUNCTION("""COMPUTED_VALUE"""),"1339-MAIN")</f>
        <v>1339-MAIN</v>
      </c>
      <c r="B2178" s="7" t="str">
        <f>IFERROR(__xludf.DUMMYFUNCTION("""COMPUTED_VALUE"""),"Divide-Then-Align: Honest Alignment based on the Knowledge Boundary of RAG")</f>
        <v>Divide-Then-Align: Honest Alignment based on the Knowledge Boundary of RAG</v>
      </c>
      <c r="C2178" s="7" t="str">
        <f>IFERROR(__xludf.DUMMYFUNCTION("""COMPUTED_VALUE"""),"Large language models (LLMs) augmented with retrieval systems have significantly advanced natural language processing tasks by integrating external knowledge sources, enabling more accurate and contextually rich responses. To improve the robustness of suc"&amp;"h systems against noisy retrievals, Retrieval-Augmented Fine-Tuning (RAFT) has emerged as a widely adopted method. However, RAFT conditions models to generate answers even in the absence of reliable knowledge. This behavior undermines their reliability in"&amp;" high-stakes domains, where acknowledging uncertainty is critical. To address this issue, we propose Divide-Then-Align (DTA), a post-training approach designed to endow RAG systems with the ability to respond with ""I don't know"" when the query is out of"&amp;" the knowledge boundary of both the retrieved passages and the model's internal knowledge. DTA divides data samples into four knowledge quadrants and constructs tailored preference data for each quadrant, resulting in a curated dataset for Direct Preferen"&amp;"ce Optimization (DPO). Experimental results on three benchmark datasets demonstrate that \ourmethod effectively balances accuracy with appropriate abstention, enhancing the reliability and trustworthiness of retrieval-augmented systems.")</f>
        <v>Large language models (LLMs) augmented with retrieval systems have significantly advanced natural language processing tasks by integrating external knowledge sources, enabling more accurate and contextually rich responses. To improve the robustness of such systems against noisy retrievals, Retrieval-Augmented Fine-Tuning (RAFT) has emerged as a widely adopted method. However, RAFT conditions models to generate answers even in the absence of reliable knowledge. This behavior undermines their reliability in high-stakes domains, where acknowledging uncertainty is critical. To address this issue, we propose Divide-Then-Align (DTA), a post-training approach designed to endow RAG systems with the ability to respond with "I don't know" when the query is out of the knowledge boundary of both the retrieved passages and the model's internal knowledge. DTA divides data samples into four knowledge quadrants and constructs tailored preference data for each quadrant, resulting in a curated dataset for Direct Preference Optimization (DPO). Experimental results on three benchmark datasets demonstrate that \ourmethod effectively balances accuracy with appropriate abstention, enhancing the reliability and trustworthiness of retrieval-augmented systems.</v>
      </c>
      <c r="D2178" s="7" t="str">
        <f>IFERROR(__xludf.DUMMYFUNCTION("""COMPUTED_VALUE"""),"Xin Sun")</f>
        <v>Xin Sun</v>
      </c>
      <c r="E2178" s="7" t="str">
        <f>IFERROR(__xludf.DUMMYFUNCTION("""COMPUTED_VALUE"""),"Yes")</f>
        <v>Yes</v>
      </c>
      <c r="F2178" s="7" t="str">
        <f>IFERROR(__xludf.DUMMYFUNCTION("""COMPUTED_VALUE"""),"V-Presentation")</f>
        <v>V-Presentation</v>
      </c>
      <c r="G2178" s="7" t="str">
        <f>IFERROR(__xludf.DUMMYFUNCTION("""COMPUTED_VALUE"""),"Virtual/Gather")</f>
        <v>Virtual/Gather</v>
      </c>
      <c r="H2178" s="7" t="str">
        <f>IFERROR(__xludf.DUMMYFUNCTION("""COMPUTED_VALUE"""),"Zoom")</f>
        <v>Zoom</v>
      </c>
      <c r="I2178" s="7" t="str">
        <f>IFERROR(__xludf.DUMMYFUNCTION("""COMPUTED_VALUE"""),"Session 2: V-Presentations")</f>
        <v>Session 2: V-Presentations</v>
      </c>
      <c r="J2178" s="7" t="str">
        <f>IFERROR(__xludf.DUMMYFUNCTION("""COMPUTED_VALUE"""),"Virtual Presentations 1")</f>
        <v>Virtual Presentations 1</v>
      </c>
      <c r="K2178" s="7"/>
      <c r="L2178" s="8">
        <f>IFERROR(__xludf.DUMMYFUNCTION("""COMPUTED_VALUE"""),45866.0)</f>
        <v>45866</v>
      </c>
      <c r="M2178" s="7" t="str">
        <f>IFERROR(__xludf.DUMMYFUNCTION("""COMPUTED_VALUE"""),"11:00-12:30")</f>
        <v>11:00-12:30</v>
      </c>
      <c r="N2178" s="7"/>
    </row>
    <row r="2179">
      <c r="A2179" s="7" t="str">
        <f>IFERROR(__xludf.DUMMYFUNCTION("""COMPUTED_VALUE"""),"1341-MAIN")</f>
        <v>1341-MAIN</v>
      </c>
      <c r="B2179" s="7" t="str">
        <f>IFERROR(__xludf.DUMMYFUNCTION("""COMPUTED_VALUE"""),"PwnGPT: Automatic Exploit Generation Based on Large Language Models")</f>
        <v>PwnGPT: Automatic Exploit Generation Based on Large Language Models</v>
      </c>
      <c r="C2179" s="7" t="str">
        <f>IFERROR(__xludf.DUMMYFUNCTION("""COMPUTED_VALUE"""),"Automatic exploit generation (AEG) refers to the automatic discovery and exploitation of vulnerabilities against unknown targets. Traditional AEG often targets a single type of vulnerability and still relies on templates built from expert experience. To a"&amp;"chieve intelligent exploit generation, we establish a comprehensive benchmark using Binary Exploitation (pwn) challenges in Capture the Flag (CTF) competitions and investigate the capabilities of Large Language Models (LLMs) in AEG based on the benchmark."&amp;" To improve the performance of AEG, we propose PwnGPT, an LLM-based automatic exploit generation framework that automatically solves pwn challenges. The structural design of PwnGPT is divided into three main components: analysis, generation, and verificat"&amp;"ion modules. With the help of a modular approach and structured problem inputs, PwnGPT can solve challenges that LLMs cannot directly solve. We evaluate PwnGPT on our benchmark and analyze the outputs of each module. Experimental results show that our fra"&amp;"mework is highly autonomous and capable of addressing various challenges. Compared to direct input LLMs, PwnGPT increases the completion rate of exploit on our benchmark from 26.3\% to 57.9\% with the OpenAI o1-preview model and from 21.1\% to 36.8\% with"&amp;" the GPT-4o model.")</f>
        <v>Automatic exploit generation (AEG) refers to the automatic discovery and exploitation of vulnerabilities against unknown targets. Traditional AEG often targets a single type of vulnerability and still relies on templates built from expert experience. To achieve intelligent exploit generation, we establish a comprehensive benchmark using Binary Exploitation (pwn) challenges in Capture the Flag (CTF) competitions and investigate the capabilities of Large Language Models (LLMs) in AEG based on the benchmark. To improve the performance of AEG, we propose PwnGPT, an LLM-based automatic exploit generation framework that automatically solves pwn challenges. The structural design of PwnGPT is divided into three main components: analysis, generation, and verification modules. With the help of a modular approach and structured problem inputs, PwnGPT can solve challenges that LLMs cannot directly solve. We evaluate PwnGPT on our benchmark and analyze the outputs of each module. Experimental results show that our framework is highly autonomous and capable of addressing various challenges. Compared to direct input LLMs, PwnGPT increases the completion rate of exploit on our benchmark from 26.3\% to 57.9\% with the OpenAI o1-preview model and from 21.1\% to 36.8\% with the GPT-4o model.</v>
      </c>
      <c r="D2179" s="7" t="str">
        <f>IFERROR(__xludf.DUMMYFUNCTION("""COMPUTED_VALUE"""),"Wanzong Peng")</f>
        <v>Wanzong Peng</v>
      </c>
      <c r="E2179" s="7" t="str">
        <f>IFERROR(__xludf.DUMMYFUNCTION("""COMPUTED_VALUE"""),"Yes")</f>
        <v>Yes</v>
      </c>
      <c r="F2179" s="7" t="str">
        <f>IFERROR(__xludf.DUMMYFUNCTION("""COMPUTED_VALUE"""),"IP-Poster")</f>
        <v>IP-Poster</v>
      </c>
      <c r="G2179" s="7" t="str">
        <f>IFERROR(__xludf.DUMMYFUNCTION("""COMPUTED_VALUE"""),"In-Person")</f>
        <v>In-Person</v>
      </c>
      <c r="H2179" s="7" t="str">
        <f>IFERROR(__xludf.DUMMYFUNCTION("""COMPUTED_VALUE"""),"Hall 4/5")</f>
        <v>Hall 4/5</v>
      </c>
      <c r="I2179" s="7" t="str">
        <f>IFERROR(__xludf.DUMMYFUNCTION("""COMPUTED_VALUE"""),"Session 7: IP-Posters")</f>
        <v>Session 7: IP-Posters</v>
      </c>
      <c r="J2179" s="7" t="str">
        <f>IFERROR(__xludf.DUMMYFUNCTION("""COMPUTED_VALUE"""),"Poster Session 2")</f>
        <v>Poster Session 2</v>
      </c>
      <c r="K2179" s="7"/>
      <c r="L2179" s="8">
        <f>IFERROR(__xludf.DUMMYFUNCTION("""COMPUTED_VALUE"""),45867.0)</f>
        <v>45867</v>
      </c>
      <c r="M2179" s="7" t="str">
        <f>IFERROR(__xludf.DUMMYFUNCTION("""COMPUTED_VALUE"""),"10:30-12:00")</f>
        <v>10:30-12:00</v>
      </c>
      <c r="N2179" s="7"/>
    </row>
    <row r="2180">
      <c r="A2180" s="7" t="str">
        <f>IFERROR(__xludf.DUMMYFUNCTION("""COMPUTED_VALUE"""),"1343-MAIN")</f>
        <v>1343-MAIN</v>
      </c>
      <c r="B2180" s="7" t="str">
        <f>IFERROR(__xludf.DUMMYFUNCTION("""COMPUTED_VALUE"""),"VMLU Benchmarks: A comprehensive benchmark toolkit for Vietnamese LLMs")</f>
        <v>VMLU Benchmarks: A comprehensive benchmark toolkit for Vietnamese LLMs</v>
      </c>
      <c r="C2180" s="7" t="str">
        <f>IFERROR(__xludf.DUMMYFUNCTION("""COMPUTED_VALUE"""),"The evolution of Large Language Models (LLMs) has underscored the necessity for benchmarks designed for various languages and cultural contexts. To address this need for Vietnamese, we present the first Vietnamese Multitask Language Understanding (VMLU) B"&amp;"enchmarks. The VMLU benchmarks consist of four datasets that assess different capabilities of LLMs, including general knowledge, reading comprehension, reasoning, and conversational skills. This paper also provides an insightful overview of the current st"&amp;"ate of some dominant LLMs, such as Llama-3, Qwen2.5, and GPT-4, highlighting their performances and limitations when measured against these benchmarks. Furthermore, we provide insights into how prompt design can influence VMLU's evaluation outcomes, as we"&amp;"ll as suggest that open-source LLMs can serve as effective, cost-efficient evaluators within the Vietnamese context. By offering a comprehensive and accessible benchmarking framework, the VMLU Benchmarks aim to foster the development and fine-tuning of Vi"&amp;"etnamese LLMs, thereby establishing a foundation for their practical applications in language-specific domains.")</f>
        <v>The evolution of Large Language Models (LLMs) has underscored the necessity for benchmarks designed for various languages and cultural contexts. To address this need for Vietnamese, we present the first Vietnamese Multitask Language Understanding (VMLU) Benchmarks. The VMLU benchmarks consist of four datasets that assess different capabilities of LLMs, including general knowledge, reading comprehension, reasoning, and conversational skills. This paper also provides an insightful overview of the current state of some dominant LLMs, such as Llama-3, Qwen2.5, and GPT-4, highlighting their performances and limitations when measured against these benchmarks. Furthermore, we provide insights into how prompt design can influence VMLU's evaluation outcomes, as well as suggest that open-source LLMs can serve as effective, cost-efficient evaluators within the Vietnamese context. By offering a comprehensive and accessible benchmarking framework, the VMLU Benchmarks aim to foster the development and fine-tuning of Vietnamese LLMs, thereby establishing a foundation for their practical applications in language-specific domains.</v>
      </c>
      <c r="D2180" s="7" t="str">
        <f>IFERROR(__xludf.DUMMYFUNCTION("""COMPUTED_VALUE"""),"Cuc Thi Bui")</f>
        <v>Cuc Thi Bui</v>
      </c>
      <c r="E2180" s="7" t="str">
        <f>IFERROR(__xludf.DUMMYFUNCTION("""COMPUTED_VALUE"""),"Yes")</f>
        <v>Yes</v>
      </c>
      <c r="F2180" s="7" t="str">
        <f>IFERROR(__xludf.DUMMYFUNCTION("""COMPUTED_VALUE"""),"IP-Poster")</f>
        <v>IP-Poster</v>
      </c>
      <c r="G2180" s="7" t="str">
        <f>IFERROR(__xludf.DUMMYFUNCTION("""COMPUTED_VALUE"""),"In-Person")</f>
        <v>In-Person</v>
      </c>
      <c r="H2180" s="7" t="str">
        <f>IFERROR(__xludf.DUMMYFUNCTION("""COMPUTED_VALUE"""),"Hall 4/5")</f>
        <v>Hall 4/5</v>
      </c>
      <c r="I2180" s="7" t="str">
        <f>IFERROR(__xludf.DUMMYFUNCTION("""COMPUTED_VALUE"""),"Session 12: IP-Posters")</f>
        <v>Session 12: IP-Posters</v>
      </c>
      <c r="J2180" s="7" t="str">
        <f>IFERROR(__xludf.DUMMYFUNCTION("""COMPUTED_VALUE"""),"Poster Session 4")</f>
        <v>Poster Session 4</v>
      </c>
      <c r="K2180" s="7"/>
      <c r="L2180" s="8">
        <f>IFERROR(__xludf.DUMMYFUNCTION("""COMPUTED_VALUE"""),45868.0)</f>
        <v>45868</v>
      </c>
      <c r="M2180" s="7" t="str">
        <f>IFERROR(__xludf.DUMMYFUNCTION("""COMPUTED_VALUE"""),"11:00-12:30")</f>
        <v>11:00-12:30</v>
      </c>
      <c r="N2180" s="7"/>
    </row>
    <row r="2181">
      <c r="A2181" s="7" t="str">
        <f>IFERROR(__xludf.DUMMYFUNCTION("""COMPUTED_VALUE"""),"1344-MAIN")</f>
        <v>1344-MAIN</v>
      </c>
      <c r="B2181" s="7" t="str">
        <f>IFERROR(__xludf.DUMMYFUNCTION("""COMPUTED_VALUE"""),"Scaling Laws for RNN LLM in Long-Context Scenarios with State Size")</f>
        <v>Scaling Laws for RNN LLM in Long-Context Scenarios with State Size</v>
      </c>
      <c r="C2181" s="7" t="str">
        <f>IFERROR(__xludf.DUMMYFUNCTION("""COMPUTED_VALUE"""),"The Transformer architecture has become the standard LLM architecture due to its powerful self-attention mechanism. However, it suffers from quadratic computational complexity and linear memory complexity. RNN-based LLMs have been proposed as alternatives"&amp;". Yet, RNN models struggle in long-context scenarios, making it challenging to replace self-attention with RNNs. We identify the state size as a critical bottleneck, which is significantly smaller than that of Transformers with a basic context length of 2"&amp;"k. However, simply increasing the state size significantly raises the number of parameters and lowers training efficiency. In this paper, we propose an efficient scaling method to scale the state size of RNN models to match the 2k context length of Transf"&amp;"ormers, with small parameters overhead. Experimental results demonstrate that scaling the state size significantly enhances long-context understanding. Retrieval performance scales almost linearly with state size, with a 454M model featuring an expanded s"&amp;"tate achieving performance comparable to a 1.47B model on FDA, a recall-intensive task. These findings highlight state scaling as a promising approach for advancing RNN-based LLMs.")</f>
        <v>The Transformer architecture has become the standard LLM architecture due to its powerful self-attention mechanism. However, it suffers from quadratic computational complexity and linear memory complexity. RNN-based LLMs have been proposed as alternatives. Yet, RNN models struggle in long-context scenarios, making it challenging to replace self-attention with RNNs. We identify the state size as a critical bottleneck, which is significantly smaller than that of Transformers with a basic context length of 2k. However, simply increasing the state size significantly raises the number of parameters and lowers training efficiency. In this paper, we propose an efficient scaling method to scale the state size of RNN models to match the 2k context length of Transformers, with small parameters overhead. Experimental results demonstrate that scaling the state size significantly enhances long-context understanding. Retrieval performance scales almost linearly with state size, with a 454M model featuring an expanded state achieving performance comparable to a 1.47B model on FDA, a recall-intensive task. These findings highlight state scaling as a promising approach for advancing RNN-based LLMs.</v>
      </c>
      <c r="D2181" s="7" t="str">
        <f>IFERROR(__xludf.DUMMYFUNCTION("""COMPUTED_VALUE"""),"Kai Liu")</f>
        <v>Kai Liu</v>
      </c>
      <c r="E2181" s="7" t="str">
        <f>IFERROR(__xludf.DUMMYFUNCTION("""COMPUTED_VALUE"""),"Yes")</f>
        <v>Yes</v>
      </c>
      <c r="F2181" s="7" t="str">
        <f>IFERROR(__xludf.DUMMYFUNCTION("""COMPUTED_VALUE"""),"IP-Poster")</f>
        <v>IP-Poster</v>
      </c>
      <c r="G2181" s="7" t="str">
        <f>IFERROR(__xludf.DUMMYFUNCTION("""COMPUTED_VALUE"""),"In-Person")</f>
        <v>In-Person</v>
      </c>
      <c r="H2181" s="7" t="str">
        <f>IFERROR(__xludf.DUMMYFUNCTION("""COMPUTED_VALUE"""),"Hall 4/5")</f>
        <v>Hall 4/5</v>
      </c>
      <c r="I2181" s="7" t="str">
        <f>IFERROR(__xludf.DUMMYFUNCTION("""COMPUTED_VALUE"""),"Session 12: IP-Posters")</f>
        <v>Session 12: IP-Posters</v>
      </c>
      <c r="J2181" s="7" t="str">
        <f>IFERROR(__xludf.DUMMYFUNCTION("""COMPUTED_VALUE"""),"Poster Session 4")</f>
        <v>Poster Session 4</v>
      </c>
      <c r="K2181" s="7"/>
      <c r="L2181" s="8">
        <f>IFERROR(__xludf.DUMMYFUNCTION("""COMPUTED_VALUE"""),45868.0)</f>
        <v>45868</v>
      </c>
      <c r="M2181" s="7" t="str">
        <f>IFERROR(__xludf.DUMMYFUNCTION("""COMPUTED_VALUE"""),"11:00-12:30")</f>
        <v>11:00-12:30</v>
      </c>
      <c r="N2181" s="7"/>
    </row>
    <row r="2182">
      <c r="A2182" s="7" t="str">
        <f>IFERROR(__xludf.DUMMYFUNCTION("""COMPUTED_VALUE"""),"1347-MAIN")</f>
        <v>1347-MAIN</v>
      </c>
      <c r="B2182" s="7" t="str">
        <f>IFERROR(__xludf.DUMMYFUNCTION("""COMPUTED_VALUE"""),"Unifying Continuous and Discrete Text Diffusion with Non-simultaneous Diffusion Processes")</f>
        <v>Unifying Continuous and Discrete Text Diffusion with Non-simultaneous Diffusion Processes</v>
      </c>
      <c r="C2182" s="7" t="str">
        <f>IFERROR(__xludf.DUMMYFUNCTION("""COMPUTED_VALUE"""),"Diffusion models have emerged as a promising approach for text generation, with recent works falling into two main categories: discrete and continuous diffusion models. Discrete diffusion models apply token corruption independently using categorical distr"&amp;"ibutions, allowing for different diffusion progress across tokens but lacking fine-grained control. Continuous diffusion models map tokens to continuous spaces and apply fine-grained noise, but the diffusion progress is uniform across tokens, limiting the"&amp;"ir ability to capture semantic nuances. To address these limitations, we propose \textbf{\underline{N}}on-simultan\textbf{\underline{e}}ous C\textbf{\underline{o}}ntinuous \textbf{\underline{Diff}}usion Models (NeoDiff), a novel diffusion model that integ"&amp;"rates the strengths of both discrete and continuous approaches. NeoDiff introduces a Poisson diffusion process for the forward process, enabling a flexible and fine-grained noising paradigm, and employs a time predictor for the reverse process to adaptive"&amp;"ly modulate the denoising progress based on token semantics. Furthermore, NeoDiff utilizes an optimized schedule for inference to ensure more precise noise control and improved performance. Our approach unifies the theories of discrete and continuous diff"&amp;"usion models, offering a more principled and effective framework for text generation. Experimental results on several text generation tasks demonstrate NeoDiff's superior performance compared to baselines of non-autoregressive continuous and discrete diff"&amp;"usion models, iterative-based methods and autoregressive diffusion-based methods. These results highlight NeoDiff's potential as a powerful tool for generating high-quality text and advancing the field of diffusion-based text generation.")</f>
        <v>Diffusion models have emerged as a promising approach for text generation, with recent works falling into two main categories: discrete and continuous diffusion models. Discrete diffusion models apply token corruption independently using categorical distributions, allowing for different diffusion progress across tokens but lacking fine-grained control. Continuous diffusion models map tokens to continuous spaces and apply fine-grained noise, but the diffusion progress is uniform across tokens, limiting their ability to capture semantic nuances. To address these limitations, we propose \textbf{\underline{N}}on-simultan\textbf{\underline{e}}ous C\textbf{\underline{o}}ntinuous \textbf{\underline{Diff}}usion Models (NeoDiff), a novel diffusion model that integrates the strengths of both discrete and continuous approaches. NeoDiff introduces a Poisson diffusion process for the forward process, enabling a flexible and fine-grained noising paradigm, and employs a time predictor for the reverse process to adaptively modulate the denoising progress based on token semantics. Furthermore, NeoDiff utilizes an optimized schedule for inference to ensure more precise noise control and improved performance. Our approach unifies the theories of discrete and continuous diffusion models, offering a more principled and effective framework for text generation. Experimental results on several text generation tasks demonstrate NeoDiff's superior performance compared to baselines of non-autoregressive continuous and discrete diffusion models, iterative-based methods and autoregressive diffusion-based methods. These results highlight NeoDiff's potential as a powerful tool for generating high-quality text and advancing the field of diffusion-based text generation.</v>
      </c>
      <c r="D2182" s="7" t="str">
        <f>IFERROR(__xludf.DUMMYFUNCTION("""COMPUTED_VALUE"""),"Bocheng Li")</f>
        <v>Bocheng Li</v>
      </c>
      <c r="E2182" s="7" t="str">
        <f>IFERROR(__xludf.DUMMYFUNCTION("""COMPUTED_VALUE"""),"Yes")</f>
        <v>Yes</v>
      </c>
      <c r="F2182" s="7" t="str">
        <f>IFERROR(__xludf.DUMMYFUNCTION("""COMPUTED_VALUE"""),"IP-Oral")</f>
        <v>IP-Oral</v>
      </c>
      <c r="G2182" s="7" t="str">
        <f>IFERROR(__xludf.DUMMYFUNCTION("""COMPUTED_VALUE"""),"In-Person")</f>
        <v>In-Person</v>
      </c>
      <c r="H2182" s="7" t="str">
        <f>IFERROR(__xludf.DUMMYFUNCTION("""COMPUTED_VALUE"""),"Room 1.85")</f>
        <v>Room 1.85</v>
      </c>
      <c r="I2182" s="7" t="str">
        <f>IFERROR(__xludf.DUMMYFUNCTION("""COMPUTED_VALUE"""),"Session 3: IP-Orals")</f>
        <v>Session 3: IP-Orals</v>
      </c>
      <c r="J2182" s="7" t="str">
        <f>IFERROR(__xludf.DUMMYFUNCTION("""COMPUTED_VALUE"""),"Machine Translation")</f>
        <v>Machine Translation</v>
      </c>
      <c r="K2182" s="7"/>
      <c r="L2182" s="8">
        <f>IFERROR(__xludf.DUMMYFUNCTION("""COMPUTED_VALUE"""),45866.0)</f>
        <v>45866</v>
      </c>
      <c r="M2182" s="7" t="str">
        <f>IFERROR(__xludf.DUMMYFUNCTION("""COMPUTED_VALUE"""),"14:00-15:30")</f>
        <v>14:00-15:30</v>
      </c>
      <c r="N2182" s="7">
        <f>IFERROR(__xludf.DUMMYFUNCTION("""COMPUTED_VALUE"""),2.0)</f>
        <v>2</v>
      </c>
    </row>
    <row r="2183">
      <c r="A2183" s="7" t="str">
        <f>IFERROR(__xludf.DUMMYFUNCTION("""COMPUTED_VALUE"""),"1348-MAIN")</f>
        <v>1348-MAIN</v>
      </c>
      <c r="B2183" s="7" t="str">
        <f>IFERROR(__xludf.DUMMYFUNCTION("""COMPUTED_VALUE"""),"A Strategic Coordination Framework of Small LMs Matches Large LMs in Data Synthesis")</f>
        <v>A Strategic Coordination Framework of Small LMs Matches Large LMs in Data Synthesis</v>
      </c>
      <c r="C2183" s="7" t="str">
        <f>IFERROR(__xludf.DUMMYFUNCTION("""COMPUTED_VALUE"""),"While data synthesis and distillation are promising strategies to enhance small language models, current approaches heavily rely on Large Language Models (LLMs), which suffer from high computational costs, environmental inefficiency, and potential biases "&amp;"inherited from monolithic architectures. In contrast, smaller LMs are more accessible and sustainable, but their individual capabilities often fall short in generating high-quality, diverse, and reliable data. Inspired by collaborative human processes (e."&amp;"g., peer review), we propose a multiple small LMs involved framework, GRA, that aggregates specialized roles across small LMs to iterative refinement and quality control typically achieved by a single large LM. 
In this collaborative framework, multiple s"&amp;"mall LMs assume distinct roles—Generator, Reviewer, and Adjudicator—to simulate a peer-review-inspired data synthesis pipeline. The Generator proposes initial data samples, the Reviewer critiques their quality and diversity, and the Adjudicator resolves c"&amp;"onflicts to finalize the output. By decomposing the synthesis process into specialized sub-tasks, collaborative small LMs can achieve data-level parity with distillation from large LMs. Through experiments across multiple benchmarks, we demonstrate that G"&amp;"RA-produced data matches or exceeds the quality of single large LM outputs, e.g., Qwen-2.5-72B-Instruct. Our results challenge the necessity of monolithic large models for high-quality data synthesis, advocating instead for strategic coordination of small"&amp;"er agents.")</f>
        <v>While data synthesis and distillation are promising strategies to enhance small language models, current approaches heavily rely on Large Language Models (LLMs), which suffer from high computational costs, environmental inefficiency, and potential biases inherited from monolithic architectures. In contrast, smaller LMs are more accessible and sustainable, but their individual capabilities often fall short in generating high-quality, diverse, and reliable data. Inspired by collaborative human processes (e.g., peer review), we propose a multiple small LMs involved framework, GRA, that aggregates specialized roles across small LMs to iterative refinement and quality control typically achieved by a single large LM. 
In this collaborative framework, multiple small LMs assume distinct roles—Generator, Reviewer, and Adjudicator—to simulate a peer-review-inspired data synthesis pipeline. The Generator proposes initial data samples, the Reviewer critiques their quality and diversity, and the Adjudicator resolves conflicts to finalize the output. By decomposing the synthesis process into specialized sub-tasks, collaborative small LMs can achieve data-level parity with distillation from large LMs. Through experiments across multiple benchmarks, we demonstrate that GRA-produced data matches or exceeds the quality of single large LM outputs, e.g., Qwen-2.5-72B-Instruct. Our results challenge the necessity of monolithic large models for high-quality data synthesis, advocating instead for strategic coordination of smaller agents.</v>
      </c>
      <c r="D2183" s="7" t="str">
        <f>IFERROR(__xludf.DUMMYFUNCTION("""COMPUTED_VALUE"""),"Xin Gao")</f>
        <v>Xin Gao</v>
      </c>
      <c r="E2183" s="7" t="str">
        <f>IFERROR(__xludf.DUMMYFUNCTION("""COMPUTED_VALUE"""),"Yes")</f>
        <v>Yes</v>
      </c>
      <c r="F2183" s="7" t="str">
        <f>IFERROR(__xludf.DUMMYFUNCTION("""COMPUTED_VALUE"""),"IP-Poster")</f>
        <v>IP-Poster</v>
      </c>
      <c r="G2183" s="7" t="str">
        <f>IFERROR(__xludf.DUMMYFUNCTION("""COMPUTED_VALUE"""),"In-Person")</f>
        <v>In-Person</v>
      </c>
      <c r="H2183" s="7" t="str">
        <f>IFERROR(__xludf.DUMMYFUNCTION("""COMPUTED_VALUE"""),"Hall 4/5")</f>
        <v>Hall 4/5</v>
      </c>
      <c r="I2183" s="7" t="str">
        <f>IFERROR(__xludf.DUMMYFUNCTION("""COMPUTED_VALUE"""),"Session 7: IP-Posters")</f>
        <v>Session 7: IP-Posters</v>
      </c>
      <c r="J2183" s="7" t="str">
        <f>IFERROR(__xludf.DUMMYFUNCTION("""COMPUTED_VALUE"""),"Poster Session 2")</f>
        <v>Poster Session 2</v>
      </c>
      <c r="K2183" s="7"/>
      <c r="L2183" s="8">
        <f>IFERROR(__xludf.DUMMYFUNCTION("""COMPUTED_VALUE"""),45867.0)</f>
        <v>45867</v>
      </c>
      <c r="M2183" s="7" t="str">
        <f>IFERROR(__xludf.DUMMYFUNCTION("""COMPUTED_VALUE"""),"10:30-12:00")</f>
        <v>10:30-12:00</v>
      </c>
      <c r="N2183" s="7"/>
    </row>
    <row r="2184">
      <c r="A2184" s="7" t="str">
        <f>IFERROR(__xludf.DUMMYFUNCTION("""COMPUTED_VALUE"""),"1349-MAIN")</f>
        <v>1349-MAIN</v>
      </c>
      <c r="B2184" s="7" t="str">
        <f>IFERROR(__xludf.DUMMYFUNCTION("""COMPUTED_VALUE"""),"Defining and Evaluating Visual Language Models' Basic Spatial Abilities: A Perspective from Psychometrics")</f>
        <v>Defining and Evaluating Visual Language Models' Basic Spatial Abilities: A Perspective from Psychometrics</v>
      </c>
      <c r="C2184" s="7" t="str">
        <f>IFERROR(__xludf.DUMMYFUNCTION("""COMPUTED_VALUE"""),"The Theory of Multiple Intelligences underscores the hierarchical nature of cognitive capabilities. To advance Spatial Artificial Intelligence, we pioneer a psychometric framework defining five Basic Spatial Abilities (BSAs) in Visual Language Models (VLM"&amp;"s): Spatial Perception, Spatial Relation, Spatial Orientation, Mental Rotation, and Spatial Visualization. Benchmarking 13 mainstream VLMs through nine validated psychometric experiments reveals significant gaps versus humans, with three key findings: 1) "&amp;"VLMs mirror human hierarchies (strongest in 2D orientation, weakest in 3D rotation) with independent BSAs; 2) Many smaller models surpass larger counterparts, with Qwen leading and InternVL2 lagging; 3) Interventions like CoT and few-shot training show li"&amp;"mits from architectural constraints, while ToT demonstrates the most effective enhancement. Identified barriers include weak geometry encoding and missing dynamic simulation. By linking Psychometrics to VLMs, we provide a comprehensive BSA evaluation benc"&amp;"hmark, a methodological perspective for embodied AI development, and a cognitive science-informed roadmap for achieving human-like spatial intelligence.")</f>
        <v>The Theory of Multiple Intelligences underscores the hierarchical nature of cognitive capabilities. To advance Spatial Artificial Intelligence, we pioneer a psychometric framework defining five Basic Spatial Abilities (BSAs) in Visual Language Models (VLMs): Spatial Perception, Spatial Relation, Spatial Orientation, Mental Rotation, and Spatial Visualization. Benchmarking 13 mainstream VLMs through nine validated psychometric experiments reveals significant gaps versus humans, with three key findings: 1) VLMs mirror human hierarchies (strongest in 2D orientation, weakest in 3D rotation) with independent BSAs; 2) Many smaller models surpass larger counterparts, with Qwen leading and InternVL2 lagging; 3) Interventions like CoT and few-shot training show limits from architectural constraints, while ToT demonstrates the most effective enhancement. Identified barriers include weak geometry encoding and missing dynamic simulation. By linking Psychometrics to VLMs, we provide a comprehensive BSA evaluation benchmark, a methodological perspective for embodied AI development, and a cognitive science-informed roadmap for achieving human-like spatial intelligence.</v>
      </c>
      <c r="D2184" s="7" t="str">
        <f>IFERROR(__xludf.DUMMYFUNCTION("""COMPUTED_VALUE"""),"Wenrui Xu")</f>
        <v>Wenrui Xu</v>
      </c>
      <c r="E2184" s="7" t="str">
        <f>IFERROR(__xludf.DUMMYFUNCTION("""COMPUTED_VALUE"""),"Yes")</f>
        <v>Yes</v>
      </c>
      <c r="F2184" s="7" t="str">
        <f>IFERROR(__xludf.DUMMYFUNCTION("""COMPUTED_VALUE"""),"V-Presentation")</f>
        <v>V-Presentation</v>
      </c>
      <c r="G2184" s="7" t="str">
        <f>IFERROR(__xludf.DUMMYFUNCTION("""COMPUTED_VALUE"""),"Virtual/Gather")</f>
        <v>Virtual/Gather</v>
      </c>
      <c r="H2184" s="7" t="str">
        <f>IFERROR(__xludf.DUMMYFUNCTION("""COMPUTED_VALUE"""),"Zoom")</f>
        <v>Zoom</v>
      </c>
      <c r="I2184" s="7" t="str">
        <f>IFERROR(__xludf.DUMMYFUNCTION("""COMPUTED_VALUE"""),"Session 10: V-Presenations")</f>
        <v>Session 10: V-Presenations</v>
      </c>
      <c r="J2184" s="7" t="str">
        <f>IFERROR(__xludf.DUMMYFUNCTION("""COMPUTED_VALUE"""),"Virtual Presentations 3")</f>
        <v>Virtual Presentations 3</v>
      </c>
      <c r="K2184" s="7"/>
      <c r="L2184" s="8">
        <f>IFERROR(__xludf.DUMMYFUNCTION("""COMPUTED_VALUE"""),45867.0)</f>
        <v>45867</v>
      </c>
      <c r="M2184" s="7" t="str">
        <f>IFERROR(__xludf.DUMMYFUNCTION("""COMPUTED_VALUE"""),"16:00-17:30")</f>
        <v>16:00-17:30</v>
      </c>
      <c r="N2184" s="7"/>
    </row>
    <row r="2185">
      <c r="A2185" s="7" t="str">
        <f>IFERROR(__xludf.DUMMYFUNCTION("""COMPUTED_VALUE"""),"1352-MAIN")</f>
        <v>1352-MAIN</v>
      </c>
      <c r="B2185" s="7" t="str">
        <f>IFERROR(__xludf.DUMMYFUNCTION("""COMPUTED_VALUE"""),"SPHERE: Unveiling Spatial Blind Spots in Vision-Language Models Through Hierarchical Evaluation")</f>
        <v>SPHERE: Unveiling Spatial Blind Spots in Vision-Language Models Through Hierarchical Evaluation</v>
      </c>
      <c r="C2185" s="7" t="str">
        <f>IFERROR(__xludf.DUMMYFUNCTION("""COMPUTED_VALUE"""),"Current vision-language models may grasp basic spatial cues and simple directions (e.g. left, right, front, back), but struggle with the multi-dimensional spatial reasoning necessary for human-like understanding and real-world applications. To address thi"&amp;"s gap, we develop SPHERE (Spatial Perception and Hierarchical Evaluation of REasoning), a hierarchical evaluation framework supported by a new human-annotated dataset. SPHERE systematically probes models across increasing levels of complexity, from fundam"&amp;"ental skills to multi-skill integration and high-level reasoning that combines spatial, visual, and logical understanding. Benchmark evaluation of state-of-the-art models reveals significant deficiencies, especially in reasoning about distance and proximi"&amp;"ty, understanding both egocentric and allocentric perspectives, and applying spatial logic in physical contexts. These findings expose critical blind spots in existing models and underscore the need for more advanced spatial reasoning techniques, driving "&amp;"the development of vision-language models that align more closely with human spatial cognition.")</f>
        <v>Current vision-language models may grasp basic spatial cues and simple directions (e.g. left, right, front, back), but struggle with the multi-dimensional spatial reasoning necessary for human-like understanding and real-world applications. To address this gap, we develop SPHERE (Spatial Perception and Hierarchical Evaluation of REasoning), a hierarchical evaluation framework supported by a new human-annotated dataset. SPHERE systematically probes models across increasing levels of complexity, from fundamental skills to multi-skill integration and high-level reasoning that combines spatial, visual, and logical understanding. Benchmark evaluation of state-of-the-art models reveals significant deficiencies, especially in reasoning about distance and proximity, understanding both egocentric and allocentric perspectives, and applying spatial logic in physical contexts. These findings expose critical blind spots in existing models and underscore the need for more advanced spatial reasoning techniques, driving the development of vision-language models that align more closely with human spatial cognition.</v>
      </c>
      <c r="D2185" s="7" t="str">
        <f>IFERROR(__xludf.DUMMYFUNCTION("""COMPUTED_VALUE"""),"Junqi Zhao")</f>
        <v>Junqi Zhao</v>
      </c>
      <c r="E2185" s="7" t="str">
        <f>IFERROR(__xludf.DUMMYFUNCTION("""COMPUTED_VALUE"""),"Yes")</f>
        <v>Yes</v>
      </c>
      <c r="F2185" s="7" t="str">
        <f>IFERROR(__xludf.DUMMYFUNCTION("""COMPUTED_VALUE"""),"IP-Poster")</f>
        <v>IP-Poster</v>
      </c>
      <c r="G2185" s="7" t="str">
        <f>IFERROR(__xludf.DUMMYFUNCTION("""COMPUTED_VALUE"""),"In-Person")</f>
        <v>In-Person</v>
      </c>
      <c r="H2185" s="7" t="str">
        <f>IFERROR(__xludf.DUMMYFUNCTION("""COMPUTED_VALUE"""),"Hall 4/5")</f>
        <v>Hall 4/5</v>
      </c>
      <c r="I2185" s="7" t="str">
        <f>IFERROR(__xludf.DUMMYFUNCTION("""COMPUTED_VALUE"""),"Session 2: IP-Posters ")</f>
        <v>Session 2: IP-Posters </v>
      </c>
      <c r="J2185" s="7" t="str">
        <f>IFERROR(__xludf.DUMMYFUNCTION("""COMPUTED_VALUE"""),"Poster Session 1")</f>
        <v>Poster Session 1</v>
      </c>
      <c r="K2185" s="7"/>
      <c r="L2185" s="8">
        <f>IFERROR(__xludf.DUMMYFUNCTION("""COMPUTED_VALUE"""),45866.0)</f>
        <v>45866</v>
      </c>
      <c r="M2185" s="7" t="str">
        <f>IFERROR(__xludf.DUMMYFUNCTION("""COMPUTED_VALUE"""),"11:00-12:30")</f>
        <v>11:00-12:30</v>
      </c>
      <c r="N2185" s="7"/>
    </row>
    <row r="2186">
      <c r="A2186" s="7" t="str">
        <f>IFERROR(__xludf.DUMMYFUNCTION("""COMPUTED_VALUE"""),"1355-MAIN")</f>
        <v>1355-MAIN</v>
      </c>
      <c r="B2186" s="7" t="str">
        <f>IFERROR(__xludf.DUMMYFUNCTION("""COMPUTED_VALUE"""),"Enhancing Retrieval Systems with Inference-Time Logical Reasoning")</f>
        <v>Enhancing Retrieval Systems with Inference-Time Logical Reasoning</v>
      </c>
      <c r="C2186" s="7" t="str">
        <f>IFERROR(__xludf.DUMMYFUNCTION("""COMPUTED_VALUE"""),"Traditional retrieval methods rely on transforming user queries into vector representations and retrieving documents based on cosine similarity within an embedding space. While efficient and scalable, this approach often fails to handle complex queries in"&amp;"volving logical constructs such as negations, conjunctions, and disjunctions. In this paper, we propose a novel inference-time logical reasoning framework that explicitly incorporates logical reasoning into the retrieval process. Our method extracts logic"&amp;"al reasoning structures from natural language queries and then composes the individual cosine similarity matching scores to formulate the final document scores. This approach enables the retrieval process to handle complex logical reasoning without compro"&amp;"mising computational efficiency. Our results on both synthetic and real-world benchmarks demonstrate that the proposed method consistently outperforms traditional retrieval methods across different models and datasets, significantly improving retrieval pe"&amp;"rformance for complex queries.")</f>
        <v>Traditional retrieval methods rely on transforming user queries into vector representations and retrieving documents based on cosine similarity within an embedding space. While efficient and scalable, this approach often fails to handle complex queries involving logical constructs such as negations, conjunctions, and disjunctions. In this paper, we propose a novel inference-time logical reasoning framework that explicitly incorporates logical reasoning into the retrieval process. Our method extracts logical reasoning structures from natural language queries and then composes the individual cosine similarity matching scores to formulate the final document scores. This approach enables the retrieval process to handle complex logical reasoning without compromising computational efficiency. Our results on both synthetic and real-world benchmarks demonstrate that the proposed method consistently outperforms traditional retrieval methods across different models and datasets, significantly improving retrieval performance for complex queries.</v>
      </c>
      <c r="D2186" s="7" t="str">
        <f>IFERROR(__xludf.DUMMYFUNCTION("""COMPUTED_VALUE"""),"Yujia Bao")</f>
        <v>Yujia Bao</v>
      </c>
      <c r="E2186" s="7" t="str">
        <f>IFERROR(__xludf.DUMMYFUNCTION("""COMPUTED_VALUE"""),"Yes")</f>
        <v>Yes</v>
      </c>
      <c r="F2186" s="7" t="str">
        <f>IFERROR(__xludf.DUMMYFUNCTION("""COMPUTED_VALUE"""),"V-Presentation")</f>
        <v>V-Presentation</v>
      </c>
      <c r="G2186" s="7" t="str">
        <f>IFERROR(__xludf.DUMMYFUNCTION("""COMPUTED_VALUE"""),"Virtual/Gather")</f>
        <v>Virtual/Gather</v>
      </c>
      <c r="H2186" s="7" t="str">
        <f>IFERROR(__xludf.DUMMYFUNCTION("""COMPUTED_VALUE"""),"Zoom")</f>
        <v>Zoom</v>
      </c>
      <c r="I2186" s="7" t="str">
        <f>IFERROR(__xludf.DUMMYFUNCTION("""COMPUTED_VALUE"""),"Session 10: V-Presenations")</f>
        <v>Session 10: V-Presenations</v>
      </c>
      <c r="J2186" s="7" t="str">
        <f>IFERROR(__xludf.DUMMYFUNCTION("""COMPUTED_VALUE"""),"Virtual Presentations 3")</f>
        <v>Virtual Presentations 3</v>
      </c>
      <c r="K2186" s="7"/>
      <c r="L2186" s="8">
        <f>IFERROR(__xludf.DUMMYFUNCTION("""COMPUTED_VALUE"""),45867.0)</f>
        <v>45867</v>
      </c>
      <c r="M2186" s="7" t="str">
        <f>IFERROR(__xludf.DUMMYFUNCTION("""COMPUTED_VALUE"""),"16:00-17:30")</f>
        <v>16:00-17:30</v>
      </c>
      <c r="N2186" s="7"/>
    </row>
    <row r="2187">
      <c r="A2187" s="7" t="str">
        <f>IFERROR(__xludf.DUMMYFUNCTION("""COMPUTED_VALUE"""),"1357-MAIN")</f>
        <v>1357-MAIN</v>
      </c>
      <c r="B2187" s="7" t="str">
        <f>IFERROR(__xludf.DUMMYFUNCTION("""COMPUTED_VALUE"""),"Using Subtext to Enhance Generative IDRR")</f>
        <v>Using Subtext to Enhance Generative IDRR</v>
      </c>
      <c r="C2187" s="7" t="str">
        <f>IFERROR(__xludf.DUMMYFUNCTION("""COMPUTED_VALUE"""),"Implicit Discourse Relation Recognition (abbr., IDRR) is a NLP task of classifying argument pairs into different types of semantic relations. Arguments contain subtexts, some of which are beneficial to the perception of semantic relations. However, subtex"&amp;"ts are connotative. The neural IDRR model fails to be aware of them without being given pertinent prompts. In this paper, we leverage LLaMA to generate subtexts for argument pairs, and verify the effectiveness of subtext-based IDRR. We construct an IDRR b"&amp;"aseline using the decoder-only backbone LLaMA, and enhance it with subtext-aware relation reasoning. A confidence-diagnosed dual-channel network is used for collaboration between in-subtext and out-of-subtext IDRR. We experiment on PDTB-2.0 and PDTB-3.0 f"&amp;"or both the main-level and secondary-level relation taxonomies. The test results show that our approach yields substantial improvements compared to the baseline, and achieves higher $F$1-scores on both benchmarks than the previous decoder-only IDRR models"&amp;". We make the source codes and data publicly available.")</f>
        <v>Implicit Discourse Relation Recognition (abbr., IDRR) is a NLP task of classifying argument pairs into different types of semantic relations. Arguments contain subtexts, some of which are beneficial to the perception of semantic relations. However, subtexts are connotative. The neural IDRR model fails to be aware of them without being given pertinent prompts. In this paper, we leverage LLaMA to generate subtexts for argument pairs, and verify the effectiveness of subtext-based IDRR. We construct an IDRR baseline using the decoder-only backbone LLaMA, and enhance it with subtext-aware relation reasoning. A confidence-diagnosed dual-channel network is used for collaboration between in-subtext and out-of-subtext IDRR. We experiment on PDTB-2.0 and PDTB-3.0 for both the main-level and secondary-level relation taxonomies. The test results show that our approach yields substantial improvements compared to the baseline, and achieves higher $F$1-scores on both benchmarks than the previous decoder-only IDRR models. We make the source codes and data publicly available.</v>
      </c>
      <c r="D2187" s="7" t="str">
        <f>IFERROR(__xludf.DUMMYFUNCTION("""COMPUTED_VALUE"""),"Zhipang Wang")</f>
        <v>Zhipang Wang</v>
      </c>
      <c r="E2187" s="7" t="str">
        <f>IFERROR(__xludf.DUMMYFUNCTION("""COMPUTED_VALUE"""),"Yes")</f>
        <v>Yes</v>
      </c>
      <c r="F2187" s="7" t="str">
        <f>IFERROR(__xludf.DUMMYFUNCTION("""COMPUTED_VALUE"""),"V-Presentation")</f>
        <v>V-Presentation</v>
      </c>
      <c r="G2187" s="7" t="str">
        <f>IFERROR(__xludf.DUMMYFUNCTION("""COMPUTED_VALUE"""),"Virtual/Gather")</f>
        <v>Virtual/Gather</v>
      </c>
      <c r="H2187" s="7" t="str">
        <f>IFERROR(__xludf.DUMMYFUNCTION("""COMPUTED_VALUE"""),"Zoom")</f>
        <v>Zoom</v>
      </c>
      <c r="I2187" s="7" t="str">
        <f>IFERROR(__xludf.DUMMYFUNCTION("""COMPUTED_VALUE"""),"Session 10: V-Presenations")</f>
        <v>Session 10: V-Presenations</v>
      </c>
      <c r="J2187" s="7" t="str">
        <f>IFERROR(__xludf.DUMMYFUNCTION("""COMPUTED_VALUE"""),"Virtual Presentations 3")</f>
        <v>Virtual Presentations 3</v>
      </c>
      <c r="K2187" s="7"/>
      <c r="L2187" s="8">
        <f>IFERROR(__xludf.DUMMYFUNCTION("""COMPUTED_VALUE"""),45867.0)</f>
        <v>45867</v>
      </c>
      <c r="M2187" s="7" t="str">
        <f>IFERROR(__xludf.DUMMYFUNCTION("""COMPUTED_VALUE"""),"16:00-17:30")</f>
        <v>16:00-17:30</v>
      </c>
      <c r="N2187" s="7"/>
    </row>
    <row r="2188">
      <c r="A2188" s="7" t="str">
        <f>IFERROR(__xludf.DUMMYFUNCTION("""COMPUTED_VALUE"""),"1365-MAIN")</f>
        <v>1365-MAIN</v>
      </c>
      <c r="B2188" s="7" t="str">
        <f>IFERROR(__xludf.DUMMYFUNCTION("""COMPUTED_VALUE"""),"User-side Model Consistency Monitoring for Open Source Large Language Models Inference Services")</f>
        <v>User-side Model Consistency Monitoring for Open Source Large Language Models Inference Services</v>
      </c>
      <c r="C2188" s="7" t="str">
        <f>IFERROR(__xludf.DUMMYFUNCTION("""COMPUTED_VALUE"""),"With the continuous advancement in the performance of open-source large language models (LLMs), their inference services have attracted a substantial user base by offering quality comparable to closed-source models at a significantly lower cost. However, "&amp;"it has also given rise to trust issues regarding model consistency between users and third-party service providers. Specifically, service providers can effortlessly degrade a model's parameter scale or precision for more margin profits, and although users"&amp;" may perceptibly experience differences in text quality, they often lack a reliable method for concrete monitoring. To address this problem, we propose a paradigm for model consistency monitoring on the user side. It constructs metrics based on the logits"&amp;" produced by LLMs to differentiate sequences generated by degraded models. Furthermore, by leveraging model offloading techniques, we demonstrate that the proposed method is implementable on consumer-grade devices. Metric evaluations conducted on three wi"&amp;"dely used LLMs series (OPT, Llama 3.1 and Qwen 2.5) along with system prototype efficiency tests on a consumer device (RTX 3080 TI) confirm both the effectiveness and feasibility of the proposed approach.")</f>
        <v>With the continuous advancement in the performance of open-source large language models (LLMs), their inference services have attracted a substantial user base by offering quality comparable to closed-source models at a significantly lower cost. However, it has also given rise to trust issues regarding model consistency between users and third-party service providers. Specifically, service providers can effortlessly degrade a model's parameter scale or precision for more margin profits, and although users may perceptibly experience differences in text quality, they often lack a reliable method for concrete monitoring. To address this problem, we propose a paradigm for model consistency monitoring on the user side. It constructs metrics based on the logits produced by LLMs to differentiate sequences generated by degraded models. Furthermore, by leveraging model offloading techniques, we demonstrate that the proposed method is implementable on consumer-grade devices. Metric evaluations conducted on three widely used LLMs series (OPT, Llama 3.1 and Qwen 2.5) along with system prototype efficiency tests on a consumer device (RTX 3080 TI) confirm both the effectiveness and feasibility of the proposed approach.</v>
      </c>
      <c r="D2188" s="7" t="str">
        <f>IFERROR(__xludf.DUMMYFUNCTION("""COMPUTED_VALUE"""),"Qijun Miao")</f>
        <v>Qijun Miao</v>
      </c>
      <c r="E2188" s="7" t="str">
        <f>IFERROR(__xludf.DUMMYFUNCTION("""COMPUTED_VALUE"""),"Yes")</f>
        <v>Yes</v>
      </c>
      <c r="F2188" s="7" t="str">
        <f>IFERROR(__xludf.DUMMYFUNCTION("""COMPUTED_VALUE"""),"IP-Oral")</f>
        <v>IP-Oral</v>
      </c>
      <c r="G2188" s="7" t="str">
        <f>IFERROR(__xludf.DUMMYFUNCTION("""COMPUTED_VALUE"""),"In-Person")</f>
        <v>In-Person</v>
      </c>
      <c r="H2188" s="7" t="str">
        <f>IFERROR(__xludf.DUMMYFUNCTION("""COMPUTED_VALUE"""),"Hall N.1")</f>
        <v>Hall N.1</v>
      </c>
      <c r="I2188" s="7" t="str">
        <f>IFERROR(__xludf.DUMMYFUNCTION("""COMPUTED_VALUE"""),"Session 9: IP-Orals")</f>
        <v>Session 9: IP-Orals</v>
      </c>
      <c r="J2188" s="7" t="str">
        <f>IFERROR(__xludf.DUMMYFUNCTION("""COMPUTED_VALUE"""),"Dialogue and Interactive Systems")</f>
        <v>Dialogue and Interactive Systems</v>
      </c>
      <c r="K2188" s="7"/>
      <c r="L2188" s="8">
        <f>IFERROR(__xludf.DUMMYFUNCTION("""COMPUTED_VALUE"""),45867.0)</f>
        <v>45867</v>
      </c>
      <c r="M2188" s="7" t="str">
        <f>IFERROR(__xludf.DUMMYFUNCTION("""COMPUTED_VALUE"""),"14:00-15:30")</f>
        <v>14:00-15:30</v>
      </c>
      <c r="N2188" s="7">
        <f>IFERROR(__xludf.DUMMYFUNCTION("""COMPUTED_VALUE"""),3.0)</f>
        <v>3</v>
      </c>
    </row>
    <row r="2189">
      <c r="A2189" s="7" t="str">
        <f>IFERROR(__xludf.DUMMYFUNCTION("""COMPUTED_VALUE"""),"1366-MAIN")</f>
        <v>1366-MAIN</v>
      </c>
      <c r="B2189" s="7" t="str">
        <f>IFERROR(__xludf.DUMMYFUNCTION("""COMPUTED_VALUE"""),"Jailbreaking? One Step Is Enough!")</f>
        <v>Jailbreaking? One Step Is Enough!</v>
      </c>
      <c r="C2189" s="7" t="str">
        <f>IFERROR(__xludf.DUMMYFUNCTION("""COMPUTED_VALUE"""),"Large language models (LLMs) excel in various tasks but remain vulnerable to jailbreak attacks, where adversaries manipulate prompts to generate harmful outputs. Examining jailbreak prompts helps uncover the shortcomings of LLMs. However, current jailbrea"&amp;"k methods and the target model's defenses are engaged in an independent and adversarial process, resulting in the need for frequent attack iterations and redesigning attacks for different models. To address these gaps, we propose a Reverse Embedded Defens"&amp;"e Attack (REDA) mechanism that disguises the attack intention as the ""defense"". intention against harmful content. Specifically, REDA starts from the target response, guiding the model to embed harmful content within its defensive measures, thereby rele"&amp;"gating harmful content to a secondary role and making the model believe it is performing a defensive task. The attacking model considers that it is guiding the target model to deal with harmful content, while the target model thinks it is performing a def"&amp;"ensive task, creating an illusion of cooperation between the two. Additionally, to enhance the model's confidence and guidance in ""defensive"" intentions, we adopt in-context learning (ICL) with a small number of attack examples and construct a correspon"&amp;"ding dataset of attack examples. Extensive evaluations demonstrate that the REDA method enables cross-model attacks without the need to redesign attack strategies for different models, enables successful jailbreak in one iteration, and outperforms existin"&amp;"g methods on both open-source and closed-source models.")</f>
        <v>Large language models (LLMs) excel in various tasks but remain vulnerable to jailbreak attacks, where adversaries manipulate prompts to generate harmful outputs. Examining jailbreak prompts helps uncover the shortcomings of LLMs. However, current jailbreak methods and the target model's defenses are engaged in an independent and adversarial process, resulting in the need for frequent attack iterations and redesigning attacks for different models. To address these gaps, we propose a Reverse Embedded Defense Attack (REDA) mechanism that disguises the attack intention as the "defense". intention against harmful content. Specifically, REDA starts from the target response, guiding the model to embed harmful content within its defensive measures, thereby relegating harmful content to a secondary role and making the model believe it is performing a defensive task. The attacking model considers that it is guiding the target model to deal with harmful content, while the target model thinks it is performing a defensive task, creating an illusion of cooperation between the two. Additionally, to enhance the model's confidence and guidance in "defensive" intentions, we adopt in-context learning (ICL) with a small number of attack examples and construct a corresponding dataset of attack examples. Extensive evaluations demonstrate that the REDA method enables cross-model attacks without the need to redesign attack strategies for different models, enables successful jailbreak in one iteration, and outperforms existing methods on both open-source and closed-source models.</v>
      </c>
      <c r="D2189" s="7" t="str">
        <f>IFERROR(__xludf.DUMMYFUNCTION("""COMPUTED_VALUE"""),"Weixiong Zheng")</f>
        <v>Weixiong Zheng</v>
      </c>
      <c r="E2189" s="7" t="str">
        <f>IFERROR(__xludf.DUMMYFUNCTION("""COMPUTED_VALUE"""),"Yes")</f>
        <v>Yes</v>
      </c>
      <c r="F2189" s="7" t="str">
        <f>IFERROR(__xludf.DUMMYFUNCTION("""COMPUTED_VALUE"""),"V-Presentation")</f>
        <v>V-Presentation</v>
      </c>
      <c r="G2189" s="7" t="str">
        <f>IFERROR(__xludf.DUMMYFUNCTION("""COMPUTED_VALUE"""),"Virtual/Gather")</f>
        <v>Virtual/Gather</v>
      </c>
      <c r="H2189" s="7" t="str">
        <f>IFERROR(__xludf.DUMMYFUNCTION("""COMPUTED_VALUE"""),"Zoom")</f>
        <v>Zoom</v>
      </c>
      <c r="I2189" s="7" t="str">
        <f>IFERROR(__xludf.DUMMYFUNCTION("""COMPUTED_VALUE"""),"Session 7: V--Presentations ")</f>
        <v>Session 7: V--Presentations </v>
      </c>
      <c r="J2189" s="7" t="str">
        <f>IFERROR(__xludf.DUMMYFUNCTION("""COMPUTED_VALUE"""),"Virtual Presentations 2")</f>
        <v>Virtual Presentations 2</v>
      </c>
      <c r="K2189" s="7"/>
      <c r="L2189" s="8"/>
      <c r="M2189" s="7" t="str">
        <f>IFERROR(__xludf.DUMMYFUNCTION("""COMPUTED_VALUE"""),"10:30-12:00")</f>
        <v>10:30-12:00</v>
      </c>
      <c r="N2189" s="7"/>
    </row>
    <row r="2190">
      <c r="A2190" s="7" t="str">
        <f>IFERROR(__xludf.DUMMYFUNCTION("""COMPUTED_VALUE"""),"1368-MAIN")</f>
        <v>1368-MAIN</v>
      </c>
      <c r="B2190" s="7" t="str">
        <f>IFERROR(__xludf.DUMMYFUNCTION("""COMPUTED_VALUE"""),"Parenting: Optimizing Knowledge Selection of Retrieval-Augmented Language Models with Parameter Decoupling and Tailored Tuning")</f>
        <v>Parenting: Optimizing Knowledge Selection of Retrieval-Augmented Language Models with Parameter Decoupling and Tailored Tuning</v>
      </c>
      <c r="C2190" s="7" t="str">
        <f>IFERROR(__xludf.DUMMYFUNCTION("""COMPUTED_VALUE"""),"Retrieval-Augmented Generation (RAG) offers an effective solution to the issues faced by Large Language Models (LLMs) in hallucination generation and knowledge obsolescence by incorporating externally retrieved knowledge. However, existing methods lack ef"&amp;"fective control mechanisms for integrating internal and external knowledge. Inspired by human cognitive processes, we propose Parenting, a novel framework that decouples, identifies, and purposefully optimizes parameter subspaces related to adherence and "&amp;"robustness. Specifically, Parenting utilizes a key parameter mining method that combines forward and backward propagation signals to localize subspaces representing different capabilities. Then, Parenting employs a type-tailored tuning strategy, applying "&amp;"specific and appropriate optimizations to different subspaces, aiming to achieve a balanced enhancement of both adherence and robustness. Extensive experiments on various datasets and models validate the effectiveness and generalizability of our method. O"&amp;"ur code is available at https://github.com/Nostradamus4869/Parenting.")</f>
        <v>Retrieval-Augmented Generation (RAG) offers an effective solution to the issues faced by Large Language Models (LLMs) in hallucination generation and knowledge obsolescence by incorporating externally retrieved knowledge. However, existing methods lack effective control mechanisms for integrating internal and external knowledge. Inspired by human cognitive processes, we propose Parenting, a novel framework that decouples, identifies, and purposefully optimizes parameter subspaces related to adherence and robustness. Specifically, Parenting utilizes a key parameter mining method that combines forward and backward propagation signals to localize subspaces representing different capabilities. Then, Parenting employs a type-tailored tuning strategy, applying specific and appropriate optimizations to different subspaces, aiming to achieve a balanced enhancement of both adherence and robustness. Extensive experiments on various datasets and models validate the effectiveness and generalizability of our method. Our code is available at https://github.com/Nostradamus4869/Parenting.</v>
      </c>
      <c r="D2190" s="7" t="str">
        <f>IFERROR(__xludf.DUMMYFUNCTION("""COMPUTED_VALUE"""),"Xinke Jiang")</f>
        <v>Xinke Jiang</v>
      </c>
      <c r="E2190" s="7" t="str">
        <f>IFERROR(__xludf.DUMMYFUNCTION("""COMPUTED_VALUE"""),"Yes")</f>
        <v>Yes</v>
      </c>
      <c r="F2190" s="7" t="str">
        <f>IFERROR(__xludf.DUMMYFUNCTION("""COMPUTED_VALUE"""),"IP-Poster")</f>
        <v>IP-Poster</v>
      </c>
      <c r="G2190" s="7" t="str">
        <f>IFERROR(__xludf.DUMMYFUNCTION("""COMPUTED_VALUE"""),"In-Person")</f>
        <v>In-Person</v>
      </c>
      <c r="H2190" s="7" t="str">
        <f>IFERROR(__xludf.DUMMYFUNCTION("""COMPUTED_VALUE"""),"Hall 4/5")</f>
        <v>Hall 4/5</v>
      </c>
      <c r="I2190" s="7" t="str">
        <f>IFERROR(__xludf.DUMMYFUNCTION("""COMPUTED_VALUE"""),"Session 2: IP-Posters ")</f>
        <v>Session 2: IP-Posters </v>
      </c>
      <c r="J2190" s="7" t="str">
        <f>IFERROR(__xludf.DUMMYFUNCTION("""COMPUTED_VALUE"""),"Poster Session 1")</f>
        <v>Poster Session 1</v>
      </c>
      <c r="K2190" s="7"/>
      <c r="L2190" s="8">
        <f>IFERROR(__xludf.DUMMYFUNCTION("""COMPUTED_VALUE"""),45866.0)</f>
        <v>45866</v>
      </c>
      <c r="M2190" s="7" t="str">
        <f>IFERROR(__xludf.DUMMYFUNCTION("""COMPUTED_VALUE"""),"11:00-12:30")</f>
        <v>11:00-12:30</v>
      </c>
      <c r="N2190" s="7"/>
    </row>
    <row r="2191">
      <c r="A2191" s="7" t="str">
        <f>IFERROR(__xludf.DUMMYFUNCTION("""COMPUTED_VALUE"""),"1370-MAIN")</f>
        <v>1370-MAIN</v>
      </c>
      <c r="B2191" s="7" t="str">
        <f>IFERROR(__xludf.DUMMYFUNCTION("""COMPUTED_VALUE"""),"PaSa: An LLM Agent for Comprehensive Academic Paper Search")</f>
        <v>PaSa: An LLM Agent for Comprehensive Academic Paper Search</v>
      </c>
      <c r="C2191" s="7" t="str">
        <f>IFERROR(__xludf.DUMMYFUNCTION("""COMPUTED_VALUE"""),"We introduce PaSa, an advanced Paper Search agent powered by large language models. PaSa can autonomously make a series of decisions, including invoking search tools, reading papers, and selecting relevant references, to ultimately obtain comprehensive an"&amp;"d accurate results for complex scholar queries. We optimize PaSa using reinforcement learning with a synthetic dataset, AutoScholarQuery, which includes 35k fine-grained academic queries and corresponding papers sourced from top-tier AI conference publica"&amp;"tions. Additionally, we develop RealScholarQuery, a benchmark collecting real-world academic queries to assess PaSa performance in more realistic scenarios. Despite being trained on synthetic data, PaSa significantly outperforms existing baselines on Real"&amp;"ScholarQuery, including Google, Google Scholar, Google with GPT-4o for paraphrased queries, ChatGPT (search-enabled GPT-4o), GPT-o1, and PaSa-GPT-4o (PaSa implemented by prompting GPT-4o). Notably, PaSa-7B surpasses the best Google-based baseline, Google "&amp;"with GPT-4o, by 37.78% in recall@20 and 39.90% in recall@50, and exceeds PaSa-GPT-4o by 30.36% in recall and 4.25% in precision. Model, datasets, and code are available at https://github.com/bytedance/pasa.
Demo: https://pasa-agent.ai")</f>
        <v>We introduce PaSa, an advanced Paper Search agent powered by large language models. PaSa can autonomously make a series of decisions, including invoking search tools, reading papers, and selecting relevant references, to ultimately obtain comprehensive and accurate results for complex scholar queries. We optimize PaSa using reinforcement learning with a synthetic dataset, AutoScholarQuery, which includes 35k fine-grained academic queries and corresponding papers sourced from top-tier AI conference publications. Additionally, we develop RealScholarQuery, a benchmark collecting real-world academic queries to assess PaSa performance in more realistic scenarios. Despite being trained on synthetic data, PaSa significantly outperforms existing baselines on RealScholarQuery, including Google, Google Scholar, Google with GPT-4o for paraphrased queries, ChatGPT (search-enabled GPT-4o), GPT-o1, and PaSa-GPT-4o (PaSa implemented by prompting GPT-4o). Notably, PaSa-7B surpasses the best Google-based baseline, Google with GPT-4o, by 37.78% in recall@20 and 39.90% in recall@50, and exceeds PaSa-GPT-4o by 30.36% in recall and 4.25% in precision. Model, datasets, and code are available at https://github.com/bytedance/pasa.
Demo: https://pasa-agent.ai</v>
      </c>
      <c r="D2191" s="7" t="str">
        <f>IFERROR(__xludf.DUMMYFUNCTION("""COMPUTED_VALUE"""),"Yuan Lin")</f>
        <v>Yuan Lin</v>
      </c>
      <c r="E2191" s="7" t="str">
        <f>IFERROR(__xludf.DUMMYFUNCTION("""COMPUTED_VALUE"""),"Yes")</f>
        <v>Yes</v>
      </c>
      <c r="F2191" s="7" t="str">
        <f>IFERROR(__xludf.DUMMYFUNCTION("""COMPUTED_VALUE"""),"IP-Poster")</f>
        <v>IP-Poster</v>
      </c>
      <c r="G2191" s="7" t="str">
        <f>IFERROR(__xludf.DUMMYFUNCTION("""COMPUTED_VALUE"""),"In-Person")</f>
        <v>In-Person</v>
      </c>
      <c r="H2191" s="7" t="str">
        <f>IFERROR(__xludf.DUMMYFUNCTION("""COMPUTED_VALUE"""),"Hall 4/5")</f>
        <v>Hall 4/5</v>
      </c>
      <c r="I2191" s="7" t="str">
        <f>IFERROR(__xludf.DUMMYFUNCTION("""COMPUTED_VALUE"""),"Session 7: IP-Posters")</f>
        <v>Session 7: IP-Posters</v>
      </c>
      <c r="J2191" s="7" t="str">
        <f>IFERROR(__xludf.DUMMYFUNCTION("""COMPUTED_VALUE"""),"Poster Session 2")</f>
        <v>Poster Session 2</v>
      </c>
      <c r="K2191" s="7"/>
      <c r="L2191" s="8">
        <f>IFERROR(__xludf.DUMMYFUNCTION("""COMPUTED_VALUE"""),45867.0)</f>
        <v>45867</v>
      </c>
      <c r="M2191" s="7" t="str">
        <f>IFERROR(__xludf.DUMMYFUNCTION("""COMPUTED_VALUE"""),"10:30-12:00")</f>
        <v>10:30-12:00</v>
      </c>
      <c r="N2191" s="7"/>
    </row>
    <row r="2192">
      <c r="A2192" s="7" t="str">
        <f>IFERROR(__xludf.DUMMYFUNCTION("""COMPUTED_VALUE"""),"1372-MAIN")</f>
        <v>1372-MAIN</v>
      </c>
      <c r="B2192" s="7" t="str">
        <f>IFERROR(__xludf.DUMMYFUNCTION("""COMPUTED_VALUE"""),"Less Mature is More Adaptable for Sentence-level Language Modeling")</f>
        <v>Less Mature is More Adaptable for Sentence-level Language Modeling</v>
      </c>
      <c r="C2192" s="7" t="str">
        <f>IFERROR(__xludf.DUMMYFUNCTION("""COMPUTED_VALUE"""),"This work investigates sentence-level models ($\textit{i.e.}$, models that operate at the sentence-level) to study how sentence representations from various encoders influence downstream task performance, and which syntactic, semantic, and discourse-level"&amp;" properties are essential for strong performance. Our experiments encompass encoders with diverse training regimes and pretraining domains, as well as various pooling strategies applied to multi-sentence input tasks (including sentence ordering, sentiment"&amp;" classification, and natural language inference) requiring coarse-to-fine-grained reasoning. We find that ''less mature'' representations ($\textit{e.g.}$, mean-pooled representations from BERT's first or last layer, or representations from encoders with "&amp;"limited fine-tuning) exhibit greater generalizability and adaptability to downstream tasks compared to representations from extensively fine-tuned models ($\textit{e.g.}$, SBERT or SimCSE). These findings are consistent across different pretraining seed i"&amp;"nitializations for BERT. Our probing analysis reveals that syntactic and discourse-level properties are stronger indicators of downstream performance than MTEB scores or decodability. Furthermore, the data and time efficiency of sentence-level models, oft"&amp;"en outperforming token-level models, underscores their potential for future research.")</f>
        <v>This work investigates sentence-level models ($\textit{i.e.}$, models that operate at the sentence-level) to study how sentence representations from various encoders influence downstream task performance, and which syntactic, semantic, and discourse-level properties are essential for strong performance. Our experiments encompass encoders with diverse training regimes and pretraining domains, as well as various pooling strategies applied to multi-sentence input tasks (including sentence ordering, sentiment classification, and natural language inference) requiring coarse-to-fine-grained reasoning. We find that ''less mature'' representations ($\textit{e.g.}$, mean-pooled representations from BERT's first or last layer, or representations from encoders with limited fine-tuning) exhibit greater generalizability and adaptability to downstream tasks compared to representations from extensively fine-tuned models ($\textit{e.g.}$, SBERT or SimCSE). These findings are consistent across different pretraining seed initializations for BERT. Our probing analysis reveals that syntactic and discourse-level properties are stronger indicators of downstream performance than MTEB scores or decodability. Furthermore, the data and time efficiency of sentence-level models, often outperforming token-level models, underscores their potential for future research.</v>
      </c>
      <c r="D2192" s="7" t="str">
        <f>IFERROR(__xludf.DUMMYFUNCTION("""COMPUTED_VALUE"""),"Maha Elbayad")</f>
        <v>Maha Elbayad</v>
      </c>
      <c r="E2192" s="7" t="str">
        <f>IFERROR(__xludf.DUMMYFUNCTION("""COMPUTED_VALUE"""),"Yes")</f>
        <v>Yes</v>
      </c>
      <c r="F2192" s="7" t="str">
        <f>IFERROR(__xludf.DUMMYFUNCTION("""COMPUTED_VALUE"""),"V-Presentation")</f>
        <v>V-Presentation</v>
      </c>
      <c r="G2192" s="7" t="str">
        <f>IFERROR(__xludf.DUMMYFUNCTION("""COMPUTED_VALUE"""),"Virtual/Gather")</f>
        <v>Virtual/Gather</v>
      </c>
      <c r="H2192" s="7" t="str">
        <f>IFERROR(__xludf.DUMMYFUNCTION("""COMPUTED_VALUE"""),"Zoom")</f>
        <v>Zoom</v>
      </c>
      <c r="I2192" s="7" t="str">
        <f>IFERROR(__xludf.DUMMYFUNCTION("""COMPUTED_VALUE"""),"Session 10: V-Presentations")</f>
        <v>Session 10: V-Presentations</v>
      </c>
      <c r="J2192" s="7" t="str">
        <f>IFERROR(__xludf.DUMMYFUNCTION("""COMPUTED_VALUE"""),"Virtual Presentations 3")</f>
        <v>Virtual Presentations 3</v>
      </c>
      <c r="K2192" s="7"/>
      <c r="L2192" s="8">
        <f>IFERROR(__xludf.DUMMYFUNCTION("""COMPUTED_VALUE"""),45867.0)</f>
        <v>45867</v>
      </c>
      <c r="M2192" s="7" t="str">
        <f>IFERROR(__xludf.DUMMYFUNCTION("""COMPUTED_VALUE"""),"16:00-17:30")</f>
        <v>16:00-17:30</v>
      </c>
      <c r="N2192" s="7"/>
    </row>
    <row r="2193">
      <c r="A2193" s="7" t="str">
        <f>IFERROR(__xludf.DUMMYFUNCTION("""COMPUTED_VALUE"""),"1380-MAIN")</f>
        <v>1380-MAIN</v>
      </c>
      <c r="B2193" s="7" t="str">
        <f>IFERROR(__xludf.DUMMYFUNCTION("""COMPUTED_VALUE"""),"EpMAN: Episodic Memory AttentioN for Generalizing to Longer Contexts")</f>
        <v>EpMAN: Episodic Memory AttentioN for Generalizing to Longer Contexts</v>
      </c>
      <c r="C2193" s="7" t="str">
        <f>IFERROR(__xludf.DUMMYFUNCTION("""COMPUTED_VALUE"""),"Recent advances in Large Language Models (LLMs) have yielded impressive successes on many language tasks. However, efficient processing of long contexts using LLMs remains a significant challenge. We introduce **EpMAN** -- a method for processing long con"&amp;"texts in an episodic memory module while holistically attending to semantically-relevant context chunks. Output from episodic attention is then used to reweigh the decoder's self-attention to the stored KV cache of the context during training and generati"&amp;"on. When an LLM decoder is trained using **EpMAN**, its performance on multiple challenging single-hop long-context recall and question-answering benchmarks is found to be stronger and more robust across the range from 16k to 256k tokens than baseline dec"&amp;"oders trained with self-attention, and popular retrieval-augmented generation frameworks.")</f>
        <v>Recent advances in Large Language Models (LLMs) have yielded impressive successes on many language tasks. However, efficient processing of long contexts using LLMs remains a significant challenge. We introduce **EpMAN** -- a method for processing long contexts in an episodic memory module while holistically attending to semantically-relevant context chunks. Output from episodic attention is then used to reweigh the decoder's self-attention to the stored KV cache of the context during training and generation. When an LLM decoder is trained using **EpMAN**, its performance on multiple challenging single-hop long-context recall and question-answering benchmarks is found to be stronger and more robust across the range from 16k to 256k tokens than baseline decoders trained with self-attention, and popular retrieval-augmented generation frameworks.</v>
      </c>
      <c r="D2193" s="7" t="str">
        <f>IFERROR(__xludf.DUMMYFUNCTION("""COMPUTED_VALUE"""),"GEORGIOS KOLLIAS")</f>
        <v>GEORGIOS KOLLIAS</v>
      </c>
      <c r="E2193" s="7" t="str">
        <f>IFERROR(__xludf.DUMMYFUNCTION("""COMPUTED_VALUE"""),"Yes")</f>
        <v>Yes</v>
      </c>
      <c r="F2193" s="7" t="str">
        <f>IFERROR(__xludf.DUMMYFUNCTION("""COMPUTED_VALUE"""),"IP-Poster")</f>
        <v>IP-Poster</v>
      </c>
      <c r="G2193" s="7" t="str">
        <f>IFERROR(__xludf.DUMMYFUNCTION("""COMPUTED_VALUE"""),"In-Person")</f>
        <v>In-Person</v>
      </c>
      <c r="H2193" s="7" t="str">
        <f>IFERROR(__xludf.DUMMYFUNCTION("""COMPUTED_VALUE"""),"Hall 4/5")</f>
        <v>Hall 4/5</v>
      </c>
      <c r="I2193" s="7" t="str">
        <f>IFERROR(__xludf.DUMMYFUNCTION("""COMPUTED_VALUE"""),"Session 7: IP-Posters")</f>
        <v>Session 7: IP-Posters</v>
      </c>
      <c r="J2193" s="7" t="str">
        <f>IFERROR(__xludf.DUMMYFUNCTION("""COMPUTED_VALUE"""),"Poster Session 2")</f>
        <v>Poster Session 2</v>
      </c>
      <c r="K2193" s="7"/>
      <c r="L2193" s="8">
        <f>IFERROR(__xludf.DUMMYFUNCTION("""COMPUTED_VALUE"""),45867.0)</f>
        <v>45867</v>
      </c>
      <c r="M2193" s="7" t="str">
        <f>IFERROR(__xludf.DUMMYFUNCTION("""COMPUTED_VALUE"""),"10:30-12:00")</f>
        <v>10:30-12:00</v>
      </c>
      <c r="N2193" s="7"/>
    </row>
    <row r="2194">
      <c r="A2194" s="7" t="str">
        <f>IFERROR(__xludf.DUMMYFUNCTION("""COMPUTED_VALUE"""),"1382-MAIN")</f>
        <v>1382-MAIN</v>
      </c>
      <c r="B2194" s="7" t="str">
        <f>IFERROR(__xludf.DUMMYFUNCTION("""COMPUTED_VALUE"""),"UORA: Uniform Orthogonal Reinitialization Adaptation in Parameter Efficient Fine-Tuning of Large Models")</f>
        <v>UORA: Uniform Orthogonal Reinitialization Adaptation in Parameter Efficient Fine-Tuning of Large Models</v>
      </c>
      <c r="C2194" s="7" t="str">
        <f>IFERROR(__xludf.DUMMYFUNCTION("""COMPUTED_VALUE"""),"This paper introduces UoRA, a novel parameter-efficient fine-tuning (PEFT) approach for large language models (LLMs). UoRA achieves state-of-the-art efficiency by leveraging a low-rank approximation method that reduces the number of trainable parameters w"&amp;"ithout compromising performance. Unlike existing methods such as LoRA and VeRA, UoRA employs a re-parametrization mechanism that eliminates the need to adapt frozen projection matrices while maintaining shared projection layers across the model. This resu"&amp;"lts in halving the trainable parameters compared to LoRA and outperforming VeRA in computation and storage efficiency. Comprehensive experiments across various benchmarks demonstrate UoRA’s superiority in achieving competitive fine-tuning performance with"&amp;" minimal computational overhead. We demonstrate its performance on GLUE and E2E benchmarks and is effectiveness in instruction-tuning large language models and image classification models. Our contributions establish a new paradigm for scalable and resour"&amp;"ce-efficient fine-tuning of LLMs.")</f>
        <v>This paper introduces UoRA, a novel parameter-efficient fine-tuning (PEFT) approach for large language models (LLMs). UoRA achieves state-of-the-art efficiency by leveraging a low-rank approximation method that reduces the number of trainable parameters without compromising performance. Unlike existing methods such as LoRA and VeRA, UoRA employs a re-parametrization mechanism that eliminates the need to adapt frozen projection matrices while maintaining shared projection layers across the model. This results in halving the trainable parameters compared to LoRA and outperforming VeRA in computation and storage efficiency. Comprehensive experiments across various benchmarks demonstrate UoRA’s superiority in achieving competitive fine-tuning performance with minimal computational overhead. We demonstrate its performance on GLUE and E2E benchmarks and is effectiveness in instruction-tuning large language models and image classification models. Our contributions establish a new paradigm for scalable and resource-efficient fine-tuning of LLMs.</v>
      </c>
      <c r="D2194" s="7" t="str">
        <f>IFERROR(__xludf.DUMMYFUNCTION("""COMPUTED_VALUE"""),"Shuhao Guan")</f>
        <v>Shuhao Guan</v>
      </c>
      <c r="E2194" s="7" t="str">
        <f>IFERROR(__xludf.DUMMYFUNCTION("""COMPUTED_VALUE"""),"Yes")</f>
        <v>Yes</v>
      </c>
      <c r="F2194" s="7" t="str">
        <f>IFERROR(__xludf.DUMMYFUNCTION("""COMPUTED_VALUE"""),"IP-Poster")</f>
        <v>IP-Poster</v>
      </c>
      <c r="G2194" s="7" t="str">
        <f>IFERROR(__xludf.DUMMYFUNCTION("""COMPUTED_VALUE"""),"In-Person")</f>
        <v>In-Person</v>
      </c>
      <c r="H2194" s="7" t="str">
        <f>IFERROR(__xludf.DUMMYFUNCTION("""COMPUTED_VALUE"""),"Hall 4/5")</f>
        <v>Hall 4/5</v>
      </c>
      <c r="I2194" s="7" t="str">
        <f>IFERROR(__xludf.DUMMYFUNCTION("""COMPUTED_VALUE"""),"Session 10: IP-Posters")</f>
        <v>Session 10: IP-Posters</v>
      </c>
      <c r="J2194" s="7" t="str">
        <f>IFERROR(__xludf.DUMMYFUNCTION("""COMPUTED_VALUE"""),"Poster Session 3")</f>
        <v>Poster Session 3</v>
      </c>
      <c r="K2194" s="7"/>
      <c r="L2194" s="8">
        <f>IFERROR(__xludf.DUMMYFUNCTION("""COMPUTED_VALUE"""),45867.0)</f>
        <v>45867</v>
      </c>
      <c r="M2194" s="7" t="str">
        <f>IFERROR(__xludf.DUMMYFUNCTION("""COMPUTED_VALUE"""),"16:00-17:30")</f>
        <v>16:00-17:30</v>
      </c>
      <c r="N2194" s="7"/>
    </row>
    <row r="2195">
      <c r="A2195" s="7" t="str">
        <f>IFERROR(__xludf.DUMMYFUNCTION("""COMPUTED_VALUE"""),"1384-MAIN")</f>
        <v>1384-MAIN</v>
      </c>
      <c r="B2195" s="7" t="str">
        <f>IFERROR(__xludf.DUMMYFUNCTION("""COMPUTED_VALUE"""),"Agri-CM3: A Chinese Massive Multi-modal, Multi-level Benchmark for Agricultural Understanding and Reasoning")</f>
        <v>Agri-CM3: A Chinese Massive Multi-modal, Multi-level Benchmark for Agricultural Understanding and Reasoning</v>
      </c>
      <c r="C2195" s="7" t="str">
        <f>IFERROR(__xludf.DUMMYFUNCTION("""COMPUTED_VALUE"""),"Multi-modal Large Language Models (MLLMs) integrating images, text, and speech can provide farmers with accurate diagnoses and treatment of pests and diseases, enhancing agricultural efficiency and sustainability. However, existing benchmarks lack compreh"&amp;"ensive evaluations, particularly in multi-level reasoning, making it challenging to identify model limitations. To address this issue, we introduce Agri-CM$^3$, an expert-validated benchmark assessing MLLMs’ understanding and reasoning in agricultural man"&amp;"agement. It includes 3,939 images and 15,901 multi-level multiple-choice questions with detailed explanations. Evaluations of 45 MLLMs reveal significant gaps. Even GPT-4o achieves only 63.64\% accuracy, falling short in fine-grained reasoning tasks. Anal"&amp;"ysis across three reasoning levels and seven compositional abilities highlights key challenges in accuracy and cognitive understanding. Our study provides insights for advancing MLLMs in agricultural management, driving their development and application. "&amp;"Code and data are available at \url{https://github.com/HIT-Kwoo/Agri-CM3}.")</f>
        <v>Multi-modal Large Language Models (MLLMs) integrating images, text, and speech can provide farmers with accurate diagnoses and treatment of pests and diseases, enhancing agricultural efficiency and sustainability. However, existing benchmarks lack comprehensive evaluations, particularly in multi-level reasoning, making it challenging to identify model limitations. To address this issue, we introduce Agri-CM$^3$, an expert-validated benchmark assessing MLLMs’ understanding and reasoning in agricultural management. It includes 3,939 images and 15,901 multi-level multiple-choice questions with detailed explanations. Evaluations of 45 MLLMs reveal significant gaps. Even GPT-4o achieves only 63.64\% accuracy, falling short in fine-grained reasoning tasks. Analysis across three reasoning levels and seven compositional abilities highlights key challenges in accuracy and cognitive understanding. Our study provides insights for advancing MLLMs in agricultural management, driving their development and application. Code and data are available at \url{https://github.com/HIT-Kwoo/Agri-CM3}.</v>
      </c>
      <c r="D2195" s="7" t="str">
        <f>IFERROR(__xludf.DUMMYFUNCTION("""COMPUTED_VALUE"""),"Haotian Wang")</f>
        <v>Haotian Wang</v>
      </c>
      <c r="E2195" s="7" t="str">
        <f>IFERROR(__xludf.DUMMYFUNCTION("""COMPUTED_VALUE"""),"Yes")</f>
        <v>Yes</v>
      </c>
      <c r="F2195" s="7" t="str">
        <f>IFERROR(__xludf.DUMMYFUNCTION("""COMPUTED_VALUE"""),"IP-Poster")</f>
        <v>IP-Poster</v>
      </c>
      <c r="G2195" s="7" t="str">
        <f>IFERROR(__xludf.DUMMYFUNCTION("""COMPUTED_VALUE"""),"In-Person")</f>
        <v>In-Person</v>
      </c>
      <c r="H2195" s="7" t="str">
        <f>IFERROR(__xludf.DUMMYFUNCTION("""COMPUTED_VALUE"""),"Hall 4/5")</f>
        <v>Hall 4/5</v>
      </c>
      <c r="I2195" s="7" t="str">
        <f>IFERROR(__xludf.DUMMYFUNCTION("""COMPUTED_VALUE"""),"Session 7: IP-Posters")</f>
        <v>Session 7: IP-Posters</v>
      </c>
      <c r="J2195" s="7" t="str">
        <f>IFERROR(__xludf.DUMMYFUNCTION("""COMPUTED_VALUE"""),"Poster Session 2")</f>
        <v>Poster Session 2</v>
      </c>
      <c r="K2195" s="7"/>
      <c r="L2195" s="8">
        <f>IFERROR(__xludf.DUMMYFUNCTION("""COMPUTED_VALUE"""),45867.0)</f>
        <v>45867</v>
      </c>
      <c r="M2195" s="7" t="str">
        <f>IFERROR(__xludf.DUMMYFUNCTION("""COMPUTED_VALUE"""),"10:30-12:00")</f>
        <v>10:30-12:00</v>
      </c>
      <c r="N2195" s="7"/>
    </row>
    <row r="2196">
      <c r="A2196" s="7" t="str">
        <f>IFERROR(__xludf.DUMMYFUNCTION("""COMPUTED_VALUE"""),"1388-MAIN")</f>
        <v>1388-MAIN</v>
      </c>
      <c r="B2196" s="7" t="str">
        <f>IFERROR(__xludf.DUMMYFUNCTION("""COMPUTED_VALUE"""),"TROVE: A Challenge for Fine-Grained Text Provenance via Source Sentence Tracing and Relationship Classification")</f>
        <v>TROVE: A Challenge for Fine-Grained Text Provenance via Source Sentence Tracing and Relationship Classification</v>
      </c>
      <c r="C2196" s="7" t="str">
        <f>IFERROR(__xludf.DUMMYFUNCTION("""COMPUTED_VALUE"""),"LLMs have achieved remarkable fluency and coherence in text generation, yet their widespread adoption has raised concerns about content reliability and accountability. In high-stakes domains, it is crucial to understand where and how the content is create"&amp;"d. To address this, we introduce the Text pROVEnance (TROVE) challenge, designed to trace each sentence of a target text back to specific source sentences within potentially lengthy or multi-document inputs. Beyond identifying sources, TROVE annotates the"&amp;" fine-grained relationships (quotation, compression, inference, and others), providing a deep understanding of how each target sentence is formed.
To benchmark TROVE, we construct our dataset by leveraging three public datasets covering 11 diverse scenari"&amp;"os (e.g., QA and summarization) in English and Chinese, spanning source texts of varying lengths (0–5k, 5–10k, 10k+), emphasizing the multi-document and long-document settings essential for provenance. To ensure high-quality data, we employ a three-stage "&amp;"annotation process: sentence retrieval, GPT-4o provenance, and human provenance. We evaluate 11 LLMs under direct prompting and retrieval-augmented paradigms, revealing that retrieval is essential for robust performance, larger models perform better in co"&amp;"mplex relationship classification, and closed-source models often lead, yet open-source models show significant promise, particularly with retrieval augmentation. We make our dataset available here: https://github.com/ZNLP/ZNLP-Dataset.")</f>
        <v>LLMs have achieved remarkable fluency and coherence in text generation, yet their widespread adoption has raised concerns about content reliability and accountability. In high-stakes domains, it is crucial to understand where and how the content is created. To address this, we introduce the Text pROVEnance (TROVE) challenge, designed to trace each sentence of a target text back to specific source sentences within potentially lengthy or multi-document inputs. Beyond identifying sources, TROVE annotates the fine-grained relationships (quotation, compression, inference, and others), providing a deep understanding of how each target sentence is formed.
To benchmark TROVE, we construct our dataset by leveraging three public datasets covering 11 diverse scenarios (e.g., QA and summarization) in English and Chinese, spanning source texts of varying lengths (0–5k, 5–10k, 10k+), emphasizing the multi-document and long-document settings essential for provenance. To ensure high-quality data, we employ a three-stage annotation process: sentence retrieval, GPT-4o provenance, and human provenance. We evaluate 11 LLMs under direct prompting and retrieval-augmented paradigms, revealing that retrieval is essential for robust performance, larger models perform better in complex relationship classification, and closed-source models often lead, yet open-source models show significant promise, particularly with retrieval augmentation. We make our dataset available here: https://github.com/ZNLP/ZNLP-Dataset.</v>
      </c>
      <c r="D2196" s="7" t="str">
        <f>IFERROR(__xludf.DUMMYFUNCTION("""COMPUTED_VALUE"""),"Junnan Zhu")</f>
        <v>Junnan Zhu</v>
      </c>
      <c r="E2196" s="7" t="str">
        <f>IFERROR(__xludf.DUMMYFUNCTION("""COMPUTED_VALUE"""),"Yes")</f>
        <v>Yes</v>
      </c>
      <c r="F2196" s="7" t="str">
        <f>IFERROR(__xludf.DUMMYFUNCTION("""COMPUTED_VALUE"""),"V-Presentation")</f>
        <v>V-Presentation</v>
      </c>
      <c r="G2196" s="7" t="str">
        <f>IFERROR(__xludf.DUMMYFUNCTION("""COMPUTED_VALUE"""),"Virtual/Gather")</f>
        <v>Virtual/Gather</v>
      </c>
      <c r="H2196" s="7" t="str">
        <f>IFERROR(__xludf.DUMMYFUNCTION("""COMPUTED_VALUE"""),"Zoom")</f>
        <v>Zoom</v>
      </c>
      <c r="I2196" s="7" t="str">
        <f>IFERROR(__xludf.DUMMYFUNCTION("""COMPUTED_VALUE"""),"Session 2: V-Presentations")</f>
        <v>Session 2: V-Presentations</v>
      </c>
      <c r="J2196" s="7" t="str">
        <f>IFERROR(__xludf.DUMMYFUNCTION("""COMPUTED_VALUE"""),"Virtual Presentations 1")</f>
        <v>Virtual Presentations 1</v>
      </c>
      <c r="K2196" s="7"/>
      <c r="L2196" s="8">
        <f>IFERROR(__xludf.DUMMYFUNCTION("""COMPUTED_VALUE"""),45866.0)</f>
        <v>45866</v>
      </c>
      <c r="M2196" s="7" t="str">
        <f>IFERROR(__xludf.DUMMYFUNCTION("""COMPUTED_VALUE"""),"11:00-12:30")</f>
        <v>11:00-12:30</v>
      </c>
      <c r="N2196" s="7"/>
    </row>
    <row r="2197">
      <c r="A2197" s="7" t="str">
        <f>IFERROR(__xludf.DUMMYFUNCTION("""COMPUTED_VALUE"""),"1390-MAIN")</f>
        <v>1390-MAIN</v>
      </c>
      <c r="B2197" s="7" t="str">
        <f>IFERROR(__xludf.DUMMYFUNCTION("""COMPUTED_VALUE"""),"CaLMQA: Exploring culturally specific long-form question answering across 23 languages")</f>
        <v>CaLMQA: Exploring culturally specific long-form question answering across 23 languages</v>
      </c>
      <c r="C2197" s="7" t="str">
        <f>IFERROR(__xludf.DUMMYFUNCTION("""COMPUTED_VALUE"""),"Despite rising global usage of large language models (LLMs), their ability to generate *long-form* answers to *culturally specific* questions remains unexplored in many languages. To fill this gap, we perform the first study of textual multilingual long-f"&amp;"orm QA by creating CaLMQA, a dataset of **51.7K** culturally specific questions across **23** different languages. We define culturally specific questions as those that refer to concepts unique to one or a few cultures, or have different answers depending"&amp;" on the cultural or regional context. We obtain these questions by crawling naturally-occurring questions from community web forums in high-resource languages, and by hiring native speakers to write questions in under-resourced, rarely-studied languages s"&amp;"uch as Fijian and Kirundi. Our data collection methodologies are translation-free, enabling the collection of culturally unique questions like ""Kuber iki umwami wa mbere w'uburundi yitwa Ntare?"" (Kirundi; English translation: ""Why was the first king of"&amp;" Burundi called Ntare (Lion)?""). We evaluate factuality, relevance and surface-level quality of LLM-generated long-form answers, finding that (1) for many languages, even the best models make critical surface-level errors (e.g., answering in the wrong la"&amp;"nguage, repetition), especially for low-resource languages; and (2) answers to culturally specific questions contain more factual errors than answers to culturally agnostic questions – questions that have consistent meaning and answer across many cultures"&amp;". We release CaLMQA to facilitate future research in cultural and multilingual long-form QA.")</f>
        <v>Despite rising global usage of large language models (LLMs), their ability to generate *long-form* answers to *culturally specific* questions remains unexplored in many languages. To fill this gap, we perform the first study of textual multilingual long-form QA by creating CaLMQA, a dataset of **51.7K** culturally specific questions across **23** different languages. We define culturally specific questions as those that refer to concepts unique to one or a few cultures, or have different answers depending on the cultural or regional context. We obtain these questions by crawling naturally-occurring questions from community web forums in high-resource languages, and by hiring native speakers to write questions in under-resourced, rarely-studied languages such as Fijian and Kirundi. Our data collection methodologies are translation-free, enabling the collection of culturally unique questions like "Kuber iki umwami wa mbere w'uburundi yitwa Ntare?" (Kirundi; English translation: "Why was the first king of Burundi called Ntare (Lion)?"). We evaluate factuality, relevance and surface-level quality of LLM-generated long-form answers, finding that (1) for many languages, even the best models make critical surface-level errors (e.g., answering in the wrong language, repetition), especially for low-resource languages; and (2) answers to culturally specific questions contain more factual errors than answers to culturally agnostic questions – questions that have consistent meaning and answer across many cultures. We release CaLMQA to facilitate future research in cultural and multilingual long-form QA.</v>
      </c>
      <c r="D2197" s="7" t="str">
        <f>IFERROR(__xludf.DUMMYFUNCTION("""COMPUTED_VALUE"""),"Shane Arora")</f>
        <v>Shane Arora</v>
      </c>
      <c r="E2197" s="7" t="str">
        <f>IFERROR(__xludf.DUMMYFUNCTION("""COMPUTED_VALUE"""),"Yes")</f>
        <v>Yes</v>
      </c>
      <c r="F2197" s="7" t="str">
        <f>IFERROR(__xludf.DUMMYFUNCTION("""COMPUTED_VALUE"""),"IP-Poster")</f>
        <v>IP-Poster</v>
      </c>
      <c r="G2197" s="7" t="str">
        <f>IFERROR(__xludf.DUMMYFUNCTION("""COMPUTED_VALUE"""),"In-Person")</f>
        <v>In-Person</v>
      </c>
      <c r="H2197" s="7" t="str">
        <f>IFERROR(__xludf.DUMMYFUNCTION("""COMPUTED_VALUE"""),"Hall 4/5")</f>
        <v>Hall 4/5</v>
      </c>
      <c r="I2197" s="7" t="str">
        <f>IFERROR(__xludf.DUMMYFUNCTION("""COMPUTED_VALUE"""),"Session 2: IP-Posters ")</f>
        <v>Session 2: IP-Posters </v>
      </c>
      <c r="J2197" s="7" t="str">
        <f>IFERROR(__xludf.DUMMYFUNCTION("""COMPUTED_VALUE"""),"Poster Session 1")</f>
        <v>Poster Session 1</v>
      </c>
      <c r="K2197" s="7"/>
      <c r="L2197" s="8">
        <f>IFERROR(__xludf.DUMMYFUNCTION("""COMPUTED_VALUE"""),45866.0)</f>
        <v>45866</v>
      </c>
      <c r="M2197" s="7" t="str">
        <f>IFERROR(__xludf.DUMMYFUNCTION("""COMPUTED_VALUE"""),"11:00-12:30")</f>
        <v>11:00-12:30</v>
      </c>
      <c r="N2197" s="7"/>
    </row>
    <row r="2198">
      <c r="A2198" s="7" t="str">
        <f>IFERROR(__xludf.DUMMYFUNCTION("""COMPUTED_VALUE"""),"1392-MAIN")</f>
        <v>1392-MAIN</v>
      </c>
      <c r="B2198" s="7" t="str">
        <f>IFERROR(__xludf.DUMMYFUNCTION("""COMPUTED_VALUE"""),"Croppable Knowledge Graph Embedding")</f>
        <v>Croppable Knowledge Graph Embedding</v>
      </c>
      <c r="C2198" s="7" t="str">
        <f>IFERROR(__xludf.DUMMYFUNCTION("""COMPUTED_VALUE"""),"Knowledge Graph Embedding (KGE) is a common approach for Knowledge Graphs (KGs) in AI tasks. Embedding dimensions depend on application scenarios. Requiring a new dimension means training a new KGE model from scratch, increasing cost and limiting efficien"&amp;"cy and flexibility. In this work, we propose a novel KGE training framework MED. It allows one training to obtain a croppable KGE model for multiple scenarios with different dimensional needs. Sub-models of required dimensions can be directly cropped and "&amp;"used without extra training. In MED, we propose a mutual learning mechanism to improve the low-dimensional sub-models and make high-dimensional sub-models retain the low-dimensional sub-models' capacity, an evolutionary improvement mechanism to promote th"&amp;"e high-dimensional sub-models to master the triple that the low-dimensional sub-models can not, and a dynamic loss weight to adaptively balance the multiple losses. Experiments on 4 KGE models across 4 standard KG completion datasets, 3 real-world scenari"&amp;"os using a large-scale KG, and extending MED to the BERT language model demonstrate its effectiveness, high efficiency, and flexible extensibility.")</f>
        <v>Knowledge Graph Embedding (KGE) is a common approach for Knowledge Graphs (KGs) in AI tasks. Embedding dimensions depend on application scenarios. Requiring a new dimension means training a new KGE model from scratch, increasing cost and limiting efficiency and flexibility. In this work, we propose a novel KGE training framework MED. It allows one training to obtain a croppable KGE model for multiple scenarios with different dimensional needs. Sub-models of required dimensions can be directly cropped and used without extra training. In MED, we propose a mutual learning mechanism to improve the low-dimensional sub-models and make high-dimensional sub-models retain the low-dimensional sub-models' capacity, an evolutionary improvement mechanism to promote the high-dimensional sub-models to master the triple that the low-dimensional sub-models can not, and a dynamic loss weight to adaptively balance the multiple losses. Experiments on 4 KGE models across 4 standard KG completion datasets, 3 real-world scenarios using a large-scale KG, and extending MED to the BERT language model demonstrate its effectiveness, high efficiency, and flexible extensibility.</v>
      </c>
      <c r="D2198" s="7" t="str">
        <f>IFERROR(__xludf.DUMMYFUNCTION("""COMPUTED_VALUE"""),"Yushan Zhu")</f>
        <v>Yushan Zhu</v>
      </c>
      <c r="E2198" s="7" t="str">
        <f>IFERROR(__xludf.DUMMYFUNCTION("""COMPUTED_VALUE"""),"Yes")</f>
        <v>Yes</v>
      </c>
      <c r="F2198" s="7" t="str">
        <f>IFERROR(__xludf.DUMMYFUNCTION("""COMPUTED_VALUE"""),"V-Presentation")</f>
        <v>V-Presentation</v>
      </c>
      <c r="G2198" s="7" t="str">
        <f>IFERROR(__xludf.DUMMYFUNCTION("""COMPUTED_VALUE"""),"Virtual/Gather")</f>
        <v>Virtual/Gather</v>
      </c>
      <c r="H2198" s="7" t="str">
        <f>IFERROR(__xludf.DUMMYFUNCTION("""COMPUTED_VALUE"""),"Zoom")</f>
        <v>Zoom</v>
      </c>
      <c r="I2198" s="7" t="str">
        <f>IFERROR(__xludf.DUMMYFUNCTION("""COMPUTED_VALUE"""),"Session 2: V-Presentations")</f>
        <v>Session 2: V-Presentations</v>
      </c>
      <c r="J2198" s="7" t="str">
        <f>IFERROR(__xludf.DUMMYFUNCTION("""COMPUTED_VALUE"""),"Virtual Presentations 1")</f>
        <v>Virtual Presentations 1</v>
      </c>
      <c r="K2198" s="7"/>
      <c r="L2198" s="8">
        <f>IFERROR(__xludf.DUMMYFUNCTION("""COMPUTED_VALUE"""),45866.0)</f>
        <v>45866</v>
      </c>
      <c r="M2198" s="7" t="str">
        <f>IFERROR(__xludf.DUMMYFUNCTION("""COMPUTED_VALUE"""),"11:00-12:30")</f>
        <v>11:00-12:30</v>
      </c>
      <c r="N2198" s="7"/>
    </row>
    <row r="2199">
      <c r="A2199" s="7" t="str">
        <f>IFERROR(__xludf.DUMMYFUNCTION("""COMPUTED_VALUE"""),"1395-MAIN")</f>
        <v>1395-MAIN</v>
      </c>
      <c r="B2199" s="7" t="str">
        <f>IFERROR(__xludf.DUMMYFUNCTION("""COMPUTED_VALUE"""),"HyKGE: A Hypothesis Knowledge Graph Enhanced RAG Framework for Accurate and Reliable Medical LLMs Responses")</f>
        <v>HyKGE: A Hypothesis Knowledge Graph Enhanced RAG Framework for Accurate and Reliable Medical LLMs Responses</v>
      </c>
      <c r="C2199" s="7" t="str">
        <f>IFERROR(__xludf.DUMMYFUNCTION("""COMPUTED_VALUE"""),"In this paper, we investigate the retrieval-augmented generation (RAG) based on Knowledge Graphs (KGs) to improve the accuracy and reliability of Large Language Models (LLMs). Recent approaches suffer from insufficient and repetitive knowledge retrieval, "&amp;"tedious and time-consuming query parsing, and monotonous knowledge utilization. To this end, we develop a Hypothesis Knowledge Graph Enhanced (HyKGE) framework, which leverages LLMs' powerful reasoning capacity to compensate for the incompleteness of user"&amp;" queries, optimizes the interaction process with LLMs, and provides diverse retrieved knowledge. Specifically, HyKGE explores the zero-shot capability and the rich knowledge of LLMs with Hypothesis Outputs to extend feasible exploration directions in the "&amp;"KGs, as well as the carefully curated prompt to enhance the density and efficiency of LLMs' responses. Furthermore, we introduce the HO Fragment Granularity-aware Rerank Module to filter out noise while ensuring the balance between diversity and relevance"&amp;" in retrieved knowledge. Experiments on two Chinese medical multiple-choice question datasets and one Chinese open-domain medical Q&amp;A dataset with two LLM turbos demonstrate the superiority of HyKGE in terms of accuracy and explainability. Code is availab"&amp;"le at https://github.com/Artessay/HyKGE.")</f>
        <v>In this paper, we investigate the retrieval-augmented generation (RAG) based on Knowledge Graphs (KGs) to improve the accuracy and reliability of Large Language Models (LLMs). Recent approaches suffer from insufficient and repetitive knowledge retrieval, tedious and time-consuming query parsing, and monotonous knowledge utilization. To this end, we develop a Hypothesis Knowledge Graph Enhanced (HyKGE) framework, which leverages LLMs' powerful reasoning capacity to compensate for the incompleteness of user queries, optimizes the interaction process with LLMs, and provides diverse retrieved knowledge. Specifically, HyKGE explores the zero-shot capability and the rich knowledge of LLMs with Hypothesis Outputs to extend feasible exploration directions in the KGs, as well as the carefully curated prompt to enhance the density and efficiency of LLMs' responses. Furthermore, we introduce the HO Fragment Granularity-aware Rerank Module to filter out noise while ensuring the balance between diversity and relevance in retrieved knowledge. Experiments on two Chinese medical multiple-choice question datasets and one Chinese open-domain medical Q&amp;A dataset with two LLM turbos demonstrate the superiority of HyKGE in terms of accuracy and explainability. Code is available at https://github.com/Artessay/HyKGE.</v>
      </c>
      <c r="D2199" s="7" t="str">
        <f>IFERROR(__xludf.DUMMYFUNCTION("""COMPUTED_VALUE"""),"Xinke Jiang")</f>
        <v>Xinke Jiang</v>
      </c>
      <c r="E2199" s="7" t="str">
        <f>IFERROR(__xludf.DUMMYFUNCTION("""COMPUTED_VALUE"""),"Yes")</f>
        <v>Yes</v>
      </c>
      <c r="F2199" s="7" t="str">
        <f>IFERROR(__xludf.DUMMYFUNCTION("""COMPUTED_VALUE"""),"IP-Poster")</f>
        <v>IP-Poster</v>
      </c>
      <c r="G2199" s="7" t="str">
        <f>IFERROR(__xludf.DUMMYFUNCTION("""COMPUTED_VALUE"""),"In-Person")</f>
        <v>In-Person</v>
      </c>
      <c r="H2199" s="7" t="str">
        <f>IFERROR(__xludf.DUMMYFUNCTION("""COMPUTED_VALUE"""),"Hall 4/5")</f>
        <v>Hall 4/5</v>
      </c>
      <c r="I2199" s="7" t="str">
        <f>IFERROR(__xludf.DUMMYFUNCTION("""COMPUTED_VALUE"""),"Session 10: IP-Posters")</f>
        <v>Session 10: IP-Posters</v>
      </c>
      <c r="J2199" s="7" t="str">
        <f>IFERROR(__xludf.DUMMYFUNCTION("""COMPUTED_VALUE"""),"Poster Session 3")</f>
        <v>Poster Session 3</v>
      </c>
      <c r="K2199" s="7"/>
      <c r="L2199" s="8">
        <f>IFERROR(__xludf.DUMMYFUNCTION("""COMPUTED_VALUE"""),45867.0)</f>
        <v>45867</v>
      </c>
      <c r="M2199" s="7" t="str">
        <f>IFERROR(__xludf.DUMMYFUNCTION("""COMPUTED_VALUE"""),"16:00-17:30")</f>
        <v>16:00-17:30</v>
      </c>
      <c r="N2199" s="7"/>
    </row>
    <row r="2200">
      <c r="A2200" s="7" t="str">
        <f>IFERROR(__xludf.DUMMYFUNCTION("""COMPUTED_VALUE"""),"1396-MAIN")</f>
        <v>1396-MAIN</v>
      </c>
      <c r="B2200" s="7" t="str">
        <f>IFERROR(__xludf.DUMMYFUNCTION("""COMPUTED_VALUE"""),"LongRecipe: Recipe for Efficient Long Context Generalization in Large Language Models")</f>
        <v>LongRecipe: Recipe for Efficient Long Context Generalization in Large Language Models</v>
      </c>
      <c r="C2200" s="7" t="str">
        <f>IFERROR(__xludf.DUMMYFUNCTION("""COMPUTED_VALUE"""),"Large language models (LLMs) face significant challenges in handling long-context tasks because of their limited effective context window size during pretraining, which restricts their ability to generalize over extended sequences. Meanwhile, extending th"&amp;"e context window in LLMs through post-pretraining is highly resource-intensive.
To address this, we introduce LongRecipe, an efficient training strategy for extending the context window of LLMs, including impactful token analysis, position index transform"&amp;"ation, and training optimization strategies. It simulates long-sequence inputs while maintaining training efficiency and significantly improves the model's understanding of long-range dependencies. Experiments on three types of LLMs show that LongRecipe c"&amp;"an utilize long sequences while requiring only 30\% of the target context window size, and reduces computational training resource over 85\% compared to full sequence training. Furthermore, LongRecipe also preserves the original LLM's capabilities in gene"&amp;"ral tasks. Ultimately, \textit{we can extend effective context window of open-source LLMs from 8k to 128k, achieving performance close to GPT-4 with just one day of dedicated training using a single GPU with 80G memory.}
Our code is released at https://gi"&amp;"thub.com/zhiyuanhubj/LongRecipe.")</f>
        <v>Large language models (LLMs) face significant challenges in handling long-context tasks because of their limited effective context window size during pretraining, which restricts their ability to generalize over extended sequences. Meanwhile, extending the context window in LLMs through post-pretraining is highly resource-intensive.
To address this, we introduce LongRecipe, an efficient training strategy for extending the context window of LLMs, including impactful token analysis, position index transformation, and training optimization strategies. It simulates long-sequence inputs while maintaining training efficiency and significantly improves the model's understanding of long-range dependencies. Experiments on three types of LLMs show that LongRecipe can utilize long sequences while requiring only 30\% of the target context window size, and reduces computational training resource over 85\% compared to full sequence training. Furthermore, LongRecipe also preserves the original LLM's capabilities in general tasks. Ultimately, \textit{we can extend effective context window of open-source LLMs from 8k to 128k, achieving performance close to GPT-4 with just one day of dedicated training using a single GPU with 80G memory.}
Our code is released at https://github.com/zhiyuanhubj/LongRecipe.</v>
      </c>
      <c r="D2200" s="7" t="str">
        <f>IFERROR(__xludf.DUMMYFUNCTION("""COMPUTED_VALUE"""),"Zhiyuan Hu")</f>
        <v>Zhiyuan Hu</v>
      </c>
      <c r="E2200" s="7" t="str">
        <f>IFERROR(__xludf.DUMMYFUNCTION("""COMPUTED_VALUE"""),"Balance Due $50")</f>
        <v>Balance Due $50</v>
      </c>
      <c r="F2200" s="7" t="str">
        <f>IFERROR(__xludf.DUMMYFUNCTION("""COMPUTED_VALUE"""),"IP-Poster")</f>
        <v>IP-Poster</v>
      </c>
      <c r="G2200" s="7" t="str">
        <f>IFERROR(__xludf.DUMMYFUNCTION("""COMPUTED_VALUE"""),"In-Person")</f>
        <v>In-Person</v>
      </c>
      <c r="H2200" s="7" t="str">
        <f>IFERROR(__xludf.DUMMYFUNCTION("""COMPUTED_VALUE"""),"Hall 4/5")</f>
        <v>Hall 4/5</v>
      </c>
      <c r="I2200" s="7" t="str">
        <f>IFERROR(__xludf.DUMMYFUNCTION("""COMPUTED_VALUE"""),"Session 2: IP-Posters ")</f>
        <v>Session 2: IP-Posters </v>
      </c>
      <c r="J2200" s="7" t="str">
        <f>IFERROR(__xludf.DUMMYFUNCTION("""COMPUTED_VALUE"""),"Poster Session 1")</f>
        <v>Poster Session 1</v>
      </c>
      <c r="K2200" s="7"/>
      <c r="L2200" s="8">
        <f>IFERROR(__xludf.DUMMYFUNCTION("""COMPUTED_VALUE"""),45866.0)</f>
        <v>45866</v>
      </c>
      <c r="M2200" s="7" t="str">
        <f>IFERROR(__xludf.DUMMYFUNCTION("""COMPUTED_VALUE"""),"11:00-12:30")</f>
        <v>11:00-12:30</v>
      </c>
      <c r="N2200" s="7"/>
    </row>
    <row r="2201">
      <c r="A2201" s="7" t="str">
        <f>IFERROR(__xludf.DUMMYFUNCTION("""COMPUTED_VALUE"""),"1398-MAIN")</f>
        <v>1398-MAIN</v>
      </c>
      <c r="B2201" s="7" t="str">
        <f>IFERROR(__xludf.DUMMYFUNCTION("""COMPUTED_VALUE"""),"BeamLoRA: Beam-Constraint Low-Rank Adaptation")</f>
        <v>BeamLoRA: Beam-Constraint Low-Rank Adaptation</v>
      </c>
      <c r="C2201" s="7" t="str">
        <f>IFERROR(__xludf.DUMMYFUNCTION("""COMPUTED_VALUE"""),"Due to the demand for efficient fine-tuning of large language models, Low-Rank Adaptation (LoRA) has been widely adopted as one of the most effective parameter-efficient fine-tuning methods. Nevertheless, while LoRA improves efficiency, there remains room"&amp;" for improvement in accuracy. Herein, we adopt a novel perspective to assess the characteristics of LoRA ranks. The results reveal that different ranks within the LoRA modules not only exhibit varying levels of importance but also evolve dynamically throu"&amp;"ghout the fine-tuning process, which may limit the performance of LoRA. Based on these findings, we propose BeamLoRA, which conceptualizes each LoRA module as a beam where each rank naturally corresponds to a potential sub-solution, and the fine-tuning pr"&amp;"ocess becomes a search for the optimal sub-solution combination. BeamLoRA dynamically eliminates underperforming sub-solutions while expanding the parameter space for promising ones, enhancing performance with a fixed rank. Extensive experiments across th"&amp;"ree base models and 12 datasets spanning math reasoning, code generation, and commonsense reasoning demonstrate that BeamLoRA consistently enhances the performance of LoRA, surpassing the other baseline methods.")</f>
        <v>Due to the demand for efficient fine-tuning of large language models, Low-Rank Adaptation (LoRA) has been widely adopted as one of the most effective parameter-efficient fine-tuning methods. Nevertheless, while LoRA improves efficiency, there remains room for improvement in accuracy. Herein, we adopt a novel perspective to assess the characteristics of LoRA ranks. The results reveal that different ranks within the LoRA modules not only exhibit varying levels of importance but also evolve dynamically throughout the fine-tuning process, which may limit the performance of LoRA. Based on these findings, we propose BeamLoRA, which conceptualizes each LoRA module as a beam where each rank naturally corresponds to a potential sub-solution, and the fine-tuning process becomes a search for the optimal sub-solution combination. BeamLoRA dynamically eliminates underperforming sub-solutions while expanding the parameter space for promising ones, enhancing performance with a fixed rank. Extensive experiments across three base models and 12 datasets spanning math reasoning, code generation, and commonsense reasoning demonstrate that BeamLoRA consistently enhances the performance of LoRA, surpassing the other baseline methods.</v>
      </c>
      <c r="D2201" s="7" t="str">
        <f>IFERROR(__xludf.DUMMYFUNCTION("""COMPUTED_VALUE"""),"Naibin Gu")</f>
        <v>Naibin Gu</v>
      </c>
      <c r="E2201" s="7" t="str">
        <f>IFERROR(__xludf.DUMMYFUNCTION("""COMPUTED_VALUE"""),"Yes")</f>
        <v>Yes</v>
      </c>
      <c r="F2201" s="7" t="str">
        <f>IFERROR(__xludf.DUMMYFUNCTION("""COMPUTED_VALUE"""),"IP-Poster")</f>
        <v>IP-Poster</v>
      </c>
      <c r="G2201" s="7" t="str">
        <f>IFERROR(__xludf.DUMMYFUNCTION("""COMPUTED_VALUE"""),"In-Person")</f>
        <v>In-Person</v>
      </c>
      <c r="H2201" s="7" t="str">
        <f>IFERROR(__xludf.DUMMYFUNCTION("""COMPUTED_VALUE"""),"Hall 4/5")</f>
        <v>Hall 4/5</v>
      </c>
      <c r="I2201" s="7" t="str">
        <f>IFERROR(__xludf.DUMMYFUNCTION("""COMPUTED_VALUE"""),"Session 10: IP-Posters")</f>
        <v>Session 10: IP-Posters</v>
      </c>
      <c r="J2201" s="7" t="str">
        <f>IFERROR(__xludf.DUMMYFUNCTION("""COMPUTED_VALUE"""),"Poster Session 3")</f>
        <v>Poster Session 3</v>
      </c>
      <c r="K2201" s="7"/>
      <c r="L2201" s="8">
        <f>IFERROR(__xludf.DUMMYFUNCTION("""COMPUTED_VALUE"""),45867.0)</f>
        <v>45867</v>
      </c>
      <c r="M2201" s="7" t="str">
        <f>IFERROR(__xludf.DUMMYFUNCTION("""COMPUTED_VALUE"""),"16:00-17:30")</f>
        <v>16:00-17:30</v>
      </c>
      <c r="N2201" s="7"/>
    </row>
    <row r="2202">
      <c r="A2202" s="7" t="str">
        <f>IFERROR(__xludf.DUMMYFUNCTION("""COMPUTED_VALUE"""),"1399-MAIN")</f>
        <v>1399-MAIN</v>
      </c>
      <c r="B2202" s="7" t="str">
        <f>IFERROR(__xludf.DUMMYFUNCTION("""COMPUTED_VALUE"""),"GODBench: A Benchmark for Multimodal Large Language Models in Video Comment Art")</f>
        <v>GODBench: A Benchmark for Multimodal Large Language Models in Video Comment Art</v>
      </c>
      <c r="C2202" s="7" t="str">
        <f>IFERROR(__xludf.DUMMYFUNCTION("""COMPUTED_VALUE"""),"***Video Comment Art*** enhances user engagement by providing creative content that conveys humor, satire, or emotional resonance, requiring a nuanced and comprehensive grasp of cultural and contextual subtleties. Although Multimodal Large Language Models"&amp;" (MLLMs) and Chain-of-Thought (CoT) have demonstrated strong reasoning abilities in STEM tasks (e.g. mathematics and coding), they still struggle to generate creative expressions such as resonant jokes and insightful satire. Moreover, existing benchmarks "&amp;"are constrained by their limited modalities and insufficient categories, hindering the exploration of comprehensive creativity in video-based Comment Art creation. To address these limitations, we introduce **GODBench**, a novel benchmark that integrates "&amp;"video and text modalities to systematically evaluate MLLMs' abilities to compose Comment Art. Furthermore, inspired by the propagation patterns of waves in physics, we propose **Ripple of Thought (RoT)**, a multi-step reasoning framework designed to enhan"&amp;"ce the creativity of MLLMs. Extensive experiments on GODBench reveal that existing MLLMs and CoT methods still face significant challenges in understanding and generating creative video comments. In contrast, RoT provides an effective approach to improvin"&amp;"g creative composing, highlighting its potential to drive meaningful advancements in MLLM-based creativity.")</f>
        <v>***Video Comment Art*** enhances user engagement by providing creative content that conveys humor, satire, or emotional resonance, requiring a nuanced and comprehensive grasp of cultural and contextual subtleties. Although Multimodal Large Language Models (MLLMs) and Chain-of-Thought (CoT) have demonstrated strong reasoning abilities in STEM tasks (e.g. mathematics and coding), they still struggle to generate creative expressions such as resonant jokes and insightful satire. Moreover, existing benchmarks are constrained by their limited modalities and insufficient categories, hindering the exploration of comprehensive creativity in video-based Comment Art creation. To address these limitations, we introduce **GODBench**, a novel benchmark that integrates video and text modalities to systematically evaluate MLLMs' abilities to compose Comment Art. Furthermore, inspired by the propagation patterns of waves in physics, we propose **Ripple of Thought (RoT)**, a multi-step reasoning framework designed to enhance the creativity of MLLMs. Extensive experiments on GODBench reveal that existing MLLMs and CoT methods still face significant challenges in understanding and generating creative video comments. In contrast, RoT provides an effective approach to improving creative composing, highlighting its potential to drive meaningful advancements in MLLM-based creativity.</v>
      </c>
      <c r="D2202" s="7" t="str">
        <f>IFERROR(__xludf.DUMMYFUNCTION("""COMPUTED_VALUE"""),"Yiming Lei")</f>
        <v>Yiming Lei</v>
      </c>
      <c r="E2202" s="7" t="str">
        <f>IFERROR(__xludf.DUMMYFUNCTION("""COMPUTED_VALUE"""),"Yes")</f>
        <v>Yes</v>
      </c>
      <c r="F2202" s="7" t="str">
        <f>IFERROR(__xludf.DUMMYFUNCTION("""COMPUTED_VALUE"""),"IP-Poster")</f>
        <v>IP-Poster</v>
      </c>
      <c r="G2202" s="7" t="str">
        <f>IFERROR(__xludf.DUMMYFUNCTION("""COMPUTED_VALUE"""),"In-Person")</f>
        <v>In-Person</v>
      </c>
      <c r="H2202" s="7" t="str">
        <f>IFERROR(__xludf.DUMMYFUNCTION("""COMPUTED_VALUE"""),"Hall 4/5")</f>
        <v>Hall 4/5</v>
      </c>
      <c r="I2202" s="7" t="str">
        <f>IFERROR(__xludf.DUMMYFUNCTION("""COMPUTED_VALUE"""),"Session 2: IP-Posters ")</f>
        <v>Session 2: IP-Posters </v>
      </c>
      <c r="J2202" s="7" t="str">
        <f>IFERROR(__xludf.DUMMYFUNCTION("""COMPUTED_VALUE"""),"Poster Session 1")</f>
        <v>Poster Session 1</v>
      </c>
      <c r="K2202" s="7"/>
      <c r="L2202" s="8">
        <f>IFERROR(__xludf.DUMMYFUNCTION("""COMPUTED_VALUE"""),45866.0)</f>
        <v>45866</v>
      </c>
      <c r="M2202" s="7" t="str">
        <f>IFERROR(__xludf.DUMMYFUNCTION("""COMPUTED_VALUE"""),"11:00-12:30")</f>
        <v>11:00-12:30</v>
      </c>
      <c r="N2202" s="7"/>
    </row>
    <row r="2203">
      <c r="A2203" s="7" t="str">
        <f>IFERROR(__xludf.DUMMYFUNCTION("""COMPUTED_VALUE"""),"1402-MAIN")</f>
        <v>1402-MAIN</v>
      </c>
      <c r="B2203" s="7" t="str">
        <f>IFERROR(__xludf.DUMMYFUNCTION("""COMPUTED_VALUE"""),"UniLR: Unleashing the Power of LLMs on Multiple Legal Tasks with a Unified Legal Retriever")</f>
        <v>UniLR: Unleashing the Power of LLMs on Multiple Legal Tasks with a Unified Legal Retriever</v>
      </c>
      <c r="C2203" s="7" t="str">
        <f>IFERROR(__xludf.DUMMYFUNCTION("""COMPUTED_VALUE"""),"Despite the impressive capabilities of LLMs, they often generate content with factual inaccuracies in LegalAI, which may lead to serious legal consequences. Retrieval-Augmented Generation (RAG), a promising approach, can conveniently integrate specialized"&amp;" knowledge into LLMs. In practice, there are diverse legal knowledge retrieval demands (e.g. law articles and similar cases). However, existing retrieval methods are either designed for general domains, struggling with legal knowledge, or tailored for spe"&amp;"cific legal tasks, unable to handle diverse legal knowledge types. Therefore, we propose a novel **Uni**fied **L**egal **R**etriever (UniLR) capable of performing multiple legal retrieval tasks for LLMs. Specifically, we introduce attention supervision to"&amp;" guide the retriever in focusing on key elements during knowledge encoding. Next, we design a graph-based method to integrate meta information through a heterogeneous graph, further enriching the knowledge representation. These two components work togethe"&amp;"r to enable UniLR to capture the essence of knowledge hidden beneath formats. Extensive experiments on multiple datasets of common legal tasks demonstrate that UniLR achieves the best retrieval performance and can significantly enhance the performance of "&amp;"LLM.")</f>
        <v>Despite the impressive capabilities of LLMs, they often generate content with factual inaccuracies in LegalAI, which may lead to serious legal consequences. Retrieval-Augmented Generation (RAG), a promising approach, can conveniently integrate specialized knowledge into LLMs. In practice, there are diverse legal knowledge retrieval demands (e.g. law articles and similar cases). However, existing retrieval methods are either designed for general domains, struggling with legal knowledge, or tailored for specific legal tasks, unable to handle diverse legal knowledge types. Therefore, we propose a novel **Uni**fied **L**egal **R**etriever (UniLR) capable of performing multiple legal retrieval tasks for LLMs. Specifically, we introduce attention supervision to guide the retriever in focusing on key elements during knowledge encoding. Next, we design a graph-based method to integrate meta information through a heterogeneous graph, further enriching the knowledge representation. These two components work together to enable UniLR to capture the essence of knowledge hidden beneath formats. Extensive experiments on multiple datasets of common legal tasks demonstrate that UniLR achieves the best retrieval performance and can significantly enhance the performance of LLM.</v>
      </c>
      <c r="D2203" s="7" t="str">
        <f>IFERROR(__xludf.DUMMYFUNCTION("""COMPUTED_VALUE"""),"Ang Li")</f>
        <v>Ang Li</v>
      </c>
      <c r="E2203" s="7" t="str">
        <f>IFERROR(__xludf.DUMMYFUNCTION("""COMPUTED_VALUE"""),"Yes")</f>
        <v>Yes</v>
      </c>
      <c r="F2203" s="7" t="str">
        <f>IFERROR(__xludf.DUMMYFUNCTION("""COMPUTED_VALUE"""),"IP-Poster")</f>
        <v>IP-Poster</v>
      </c>
      <c r="G2203" s="7" t="str">
        <f>IFERROR(__xludf.DUMMYFUNCTION("""COMPUTED_VALUE"""),"In-Person")</f>
        <v>In-Person</v>
      </c>
      <c r="H2203" s="7" t="str">
        <f>IFERROR(__xludf.DUMMYFUNCTION("""COMPUTED_VALUE"""),"Hall 4/5")</f>
        <v>Hall 4/5</v>
      </c>
      <c r="I2203" s="7" t="str">
        <f>IFERROR(__xludf.DUMMYFUNCTION("""COMPUTED_VALUE"""),"Session 2: IP-Posters ")</f>
        <v>Session 2: IP-Posters </v>
      </c>
      <c r="J2203" s="7" t="str">
        <f>IFERROR(__xludf.DUMMYFUNCTION("""COMPUTED_VALUE"""),"Poster Session 1")</f>
        <v>Poster Session 1</v>
      </c>
      <c r="K2203" s="7"/>
      <c r="L2203" s="8">
        <f>IFERROR(__xludf.DUMMYFUNCTION("""COMPUTED_VALUE"""),45866.0)</f>
        <v>45866</v>
      </c>
      <c r="M2203" s="7" t="str">
        <f>IFERROR(__xludf.DUMMYFUNCTION("""COMPUTED_VALUE"""),"11:00-12:30")</f>
        <v>11:00-12:30</v>
      </c>
      <c r="N2203" s="7"/>
    </row>
    <row r="2204">
      <c r="A2204" s="7" t="str">
        <f>IFERROR(__xludf.DUMMYFUNCTION("""COMPUTED_VALUE"""),"1403-MAIN")</f>
        <v>1403-MAIN</v>
      </c>
      <c r="B2204" s="7" t="str">
        <f>IFERROR(__xludf.DUMMYFUNCTION("""COMPUTED_VALUE"""),"Generative Psycho-Lexical Approach for Constructing Value Systems in Large Language Models")</f>
        <v>Generative Psycho-Lexical Approach for Constructing Value Systems in Large Language Models</v>
      </c>
      <c r="C2204" s="7" t="str">
        <f>IFERROR(__xludf.DUMMYFUNCTION("""COMPUTED_VALUE"""),"Values are core drivers of individual and collective perception, cognition, and behavior. Value systems, such as Schwartz's Theory of Basic Human Values, delineate the hierarchy and interplay among these values, enabling cross-disciplinary investigations "&amp;"into decision-making and societal dynamics. Recently, the rise of Large Language Models (LLMs) has raised concerns regarding their elusive intrinsic values. Despite growing efforts in evaluating, understanding, and aligning LLM values, a psychologically g"&amp;"rounded LLM value system remains underexplored. This study addresses the gap by introducing the Generative Psycho-Lexical Approach (GPLA), a scalable, adaptable, and theoretically informed method for constructing value systems. Leveraging GPLA, we propose"&amp;" a psychologically grounded five-factor value system tailored for LLMs. For systematic validation, we present three benchmarking tasks that integrate psychological principles with cutting-edge AI priorities. Our results reveal that the proposed value syst"&amp;"em meets standard psychological criteria, better captures LLM values, improves LLM safety prediction, and enhances LLM alignment, when compared to the canonical Schwartz's values.")</f>
        <v>Values are core drivers of individual and collective perception, cognition, and behavior. Value systems, such as Schwartz's Theory of Basic Human Values, delineate the hierarchy and interplay among these values, enabling cross-disciplinary investigations into decision-making and societal dynamics. Recently, the rise of Large Language Models (LLMs) has raised concerns regarding their elusive intrinsic values. Despite growing efforts in evaluating, understanding, and aligning LLM values, a psychologically grounded LLM value system remains underexplored. This study addresses the gap by introducing the Generative Psycho-Lexical Approach (GPLA), a scalable, adaptable, and theoretically informed method for constructing value systems. Leveraging GPLA, we propose a psychologically grounded five-factor value system tailored for LLMs. For systematic validation, we present three benchmarking tasks that integrate psychological principles with cutting-edge AI priorities. Our results reveal that the proposed value system meets standard psychological criteria, better captures LLM values, improves LLM safety prediction, and enhances LLM alignment, when compared to the canonical Schwartz's values.</v>
      </c>
      <c r="D2204" s="7" t="str">
        <f>IFERROR(__xludf.DUMMYFUNCTION("""COMPUTED_VALUE"""),"Haoran Ye")</f>
        <v>Haoran Ye</v>
      </c>
      <c r="E2204" s="7" t="str">
        <f>IFERROR(__xludf.DUMMYFUNCTION("""COMPUTED_VALUE"""),"Yes")</f>
        <v>Yes</v>
      </c>
      <c r="F2204" s="7" t="str">
        <f>IFERROR(__xludf.DUMMYFUNCTION("""COMPUTED_VALUE"""),"IP-Poster")</f>
        <v>IP-Poster</v>
      </c>
      <c r="G2204" s="7" t="str">
        <f>IFERROR(__xludf.DUMMYFUNCTION("""COMPUTED_VALUE"""),"In-Person")</f>
        <v>In-Person</v>
      </c>
      <c r="H2204" s="7" t="str">
        <f>IFERROR(__xludf.DUMMYFUNCTION("""COMPUTED_VALUE"""),"Hall 4/5")</f>
        <v>Hall 4/5</v>
      </c>
      <c r="I2204" s="7" t="str">
        <f>IFERROR(__xludf.DUMMYFUNCTION("""COMPUTED_VALUE"""),"Session 2: IP-Posters ")</f>
        <v>Session 2: IP-Posters </v>
      </c>
      <c r="J2204" s="7" t="str">
        <f>IFERROR(__xludf.DUMMYFUNCTION("""COMPUTED_VALUE"""),"Poster Session 1")</f>
        <v>Poster Session 1</v>
      </c>
      <c r="K2204" s="7"/>
      <c r="L2204" s="8">
        <f>IFERROR(__xludf.DUMMYFUNCTION("""COMPUTED_VALUE"""),45866.0)</f>
        <v>45866</v>
      </c>
      <c r="M2204" s="7" t="str">
        <f>IFERROR(__xludf.DUMMYFUNCTION("""COMPUTED_VALUE"""),"11:00-12:30")</f>
        <v>11:00-12:30</v>
      </c>
      <c r="N2204" s="7"/>
    </row>
    <row r="2205">
      <c r="A2205" s="7" t="str">
        <f>IFERROR(__xludf.DUMMYFUNCTION("""COMPUTED_VALUE"""),"1405-MAIN")</f>
        <v>1405-MAIN</v>
      </c>
      <c r="B2205" s="7" t="str">
        <f>IFERROR(__xludf.DUMMYFUNCTION("""COMPUTED_VALUE"""),"Beyond Dialogue: A Profile-Dialogue Alignment Framework Towards General Role-Playing Language Model")</f>
        <v>Beyond Dialogue: A Profile-Dialogue Alignment Framework Towards General Role-Playing Language Model</v>
      </c>
      <c r="C2205" s="7" t="str">
        <f>IFERROR(__xludf.DUMMYFUNCTION("""COMPUTED_VALUE"""),"The rapid advancement of large language models (LLMs) has revolutionized role-playing, enabling the development of general role-playing models. However, current role-playing training has two significant issues: (I) Using a predefined role profile to promp"&amp;"t dialogue training for specific scenarios usually leads to biases and even conflicts between the dialogue and the profile, resulting in training biases. (II) Models learn to imitate the role based solely on the profile, neglecting profile-dialogue alignm"&amp;"ent at the sentence level. To overcome the aforementioned hurdles, we propose a novel framework **Beyond Dialogue**, which introduces ""beyond dialogue"" tasks to align dialogue with profile traits for each scenario, eliminating biases during training. Fu"&amp;"rthermore, the framework achieves a sentence-level fine-grained alignment between profile and dialogue through an innovative prompting mechanism that generates reasoning data for training. Moreover, the aforementioned methods are fully automated and low-c"&amp;"ost. Experimental results demonstrate our model excels in adhering to role profiles, outperforming most proprietary general and specialized role-playing baselines. The code and data are provided in https://github.com/yuyouyu32/BeyondDialogue.")</f>
        <v>The rapid advancement of large language models (LLMs) has revolutionized role-playing, enabling the development of general role-playing models. However, current role-playing training has two significant issues: (I) Using a predefined role profile to prompt dialogue training for specific scenarios usually leads to biases and even conflicts between the dialogue and the profile, resulting in training biases. (II) Models learn to imitate the role based solely on the profile, neglecting profile-dialogue alignment at the sentence level. To overcome the aforementioned hurdles, we propose a novel framework **Beyond Dialogue**, which introduces "beyond dialogue" tasks to align dialogue with profile traits for each scenario, eliminating biases during training. Furthermore, the framework achieves a sentence-level fine-grained alignment between profile and dialogue through an innovative prompting mechanism that generates reasoning data for training. Moreover, the aforementioned methods are fully automated and low-cost. Experimental results demonstrate our model excels in adhering to role profiles, outperforming most proprietary general and specialized role-playing baselines. The code and data are provided in https://github.com/yuyouyu32/BeyondDialogue.</v>
      </c>
      <c r="D2205" s="7" t="str">
        <f>IFERROR(__xludf.DUMMYFUNCTION("""COMPUTED_VALUE"""),"Yeyong Yu")</f>
        <v>Yeyong Yu</v>
      </c>
      <c r="E2205" s="7" t="str">
        <f>IFERROR(__xludf.DUMMYFUNCTION("""COMPUTED_VALUE"""),"Yes")</f>
        <v>Yes</v>
      </c>
      <c r="F2205" s="7" t="str">
        <f>IFERROR(__xludf.DUMMYFUNCTION("""COMPUTED_VALUE"""),"IP-Poster")</f>
        <v>IP-Poster</v>
      </c>
      <c r="G2205" s="7" t="str">
        <f>IFERROR(__xludf.DUMMYFUNCTION("""COMPUTED_VALUE"""),"In-Person")</f>
        <v>In-Person</v>
      </c>
      <c r="H2205" s="7" t="str">
        <f>IFERROR(__xludf.DUMMYFUNCTION("""COMPUTED_VALUE"""),"Hall 4/5")</f>
        <v>Hall 4/5</v>
      </c>
      <c r="I2205" s="7" t="str">
        <f>IFERROR(__xludf.DUMMYFUNCTION("""COMPUTED_VALUE"""),"Session 2: IP-Posters ")</f>
        <v>Session 2: IP-Posters </v>
      </c>
      <c r="J2205" s="7" t="str">
        <f>IFERROR(__xludf.DUMMYFUNCTION("""COMPUTED_VALUE"""),"Poster Session 1")</f>
        <v>Poster Session 1</v>
      </c>
      <c r="K2205" s="7"/>
      <c r="L2205" s="8">
        <f>IFERROR(__xludf.DUMMYFUNCTION("""COMPUTED_VALUE"""),45866.0)</f>
        <v>45866</v>
      </c>
      <c r="M2205" s="7" t="str">
        <f>IFERROR(__xludf.DUMMYFUNCTION("""COMPUTED_VALUE"""),"11:00-12:30")</f>
        <v>11:00-12:30</v>
      </c>
      <c r="N2205" s="7"/>
    </row>
    <row r="2206">
      <c r="A2206" s="7" t="str">
        <f>IFERROR(__xludf.DUMMYFUNCTION("""COMPUTED_VALUE"""),"1412-MAIN")</f>
        <v>1412-MAIN</v>
      </c>
      <c r="B2206" s="7" t="str">
        <f>IFERROR(__xludf.DUMMYFUNCTION("""COMPUTED_VALUE"""),"ACECODER: Acing Coder RL via Automated Test-Case Synthesis")</f>
        <v>ACECODER: Acing Coder RL via Automated Test-Case Synthesis</v>
      </c>
      <c r="C2206" s="7" t="str">
        <f>IFERROR(__xludf.DUMMYFUNCTION("""COMPUTED_VALUE"""),"Most progress in recent coder models has been driven by supervised fine-tuning (SFT), while the potential of reinforcement learning (RL) remains largely unexplored, primarily due to the lack of reliable reward data/model in the code domain. In this paper,"&amp;" we address this challenge by leveraging automated large-scale test-case synthesis to enhance code model training. Specifically, we design a pipeline that generates extensive (question, test-cases) pairs from existing code data. Using these test cases, we"&amp;" construct preference pairs based on pass rates over sampled programs to train reward models with Bradley-Terry loss. It shows an average of 10-point improvement for Llama-3.1-8B-Ins and 5-point improvement for Qwen2.5-Coder-7B-Ins through best-of-32 samp"&amp;"ling, making the 7B model on par with 236B DeepSeek-V2.5. Furthermore, we conduct reinforcement learning with both reward models and test-case pass rewards, leading to consistent improvements across HumanEval, MBPP, BigCodeBench, and LiveCodeBench (V4). N"&amp;"otably, we follow the R1-style training to start from Qwen2.5-Coder-base directly and show that our RL training can improve model on HumanEval-plus by over 25% and MBPP-plus by 6% for merely 80 optimization steps. We believe our results highlight the huge"&amp;" potential of reinforcement learning in coder models.")</f>
        <v>Most progress in recent coder models has been driven by supervised fine-tuning (SFT), while the potential of reinforcement learning (RL) remains largely unexplored, primarily due to the lack of reliable reward data/model in the code domain. In this paper, we address this challenge by leveraging automated large-scale test-case synthesis to enhance code model training. Specifically, we design a pipeline that generates extensive (question, test-cases) pairs from existing code data. Using these test cases, we construct preference pairs based on pass rates over sampled programs to train reward models with Bradley-Terry loss. It shows an average of 10-point improvement for Llama-3.1-8B-Ins and 5-point improvement for Qwen2.5-Coder-7B-Ins through best-of-32 sampling, making the 7B model on par with 236B DeepSeek-V2.5. Furthermore, we conduct reinforcement learning with both reward models and test-case pass rewards, leading to consistent improvements across HumanEval, MBPP, BigCodeBench, and LiveCodeBench (V4). Notably, we follow the R1-style training to start from Qwen2.5-Coder-base directly and show that our RL training can improve model on HumanEval-plus by over 25% and MBPP-plus by 6% for merely 80 optimization steps. We believe our results highlight the huge potential of reinforcement learning in coder models.</v>
      </c>
      <c r="D2206" s="7" t="str">
        <f>IFERROR(__xludf.DUMMYFUNCTION("""COMPUTED_VALUE"""),"Dongfu Jiang, Huaye Zeng")</f>
        <v>Dongfu Jiang, Huaye Zeng</v>
      </c>
      <c r="E2206" s="7" t="str">
        <f>IFERROR(__xludf.DUMMYFUNCTION("""COMPUTED_VALUE"""),"Yes")</f>
        <v>Yes</v>
      </c>
      <c r="F2206" s="7" t="str">
        <f>IFERROR(__xludf.DUMMYFUNCTION("""COMPUTED_VALUE"""),"IP-Poster")</f>
        <v>IP-Poster</v>
      </c>
      <c r="G2206" s="7" t="str">
        <f>IFERROR(__xludf.DUMMYFUNCTION("""COMPUTED_VALUE"""),"In-Person")</f>
        <v>In-Person</v>
      </c>
      <c r="H2206" s="7" t="str">
        <f>IFERROR(__xludf.DUMMYFUNCTION("""COMPUTED_VALUE"""),"Hall 4/5")</f>
        <v>Hall 4/5</v>
      </c>
      <c r="I2206" s="7" t="str">
        <f>IFERROR(__xludf.DUMMYFUNCTION("""COMPUTED_VALUE"""),"Session 12: IP-Posters")</f>
        <v>Session 12: IP-Posters</v>
      </c>
      <c r="J2206" s="7" t="str">
        <f>IFERROR(__xludf.DUMMYFUNCTION("""COMPUTED_VALUE"""),"Poster Session 4")</f>
        <v>Poster Session 4</v>
      </c>
      <c r="K2206" s="7"/>
      <c r="L2206" s="8">
        <f>IFERROR(__xludf.DUMMYFUNCTION("""COMPUTED_VALUE"""),45868.0)</f>
        <v>45868</v>
      </c>
      <c r="M2206" s="7" t="str">
        <f>IFERROR(__xludf.DUMMYFUNCTION("""COMPUTED_VALUE"""),"11:00-12:30")</f>
        <v>11:00-12:30</v>
      </c>
      <c r="N2206" s="7"/>
    </row>
    <row r="2207">
      <c r="A2207" s="7" t="str">
        <f>IFERROR(__xludf.DUMMYFUNCTION("""COMPUTED_VALUE"""),"1417-MAIN")</f>
        <v>1417-MAIN</v>
      </c>
      <c r="B2207" s="7" t="str">
        <f>IFERROR(__xludf.DUMMYFUNCTION("""COMPUTED_VALUE"""),"Quantifying Semantic Emergence in Language Models")</f>
        <v>Quantifying Semantic Emergence in Language Models</v>
      </c>
      <c r="C2207" s="7" t="str">
        <f>IFERROR(__xludf.DUMMYFUNCTION("""COMPUTED_VALUE"""),"Large language models (LLMs) are widely recognized for their exceptional capacity to capture semantics meaning. Yet, there remains no established metric to quantify this capability. In this work, we introduce a quantitative metric, Information Emergence ("&amp;"IE), designed to measure LLMs' ability to extract semantics from input tokens. We formalize ``semantics'' as the meaningful information abstracted from a sequence of tokens and quantify this by comparing the entropy reduction observed for a sequence of to"&amp;"kens (macro-level) and individual tokens (micro-level). To achieve this, we design a lightweight estimator to compute the mutual information at each transformer layer, which is agnostic to different tasks and language model architectures. We apply IE in b"&amp;"oth synthetic in-context learning (ICL) scenarios and natural sentence contexts. Experiments demonstrate informativeness and patterns about semantics. While some of these patterns confirm the conventional prior linguistic knowledge, the rest are relativel"&amp;"y unexpected, which may provide new insights.")</f>
        <v>Large language models (LLMs) are widely recognized for their exceptional capacity to capture semantics meaning. Yet, there remains no established metric to quantify this capability. In this work, we introduce a quantitative metric, Information Emergence (IE), designed to measure LLMs' ability to extract semantics from input tokens. We formalize ``semantics'' as the meaningful information abstracted from a sequence of tokens and quantify this by comparing the entropy reduction observed for a sequence of tokens (macro-level) and individual tokens (micro-level). To achieve this, we design a lightweight estimator to compute the mutual information at each transformer layer, which is agnostic to different tasks and language model architectures. We apply IE in both synthetic in-context learning (ICL) scenarios and natural sentence contexts. Experiments demonstrate informativeness and patterns about semantics. While some of these patterns confirm the conventional prior linguistic knowledge, the rest are relatively unexpected, which may provide new insights.</v>
      </c>
      <c r="D2207" s="7" t="str">
        <f>IFERROR(__xludf.DUMMYFUNCTION("""COMPUTED_VALUE"""),"Hang Chen")</f>
        <v>Hang Chen</v>
      </c>
      <c r="E2207" s="7" t="str">
        <f>IFERROR(__xludf.DUMMYFUNCTION("""COMPUTED_VALUE"""),"Yes")</f>
        <v>Yes</v>
      </c>
      <c r="F2207" s="7" t="str">
        <f>IFERROR(__xludf.DUMMYFUNCTION("""COMPUTED_VALUE"""),"V-Presentation")</f>
        <v>V-Presentation</v>
      </c>
      <c r="G2207" s="7" t="str">
        <f>IFERROR(__xludf.DUMMYFUNCTION("""COMPUTED_VALUE"""),"Virtual/Gather")</f>
        <v>Virtual/Gather</v>
      </c>
      <c r="H2207" s="7" t="str">
        <f>IFERROR(__xludf.DUMMYFUNCTION("""COMPUTED_VALUE"""),"Zoom")</f>
        <v>Zoom</v>
      </c>
      <c r="I2207" s="7" t="str">
        <f>IFERROR(__xludf.DUMMYFUNCTION("""COMPUTED_VALUE"""),"Session 7: V--Presentations ")</f>
        <v>Session 7: V--Presentations </v>
      </c>
      <c r="J2207" s="7" t="str">
        <f>IFERROR(__xludf.DUMMYFUNCTION("""COMPUTED_VALUE"""),"Virtual Presentations 2")</f>
        <v>Virtual Presentations 2</v>
      </c>
      <c r="K2207" s="7"/>
      <c r="L2207" s="8"/>
      <c r="M2207" s="7" t="str">
        <f>IFERROR(__xludf.DUMMYFUNCTION("""COMPUTED_VALUE"""),"10:30-12:00")</f>
        <v>10:30-12:00</v>
      </c>
      <c r="N2207" s="7"/>
    </row>
    <row r="2208">
      <c r="A2208" s="7" t="str">
        <f>IFERROR(__xludf.DUMMYFUNCTION("""COMPUTED_VALUE"""),"1418-MAIN")</f>
        <v>1418-MAIN</v>
      </c>
      <c r="B2208" s="7" t="str">
        <f>IFERROR(__xludf.DUMMYFUNCTION("""COMPUTED_VALUE"""),"DebateCoder: Towards Collective Intelligence of LLMs via Test Case Driven LLM Debate for Code Generation")</f>
        <v>DebateCoder: Towards Collective Intelligence of LLMs via Test Case Driven LLM Debate for Code Generation</v>
      </c>
      <c r="C2208" s="7" t="str">
        <f>IFERROR(__xludf.DUMMYFUNCTION("""COMPUTED_VALUE"""),"With the impressive reasoning and text generation capabilities of large language models (LLMs), methods leveraging multiple LLMs to debate each other have garnered increasing attention. However, existing debate-based approaches remain limited in effective"&amp;"ness in structured and detailed domains represented by code generation due to several reasons: 1) Reliance on different instances of the same LLM for debate, neglecting the potential benefits of integrating diverse models with varied internal knowledge fo"&amp;"r more comprehensive code generation, 2) under-utilization of test cases, and 3) reliance on third-party LLM moderators for result consolidation and decision-making, probably introducing hallucinations and judgment errors. To address these challenges, we "&amp;"propose DebateCoder to collect intelligence of LLMs via test case-driven debate for code generation. In DebateCoder, test cases serve as a medium for models to analyze code and identify bugs, while opposing models generate test cases to challenge each oth"&amp;"er's code during the debate process. These test cases, along with their execution results, are elaborately leveraged to refine and enhance the code through a novel contrastive analysis process. Furthermore, DebateCoder leverages test case outcomes to asse"&amp;"ss code quality and determine convergence criteria. Unlike previous approaches, DebateCoder emphasizes the collaborative improvement of both models through competitive debate and interactive analysis. Abundant experimental results on two datasets demonstr"&amp;"ate the effectiveness of DebateCoder.")</f>
        <v>With the impressive reasoning and text generation capabilities of large language models (LLMs), methods leveraging multiple LLMs to debate each other have garnered increasing attention. However, existing debate-based approaches remain limited in effectiveness in structured and detailed domains represented by code generation due to several reasons: 1) Reliance on different instances of the same LLM for debate, neglecting the potential benefits of integrating diverse models with varied internal knowledge for more comprehensive code generation, 2) under-utilization of test cases, and 3) reliance on third-party LLM moderators for result consolidation and decision-making, probably introducing hallucinations and judgment errors. To address these challenges, we propose DebateCoder to collect intelligence of LLMs via test case-driven debate for code generation. In DebateCoder, test cases serve as a medium for models to analyze code and identify bugs, while opposing models generate test cases to challenge each other's code during the debate process. These test cases, along with their execution results, are elaborately leveraged to refine and enhance the code through a novel contrastive analysis process. Furthermore, DebateCoder leverages test case outcomes to assess code quality and determine convergence criteria. Unlike previous approaches, DebateCoder emphasizes the collaborative improvement of both models through competitive debate and interactive analysis. Abundant experimental results on two datasets demonstrate the effectiveness of DebateCoder.</v>
      </c>
      <c r="D2208" s="7" t="str">
        <f>IFERROR(__xludf.DUMMYFUNCTION("""COMPUTED_VALUE"""),"Jizheng Chen")</f>
        <v>Jizheng Chen</v>
      </c>
      <c r="E2208" s="7" t="str">
        <f>IFERROR(__xludf.DUMMYFUNCTION("""COMPUTED_VALUE"""),"Yes")</f>
        <v>Yes</v>
      </c>
      <c r="F2208" s="7" t="str">
        <f>IFERROR(__xludf.DUMMYFUNCTION("""COMPUTED_VALUE"""),"IP-Poster")</f>
        <v>IP-Poster</v>
      </c>
      <c r="G2208" s="7" t="str">
        <f>IFERROR(__xludf.DUMMYFUNCTION("""COMPUTED_VALUE"""),"In-Person")</f>
        <v>In-Person</v>
      </c>
      <c r="H2208" s="7" t="str">
        <f>IFERROR(__xludf.DUMMYFUNCTION("""COMPUTED_VALUE"""),"Hall 4/5")</f>
        <v>Hall 4/5</v>
      </c>
      <c r="I2208" s="7" t="str">
        <f>IFERROR(__xludf.DUMMYFUNCTION("""COMPUTED_VALUE"""),"Session 7: IP-Posters")</f>
        <v>Session 7: IP-Posters</v>
      </c>
      <c r="J2208" s="7" t="str">
        <f>IFERROR(__xludf.DUMMYFUNCTION("""COMPUTED_VALUE"""),"Poster Session 2")</f>
        <v>Poster Session 2</v>
      </c>
      <c r="K2208" s="7"/>
      <c r="L2208" s="8">
        <f>IFERROR(__xludf.DUMMYFUNCTION("""COMPUTED_VALUE"""),45867.0)</f>
        <v>45867</v>
      </c>
      <c r="M2208" s="7" t="str">
        <f>IFERROR(__xludf.DUMMYFUNCTION("""COMPUTED_VALUE"""),"10:30-12:00")</f>
        <v>10:30-12:00</v>
      </c>
      <c r="N2208" s="7"/>
    </row>
    <row r="2209">
      <c r="A2209" s="7" t="str">
        <f>IFERROR(__xludf.DUMMYFUNCTION("""COMPUTED_VALUE"""),"1420-MAIN")</f>
        <v>1420-MAIN</v>
      </c>
      <c r="B2209" s="7" t="str">
        <f>IFERROR(__xludf.DUMMYFUNCTION("""COMPUTED_VALUE"""),"The Tug of War Within: Mitigating the Fairness-Privacy Conflicts in Large Language Models")</f>
        <v>The Tug of War Within: Mitigating the Fairness-Privacy Conflicts in Large Language Models</v>
      </c>
      <c r="C2209" s="7" t="str">
        <f>IFERROR(__xludf.DUMMYFUNCTION("""COMPUTED_VALUE"""),"Ensuring awareness of fairness and privacy in Large Language Models (LLMs) is critical. Interestingly, we discover a counter-intuitive trade-off phenomenon that enhancing an LLM's privacy awareness through Supervised Fine-Tuning (SFT) methods significantl"&amp;"y decreases its fairness awareness with thousands of samples. To address this issue, inspired by the information theory, we introduce a training-free method to \textbf{S}uppress the \textbf{P}rivacy and fa\textbf{I}rness coupled \textbf{N}eurons (\textbf{"&amp;"SPIN}), which theoretically and empirically decrease the mutual information between fairness and privacy awareness. Extensive experimental results demonstrate that SPIN eliminates the trade-off phenomenon and significantly improves LLMs' fairness and priv"&amp;"acy awareness simultaneously without compromising general capabilities, e.g., improving Qwen-2-7B-Instruct's fairness awareness by 12.2\% and privacy awareness by 14.0\%.
More crucially, SPIN remains robust and effective with limited annotated data or eve"&amp;"n when only malicious fine-tuning data is available, whereas SFT methods may fail to perform properly in such scenarios. 
Furthermore, we show that SPIN could generalize to other potential trade-off dimensions.
We hope this study provides valuable insight"&amp;"s into concurrently addressing fairness and privacy concerns in LLMs and can be integrated into comprehensive frameworks to develop more ethical and responsible AI systems. Our code is available at \url{https://github.com/ChnQ/SPIN}.")</f>
        <v>Ensuring awareness of fairness and privacy in Large Language Models (LLMs) is critical. Interestingly, we discover a counter-intuitive trade-off phenomenon that enhancing an LLM's privacy awareness through Supervised Fine-Tuning (SFT) methods significantly decreases its fairness awareness with thousands of samples. To address this issue, inspired by the information theory, we introduce a training-free method to \textbf{S}uppress the \textbf{P}rivacy and fa\textbf{I}rness coupled \textbf{N}eurons (\textbf{SPIN}), which theoretically and empirically decrease the mutual information between fairness and privacy awareness. Extensive experimental results demonstrate that SPIN eliminates the trade-off phenomenon and significantly improves LLMs' fairness and privacy awareness simultaneously without compromising general capabilities, e.g., improving Qwen-2-7B-Instruct's fairness awareness by 12.2\% and privacy awareness by 14.0\%.
More crucially, SPIN remains robust and effective with limited annotated data or even when only malicious fine-tuning data is available, whereas SFT methods may fail to perform properly in such scenarios. 
Furthermore, we show that SPIN could generalize to other potential trade-off dimensions.
We hope this study provides valuable insights into concurrently addressing fairness and privacy concerns in LLMs and can be integrated into comprehensive frameworks to develop more ethical and responsible AI systems. Our code is available at \url{https://github.com/ChnQ/SPIN}.</v>
      </c>
      <c r="D2209" s="7" t="str">
        <f>IFERROR(__xludf.DUMMYFUNCTION("""COMPUTED_VALUE"""),"Chen Qian")</f>
        <v>Chen Qian</v>
      </c>
      <c r="E2209" s="7" t="str">
        <f>IFERROR(__xludf.DUMMYFUNCTION("""COMPUTED_VALUE"""),"Yes")</f>
        <v>Yes</v>
      </c>
      <c r="F2209" s="7" t="str">
        <f>IFERROR(__xludf.DUMMYFUNCTION("""COMPUTED_VALUE"""),"IP-Oral")</f>
        <v>IP-Oral</v>
      </c>
      <c r="G2209" s="7" t="str">
        <f>IFERROR(__xludf.DUMMYFUNCTION("""COMPUTED_VALUE"""),"In-Person")</f>
        <v>In-Person</v>
      </c>
      <c r="H2209" s="7" t="str">
        <f>IFERROR(__xludf.DUMMYFUNCTION("""COMPUTED_VALUE"""),"Hall M.2")</f>
        <v>Hall M.2</v>
      </c>
      <c r="I2209" s="7" t="str">
        <f>IFERROR(__xludf.DUMMYFUNCTION("""COMPUTED_VALUE"""),"Session 3: IP-Orals")</f>
        <v>Session 3: IP-Orals</v>
      </c>
      <c r="J2209" s="7" t="str">
        <f>IFERROR(__xludf.DUMMYFUNCTION("""COMPUTED_VALUE"""),"Ethics, Bias, and Fairness")</f>
        <v>Ethics, Bias, and Fairness</v>
      </c>
      <c r="K2209" s="7"/>
      <c r="L2209" s="8">
        <f>IFERROR(__xludf.DUMMYFUNCTION("""COMPUTED_VALUE"""),45866.0)</f>
        <v>45866</v>
      </c>
      <c r="M2209" s="7" t="str">
        <f>IFERROR(__xludf.DUMMYFUNCTION("""COMPUTED_VALUE"""),"14:00-15:30")</f>
        <v>14:00-15:30</v>
      </c>
      <c r="N2209" s="7">
        <f>IFERROR(__xludf.DUMMYFUNCTION("""COMPUTED_VALUE"""),3.0)</f>
        <v>3</v>
      </c>
    </row>
    <row r="2210">
      <c r="A2210" s="7" t="str">
        <f>IFERROR(__xludf.DUMMYFUNCTION("""COMPUTED_VALUE"""),"1429-MAIN")</f>
        <v>1429-MAIN</v>
      </c>
      <c r="B2210" s="7" t="str">
        <f>IFERROR(__xludf.DUMMYFUNCTION("""COMPUTED_VALUE"""),"GraphInsight: Unlocking Insights in Large Language Models for Graph Structure Understanding")</f>
        <v>GraphInsight: Unlocking Insights in Large Language Models for Graph Structure Understanding</v>
      </c>
      <c r="C2210" s="7" t="str">
        <f>IFERROR(__xludf.DUMMYFUNCTION("""COMPUTED_VALUE"""),"Although Large Language Models (LLMs) have demonstrated potential in processing graphs, they struggle with comprehending graphical structure information through prompts of graph description sequences, especially as the graph size increases. We attribute t"&amp;"his challenge to the uneven memory performance of LLMs across different positions in graph description sequences, known as ''Positional bias''. To address this, we propose GraphInsight, a novel framework aimed at improving LLMs' comprehension of both macr"&amp;"o- and micro-level graphical information. GraphInsight is grounded in two key strategies: 1) placing critical graphical information in positions where LLMs exhibit stronger memory performance, and 2) investigating a lightweight external knowledge base for"&amp;" regions with weaker memory performance, inspired by retrieval-augmented generation (RAG). Moreover, GraphInsight explores integrating these two strategies into LLM agent processes for composite graph tasks that require multi-step reasoning. Extensive emp"&amp;"irical studies on benchmarks with a wide range of evaluation tasks show that GraphInsight significantly outperforms all other graph description methods (e.g., prompting techniques and reordering strategies) in understanding graph structures of varying siz"&amp;"es.")</f>
        <v>Although Large Language Models (LLMs) have demonstrated potential in processing graphs, they struggle with comprehending graphical structure information through prompts of graph description sequences, especially as the graph size increases. We attribute this challenge to the uneven memory performance of LLMs across different positions in graph description sequences, known as ''Positional bias''. To address this, we propose GraphInsight, a novel framework aimed at improving LLMs' comprehension of both macro- and micro-level graphical information. GraphInsight is grounded in two key strategies: 1) placing critical graphical information in positions where LLMs exhibit stronger memory performance, and 2) investigating a lightweight external knowledge base for regions with weaker memory performance, inspired by retrieval-augmented generation (RAG). Moreover, GraphInsight explores integrating these two strategies into LLM agent processes for composite graph tasks that require multi-step reasoning. Extensive empirical studies on benchmarks with a wide range of evaluation tasks show that GraphInsight significantly outperforms all other graph description methods (e.g., prompting techniques and reordering strategies) in understanding graph structures of varying sizes.</v>
      </c>
      <c r="D2210" s="7" t="str">
        <f>IFERROR(__xludf.DUMMYFUNCTION("""COMPUTED_VALUE"""),"Shuo Han")</f>
        <v>Shuo Han</v>
      </c>
      <c r="E2210" s="7" t="str">
        <f>IFERROR(__xludf.DUMMYFUNCTION("""COMPUTED_VALUE"""),"Yes")</f>
        <v>Yes</v>
      </c>
      <c r="F2210" s="7" t="str">
        <f>IFERROR(__xludf.DUMMYFUNCTION("""COMPUTED_VALUE"""),"V-Presentation")</f>
        <v>V-Presentation</v>
      </c>
      <c r="G2210" s="7" t="str">
        <f>IFERROR(__xludf.DUMMYFUNCTION("""COMPUTED_VALUE"""),"Virtual/Gather")</f>
        <v>Virtual/Gather</v>
      </c>
      <c r="H2210" s="7" t="str">
        <f>IFERROR(__xludf.DUMMYFUNCTION("""COMPUTED_VALUE"""),"Zoom")</f>
        <v>Zoom</v>
      </c>
      <c r="I2210" s="7" t="str">
        <f>IFERROR(__xludf.DUMMYFUNCTION("""COMPUTED_VALUE"""),"Session 7: V--Presentations ")</f>
        <v>Session 7: V--Presentations </v>
      </c>
      <c r="J2210" s="7" t="str">
        <f>IFERROR(__xludf.DUMMYFUNCTION("""COMPUTED_VALUE"""),"Virtual Presentations 2")</f>
        <v>Virtual Presentations 2</v>
      </c>
      <c r="K2210" s="7"/>
      <c r="L2210" s="8"/>
      <c r="M2210" s="7" t="str">
        <f>IFERROR(__xludf.DUMMYFUNCTION("""COMPUTED_VALUE"""),"10:30-12:00")</f>
        <v>10:30-12:00</v>
      </c>
      <c r="N2210" s="7"/>
    </row>
    <row r="2211">
      <c r="A2211" s="7" t="str">
        <f>IFERROR(__xludf.DUMMYFUNCTION("""COMPUTED_VALUE"""),"1430-MAIN")</f>
        <v>1430-MAIN</v>
      </c>
      <c r="B2211" s="7" t="str">
        <f>IFERROR(__xludf.DUMMYFUNCTION("""COMPUTED_VALUE"""),"Phonotomizer: A Compact, Unsupervised, Online Training Approach to Real-Time, Multilingual Phonetic Segmentation")</f>
        <v>Phonotomizer: A Compact, Unsupervised, Online Training Approach to Real-Time, Multilingual Phonetic Segmentation</v>
      </c>
      <c r="C2211" s="7" t="str">
        <f>IFERROR(__xludf.DUMMYFUNCTION("""COMPUTED_VALUE"""),"Phonetic transcription requires significant time and expert training. Automated, state-of-the-art text-dependent methods still involve substantial pre-training annotation labor and may not generalize to multiple languages. Hallucination of speech amid sil"&amp;"ence or non-speech noise can also plague these methods, which fall short in real-time applications due to post hoc whole-phrase evaluation. This paper introduces Phonotomizer, a compact, unsupervised, online training approach to automatic, multilingual ph"&amp;"onetic segmentation, a critical first stage in transcription. Unlike prior approaches, Phonotomizer trains on raw sound files alone and can modulate computational exactness. Preliminary evaluations on Irish and Twi, two underrepresented languages, exhibit"&amp;" segmentation comparable to current forced alignment technology, reducing acoustic model size and minimizing training epochs.")</f>
        <v>Phonetic transcription requires significant time and expert training. Automated, state-of-the-art text-dependent methods still involve substantial pre-training annotation labor and may not generalize to multiple languages. Hallucination of speech amid silence or non-speech noise can also plague these methods, which fall short in real-time applications due to post hoc whole-phrase evaluation. This paper introduces Phonotomizer, a compact, unsupervised, online training approach to automatic, multilingual phonetic segmentation, a critical first stage in transcription. Unlike prior approaches, Phonotomizer trains on raw sound files alone and can modulate computational exactness. Preliminary evaluations on Irish and Twi, two underrepresented languages, exhibit segmentation comparable to current forced alignment technology, reducing acoustic model size and minimizing training epochs.</v>
      </c>
      <c r="D2211" s="7" t="str">
        <f>IFERROR(__xludf.DUMMYFUNCTION("""COMPUTED_VALUE"""),"Michael S. Yantosca")</f>
        <v>Michael S. Yantosca</v>
      </c>
      <c r="E2211" s="7" t="str">
        <f>IFERROR(__xludf.DUMMYFUNCTION("""COMPUTED_VALUE"""),"Yes")</f>
        <v>Yes</v>
      </c>
      <c r="F2211" s="7" t="str">
        <f>IFERROR(__xludf.DUMMYFUNCTION("""COMPUTED_VALUE"""),"IP-Poster")</f>
        <v>IP-Poster</v>
      </c>
      <c r="G2211" s="7" t="str">
        <f>IFERROR(__xludf.DUMMYFUNCTION("""COMPUTED_VALUE"""),"In-Person")</f>
        <v>In-Person</v>
      </c>
      <c r="H2211" s="7" t="str">
        <f>IFERROR(__xludf.DUMMYFUNCTION("""COMPUTED_VALUE"""),"Hall 4/5")</f>
        <v>Hall 4/5</v>
      </c>
      <c r="I2211" s="7" t="str">
        <f>IFERROR(__xludf.DUMMYFUNCTION("""COMPUTED_VALUE"""),"Session 10: IP-Posters")</f>
        <v>Session 10: IP-Posters</v>
      </c>
      <c r="J2211" s="7" t="str">
        <f>IFERROR(__xludf.DUMMYFUNCTION("""COMPUTED_VALUE"""),"Poster Session 3")</f>
        <v>Poster Session 3</v>
      </c>
      <c r="K2211" s="7"/>
      <c r="L2211" s="8">
        <f>IFERROR(__xludf.DUMMYFUNCTION("""COMPUTED_VALUE"""),45867.0)</f>
        <v>45867</v>
      </c>
      <c r="M2211" s="7" t="str">
        <f>IFERROR(__xludf.DUMMYFUNCTION("""COMPUTED_VALUE"""),"16:00-17:30")</f>
        <v>16:00-17:30</v>
      </c>
      <c r="N2211" s="7"/>
    </row>
    <row r="2212">
      <c r="A2212" s="7" t="str">
        <f>IFERROR(__xludf.DUMMYFUNCTION("""COMPUTED_VALUE"""),"1433-MAIN")</f>
        <v>1433-MAIN</v>
      </c>
      <c r="B2212" s="7" t="str">
        <f>IFERROR(__xludf.DUMMYFUNCTION("""COMPUTED_VALUE"""),"A Multi-persona Framework for Argument Quality Assessment")</f>
        <v>A Multi-persona Framework for Argument Quality Assessment</v>
      </c>
      <c r="C2212" s="7" t="str">
        <f>IFERROR(__xludf.DUMMYFUNCTION("""COMPUTED_VALUE"""),"Argument quality assessment faces inherent challenges due to its subjective nature, where different evaluators may assign varying quality scores for an argument based on personal perspectives. Although existing datasets collect opinions from multiple anno"&amp;"tators to model subjectivity, most existing computational methods fail to consider multi-perspective evaluation. To address this issue, we propose MPAQ, a multi-persona framework for argument quality assessment that simulates diverse evaluator perspective"&amp;"s through large language models. It first dynamically generates targeted personas tailored to an input argument, then simulates each persona's reasoning process to evaluate the argument quality from multiple perspectives. To effectively generate fine-grai"&amp;"ned quality scores, we develop a coarse-to-fine scoring strategy that first generates a coarse-grained integer score and then refines it into a fine-grained decimal score. Experiments on IBM-Rank-30k and IBM-ArgQ-5.3kArgs datasets demonstrate that MPAQ co"&amp;"nsistently outperforms strong baselines while providing comprehensive multi-perspective rationales.")</f>
        <v>Argument quality assessment faces inherent challenges due to its subjective nature, where different evaluators may assign varying quality scores for an argument based on personal perspectives. Although existing datasets collect opinions from multiple annotators to model subjectivity, most existing computational methods fail to consider multi-perspective evaluation. To address this issue, we propose MPAQ, a multi-persona framework for argument quality assessment that simulates diverse evaluator perspectives through large language models. It first dynamically generates targeted personas tailored to an input argument, then simulates each persona's reasoning process to evaluate the argument quality from multiple perspectives. To effectively generate fine-grained quality scores, we develop a coarse-to-fine scoring strategy that first generates a coarse-grained integer score and then refines it into a fine-grained decimal score. Experiments on IBM-Rank-30k and IBM-ArgQ-5.3kArgs datasets demonstrate that MPAQ consistently outperforms strong baselines while providing comprehensive multi-perspective rationales.</v>
      </c>
      <c r="D2212" s="7" t="str">
        <f>IFERROR(__xludf.DUMMYFUNCTION("""COMPUTED_VALUE"""),"Bojun Jin")</f>
        <v>Bojun Jin</v>
      </c>
      <c r="E2212" s="7" t="str">
        <f>IFERROR(__xludf.DUMMYFUNCTION("""COMPUTED_VALUE"""),"Yes")</f>
        <v>Yes</v>
      </c>
      <c r="F2212" s="7" t="str">
        <f>IFERROR(__xludf.DUMMYFUNCTION("""COMPUTED_VALUE"""),"IP-Oral")</f>
        <v>IP-Oral</v>
      </c>
      <c r="G2212" s="7" t="str">
        <f>IFERROR(__xludf.DUMMYFUNCTION("""COMPUTED_VALUE"""),"In-Person")</f>
        <v>In-Person</v>
      </c>
      <c r="H2212" s="7" t="str">
        <f>IFERROR(__xludf.DUMMYFUNCTION("""COMPUTED_VALUE"""),"Room 1.62")</f>
        <v>Room 1.62</v>
      </c>
      <c r="I2212" s="7" t="str">
        <f>IFERROR(__xludf.DUMMYFUNCTION("""COMPUTED_VALUE"""),"Session 9: IP-Orals")</f>
        <v>Session 9: IP-Orals</v>
      </c>
      <c r="J2212" s="7" t="str">
        <f>IFERROR(__xludf.DUMMYFUNCTION("""COMPUTED_VALUE"""),"Sentiment, Style and Argumentation Analysis")</f>
        <v>Sentiment, Style and Argumentation Analysis</v>
      </c>
      <c r="K2212" s="7"/>
      <c r="L2212" s="8">
        <f>IFERROR(__xludf.DUMMYFUNCTION("""COMPUTED_VALUE"""),45867.0)</f>
        <v>45867</v>
      </c>
      <c r="M2212" s="7" t="str">
        <f>IFERROR(__xludf.DUMMYFUNCTION("""COMPUTED_VALUE"""),"14:00-15:30")</f>
        <v>14:00-15:30</v>
      </c>
      <c r="N2212" s="7">
        <f>IFERROR(__xludf.DUMMYFUNCTION("""COMPUTED_VALUE"""),2.0)</f>
        <v>2</v>
      </c>
    </row>
    <row r="2213">
      <c r="A2213" s="7" t="str">
        <f>IFERROR(__xludf.DUMMYFUNCTION("""COMPUTED_VALUE"""),"1435-MAIN")</f>
        <v>1435-MAIN</v>
      </c>
      <c r="B2213" s="7" t="str">
        <f>IFERROR(__xludf.DUMMYFUNCTION("""COMPUTED_VALUE"""),"Safe: Enhancing Mathematical Reasoning in Large Language Models via Retrospective Step-aware Formal Verification")</f>
        <v>Safe: Enhancing Mathematical Reasoning in Large Language Models via Retrospective Step-aware Formal Verification</v>
      </c>
      <c r="C2213" s="7" t="str">
        <f>IFERROR(__xludf.DUMMYFUNCTION("""COMPUTED_VALUE"""),"Chain-of-Thought (CoT) prompting has become the de facto method to elicit reasoning capabilities from large language models (LLMs). However, to mitigate hallucinations in CoT that are notoriously difficult to detect, current methods such as process reward"&amp;" models (PRMs) or self-consistency operate as opaque boxes and do not provide checkable evidence for their judgments, possibly limiting their effectiveness. To address this issue, we draw inspiration from the idea that ""the gold standard for supporting a"&amp;" mathematical claim is to provide a proof"". We propose a retrospective, step-aware formal verification framework Safe. Rather than assigning arbitrary scores, we strive to articulate mathematical claims in formal mathematical language Lean 4 at each reas"&amp;"oning step and provide formal proofs to identify hallucinations. We evaluate our framework Safe across multiple language models and various mathematical datasets, demonstrating a significant performance improvement while offering interpretable and verifia"&amp;"ble evidence. We also propose FormalStep as a benchmark for step correctness theorem proving with $30,809$ formal statements. To the best of our knowledge, our work represents the first endeavor to utilize formal mathematical language Lean 4 for verifying"&amp;" content generated by LLMs, aligning with the reason why formal mathematical languages were created in the first place: to provide a robust foundation for hallucination-prone human-written proofs.")</f>
        <v>Chain-of-Thought (CoT) prompting has become the de facto method to elicit reasoning capabilities from large language models (LLMs). However, to mitigate hallucinations in CoT that are notoriously difficult to detect, current methods such as process reward models (PRMs) or self-consistency operate as opaque boxes and do not provide checkable evidence for their judgments, possibly limiting their effectiveness. To address this issue, we draw inspiration from the idea that "the gold standard for supporting a mathematical claim is to provide a proof". We propose a retrospective, step-aware formal verification framework Safe. Rather than assigning arbitrary scores, we strive to articulate mathematical claims in formal mathematical language Lean 4 at each reasoning step and provide formal proofs to identify hallucinations. We evaluate our framework Safe across multiple language models and various mathematical datasets, demonstrating a significant performance improvement while offering interpretable and verifiable evidence. We also propose FormalStep as a benchmark for step correctness theorem proving with $30,809$ formal statements. To the best of our knowledge, our work represents the first endeavor to utilize formal mathematical language Lean 4 for verifying content generated by LLMs, aligning with the reason why formal mathematical languages were created in the first place: to provide a robust foundation for hallucination-prone human-written proofs.</v>
      </c>
      <c r="D2213" s="7" t="str">
        <f>IFERROR(__xludf.DUMMYFUNCTION("""COMPUTED_VALUE"""),"Chengwu Liu")</f>
        <v>Chengwu Liu</v>
      </c>
      <c r="E2213" s="7" t="str">
        <f>IFERROR(__xludf.DUMMYFUNCTION("""COMPUTED_VALUE"""),"Yes")</f>
        <v>Yes</v>
      </c>
      <c r="F2213" s="7" t="str">
        <f>IFERROR(__xludf.DUMMYFUNCTION("""COMPUTED_VALUE"""),"IP-Poster")</f>
        <v>IP-Poster</v>
      </c>
      <c r="G2213" s="7" t="str">
        <f>IFERROR(__xludf.DUMMYFUNCTION("""COMPUTED_VALUE"""),"In-Person")</f>
        <v>In-Person</v>
      </c>
      <c r="H2213" s="7" t="str">
        <f>IFERROR(__xludf.DUMMYFUNCTION("""COMPUTED_VALUE"""),"Hall 4/5")</f>
        <v>Hall 4/5</v>
      </c>
      <c r="I2213" s="7" t="str">
        <f>IFERROR(__xludf.DUMMYFUNCTION("""COMPUTED_VALUE"""),"Session 12: IP-Posters")</f>
        <v>Session 12: IP-Posters</v>
      </c>
      <c r="J2213" s="7" t="str">
        <f>IFERROR(__xludf.DUMMYFUNCTION("""COMPUTED_VALUE"""),"Poster Session 4")</f>
        <v>Poster Session 4</v>
      </c>
      <c r="K2213" s="7"/>
      <c r="L2213" s="8">
        <f>IFERROR(__xludf.DUMMYFUNCTION("""COMPUTED_VALUE"""),45868.0)</f>
        <v>45868</v>
      </c>
      <c r="M2213" s="7" t="str">
        <f>IFERROR(__xludf.DUMMYFUNCTION("""COMPUTED_VALUE"""),"11:00-12:30")</f>
        <v>11:00-12:30</v>
      </c>
      <c r="N2213" s="7"/>
    </row>
    <row r="2214">
      <c r="A2214" s="7" t="str">
        <f>IFERROR(__xludf.DUMMYFUNCTION("""COMPUTED_VALUE"""),"1437-MAIN")</f>
        <v>1437-MAIN</v>
      </c>
      <c r="B2214" s="7" t="str">
        <f>IFERROR(__xludf.DUMMYFUNCTION("""COMPUTED_VALUE"""),"SAM Decoding: Speculative Decoding via Suffix Automaton")</f>
        <v>SAM Decoding: Speculative Decoding via Suffix Automaton</v>
      </c>
      <c r="C2214" s="7" t="str">
        <f>IFERROR(__xludf.DUMMYFUNCTION("""COMPUTED_VALUE"""),"Speculative decoding (SD) has been demonstrated as an effective technique for lossless LLM inference acceleration.
Retrieval-based SD methods, one kind of model-free method, have yielded promising speedup, but they often rely on single retrieval resources"&amp;", inefficient retrieval methods, and are constrained to certain tasks. This paper presents a novel retrieval-based speculative decoding method that adapts the suffix automaton (SAM) for efficient and accurate draft generation by utilizing the generating t"&amp;"ext sequence and static text corpus. Unlike existing $n$-gram matching methods, SAM-Decoding finds the exact longest suffix match, achieving an average time complexity of O(1) per generation step of SAM update and suffix retrieval.
It can also integrate w"&amp;"ith existing methods, adaptively selecting a draft generation strategy based on match length to generalize to broader domains. Extensive experiments on Spec-Bench show that our method is $18$\% faster than other retrieval-based SD methods. Additionally, w"&amp;"hen combined with advanced EAGLE-2, it provides an additional speedup of $3.28$\% -- $11.13$\% across various-sized LLM backbones.")</f>
        <v>Speculative decoding (SD) has been demonstrated as an effective technique for lossless LLM inference acceleration.
Retrieval-based SD methods, one kind of model-free method, have yielded promising speedup, but they often rely on single retrieval resources, inefficient retrieval methods, and are constrained to certain tasks. This paper presents a novel retrieval-based speculative decoding method that adapts the suffix automaton (SAM) for efficient and accurate draft generation by utilizing the generating text sequence and static text corpus. Unlike existing $n$-gram matching methods, SAM-Decoding finds the exact longest suffix match, achieving an average time complexity of O(1) per generation step of SAM update and suffix retrieval.
It can also integrate with existing methods, adaptively selecting a draft generation strategy based on match length to generalize to broader domains. Extensive experiments on Spec-Bench show that our method is $18$\% faster than other retrieval-based SD methods. Additionally, when combined with advanced EAGLE-2, it provides an additional speedup of $3.28$\% -- $11.13$\% across various-sized LLM backbones.</v>
      </c>
      <c r="D2214" s="7" t="str">
        <f>IFERROR(__xludf.DUMMYFUNCTION("""COMPUTED_VALUE"""),"Yuxuan Hu")</f>
        <v>Yuxuan Hu</v>
      </c>
      <c r="E2214" s="7" t="str">
        <f>IFERROR(__xludf.DUMMYFUNCTION("""COMPUTED_VALUE"""),"Yes")</f>
        <v>Yes</v>
      </c>
      <c r="F2214" s="7" t="str">
        <f>IFERROR(__xludf.DUMMYFUNCTION("""COMPUTED_VALUE"""),"IP-Poster")</f>
        <v>IP-Poster</v>
      </c>
      <c r="G2214" s="7" t="str">
        <f>IFERROR(__xludf.DUMMYFUNCTION("""COMPUTED_VALUE"""),"In-Person")</f>
        <v>In-Person</v>
      </c>
      <c r="H2214" s="7" t="str">
        <f>IFERROR(__xludf.DUMMYFUNCTION("""COMPUTED_VALUE"""),"Hall 4/5")</f>
        <v>Hall 4/5</v>
      </c>
      <c r="I2214" s="7" t="str">
        <f>IFERROR(__xludf.DUMMYFUNCTION("""COMPUTED_VALUE"""),"Session 10: IP-Posters")</f>
        <v>Session 10: IP-Posters</v>
      </c>
      <c r="J2214" s="7" t="str">
        <f>IFERROR(__xludf.DUMMYFUNCTION("""COMPUTED_VALUE"""),"Poster Session 3")</f>
        <v>Poster Session 3</v>
      </c>
      <c r="K2214" s="7"/>
      <c r="L2214" s="8">
        <f>IFERROR(__xludf.DUMMYFUNCTION("""COMPUTED_VALUE"""),45867.0)</f>
        <v>45867</v>
      </c>
      <c r="M2214" s="7" t="str">
        <f>IFERROR(__xludf.DUMMYFUNCTION("""COMPUTED_VALUE"""),"16:00-17:30")</f>
        <v>16:00-17:30</v>
      </c>
      <c r="N2214" s="7"/>
    </row>
    <row r="2215">
      <c r="A2215" s="7" t="str">
        <f>IFERROR(__xludf.DUMMYFUNCTION("""COMPUTED_VALUE"""),"1439-MAIN")</f>
        <v>1439-MAIN</v>
      </c>
      <c r="B2215" s="7" t="str">
        <f>IFERROR(__xludf.DUMMYFUNCTION("""COMPUTED_VALUE"""),"PsyAdvisor: A Plug-and-Play Strategy Advice Planner with Proactive Questioning in Psychological Conversations")</f>
        <v>PsyAdvisor: A Plug-and-Play Strategy Advice Planner with Proactive Questioning in Psychological Conversations</v>
      </c>
      <c r="C2215" s="7" t="str">
        <f>IFERROR(__xludf.DUMMYFUNCTION("""COMPUTED_VALUE"""),"Proactive questioning is essential in psychological conversations as it helps uncover deeper issues and unspoken concerns. Current psychological LLMs are constrained by passive response mechanisms, limiting their capacity to deploy proactive strategies fo"&amp;"r psychological counseling. To bridge this gap, we first develop the ProPsyC (Proactive Psychological Conversation) dataset, a multi-turn conversation dataset with interpretive labels including strategy decision logic and reaction attribution. Based on Pr"&amp;"oPsyC, we propose PsyAdvisor by supervised fine-tuning, a plug-and-play proactive questioning strategy planner that empowers psychological LLMs to initiate well-timed questioning through strategic prompting. Experimental results demonstrate that psycholog"&amp;"ical LLMs integrated with PsyAdvisor substantially improve proactive questioning capacity, conversation depth, and response quality.
Furthermore, PsyAdvisor shows promising potential in assisting novice counselors by providing strategy recommendations. Th"&amp;"is study provides new optimization directions for psychological conversation systems and offers valuable insights for future research on proactive questioning mechanisms in psychological LLMs.")</f>
        <v>Proactive questioning is essential in psychological conversations as it helps uncover deeper issues and unspoken concerns. Current psychological LLMs are constrained by passive response mechanisms, limiting their capacity to deploy proactive strategies for psychological counseling. To bridge this gap, we first develop the ProPsyC (Proactive Psychological Conversation) dataset, a multi-turn conversation dataset with interpretive labels including strategy decision logic and reaction attribution. Based on ProPsyC, we propose PsyAdvisor by supervised fine-tuning, a plug-and-play proactive questioning strategy planner that empowers psychological LLMs to initiate well-timed questioning through strategic prompting. Experimental results demonstrate that psychological LLMs integrated with PsyAdvisor substantially improve proactive questioning capacity, conversation depth, and response quality.
Furthermore, PsyAdvisor shows promising potential in assisting novice counselors by providing strategy recommendations. This study provides new optimization directions for psychological conversation systems and offers valuable insights for future research on proactive questioning mechanisms in psychological LLMs.</v>
      </c>
      <c r="D2215" s="7" t="str">
        <f>IFERROR(__xludf.DUMMYFUNCTION("""COMPUTED_VALUE"""),"Danni Liu")</f>
        <v>Danni Liu</v>
      </c>
      <c r="E2215" s="7" t="str">
        <f>IFERROR(__xludf.DUMMYFUNCTION("""COMPUTED_VALUE"""),"Yes")</f>
        <v>Yes</v>
      </c>
      <c r="F2215" s="7" t="str">
        <f>IFERROR(__xludf.DUMMYFUNCTION("""COMPUTED_VALUE"""),"IP-Oral")</f>
        <v>IP-Oral</v>
      </c>
      <c r="G2215" s="7" t="str">
        <f>IFERROR(__xludf.DUMMYFUNCTION("""COMPUTED_VALUE"""),"In-Person")</f>
        <v>In-Person</v>
      </c>
      <c r="H2215" s="7" t="str">
        <f>IFERROR(__xludf.DUMMYFUNCTION("""COMPUTED_VALUE"""),"Hall N.1")</f>
        <v>Hall N.1</v>
      </c>
      <c r="I2215" s="7" t="str">
        <f>IFERROR(__xludf.DUMMYFUNCTION("""COMPUTED_VALUE"""),"Session 9: IP-Orals")</f>
        <v>Session 9: IP-Orals</v>
      </c>
      <c r="J2215" s="7" t="str">
        <f>IFERROR(__xludf.DUMMYFUNCTION("""COMPUTED_VALUE"""),"Dialogue and Interactive Systems")</f>
        <v>Dialogue and Interactive Systems</v>
      </c>
      <c r="K2215" s="7"/>
      <c r="L2215" s="8">
        <f>IFERROR(__xludf.DUMMYFUNCTION("""COMPUTED_VALUE"""),45867.0)</f>
        <v>45867</v>
      </c>
      <c r="M2215" s="7" t="str">
        <f>IFERROR(__xludf.DUMMYFUNCTION("""COMPUTED_VALUE"""),"14:00-15:30")</f>
        <v>14:00-15:30</v>
      </c>
      <c r="N2215" s="7">
        <f>IFERROR(__xludf.DUMMYFUNCTION("""COMPUTED_VALUE"""),4.0)</f>
        <v>4</v>
      </c>
    </row>
    <row r="2216">
      <c r="A2216" s="7" t="str">
        <f>IFERROR(__xludf.DUMMYFUNCTION("""COMPUTED_VALUE"""),"1444-MAIN")</f>
        <v>1444-MAIN</v>
      </c>
      <c r="B2216" s="7" t="str">
        <f>IFERROR(__xludf.DUMMYFUNCTION("""COMPUTED_VALUE"""),"HomeBench: Evaluating LLMs in Smart Homes with Valid and Invalid Instructions Across Single and Multiple Devices")</f>
        <v>HomeBench: Evaluating LLMs in Smart Homes with Valid and Invalid Instructions Across Single and Multiple Devices</v>
      </c>
      <c r="C2216" s="7" t="str">
        <f>IFERROR(__xludf.DUMMYFUNCTION("""COMPUTED_VALUE"""),"Large language models (LLMs) have the potential to revolutionize smart home assistants by enhancing their ability to accurately understand user needs and respond appropriately, which is extremely beneficial for building a smarter home environment. While r"&amp;"ecent studies have explored integrating LLMs into smart home systems, they primarily focus on handling straightforward, valid single-device operation instructions. However, real-world scenarios are far more complex and often involve users issuing invalid "&amp;"instructions or controlling multiple devices simultaneously. These have two main challenges: LLMs must accurately identify and rectify errors in user instructions and execute multiple user instructions perfectly. To address these challenges and advance th"&amp;"e development of LLM-based smart home assistants, we introduce HomeBench, the first smart home dataset with valid and invalid instructions across single and multiple devices in this paper. We have experimental results on 13 distinct LLMs; e.g., GPT-4o ach"&amp;"ieves only a 0.0\% success rate in the scenario of invalid multi-device instructions, revealing that the existing state-of-the-art LLMs still cannot perform well in this situation even with the help of in-context learning, retrieval-augmented generation, "&amp;"and fine-tuning. Our code and dataset are publicly available at https://github.com/BITHLP/HomeBench.")</f>
        <v>Large language models (LLMs) have the potential to revolutionize smart home assistants by enhancing their ability to accurately understand user needs and respond appropriately, which is extremely beneficial for building a smarter home environment. While recent studies have explored integrating LLMs into smart home systems, they primarily focus on handling straightforward, valid single-device operation instructions. However, real-world scenarios are far more complex and often involve users issuing invalid instructions or controlling multiple devices simultaneously. These have two main challenges: LLMs must accurately identify and rectify errors in user instructions and execute multiple user instructions perfectly. To address these challenges and advance the development of LLM-based smart home assistants, we introduce HomeBench, the first smart home dataset with valid and invalid instructions across single and multiple devices in this paper. We have experimental results on 13 distinct LLMs; e.g., GPT-4o achieves only a 0.0\% success rate in the scenario of invalid multi-device instructions, revealing that the existing state-of-the-art LLMs still cannot perform well in this situation even with the help of in-context learning, retrieval-augmented generation, and fine-tuning. Our code and dataset are publicly available at https://github.com/BITHLP/HomeBench.</v>
      </c>
      <c r="D2216" s="7" t="str">
        <f>IFERROR(__xludf.DUMMYFUNCTION("""COMPUTED_VALUE"""),"Silin Li")</f>
        <v>Silin Li</v>
      </c>
      <c r="E2216" s="7" t="str">
        <f>IFERROR(__xludf.DUMMYFUNCTION("""COMPUTED_VALUE"""),"Yes")</f>
        <v>Yes</v>
      </c>
      <c r="F2216" s="7" t="str">
        <f>IFERROR(__xludf.DUMMYFUNCTION("""COMPUTED_VALUE"""),"IP-Poster")</f>
        <v>IP-Poster</v>
      </c>
      <c r="G2216" s="7" t="str">
        <f>IFERROR(__xludf.DUMMYFUNCTION("""COMPUTED_VALUE"""),"In-Person")</f>
        <v>In-Person</v>
      </c>
      <c r="H2216" s="7" t="str">
        <f>IFERROR(__xludf.DUMMYFUNCTION("""COMPUTED_VALUE"""),"Hall 4/5")</f>
        <v>Hall 4/5</v>
      </c>
      <c r="I2216" s="7" t="str">
        <f>IFERROR(__xludf.DUMMYFUNCTION("""COMPUTED_VALUE"""),"Session 12: IP-Posters")</f>
        <v>Session 12: IP-Posters</v>
      </c>
      <c r="J2216" s="7" t="str">
        <f>IFERROR(__xludf.DUMMYFUNCTION("""COMPUTED_VALUE"""),"Poster Session 4")</f>
        <v>Poster Session 4</v>
      </c>
      <c r="K2216" s="7"/>
      <c r="L2216" s="8">
        <f>IFERROR(__xludf.DUMMYFUNCTION("""COMPUTED_VALUE"""),45868.0)</f>
        <v>45868</v>
      </c>
      <c r="M2216" s="7" t="str">
        <f>IFERROR(__xludf.DUMMYFUNCTION("""COMPUTED_VALUE"""),"11:00-12:30")</f>
        <v>11:00-12:30</v>
      </c>
      <c r="N2216" s="7"/>
    </row>
    <row r="2217">
      <c r="A2217" s="7" t="str">
        <f>IFERROR(__xludf.DUMMYFUNCTION("""COMPUTED_VALUE"""),"1447-MAIN")</f>
        <v>1447-MAIN</v>
      </c>
      <c r="B2217" s="7" t="str">
        <f>IFERROR(__xludf.DUMMYFUNCTION("""COMPUTED_VALUE"""),"Advancing Zero-shot Text-to-Speech Intelligibility across Diverse Domains via Preference Alignment")</f>
        <v>Advancing Zero-shot Text-to-Speech Intelligibility across Diverse Domains via Preference Alignment</v>
      </c>
      <c r="C2217" s="7" t="str">
        <f>IFERROR(__xludf.DUMMYFUNCTION("""COMPUTED_VALUE"""),"Modern zero-shot text-to-speech (TTS) systems, despite using extensive pre-training, often struggle in challenging scenarios such as tongue twisters, repeated words, code-switching, and cross-lingual synthesis, leading to intelligibility issues. To addres"&amp;"s these limitations, this paper leverages preference alignment techniques, which enable targeted construction of out-of-pretraining-distribution data to enhance performance. We introduce a new dataset, named the Intelligibility Preference Speech Dataset ("&amp;"INTP), and extend the Direct Preference Optimization (DPO) framework to accommodate diverse TTS architectures. After INTP alignment, in addition to intelligibility, we observe overall improvements including naturalness, similarity, and audio quality for m"&amp;"ultiple TTS models across diverse domains. Based on that, we also verify the weak-to-strong generalization ability of INTP for more intelligible models such as CosyVoice 2 and Ints. Moreover, we showcase the potential for further improvements through iter"&amp;"ative alignment based on Ints. Audio samples are available at https://intalign.github.io/.")</f>
        <v>Modern zero-shot text-to-speech (TTS) systems, despite using extensive pre-training, often struggle in challenging scenarios such as tongue twisters, repeated words, code-switching, and cross-lingual synthesis, leading to intelligibility issues. To address these limitations, this paper leverages preference alignment techniques, which enable targeted construction of out-of-pretraining-distribution data to enhance performance. We introduce a new dataset, named the Intelligibility Preference Speech Dataset (INTP), and extend the Direct Preference Optimization (DPO) framework to accommodate diverse TTS architectures. After INTP alignment, in addition to intelligibility, we observe overall improvements including naturalness, similarity, and audio quality for multiple TTS models across diverse domains. Based on that, we also verify the weak-to-strong generalization ability of INTP for more intelligible models such as CosyVoice 2 and Ints. Moreover, we showcase the potential for further improvements through iterative alignment based on Ints. Audio samples are available at https://intalign.github.io/.</v>
      </c>
      <c r="D2217" s="7" t="str">
        <f>IFERROR(__xludf.DUMMYFUNCTION("""COMPUTED_VALUE"""),"Xueyao Zhang")</f>
        <v>Xueyao Zhang</v>
      </c>
      <c r="E2217" s="7" t="str">
        <f>IFERROR(__xludf.DUMMYFUNCTION("""COMPUTED_VALUE"""),"Yes")</f>
        <v>Yes</v>
      </c>
      <c r="F2217" s="7" t="str">
        <f>IFERROR(__xludf.DUMMYFUNCTION("""COMPUTED_VALUE"""),"IP-Poster")</f>
        <v>IP-Poster</v>
      </c>
      <c r="G2217" s="7" t="str">
        <f>IFERROR(__xludf.DUMMYFUNCTION("""COMPUTED_VALUE"""),"In-Person")</f>
        <v>In-Person</v>
      </c>
      <c r="H2217" s="7" t="str">
        <f>IFERROR(__xludf.DUMMYFUNCTION("""COMPUTED_VALUE"""),"Hall 4/5")</f>
        <v>Hall 4/5</v>
      </c>
      <c r="I2217" s="7" t="str">
        <f>IFERROR(__xludf.DUMMYFUNCTION("""COMPUTED_VALUE"""),"Session 7: IP-Posters")</f>
        <v>Session 7: IP-Posters</v>
      </c>
      <c r="J2217" s="7" t="str">
        <f>IFERROR(__xludf.DUMMYFUNCTION("""COMPUTED_VALUE"""),"Poster Session 2")</f>
        <v>Poster Session 2</v>
      </c>
      <c r="K2217" s="7"/>
      <c r="L2217" s="8">
        <f>IFERROR(__xludf.DUMMYFUNCTION("""COMPUTED_VALUE"""),45867.0)</f>
        <v>45867</v>
      </c>
      <c r="M2217" s="7" t="str">
        <f>IFERROR(__xludf.DUMMYFUNCTION("""COMPUTED_VALUE"""),"10:30-12:00")</f>
        <v>10:30-12:00</v>
      </c>
      <c r="N2217" s="7"/>
    </row>
    <row r="2218">
      <c r="A2218" s="7" t="str">
        <f>IFERROR(__xludf.DUMMYFUNCTION("""COMPUTED_VALUE"""),"1451-MAIN")</f>
        <v>1451-MAIN</v>
      </c>
      <c r="B2218" s="7" t="str">
        <f>IFERROR(__xludf.DUMMYFUNCTION("""COMPUTED_VALUE"""),"GiFT: Gibbs Fine-Tuning for Code Generation")</f>
        <v>GiFT: Gibbs Fine-Tuning for Code Generation</v>
      </c>
      <c r="C2218" s="7" t="str">
        <f>IFERROR(__xludf.DUMMYFUNCTION("""COMPUTED_VALUE"""),"Training Large Language Models (LLMs) with synthetic data is a prevalent practice in code generation. A key approach is self-training, where LLMs are iteratively trained on self-generated correct code snippets. In this case, the self-generated codes are d"&amp;"rawn from a conditional distribution, conditioned on a specific seed description. However, the seed description is not the only valid representation that aligns with its intended meaning. With all valid descriptions and codes forming a joint space, codes "&amp;"drawn from the conditional distribution would lead to an underrepresentation of the full description-code space. As such, we propose Gibbs Fine-Tuning (GiFT), a novel self-training method inspired by Gibbs sampling. GiFT allows self-generated data to be d"&amp;"rawn from the marginal distribution of the joint space, thereby mitigating the biases inherent in conditional sampling. We provide a theoretical analysis demonstrating the potential benefits of fine-tuning LLMs with code derived from the marginal distribu"&amp;"tion. Furthermore, we propose a perplexity-based code selection method to mitigate the imbalanced long-tail distribution of the self-generated codes. Empirical evaluation of two LLMs across four datasets demonstrates that GiFT achieves superior performanc"&amp;"e, particularly on more challenging benchmarks. Source code is available at \url{https://github.com/Alex-HaochenLi/GiFT}.")</f>
        <v>Training Large Language Models (LLMs) with synthetic data is a prevalent practice in code generation. A key approach is self-training, where LLMs are iteratively trained on self-generated correct code snippets. In this case, the self-generated codes are drawn from a conditional distribution, conditioned on a specific seed description. However, the seed description is not the only valid representation that aligns with its intended meaning. With all valid descriptions and codes forming a joint space, codes drawn from the conditional distribution would lead to an underrepresentation of the full description-code space. As such, we propose Gibbs Fine-Tuning (GiFT), a novel self-training method inspired by Gibbs sampling. GiFT allows self-generated data to be drawn from the marginal distribution of the joint space, thereby mitigating the biases inherent in conditional sampling. We provide a theoretical analysis demonstrating the potential benefits of fine-tuning LLMs with code derived from the marginal distribution. Furthermore, we propose a perplexity-based code selection method to mitigate the imbalanced long-tail distribution of the self-generated codes. Empirical evaluation of two LLMs across four datasets demonstrates that GiFT achieves superior performance, particularly on more challenging benchmarks. Source code is available at \url{https://github.com/Alex-HaochenLi/GiFT}.</v>
      </c>
      <c r="D2218" s="7" t="str">
        <f>IFERROR(__xludf.DUMMYFUNCTION("""COMPUTED_VALUE"""),"Haochen Li")</f>
        <v>Haochen Li</v>
      </c>
      <c r="E2218" s="7" t="str">
        <f>IFERROR(__xludf.DUMMYFUNCTION("""COMPUTED_VALUE"""),"Yes")</f>
        <v>Yes</v>
      </c>
      <c r="F2218" s="7" t="str">
        <f>IFERROR(__xludf.DUMMYFUNCTION("""COMPUTED_VALUE"""),"IP-Poster")</f>
        <v>IP-Poster</v>
      </c>
      <c r="G2218" s="7" t="str">
        <f>IFERROR(__xludf.DUMMYFUNCTION("""COMPUTED_VALUE"""),"In-Person")</f>
        <v>In-Person</v>
      </c>
      <c r="H2218" s="7" t="str">
        <f>IFERROR(__xludf.DUMMYFUNCTION("""COMPUTED_VALUE"""),"Hall 4/5")</f>
        <v>Hall 4/5</v>
      </c>
      <c r="I2218" s="7" t="str">
        <f>IFERROR(__xludf.DUMMYFUNCTION("""COMPUTED_VALUE"""),"Session 10: IP-Posters")</f>
        <v>Session 10: IP-Posters</v>
      </c>
      <c r="J2218" s="7" t="str">
        <f>IFERROR(__xludf.DUMMYFUNCTION("""COMPUTED_VALUE"""),"Poster Session 3")</f>
        <v>Poster Session 3</v>
      </c>
      <c r="K2218" s="7"/>
      <c r="L2218" s="8">
        <f>IFERROR(__xludf.DUMMYFUNCTION("""COMPUTED_VALUE"""),45867.0)</f>
        <v>45867</v>
      </c>
      <c r="M2218" s="7" t="str">
        <f>IFERROR(__xludf.DUMMYFUNCTION("""COMPUTED_VALUE"""),"16:00-17:30")</f>
        <v>16:00-17:30</v>
      </c>
      <c r="N2218" s="7"/>
    </row>
    <row r="2219">
      <c r="A2219" s="7" t="str">
        <f>IFERROR(__xludf.DUMMYFUNCTION("""COMPUTED_VALUE"""),"1460-MAIN")</f>
        <v>1460-MAIN</v>
      </c>
      <c r="B2219" s="7" t="str">
        <f>IFERROR(__xludf.DUMMYFUNCTION("""COMPUTED_VALUE"""),"Enhancing Interpretable Image Classification Through LLM Agents and Conditional Concept Bottleneck Models")</f>
        <v>Enhancing Interpretable Image Classification Through LLM Agents and Conditional Concept Bottleneck Models</v>
      </c>
      <c r="C2219" s="7" t="str">
        <f>IFERROR(__xludf.DUMMYFUNCTION("""COMPUTED_VALUE"""),"Concept Bottleneck Models (CBMs) decompose image classification into a process governed by interpretable, human-readable concepts. Recent advances in CBMs have used Large Language Models (LLMs) to generate candidate concepts. However, a critical question "&amp;"remains: What is the optimal number of concepts to use? Current concept banks suffer from redundancy or insufficient coverage. To address this issue, we introduce a dynamic, agent-based approach that adjusts the concept bank in response to environmental f"&amp;"eedback, optimizing the number of concepts for sufficiency yet concise coverage. Moreover, we propose Conditional Concept Bottleneck Models (CoCoBMs) to overcome the limitations in traditional CBMs' concept scoring mechanisms. It enhances the accuracy of "&amp;"assessing each concept’s contribution to classification tasks and feature an editable matrix that allows LLMs to correct concept scores that conflict with their internal knowledge. Our evaluations across 6 datasets show that our method not only improves c"&amp;"lassification accuracy by 6% but also enhances interpretability assessments by 30%.")</f>
        <v>Concept Bottleneck Models (CBMs) decompose image classification into a process governed by interpretable, human-readable concepts. Recent advances in CBMs have used Large Language Models (LLMs) to generate candidate concepts. However, a critical question remains: What is the optimal number of concepts to use? Current concept banks suffer from redundancy or insufficient coverage. To address this issue, we introduce a dynamic, agent-based approach that adjusts the concept bank in response to environmental feedback, optimizing the number of concepts for sufficiency yet concise coverage. Moreover, we propose Conditional Concept Bottleneck Models (CoCoBMs) to overcome the limitations in traditional CBMs' concept scoring mechanisms. It enhances the accuracy of assessing each concept’s contribution to classification tasks and feature an editable matrix that allows LLMs to correct concept scores that conflict with their internal knowledge. Our evaluations across 6 datasets show that our method not only improves classification accuracy by 6% but also enhances interpretability assessments by 30%.</v>
      </c>
      <c r="D2219" s="7" t="str">
        <f>IFERROR(__xludf.DUMMYFUNCTION("""COMPUTED_VALUE"""),"Yiwen Jiang")</f>
        <v>Yiwen Jiang</v>
      </c>
      <c r="E2219" s="7" t="str">
        <f>IFERROR(__xludf.DUMMYFUNCTION("""COMPUTED_VALUE"""),"Yes")</f>
        <v>Yes</v>
      </c>
      <c r="F2219" s="7" t="str">
        <f>IFERROR(__xludf.DUMMYFUNCTION("""COMPUTED_VALUE"""),"IP-Poster")</f>
        <v>IP-Poster</v>
      </c>
      <c r="G2219" s="7" t="str">
        <f>IFERROR(__xludf.DUMMYFUNCTION("""COMPUTED_VALUE"""),"In-Person")</f>
        <v>In-Person</v>
      </c>
      <c r="H2219" s="7" t="str">
        <f>IFERROR(__xludf.DUMMYFUNCTION("""COMPUTED_VALUE"""),"Hall 4/5")</f>
        <v>Hall 4/5</v>
      </c>
      <c r="I2219" s="7" t="str">
        <f>IFERROR(__xludf.DUMMYFUNCTION("""COMPUTED_VALUE"""),"Session 2: IP-Posters ")</f>
        <v>Session 2: IP-Posters </v>
      </c>
      <c r="J2219" s="7" t="str">
        <f>IFERROR(__xludf.DUMMYFUNCTION("""COMPUTED_VALUE"""),"Poster Session 1")</f>
        <v>Poster Session 1</v>
      </c>
      <c r="K2219" s="7"/>
      <c r="L2219" s="8">
        <f>IFERROR(__xludf.DUMMYFUNCTION("""COMPUTED_VALUE"""),45866.0)</f>
        <v>45866</v>
      </c>
      <c r="M2219" s="7" t="str">
        <f>IFERROR(__xludf.DUMMYFUNCTION("""COMPUTED_VALUE"""),"11:00-12:30")</f>
        <v>11:00-12:30</v>
      </c>
      <c r="N2219" s="7"/>
    </row>
    <row r="2220">
      <c r="A2220" s="7" t="str">
        <f>IFERROR(__xludf.DUMMYFUNCTION("""COMPUTED_VALUE"""),"1461-MAIN")</f>
        <v>1461-MAIN</v>
      </c>
      <c r="B2220" s="7" t="str">
        <f>IFERROR(__xludf.DUMMYFUNCTION("""COMPUTED_VALUE"""),"Reliably Bounding False Positives: A Zero-Shot Machine-Generated Text Detection Framework via Multiscaled Conformal Prediction")</f>
        <v>Reliably Bounding False Positives: A Zero-Shot Machine-Generated Text Detection Framework via Multiscaled Conformal Prediction</v>
      </c>
      <c r="C2220" s="7" t="str">
        <f>IFERROR(__xludf.DUMMYFUNCTION("""COMPUTED_VALUE"""),"The rapid advancement of large language models has raised significant concerns regarding their potential misuse by malicious actors. As a result, developing effective detectors to mitigate these risks has become a critical priority. However, most existing"&amp;" detection methods focus excessively on detection accuracy, often neglecting the societal risks posed by high false positive rates (FPRs). This paper addresses this issue by leveraging Conformal Prediction (CP), which effectively constrains the upper boun"&amp;"d of FPRs. While directly applying CP constrains FPRs, it also leads to a significant reduction in detection performance. To overcome this trade-off, this paper proposes a Zero-Shot Machine-Generated Text Detection Framework via Multiscaled Conformal Pred"&amp;"iction (MCP), which both enforces the FPR constraint and improves detection performance. This paper also introduces RealDet, a high-quality dataset that spans a wide range of domains, ensuring realistic calibration and enabling superior detection performa"&amp;"nce when combined with MCP. Empirical evaluations demonstrate that MCP effectively constrains FPRs, significantly enhances detection performance, and increases robustness against adversarial attacks across multiple detectors and datasets.")</f>
        <v>The rapid advancement of large language models has raised significant concerns regarding their potential misuse by malicious actors. As a result, developing effective detectors to mitigate these risks has become a critical priority. However, most existing detection methods focus excessively on detection accuracy, often neglecting the societal risks posed by high false positive rates (FPRs). This paper addresses this issue by leveraging Conformal Prediction (CP), which effectively constrains the upper bound of FPRs. While directly applying CP constrains FPRs, it also leads to a significant reduction in detection performance. To overcome this trade-off, this paper proposes a Zero-Shot Machine-Generated Text Detection Framework via Multiscaled Conformal Prediction (MCP), which both enforces the FPR constraint and improves detection performance. This paper also introduces RealDet, a high-quality dataset that spans a wide range of domains, ensuring realistic calibration and enabling superior detection performance when combined with MCP. Empirical evaluations demonstrate that MCP effectively constrains FPRs, significantly enhances detection performance, and increases robustness against adversarial attacks across multiple detectors and datasets.</v>
      </c>
      <c r="D2220" s="7" t="str">
        <f>IFERROR(__xludf.DUMMYFUNCTION("""COMPUTED_VALUE"""),"Xiaowei Zhu")</f>
        <v>Xiaowei Zhu</v>
      </c>
      <c r="E2220" s="7" t="str">
        <f>IFERROR(__xludf.DUMMYFUNCTION("""COMPUTED_VALUE"""),"Yes")</f>
        <v>Yes</v>
      </c>
      <c r="F2220" s="7" t="str">
        <f>IFERROR(__xludf.DUMMYFUNCTION("""COMPUTED_VALUE"""),"IP-Poster")</f>
        <v>IP-Poster</v>
      </c>
      <c r="G2220" s="7" t="str">
        <f>IFERROR(__xludf.DUMMYFUNCTION("""COMPUTED_VALUE"""),"In-Person")</f>
        <v>In-Person</v>
      </c>
      <c r="H2220" s="7" t="str">
        <f>IFERROR(__xludf.DUMMYFUNCTION("""COMPUTED_VALUE"""),"Hall 4/5")</f>
        <v>Hall 4/5</v>
      </c>
      <c r="I2220" s="7" t="str">
        <f>IFERROR(__xludf.DUMMYFUNCTION("""COMPUTED_VALUE"""),"Session 2: IP-Posters ")</f>
        <v>Session 2: IP-Posters </v>
      </c>
      <c r="J2220" s="7" t="str">
        <f>IFERROR(__xludf.DUMMYFUNCTION("""COMPUTED_VALUE"""),"Poster Session 1")</f>
        <v>Poster Session 1</v>
      </c>
      <c r="K2220" s="7"/>
      <c r="L2220" s="8">
        <f>IFERROR(__xludf.DUMMYFUNCTION("""COMPUTED_VALUE"""),45866.0)</f>
        <v>45866</v>
      </c>
      <c r="M2220" s="7" t="str">
        <f>IFERROR(__xludf.DUMMYFUNCTION("""COMPUTED_VALUE"""),"11:00-12:30")</f>
        <v>11:00-12:30</v>
      </c>
      <c r="N2220" s="7"/>
    </row>
    <row r="2221">
      <c r="A2221" s="7" t="str">
        <f>IFERROR(__xludf.DUMMYFUNCTION("""COMPUTED_VALUE"""),"1468-MAIN")</f>
        <v>1468-MAIN</v>
      </c>
      <c r="B2221" s="7" t="str">
        <f>IFERROR(__xludf.DUMMYFUNCTION("""COMPUTED_VALUE"""),"RSCF: Relation-Semantics Consistent Filter for Entity Embedding of Knowledge Graph")</f>
        <v>RSCF: Relation-Semantics Consistent Filter for Entity Embedding of Knowledge Graph</v>
      </c>
      <c r="C2221" s="7" t="str">
        <f>IFERROR(__xludf.DUMMYFUNCTION("""COMPUTED_VALUE"""),"In knowledge graph embedding, leveraging relation specific entity transformation has markedly enhanced performance. However, the consistency of embedding differences before and after transformation remains unaddressed, risking the loss of valuable inducti"&amp;"ve bias inherent in the embeddings. This inconsistency stems from two problems. First, transformation representations are specified for relations in a disconnected manner, allowing dissimilar transformations and corresponding entity embeddings for similar"&amp;" relations. Second, a generalized plug-in approach as a SFBR (Semantic Filter Based on Relations) disrupts this consistency through excessive concentration of entity embeddings under entity-based regularization, generating indistinguishable score distribu"&amp;"tions among relations. In this paper, we introduce a plug-in KGE method, Relation-Semantics Consistent Filter (RSCF). Its entity transformation has three features for enhancing semantic consistency: 1)  shared affine transformation of relation embeddings "&amp;"across all relations, 2)  rooted entity transformation that adds an entity embedding to its change represented by the transformed vector, and 3) normalization of the change to prevent scale reduction. To amplify the advantages of consistency that preserve"&amp;" semantics on embeddings, RSCF adds relation transformation and prediction modules for enhancing the semantics. In knowledge graph completion tasks with distance-based and tensor decomposition models, RSCF significantly outperforms state-of-the-art KGE me"&amp;"thods, showing robustness across all relations and their frequencies.")</f>
        <v>In knowledge graph embedding, leveraging relation specific entity transformation has markedly enhanced performance. However, the consistency of embedding differences before and after transformation remains unaddressed, risking the loss of valuable inductive bias inherent in the embeddings. This inconsistency stems from two problems. First, transformation representations are specified for relations in a disconnected manner, allowing dissimilar transformations and corresponding entity embeddings for similar relations. Second, a generalized plug-in approach as a SFBR (Semantic Filter Based on Relations) disrupts this consistency through excessive concentration of entity embeddings under entity-based regularization, generating indistinguishable score distributions among relations. In this paper, we introduce a plug-in KGE method, Relation-Semantics Consistent Filter (RSCF). Its entity transformation has three features for enhancing semantic consistency: 1)  shared affine transformation of relation embeddings across all relations, 2)  rooted entity transformation that adds an entity embedding to its change represented by the transformed vector, and 3) normalization of the change to prevent scale reduction. To amplify the advantages of consistency that preserve semantics on embeddings, RSCF adds relation transformation and prediction modules for enhancing the semantics. In knowledge graph completion tasks with distance-based and tensor decomposition models, RSCF significantly outperforms state-of-the-art KGE methods, showing robustness across all relations and their frequencies.</v>
      </c>
      <c r="D2221" s="7" t="str">
        <f>IFERROR(__xludf.DUMMYFUNCTION("""COMPUTED_VALUE"""),"Junsik Kim")</f>
        <v>Junsik Kim</v>
      </c>
      <c r="E2221" s="7" t="str">
        <f>IFERROR(__xludf.DUMMYFUNCTION("""COMPUTED_VALUE"""),"Yes")</f>
        <v>Yes</v>
      </c>
      <c r="F2221" s="7" t="str">
        <f>IFERROR(__xludf.DUMMYFUNCTION("""COMPUTED_VALUE"""),"IP-Poster")</f>
        <v>IP-Poster</v>
      </c>
      <c r="G2221" s="7" t="str">
        <f>IFERROR(__xludf.DUMMYFUNCTION("""COMPUTED_VALUE"""),"In-Person")</f>
        <v>In-Person</v>
      </c>
      <c r="H2221" s="7" t="str">
        <f>IFERROR(__xludf.DUMMYFUNCTION("""COMPUTED_VALUE"""),"Hall 4/5")</f>
        <v>Hall 4/5</v>
      </c>
      <c r="I2221" s="7" t="str">
        <f>IFERROR(__xludf.DUMMYFUNCTION("""COMPUTED_VALUE"""),"Session 7: IP-Posters")</f>
        <v>Session 7: IP-Posters</v>
      </c>
      <c r="J2221" s="7" t="str">
        <f>IFERROR(__xludf.DUMMYFUNCTION("""COMPUTED_VALUE"""),"Poster Session 2")</f>
        <v>Poster Session 2</v>
      </c>
      <c r="K2221" s="7"/>
      <c r="L2221" s="8">
        <f>IFERROR(__xludf.DUMMYFUNCTION("""COMPUTED_VALUE"""),45867.0)</f>
        <v>45867</v>
      </c>
      <c r="M2221" s="7" t="str">
        <f>IFERROR(__xludf.DUMMYFUNCTION("""COMPUTED_VALUE"""),"10:30-12:00")</f>
        <v>10:30-12:00</v>
      </c>
      <c r="N2221" s="7"/>
    </row>
    <row r="2222">
      <c r="A2222" s="7" t="str">
        <f>IFERROR(__xludf.DUMMYFUNCTION("""COMPUTED_VALUE"""),"1470-MAIN")</f>
        <v>1470-MAIN</v>
      </c>
      <c r="B2222" s="7" t="str">
        <f>IFERROR(__xludf.DUMMYFUNCTION("""COMPUTED_VALUE"""),"RolePlot: A Systematic Framework for Evaluating and Enhancing the Plot-Progression Capabilities of Role-Playing Agents")</f>
        <v>RolePlot: A Systematic Framework for Evaluating and Enhancing the Plot-Progression Capabilities of Role-Playing Agents</v>
      </c>
      <c r="C2222" s="7" t="str">
        <f>IFERROR(__xludf.DUMMYFUNCTION("""COMPUTED_VALUE"""),"Role-playing agents (RPAs) are garnering increasing interests as a novel form of conversational AI. While previous research has predominantly concentrated on their ability to portray specified characters, we argue from a user-centered perspective that RPA"&amp;"s' capability to advance the plot requires substantial improvements to deliver more engaging interaction. To bridge this gap, we propose RolePlot, a role-playing framework specifically designed to evaluate and enhance the plot-progression capabilities of "&amp;"RPAs. RolePlot begins by constructing a plot-progression dataset extended from human-written literary scripts and specially designed synthetic data, followed by narrative theory-driven manual annotation and automated labeling  validated through human veri"&amp;"fication. We then exploit the over-parameterized embedding space of LLMs to detect a ``trigger subspace'' that identifies dialogue segments catalyzing plot transitions. When user's inputs align with this subspace, we explicitly prompt RPAs to advance the "&amp;"plot. For evaluation, we simulate User-RPA interactions and track both the conversation longevity (measured in dialogue turns before disengagement) and users'  arousal levels across different stages. Empirically, our method improves RPAs' capability to ti"&amp;"me plot developments, and more importantly, yielding a significant increase  in conversation turns and sustained higher arousal levels, thereby confirming that users experience  more immersive engagements.")</f>
        <v>Role-playing agents (RPAs) are garnering increasing interests as a novel form of conversational AI. While previous research has predominantly concentrated on their ability to portray specified characters, we argue from a user-centered perspective that RPAs' capability to advance the plot requires substantial improvements to deliver more engaging interaction. To bridge this gap, we propose RolePlot, a role-playing framework specifically designed to evaluate and enhance the plot-progression capabilities of RPAs. RolePlot begins by constructing a plot-progression dataset extended from human-written literary scripts and specially designed synthetic data, followed by narrative theory-driven manual annotation and automated labeling  validated through human verification. We then exploit the over-parameterized embedding space of LLMs to detect a ``trigger subspace'' that identifies dialogue segments catalyzing plot transitions. When user's inputs align with this subspace, we explicitly prompt RPAs to advance the plot. For evaluation, we simulate User-RPA interactions and track both the conversation longevity (measured in dialogue turns before disengagement) and users'  arousal levels across different stages. Empirically, our method improves RPAs' capability to time plot developments, and more importantly, yielding a significant increase  in conversation turns and sustained higher arousal levels, thereby confirming that users experience  more immersive engagements.</v>
      </c>
      <c r="D2222" s="7" t="str">
        <f>IFERROR(__xludf.DUMMYFUNCTION("""COMPUTED_VALUE"""),"Pinyi Zhang")</f>
        <v>Pinyi Zhang</v>
      </c>
      <c r="E2222" s="7" t="str">
        <f>IFERROR(__xludf.DUMMYFUNCTION("""COMPUTED_VALUE"""),"Yes")</f>
        <v>Yes</v>
      </c>
      <c r="F2222" s="7" t="str">
        <f>IFERROR(__xludf.DUMMYFUNCTION("""COMPUTED_VALUE"""),"IP-Poster")</f>
        <v>IP-Poster</v>
      </c>
      <c r="G2222" s="7" t="str">
        <f>IFERROR(__xludf.DUMMYFUNCTION("""COMPUTED_VALUE"""),"In-Person")</f>
        <v>In-Person</v>
      </c>
      <c r="H2222" s="7" t="str">
        <f>IFERROR(__xludf.DUMMYFUNCTION("""COMPUTED_VALUE"""),"Hall 4/5")</f>
        <v>Hall 4/5</v>
      </c>
      <c r="I2222" s="7" t="str">
        <f>IFERROR(__xludf.DUMMYFUNCTION("""COMPUTED_VALUE"""),"Session 2: IP-Posters ")</f>
        <v>Session 2: IP-Posters </v>
      </c>
      <c r="J2222" s="7" t="str">
        <f>IFERROR(__xludf.DUMMYFUNCTION("""COMPUTED_VALUE"""),"Poster Session 1")</f>
        <v>Poster Session 1</v>
      </c>
      <c r="K2222" s="7"/>
      <c r="L2222" s="8">
        <f>IFERROR(__xludf.DUMMYFUNCTION("""COMPUTED_VALUE"""),45866.0)</f>
        <v>45866</v>
      </c>
      <c r="M2222" s="7" t="str">
        <f>IFERROR(__xludf.DUMMYFUNCTION("""COMPUTED_VALUE"""),"11:00-12:30")</f>
        <v>11:00-12:30</v>
      </c>
      <c r="N2222" s="7"/>
    </row>
    <row r="2223">
      <c r="A2223" s="7" t="str">
        <f>IFERROR(__xludf.DUMMYFUNCTION("""COMPUTED_VALUE"""),"1472-MAIN")</f>
        <v>1472-MAIN</v>
      </c>
      <c r="B2223" s="7" t="str">
        <f>IFERROR(__xludf.DUMMYFUNCTION("""COMPUTED_VALUE"""),"TreeRL: LLM Reinforcement Learning with On-Policy Tree Search")</f>
        <v>TreeRL: LLM Reinforcement Learning with On-Policy Tree Search</v>
      </c>
      <c r="C2223" s="7" t="str">
        <f>IFERROR(__xludf.DUMMYFUNCTION("""COMPUTED_VALUE"""),"Reinforcement learning (RL) with tree search has demonstrated superior performance in traditional reasoning tasks. Compared to conventional independent chain sampling strategies with outcome supervision, tree search enables better exploration of the reaso"&amp;"ning space and provides dense, on-policy process rewards during RL training but remains under-explored in On-Policy LLM RL.
 We propose TreeRL, a reinforcement learning framework that directly incorporates on-policy tree search for RL training. Our approa"&amp;"ch includes intermediate supervision and eliminates the need for separate reward model training. Existing approaches typically train a separate process reward model, which can suffer from distribution mismatch and reward hacking. 
 We also introduce a cos"&amp;"t-effective tree search approach that achieves higher search efficiency under the same generation token budget by strategically branching from high-uncertainty intermediate steps rather than using random branching. 
 Experiments on challenging math and co"&amp;"de reasoning benchmarks demonstrate that TreeRL achieves superior performance compared to traditional ChainRL, highlighting the potential of tree search for LLM. TreeRL is open-sourced at \url{https://github.com/THUDM/TreeRL}.")</f>
        <v>Reinforcement learning (RL) with tree search has demonstrated superior performance in traditional reasoning tasks. Compared to conventional independent chain sampling strategies with outcome supervision, tree search enables better exploration of the reasoning space and provides dense, on-policy process rewards during RL training but remains under-explored in On-Policy LLM RL.
 We propose TreeRL, a reinforcement learning framework that directly incorporates on-policy tree search for RL training. Our approach includes intermediate supervision and eliminates the need for separate reward model training. Existing approaches typically train a separate process reward model, which can suffer from distribution mismatch and reward hacking. 
 We also introduce a cost-effective tree search approach that achieves higher search efficiency under the same generation token budget by strategically branching from high-uncertainty intermediate steps rather than using random branching. 
 Experiments on challenging math and code reasoning benchmarks demonstrate that TreeRL achieves superior performance compared to traditional ChainRL, highlighting the potential of tree search for LLM. TreeRL is open-sourced at \url{https://github.com/THUDM/TreeRL}.</v>
      </c>
      <c r="D2223" s="7" t="str">
        <f>IFERROR(__xludf.DUMMYFUNCTION("""COMPUTED_VALUE"""),"Zhenyu Hou")</f>
        <v>Zhenyu Hou</v>
      </c>
      <c r="E2223" s="7" t="str">
        <f>IFERROR(__xludf.DUMMYFUNCTION("""COMPUTED_VALUE"""),"Yes")</f>
        <v>Yes</v>
      </c>
      <c r="F2223" s="7" t="str">
        <f>IFERROR(__xludf.DUMMYFUNCTION("""COMPUTED_VALUE"""),"IP-Poster")</f>
        <v>IP-Poster</v>
      </c>
      <c r="G2223" s="7" t="str">
        <f>IFERROR(__xludf.DUMMYFUNCTION("""COMPUTED_VALUE"""),"In-Person")</f>
        <v>In-Person</v>
      </c>
      <c r="H2223" s="7" t="str">
        <f>IFERROR(__xludf.DUMMYFUNCTION("""COMPUTED_VALUE"""),"Hall 4/5")</f>
        <v>Hall 4/5</v>
      </c>
      <c r="I2223" s="7" t="str">
        <f>IFERROR(__xludf.DUMMYFUNCTION("""COMPUTED_VALUE"""),"Session 7: IP-Posters")</f>
        <v>Session 7: IP-Posters</v>
      </c>
      <c r="J2223" s="7" t="str">
        <f>IFERROR(__xludf.DUMMYFUNCTION("""COMPUTED_VALUE"""),"Poster Session 2")</f>
        <v>Poster Session 2</v>
      </c>
      <c r="K2223" s="7"/>
      <c r="L2223" s="8">
        <f>IFERROR(__xludf.DUMMYFUNCTION("""COMPUTED_VALUE"""),45867.0)</f>
        <v>45867</v>
      </c>
      <c r="M2223" s="7" t="str">
        <f>IFERROR(__xludf.DUMMYFUNCTION("""COMPUTED_VALUE"""),"10:30-12:00")</f>
        <v>10:30-12:00</v>
      </c>
      <c r="N2223" s="7"/>
    </row>
    <row r="2224">
      <c r="A2224" s="7" t="str">
        <f>IFERROR(__xludf.DUMMYFUNCTION("""COMPUTED_VALUE"""),"1473-MAIN")</f>
        <v>1473-MAIN</v>
      </c>
      <c r="B2224" s="7" t="str">
        <f>IFERROR(__xludf.DUMMYFUNCTION("""COMPUTED_VALUE"""),"Can a Single Model Master Both Multi-turn Conversations and Tool Use? CALM: A Unified Conversational Agentic Language Model")</f>
        <v>Can a Single Model Master Both Multi-turn Conversations and Tool Use? CALM: A Unified Conversational Agentic Language Model</v>
      </c>
      <c r="C2224" s="7" t="str">
        <f>IFERROR(__xludf.DUMMYFUNCTION("""COMPUTED_VALUE"""),"Large Language Models (LLMs) with API-calling capabilities enabled building effective Language Agents (LA), while also revolutionizing the conventional task-oriented dialogue (TOD) paradigm. However, current approaches face a critical dilemma: TOD systems"&amp;" are often trained on a limited set of target APIs, requiring new data to maintain their quality when interfacing with new services, while LAs are not trained to maintain user intent over multi-turn conversations. Because both robust multi-turn management"&amp;" and advanced function calling are crucial for effective conversational agents, we evaluate these skills on three popular benchmarks: MultiWOZ 2.4 (TOD), BFCL V3 (LA), and API-Bank (LA)—and our analyses reveal that specialized approaches excel in one doma"&amp;"in but underperform in the other. To bridge this chasm, we introduce **CoALM** (**C**onversational **A**gentic **L**anguage **M**odel), a unified approach that integrates both conversational and agentic capabilities. We created **CoALM-IT**, a carefully c"&amp;"onstructed multi-task dataset that interleave multi-turn ReAct reasoning with complex API usage. Using CoALM-IT, we train three models **CoALM 8B**, **CoALM 70B**, and **CoALM 405B**, which outperform top domain-specific models, including GPT-4o, across a"&amp;"ll three benchmarks. This demonstrates the feasibility of a single model approach for both TOD and LA, setting a new standard for conversational agents.")</f>
        <v>Large Language Models (LLMs) with API-calling capabilities enabled building effective Language Agents (LA), while also revolutionizing the conventional task-oriented dialogue (TOD) paradigm. However, current approaches face a critical dilemma: TOD systems are often trained on a limited set of target APIs, requiring new data to maintain their quality when interfacing with new services, while LAs are not trained to maintain user intent over multi-turn conversations. Because both robust multi-turn management and advanced function calling are crucial for effective conversational agents, we evaluate these skills on three popular benchmarks: MultiWOZ 2.4 (TOD), BFCL V3 (LA), and API-Bank (LA)—and our analyses reveal that specialized approaches excel in one domain but underperform in the other. To bridge this chasm, we introduce **CoALM** (**C**onversational **A**gentic **L**anguage **M**odel), a unified approach that integrates both conversational and agentic capabilities. We created **CoALM-IT**, a carefully constructed multi-task dataset that interleave multi-turn ReAct reasoning with complex API usage. Using CoALM-IT, we train three models **CoALM 8B**, **CoALM 70B**, and **CoALM 405B**, which outperform top domain-specific models, including GPT-4o, across all three benchmarks. This demonstrates the feasibility of a single model approach for both TOD and LA, setting a new standard for conversational agents.</v>
      </c>
      <c r="D2224" s="7" t="str">
        <f>IFERROR(__xludf.DUMMYFUNCTION("""COMPUTED_VALUE"""),"Emre Can Acikgoz")</f>
        <v>Emre Can Acikgoz</v>
      </c>
      <c r="E2224" s="7" t="str">
        <f>IFERROR(__xludf.DUMMYFUNCTION("""COMPUTED_VALUE"""),"Yes")</f>
        <v>Yes</v>
      </c>
      <c r="F2224" s="7" t="str">
        <f>IFERROR(__xludf.DUMMYFUNCTION("""COMPUTED_VALUE"""),"IP-Poster")</f>
        <v>IP-Poster</v>
      </c>
      <c r="G2224" s="7" t="str">
        <f>IFERROR(__xludf.DUMMYFUNCTION("""COMPUTED_VALUE"""),"In-Person")</f>
        <v>In-Person</v>
      </c>
      <c r="H2224" s="7" t="str">
        <f>IFERROR(__xludf.DUMMYFUNCTION("""COMPUTED_VALUE"""),"Hall 4/5")</f>
        <v>Hall 4/5</v>
      </c>
      <c r="I2224" s="7" t="str">
        <f>IFERROR(__xludf.DUMMYFUNCTION("""COMPUTED_VALUE"""),"Session 7: IP-Posters")</f>
        <v>Session 7: IP-Posters</v>
      </c>
      <c r="J2224" s="7" t="str">
        <f>IFERROR(__xludf.DUMMYFUNCTION("""COMPUTED_VALUE"""),"Poster Session 2")</f>
        <v>Poster Session 2</v>
      </c>
      <c r="K2224" s="7"/>
      <c r="L2224" s="8">
        <f>IFERROR(__xludf.DUMMYFUNCTION("""COMPUTED_VALUE"""),45867.0)</f>
        <v>45867</v>
      </c>
      <c r="M2224" s="7" t="str">
        <f>IFERROR(__xludf.DUMMYFUNCTION("""COMPUTED_VALUE"""),"10:30-12:00")</f>
        <v>10:30-12:00</v>
      </c>
      <c r="N2224" s="7"/>
    </row>
    <row r="2225">
      <c r="A2225" s="7" t="str">
        <f>IFERROR(__xludf.DUMMYFUNCTION("""COMPUTED_VALUE"""),"1474-MAIN")</f>
        <v>1474-MAIN</v>
      </c>
      <c r="B2225" s="7" t="str">
        <f>IFERROR(__xludf.DUMMYFUNCTION("""COMPUTED_VALUE"""),"Single-to-mix Modality Alignment with Multimodal Large Language Model for Document Image Machine Translation")</f>
        <v>Single-to-mix Modality Alignment with Multimodal Large Language Model for Document Image Machine Translation</v>
      </c>
      <c r="C2225" s="7" t="str">
        <f>IFERROR(__xludf.DUMMYFUNCTION("""COMPUTED_VALUE"""),"Document Image Machine Translation (DIMT) aims to translate text within document images, facing generalization challenges due to limited training data and the complex interplay between visual and textual information. To address these challenges, we introd"&amp;"uce M4Doc, a novel single-to-mix Modality alignment framework leveraging Multimodal Large Language Models (MLLMs). M4Doc aligns an imageonly encoder with the multimodal representations of an MLLM, pre-trained on large-scale document image datasets. This a"&amp;"lignment enables a lightweight DIMT model to learn crucial visual-textual correlations during training. During inference, M4Doc bypasses the MLLM, maintaining computational efficiency while benefiting from its multimodal knowledge. Comprehensive experimen"&amp;"ts demonstrate substantial improvements in translation quality, especially in cross-domain generalization and challenging document image scenarios. The code will be released upon acceptance.")</f>
        <v>Document Image Machine Translation (DIMT) aims to translate text within document images, facing generalization challenges due to limited training data and the complex interplay between visual and textual information. To address these challenges, we introduce M4Doc, a novel single-to-mix Modality alignment framework leveraging Multimodal Large Language Models (MLLMs). M4Doc aligns an imageonly encoder with the multimodal representations of an MLLM, pre-trained on large-scale document image datasets. This alignment enables a lightweight DIMT model to learn crucial visual-textual correlations during training. During inference, M4Doc bypasses the MLLM, maintaining computational efficiency while benefiting from its multimodal knowledge. Comprehensive experiments demonstrate substantial improvements in translation quality, especially in cross-domain generalization and challenging document image scenarios. The code will be released upon acceptance.</v>
      </c>
      <c r="D2225" s="7" t="str">
        <f>IFERROR(__xludf.DUMMYFUNCTION("""COMPUTED_VALUE"""),"Yupu Liang")</f>
        <v>Yupu Liang</v>
      </c>
      <c r="E2225" s="7" t="str">
        <f>IFERROR(__xludf.DUMMYFUNCTION("""COMPUTED_VALUE"""),"Yes")</f>
        <v>Yes</v>
      </c>
      <c r="F2225" s="7" t="str">
        <f>IFERROR(__xludf.DUMMYFUNCTION("""COMPUTED_VALUE"""),"IP-Poster")</f>
        <v>IP-Poster</v>
      </c>
      <c r="G2225" s="7" t="str">
        <f>IFERROR(__xludf.DUMMYFUNCTION("""COMPUTED_VALUE"""),"In-Person")</f>
        <v>In-Person</v>
      </c>
      <c r="H2225" s="7" t="str">
        <f>IFERROR(__xludf.DUMMYFUNCTION("""COMPUTED_VALUE"""),"Hall 4/5")</f>
        <v>Hall 4/5</v>
      </c>
      <c r="I2225" s="7" t="str">
        <f>IFERROR(__xludf.DUMMYFUNCTION("""COMPUTED_VALUE"""),"Session 10: IP-Posters")</f>
        <v>Session 10: IP-Posters</v>
      </c>
      <c r="J2225" s="7" t="str">
        <f>IFERROR(__xludf.DUMMYFUNCTION("""COMPUTED_VALUE"""),"Poster Session 3")</f>
        <v>Poster Session 3</v>
      </c>
      <c r="K2225" s="7"/>
      <c r="L2225" s="8">
        <f>IFERROR(__xludf.DUMMYFUNCTION("""COMPUTED_VALUE"""),45867.0)</f>
        <v>45867</v>
      </c>
      <c r="M2225" s="7" t="str">
        <f>IFERROR(__xludf.DUMMYFUNCTION("""COMPUTED_VALUE"""),"16:00-17:30")</f>
        <v>16:00-17:30</v>
      </c>
      <c r="N2225" s="7"/>
    </row>
    <row r="2226">
      <c r="A2226" s="7" t="str">
        <f>IFERROR(__xludf.DUMMYFUNCTION("""COMPUTED_VALUE"""),"1479-MAIN")</f>
        <v>1479-MAIN</v>
      </c>
      <c r="B2226" s="7" t="str">
        <f>IFERROR(__xludf.DUMMYFUNCTION("""COMPUTED_VALUE"""),"SDPO: Segment-Level Direct Preference Optimization for Social Agents")</f>
        <v>SDPO: Segment-Level Direct Preference Optimization for Social Agents</v>
      </c>
      <c r="C2226" s="7" t="str">
        <f>IFERROR(__xludf.DUMMYFUNCTION("""COMPUTED_VALUE"""),"Social agents powered by large language models (LLMs) can simulate human social behaviors but fall short in handling complex social dialogues. Direct Preference Optimization (DPO) has proven effective in aligning LLM behavior with human preferences across"&amp;" various agent tasks. However, standard DPO focuses solely on individual turns, which limits its effectiveness in multi-turn social interactions. Several DPO-based multi-turn alignment methods with session-level data have shown potential in addressing thi"&amp;"s problem. While these methods consider multiple turns across entire sessions, they are often overly coarse-grained, introducing training noise, and lack robust theoretical support. To resolve these limitations, we propose Segment-Level Direct Preference "&amp;"Optimization (SDPO), which dynamically select key segments within interactions to optimize multi-turn agent behavior. SDPO minimizes training noise and is grounded in a rigorous theoretical framework. Evaluations on the SOTOPIA benchmark demonstrate that "&amp;"SDPO-tuned agents consistently outperform both existing DPO-based methods and proprietary LLMs like GPT-4o, underscoring SDPO's potential to advance the social intelligence of LLM-based agents. We release our code and data at https://anonymous.4open.scien"&amp;"ce/r/SDPO-CE8F.")</f>
        <v>Social agents powered by large language models (LLMs) can simulate human social behaviors but fall short in handling complex social dialogues. Direct Preference Optimization (DPO) has proven effective in aligning LLM behavior with human preferences across various agent tasks. However, standard DPO focuses solely on individual turns, which limits its effectiveness in multi-turn social interactions. Several DPO-based multi-turn alignment methods with session-level data have shown potential in addressing this problem. While these methods consider multiple turns across entire sessions, they are often overly coarse-grained, introducing training noise, and lack robust theoretical support. To resolve these limitations, we propose Segment-Level Direct Preference Optimization (SDPO), which dynamically select key segments within interactions to optimize multi-turn agent behavior. SDPO minimizes training noise and is grounded in a rigorous theoretical framework. Evaluations on the SOTOPIA benchmark demonstrate that SDPO-tuned agents consistently outperform both existing DPO-based methods and proprietary LLMs like GPT-4o, underscoring SDPO's potential to advance the social intelligence of LLM-based agents. We release our code and data at https://anonymous.4open.science/r/SDPO-CE8F.</v>
      </c>
      <c r="D2226" s="7" t="str">
        <f>IFERROR(__xludf.DUMMYFUNCTION("""COMPUTED_VALUE"""),"Aobo Kong")</f>
        <v>Aobo Kong</v>
      </c>
      <c r="E2226" s="7" t="str">
        <f>IFERROR(__xludf.DUMMYFUNCTION("""COMPUTED_VALUE"""),"Yes")</f>
        <v>Yes</v>
      </c>
      <c r="F2226" s="7" t="str">
        <f>IFERROR(__xludf.DUMMYFUNCTION("""COMPUTED_VALUE"""),"IP-Poster")</f>
        <v>IP-Poster</v>
      </c>
      <c r="G2226" s="7" t="str">
        <f>IFERROR(__xludf.DUMMYFUNCTION("""COMPUTED_VALUE"""),"In-Person")</f>
        <v>In-Person</v>
      </c>
      <c r="H2226" s="7" t="str">
        <f>IFERROR(__xludf.DUMMYFUNCTION("""COMPUTED_VALUE"""),"Hall 4/5")</f>
        <v>Hall 4/5</v>
      </c>
      <c r="I2226" s="7" t="str">
        <f>IFERROR(__xludf.DUMMYFUNCTION("""COMPUTED_VALUE"""),"Session 2: IP-Posters ")</f>
        <v>Session 2: IP-Posters </v>
      </c>
      <c r="J2226" s="7" t="str">
        <f>IFERROR(__xludf.DUMMYFUNCTION("""COMPUTED_VALUE"""),"Poster Session 1")</f>
        <v>Poster Session 1</v>
      </c>
      <c r="K2226" s="7"/>
      <c r="L2226" s="8">
        <f>IFERROR(__xludf.DUMMYFUNCTION("""COMPUTED_VALUE"""),45866.0)</f>
        <v>45866</v>
      </c>
      <c r="M2226" s="7" t="str">
        <f>IFERROR(__xludf.DUMMYFUNCTION("""COMPUTED_VALUE"""),"11:00-12:30")</f>
        <v>11:00-12:30</v>
      </c>
      <c r="N2226" s="7"/>
    </row>
    <row r="2227">
      <c r="A2227" s="7" t="str">
        <f>IFERROR(__xludf.DUMMYFUNCTION("""COMPUTED_VALUE"""),"1481-MAIN")</f>
        <v>1481-MAIN</v>
      </c>
      <c r="B2227" s="7" t="str">
        <f>IFERROR(__xludf.DUMMYFUNCTION("""COMPUTED_VALUE"""),"KokoroChat: A Japanese Psychological Counseling Dialogue Dataset Collected via Role-Playing by Trained Counselors")</f>
        <v>KokoroChat: A Japanese Psychological Counseling Dialogue Dataset Collected via Role-Playing by Trained Counselors</v>
      </c>
      <c r="C2227" s="7" t="str">
        <f>IFERROR(__xludf.DUMMYFUNCTION("""COMPUTED_VALUE"""),"Generating psychological counseling responses with language models relies heavily on high-quality datasets. Crowdsourced data collection methods require strict worker training, and data from real-world counseling environments may raise privacy and ethical"&amp;" concerns. While recent studies have explored using large language models (LLMs) to augment psychological counseling dialogue datasets, the resulting data often suffers from limited diversity and authenticity. To address these limitations, this study adop"&amp;"ts a role-playing approach where trained counselors simulate counselor-client interactions, ensuring high-quality dialogues while mitigating privacy risks. Using this method, we construct KokoroChat, a Japanese psychological counseling dialogue dataset co"&amp;"mprising 6,589 long-form dialogues, each accompanied by comprehensive client feedback. Experimental results demonstrate that fine-tuning open-source LLMs with KokoroChat improves both the quality of generated counseling responses and the automatic evaluat"&amp;"ion of counseling dialogues. The KokoroChat dataset is available at https://github.com/UEC-InabaLab/KokoroChat.")</f>
        <v>Generating psychological counseling responses with language models relies heavily on high-quality datasets. Crowdsourced data collection methods require strict worker training, and data from real-world counseling environments may raise privacy and ethical concerns. While recent studies have explored using large language models (LLMs) to augment psychological counseling dialogue datasets, the resulting data often suffers from limited diversity and authenticity. To address these limitations, this study adopts a role-playing approach where trained counselors simulate counselor-client interactions, ensuring high-quality dialogues while mitigating privacy risks. Using this method, we construct KokoroChat, a Japanese psychological counseling dialogue dataset comprising 6,589 long-form dialogues, each accompanied by comprehensive client feedback. Experimental results demonstrate that fine-tuning open-source LLMs with KokoroChat improves both the quality of generated counseling responses and the automatic evaluation of counseling dialogues. The KokoroChat dataset is available at https://github.com/UEC-InabaLab/KokoroChat.</v>
      </c>
      <c r="D2227" s="7" t="str">
        <f>IFERROR(__xludf.DUMMYFUNCTION("""COMPUTED_VALUE"""),"Zhiyang Qi")</f>
        <v>Zhiyang Qi</v>
      </c>
      <c r="E2227" s="7" t="str">
        <f>IFERROR(__xludf.DUMMYFUNCTION("""COMPUTED_VALUE"""),"Yes")</f>
        <v>Yes</v>
      </c>
      <c r="F2227" s="7" t="str">
        <f>IFERROR(__xludf.DUMMYFUNCTION("""COMPUTED_VALUE"""),"IP-Poster")</f>
        <v>IP-Poster</v>
      </c>
      <c r="G2227" s="7" t="str">
        <f>IFERROR(__xludf.DUMMYFUNCTION("""COMPUTED_VALUE"""),"In-Person")</f>
        <v>In-Person</v>
      </c>
      <c r="H2227" s="7" t="str">
        <f>IFERROR(__xludf.DUMMYFUNCTION("""COMPUTED_VALUE"""),"Hall 4/5")</f>
        <v>Hall 4/5</v>
      </c>
      <c r="I2227" s="7" t="str">
        <f>IFERROR(__xludf.DUMMYFUNCTION("""COMPUTED_VALUE"""),"Session 7: IP-Posters")</f>
        <v>Session 7: IP-Posters</v>
      </c>
      <c r="J2227" s="7" t="str">
        <f>IFERROR(__xludf.DUMMYFUNCTION("""COMPUTED_VALUE"""),"Poster Session 2")</f>
        <v>Poster Session 2</v>
      </c>
      <c r="K2227" s="7"/>
      <c r="L2227" s="8">
        <f>IFERROR(__xludf.DUMMYFUNCTION("""COMPUTED_VALUE"""),45867.0)</f>
        <v>45867</v>
      </c>
      <c r="M2227" s="7" t="str">
        <f>IFERROR(__xludf.DUMMYFUNCTION("""COMPUTED_VALUE"""),"10:30-12:00")</f>
        <v>10:30-12:00</v>
      </c>
      <c r="N2227" s="7"/>
    </row>
    <row r="2228">
      <c r="A2228" s="7" t="str">
        <f>IFERROR(__xludf.DUMMYFUNCTION("""COMPUTED_VALUE"""),"1485-MAIN")</f>
        <v>1485-MAIN</v>
      </c>
      <c r="B2228" s="7" t="str">
        <f>IFERROR(__xludf.DUMMYFUNCTION("""COMPUTED_VALUE"""),"SURVEYFORGE : On the Outline Heuristics, Memory-Driven Generation, and Multi-dimensional Evaluation for Automated Survey Writing")</f>
        <v>SURVEYFORGE : On the Outline Heuristics, Memory-Driven Generation, and Multi-dimensional Evaluation for Automated Survey Writing</v>
      </c>
      <c r="C2228" s="7" t="str">
        <f>IFERROR(__xludf.DUMMYFUNCTION("""COMPUTED_VALUE"""),"Survey paper plays a crucial role in scientific research, especially given the rapid growth of research publications. Recently, researchers have begun using LLMs to automate survey generation for better efficiency. However, the quality gap between LLM-gen"&amp;"erated surveys and those written by human remains significant, particularly in terms of outline quality and citation accuracy. To close these gaps, we introduce SURVEYFORGE, which first generates the outline by analyzing the logical structure of human-wri"&amp;"tten outlines and referring to the retrieved domain-related articles.~Subsequently, leveraging high-quality papers retrieved from memory by our scholar navigation agent, SURVEYFORGE can automatically generate and refine the content of the generated articl"&amp;"e. Moreover, to achieve a comprehensive evaluation, we construct SurveyBench, which includes 100 human-written survey papers for win-rate comparison and assesses AI-generated survey papers across three dimensions: reference, outline, and content quality. "&amp;"Experiments demonstrate that SURVEYFORGEcan outperform previous works such as AutoSurvey.")</f>
        <v>Survey paper plays a crucial role in scientific research, especially given the rapid growth of research publications. Recently, researchers have begun using LLMs to automate survey generation for better efficiency. However, the quality gap between LLM-generated surveys and those written by human remains significant, particularly in terms of outline quality and citation accuracy. To close these gaps, we introduce SURVEYFORGE, which first generates the outline by analyzing the logical structure of human-written outlines and referring to the retrieved domain-related articles.~Subsequently, leveraging high-quality papers retrieved from memory by our scholar navigation agent, SURVEYFORGE can automatically generate and refine the content of the generated article. Moreover, to achieve a comprehensive evaluation, we construct SurveyBench, which includes 100 human-written survey papers for win-rate comparison and assesses AI-generated survey papers across three dimensions: reference, outline, and content quality. Experiments demonstrate that SURVEYFORGEcan outperform previous works such as AutoSurvey.</v>
      </c>
      <c r="D2228" s="7" t="str">
        <f>IFERROR(__xludf.DUMMYFUNCTION("""COMPUTED_VALUE"""),"Xiangchao Yan")</f>
        <v>Xiangchao Yan</v>
      </c>
      <c r="E2228" s="7" t="str">
        <f>IFERROR(__xludf.DUMMYFUNCTION("""COMPUTED_VALUE"""),"Yes")</f>
        <v>Yes</v>
      </c>
      <c r="F2228" s="7" t="str">
        <f>IFERROR(__xludf.DUMMYFUNCTION("""COMPUTED_VALUE"""),"IP-Poster")</f>
        <v>IP-Poster</v>
      </c>
      <c r="G2228" s="7" t="str">
        <f>IFERROR(__xludf.DUMMYFUNCTION("""COMPUTED_VALUE"""),"In-Person")</f>
        <v>In-Person</v>
      </c>
      <c r="H2228" s="7" t="str">
        <f>IFERROR(__xludf.DUMMYFUNCTION("""COMPUTED_VALUE"""),"Hall 4/5")</f>
        <v>Hall 4/5</v>
      </c>
      <c r="I2228" s="7" t="str">
        <f>IFERROR(__xludf.DUMMYFUNCTION("""COMPUTED_VALUE"""),"Session 2: IP-Posters ")</f>
        <v>Session 2: IP-Posters </v>
      </c>
      <c r="J2228" s="7" t="str">
        <f>IFERROR(__xludf.DUMMYFUNCTION("""COMPUTED_VALUE"""),"Poster Session 1")</f>
        <v>Poster Session 1</v>
      </c>
      <c r="K2228" s="7"/>
      <c r="L2228" s="8">
        <f>IFERROR(__xludf.DUMMYFUNCTION("""COMPUTED_VALUE"""),45866.0)</f>
        <v>45866</v>
      </c>
      <c r="M2228" s="7" t="str">
        <f>IFERROR(__xludf.DUMMYFUNCTION("""COMPUTED_VALUE"""),"11:00-12:30")</f>
        <v>11:00-12:30</v>
      </c>
      <c r="N2228" s="7"/>
    </row>
    <row r="2229">
      <c r="A2229" s="7" t="str">
        <f>IFERROR(__xludf.DUMMYFUNCTION("""COMPUTED_VALUE"""),"1486-MAIN")</f>
        <v>1486-MAIN</v>
      </c>
      <c r="B2229" s="7" t="str">
        <f>IFERROR(__xludf.DUMMYFUNCTION("""COMPUTED_VALUE"""),"Making LLMs Better Many-to-Many Speech-to-Text Translators with Curriculum Learning")</f>
        <v>Making LLMs Better Many-to-Many Speech-to-Text Translators with Curriculum Learning</v>
      </c>
      <c r="C2229" s="7" t="str">
        <f>IFERROR(__xludf.DUMMYFUNCTION("""COMPUTED_VALUE"""),"Multimodal Large Language Models (MLLMs) have achieved significant success in Speech-to-Text Translation (S2TT) tasks. While most existing research has focused on English-centric translation directions, the exploration of many-to-many translation is still"&amp;" limited by the scarcity of parallel data. To address this, we propose a three-stage curriculum learning strategy that leverages the machine translation capabilities of large language models and adapts them to S2TT tasks, enabling effective learning in lo"&amp;"w-resource settings. We trained MLLMs with varying parameter sizes (3B, 7B, and 32B) and evaluated the proposed strategy using the FLEURS and CoVoST-2 datasets. Experimental results show that the proposed strategy achieves state-of-the-art average perform"&amp;"ance in $15\times14$ language pairs, requiring fewer than 10 hours of speech data per language to achieve competitive results. The source code and models are released at \url{https://github.com/yxduir/LLM-SRT}.")</f>
        <v>Multimodal Large Language Models (MLLMs) have achieved significant success in Speech-to-Text Translation (S2TT) tasks. While most existing research has focused on English-centric translation directions, the exploration of many-to-many translation is still limited by the scarcity of parallel data. To address this, we propose a three-stage curriculum learning strategy that leverages the machine translation capabilities of large language models and adapts them to S2TT tasks, enabling effective learning in low-resource settings. We trained MLLMs with varying parameter sizes (3B, 7B, and 32B) and evaluated the proposed strategy using the FLEURS and CoVoST-2 datasets. Experimental results show that the proposed strategy achieves state-of-the-art average performance in $15\times14$ language pairs, requiring fewer than 10 hours of speech data per language to achieve competitive results. The source code and models are released at \url{https://github.com/yxduir/LLM-SRT}.</v>
      </c>
      <c r="D2229" s="7" t="str">
        <f>IFERROR(__xludf.DUMMYFUNCTION("""COMPUTED_VALUE"""),"Yexing Du")</f>
        <v>Yexing Du</v>
      </c>
      <c r="E2229" s="7" t="str">
        <f>IFERROR(__xludf.DUMMYFUNCTION("""COMPUTED_VALUE"""),"Yes")</f>
        <v>Yes</v>
      </c>
      <c r="F2229" s="7" t="str">
        <f>IFERROR(__xludf.DUMMYFUNCTION("""COMPUTED_VALUE"""),"IP-Poster")</f>
        <v>IP-Poster</v>
      </c>
      <c r="G2229" s="7" t="str">
        <f>IFERROR(__xludf.DUMMYFUNCTION("""COMPUTED_VALUE"""),"In-Person")</f>
        <v>In-Person</v>
      </c>
      <c r="H2229" s="7" t="str">
        <f>IFERROR(__xludf.DUMMYFUNCTION("""COMPUTED_VALUE"""),"Hall 4/5")</f>
        <v>Hall 4/5</v>
      </c>
      <c r="I2229" s="7" t="str">
        <f>IFERROR(__xludf.DUMMYFUNCTION("""COMPUTED_VALUE"""),"Session 10: IP-Posters")</f>
        <v>Session 10: IP-Posters</v>
      </c>
      <c r="J2229" s="7" t="str">
        <f>IFERROR(__xludf.DUMMYFUNCTION("""COMPUTED_VALUE"""),"Poster Session 3")</f>
        <v>Poster Session 3</v>
      </c>
      <c r="K2229" s="7"/>
      <c r="L2229" s="8">
        <f>IFERROR(__xludf.DUMMYFUNCTION("""COMPUTED_VALUE"""),45867.0)</f>
        <v>45867</v>
      </c>
      <c r="M2229" s="7" t="str">
        <f>IFERROR(__xludf.DUMMYFUNCTION("""COMPUTED_VALUE"""),"16:00-17:30")</f>
        <v>16:00-17:30</v>
      </c>
      <c r="N2229" s="7"/>
    </row>
    <row r="2230">
      <c r="A2230" s="7" t="str">
        <f>IFERROR(__xludf.DUMMYFUNCTION("""COMPUTED_VALUE"""),"1489-MAIN")</f>
        <v>1489-MAIN</v>
      </c>
      <c r="B2230" s="7" t="str">
        <f>IFERROR(__xludf.DUMMYFUNCTION("""COMPUTED_VALUE"""),"AbGen: Evaluating Large Language Models in Ablation Study Design and Evaluation for Scientific Research")</f>
        <v>AbGen: Evaluating Large Language Models in Ablation Study Design and Evaluation for Scientific Research</v>
      </c>
      <c r="C2230" s="7" t="str">
        <f>IFERROR(__xludf.DUMMYFUNCTION("""COMPUTED_VALUE"""),"We introduce AbGen, the first benchmark designed to evaluate the capabilities of LLMs in designing ablation studies for scientific research. AbGen consists of 2,000 expert-annotated examples derived from 677 NLP papers. In this benchmark, LLMs are tasked "&amp;"with generating detailed ablation study designs for a specified module or process based on the given research context. Our evaluation of leading LLMs, such as GPT-4o and Llama-3.1, highlights a significant performance gap between these models and human ex"&amp;"perts in terms of the importance, faithfulness, and soundness of the ablation study designs. Moreover, we demonstrate that current automated evaluation methods are not reliable for our task, as they show a significant discrepancy when compared to human as"&amp;"sessment. To better investigate this, we develop AbGen-Eval, a meta-evaluation benchmark designed to assess the reliability of commonly used automated evaluation systems in measuring LLM performance on our task. We investigate various LLM-based evaluation"&amp;" methods on AbGen-Eval, providing insights for future research on developing more effective and reliable LLM-based evaluation systems for complex scientific tasks.")</f>
        <v>We introduce AbGen, the first benchmark designed to evaluate the capabilities of LLMs in designing ablation studies for scientific research. AbGen consists of 2,000 expert-annotated examples derived from 677 NLP papers. In this benchmark, LLMs are tasked with generating detailed ablation study designs for a specified module or process based on the given research context. Our evaluation of leading LLMs, such as GPT-4o and Llama-3.1, highlights a significant performance gap between these models and human experts in terms of the importance, faithfulness, and soundness of the ablation study designs. Moreover, we demonstrate that current automated evaluation methods are not reliable for our task, as they show a significant discrepancy when compared to human assessment. To better investigate this, we develop AbGen-Eval, a meta-evaluation benchmark designed to assess the reliability of commonly used automated evaluation systems in measuring LLM performance on our task. We investigate various LLM-based evaluation methods on AbGen-Eval, providing insights for future research on developing more effective and reliable LLM-based evaluation systems for complex scientific tasks.</v>
      </c>
      <c r="D2230" s="7" t="str">
        <f>IFERROR(__xludf.DUMMYFUNCTION("""COMPUTED_VALUE"""),"Yilun Zhao")</f>
        <v>Yilun Zhao</v>
      </c>
      <c r="E2230" s="7" t="str">
        <f>IFERROR(__xludf.DUMMYFUNCTION("""COMPUTED_VALUE"""),"Yes")</f>
        <v>Yes</v>
      </c>
      <c r="F2230" s="7" t="str">
        <f>IFERROR(__xludf.DUMMYFUNCTION("""COMPUTED_VALUE"""),"IP-Poster")</f>
        <v>IP-Poster</v>
      </c>
      <c r="G2230" s="7" t="str">
        <f>IFERROR(__xludf.DUMMYFUNCTION("""COMPUTED_VALUE"""),"In-Person")</f>
        <v>In-Person</v>
      </c>
      <c r="H2230" s="7" t="str">
        <f>IFERROR(__xludf.DUMMYFUNCTION("""COMPUTED_VALUE"""),"Hall 4/5")</f>
        <v>Hall 4/5</v>
      </c>
      <c r="I2230" s="7" t="str">
        <f>IFERROR(__xludf.DUMMYFUNCTION("""COMPUTED_VALUE"""),"Session 2: IP-Posters ")</f>
        <v>Session 2: IP-Posters </v>
      </c>
      <c r="J2230" s="7" t="str">
        <f>IFERROR(__xludf.DUMMYFUNCTION("""COMPUTED_VALUE"""),"Poster Session 1")</f>
        <v>Poster Session 1</v>
      </c>
      <c r="K2230" s="7"/>
      <c r="L2230" s="8">
        <f>IFERROR(__xludf.DUMMYFUNCTION("""COMPUTED_VALUE"""),45866.0)</f>
        <v>45866</v>
      </c>
      <c r="M2230" s="7" t="str">
        <f>IFERROR(__xludf.DUMMYFUNCTION("""COMPUTED_VALUE"""),"11:00-12:30")</f>
        <v>11:00-12:30</v>
      </c>
      <c r="N2230" s="7"/>
    </row>
    <row r="2231">
      <c r="A2231" s="7" t="str">
        <f>IFERROR(__xludf.DUMMYFUNCTION("""COMPUTED_VALUE"""),"1495-MAIN")</f>
        <v>1495-MAIN</v>
      </c>
      <c r="B2231" s="7" t="str">
        <f>IFERROR(__xludf.DUMMYFUNCTION("""COMPUTED_VALUE"""),"Redundancy Principles for MLLMs Benchmarks")</f>
        <v>Redundancy Principles for MLLMs Benchmarks</v>
      </c>
      <c r="C2231" s="7" t="str">
        <f>IFERROR(__xludf.DUMMYFUNCTION("""COMPUTED_VALUE"""),"With the rapid iteration of Multi-modality Large Language Models (MLLMs) and the evolving demands of the field, the number of benchmarks produced annually has surged into the hundreds. The rapid growth has inevitably led to significant redundancy among be"&amp;"nchmarks. Therefore, it is crucial to take a step back and critically assess the current state of redundancy and propose targeted principles for constructing effective MLLM benchmarks. In this paper, we focus on redundancy from three key perspectives: 1) "&amp;"Redundancy of benchmark capability dimensions, 2) Redundancy in the number of test questions, and 3) Cross-benchmark redundancy within specific domains. Through the comprehensive analysis over hundreds of MLLMs' performance across more than 20 benchmarks,"&amp;" we aim to quantitatively measure the level of redundancy lies in existing MLLM evaluations, provide valuable insights to guide the future development of MLLM benchmarks, and offer strategies to refine and address redundancy issues effectively.")</f>
        <v>With the rapid iteration of Multi-modality Large Language Models (MLLMs) and the evolving demands of the field, the number of benchmarks produced annually has surged into the hundreds. The rapid growth has inevitably led to significant redundancy among benchmarks. Therefore, it is crucial to take a step back and critically assess the current state of redundancy and propose targeted principles for constructing effective MLLM benchmarks. In this paper, we focus on redundancy from three key perspectives: 1) Redundancy of benchmark capability dimensions, 2) Redundancy in the number of test questions, and 3) Cross-benchmark redundancy within specific domains. Through the comprehensive analysis over hundreds of MLLMs' performance across more than 20 benchmarks, we aim to quantitatively measure the level of redundancy lies in existing MLLM evaluations, provide valuable insights to guide the future development of MLLM benchmarks, and offer strategies to refine and address redundancy issues effectively.</v>
      </c>
      <c r="D2231" s="7" t="str">
        <f>IFERROR(__xludf.DUMMYFUNCTION("""COMPUTED_VALUE"""),"Xiangyu Zhao")</f>
        <v>Xiangyu Zhao</v>
      </c>
      <c r="E2231" s="7" t="str">
        <f>IFERROR(__xludf.DUMMYFUNCTION("""COMPUTED_VALUE"""),"Yes")</f>
        <v>Yes</v>
      </c>
      <c r="F2231" s="7" t="str">
        <f>IFERROR(__xludf.DUMMYFUNCTION("""COMPUTED_VALUE"""),"IP-Poster")</f>
        <v>IP-Poster</v>
      </c>
      <c r="G2231" s="7" t="str">
        <f>IFERROR(__xludf.DUMMYFUNCTION("""COMPUTED_VALUE"""),"In-Person")</f>
        <v>In-Person</v>
      </c>
      <c r="H2231" s="7" t="str">
        <f>IFERROR(__xludf.DUMMYFUNCTION("""COMPUTED_VALUE"""),"Hall 4/5")</f>
        <v>Hall 4/5</v>
      </c>
      <c r="I2231" s="7" t="str">
        <f>IFERROR(__xludf.DUMMYFUNCTION("""COMPUTED_VALUE"""),"Session 10: IP-Posters")</f>
        <v>Session 10: IP-Posters</v>
      </c>
      <c r="J2231" s="7" t="str">
        <f>IFERROR(__xludf.DUMMYFUNCTION("""COMPUTED_VALUE"""),"Poster Session 3")</f>
        <v>Poster Session 3</v>
      </c>
      <c r="K2231" s="7"/>
      <c r="L2231" s="8">
        <f>IFERROR(__xludf.DUMMYFUNCTION("""COMPUTED_VALUE"""),45867.0)</f>
        <v>45867</v>
      </c>
      <c r="M2231" s="7" t="str">
        <f>IFERROR(__xludf.DUMMYFUNCTION("""COMPUTED_VALUE"""),"16:00-17:30")</f>
        <v>16:00-17:30</v>
      </c>
      <c r="N2231" s="7"/>
    </row>
    <row r="2232">
      <c r="A2232" s="7" t="str">
        <f>IFERROR(__xludf.DUMMYFUNCTION("""COMPUTED_VALUE"""),"1496-MAIN")</f>
        <v>1496-MAIN</v>
      </c>
      <c r="B2232" s="7" t="str">
        <f>IFERROR(__xludf.DUMMYFUNCTION("""COMPUTED_VALUE"""),"WavRAG: Audio-Integrated Retrieval Augmented Generation for Spoken Dialogue Models")</f>
        <v>WavRAG: Audio-Integrated Retrieval Augmented Generation for Spoken Dialogue Models</v>
      </c>
      <c r="C2232" s="7" t="str">
        <f>IFERROR(__xludf.DUMMYFUNCTION("""COMPUTED_VALUE"""),"Retrieval Augmented Generation (RAG) has gained widespread adoption owing to its capacity to empower large language models (LLMs) to integrate external knowledge. However, existing RAG frameworks are primarily designed for text-based LLMs and rely on Auto"&amp;"matic Speech Recognition to process speech input, which discards crucial audio information, risks transcription errors, and increases computational overhead. Therefore, we introduce WavRAG, the first retrieval augmented generation framework with native, e"&amp;"nd-to-end audio support. WavRAG offers two key features: 1) Bypassing ASR, WavRAG directly processes raw audio for both embedding and retrieval. 2) WavRAG integrates audio and text into a unified knowledge representation. Specifically, we propose the WavR"&amp;"etriever to facilitate the retrieval from a text-audio hybrid knowledge base, and further enhance the in-context capabilities of spoken dialogue models through the integration of chain-of-thought reasoning. In comparison to state-of-the-art ASR-Text RAG p"&amp;"ipelines, WavRAG achieves comparable retrieval performance while delivering a 10x acceleration. Furthermore, WavRAG's unique text-audio hybrid retrieval capability extends the boundaries of RAG to the audio modality.")</f>
        <v>Retrieval Augmented Generation (RAG) has gained widespread adoption owing to its capacity to empower large language models (LLMs) to integrate external knowledge. However, existing RAG frameworks are primarily designed for text-based LLMs and rely on Automatic Speech Recognition to process speech input, which discards crucial audio information, risks transcription errors, and increases computational overhead. Therefore, we introduce WavRAG, the first retrieval augmented generation framework with native, end-to-end audio support. WavRAG offers two key features: 1) Bypassing ASR, WavRAG directly processes raw audio for both embedding and retrieval. 2) WavRAG integrates audio and text into a unified knowledge representation. Specifically, we propose the WavRetriever to facilitate the retrieval from a text-audio hybrid knowledge base, and further enhance the in-context capabilities of spoken dialogue models through the integration of chain-of-thought reasoning. In comparison to state-of-the-art ASR-Text RAG pipelines, WavRAG achieves comparable retrieval performance while delivering a 10x acceleration. Furthermore, WavRAG's unique text-audio hybrid retrieval capability extends the boundaries of RAG to the audio modality.</v>
      </c>
      <c r="D2232" s="7" t="str">
        <f>IFERROR(__xludf.DUMMYFUNCTION("""COMPUTED_VALUE"""),"Yifu Chen")</f>
        <v>Yifu Chen</v>
      </c>
      <c r="E2232" s="7" t="str">
        <f>IFERROR(__xludf.DUMMYFUNCTION("""COMPUTED_VALUE"""),"Yes")</f>
        <v>Yes</v>
      </c>
      <c r="F2232" s="7" t="str">
        <f>IFERROR(__xludf.DUMMYFUNCTION("""COMPUTED_VALUE"""),"IP-Oral")</f>
        <v>IP-Oral</v>
      </c>
      <c r="G2232" s="7" t="str">
        <f>IFERROR(__xludf.DUMMYFUNCTION("""COMPUTED_VALUE"""),"In-Person")</f>
        <v>In-Person</v>
      </c>
      <c r="H2232" s="7" t="str">
        <f>IFERROR(__xludf.DUMMYFUNCTION("""COMPUTED_VALUE"""),"Room 1.61")</f>
        <v>Room 1.61</v>
      </c>
      <c r="I2232" s="7" t="str">
        <f>IFERROR(__xludf.DUMMYFUNCTION("""COMPUTED_VALUE"""),"Session 9: IP-Orals")</f>
        <v>Session 9: IP-Orals</v>
      </c>
      <c r="J2232" s="7" t="str">
        <f>IFERROR(__xludf.DUMMYFUNCTION("""COMPUTED_VALUE"""),"Speech Processing ")</f>
        <v>Speech Processing </v>
      </c>
      <c r="K2232" s="7"/>
      <c r="L2232" s="8">
        <f>IFERROR(__xludf.DUMMYFUNCTION("""COMPUTED_VALUE"""),45867.0)</f>
        <v>45867</v>
      </c>
      <c r="M2232" s="7" t="str">
        <f>IFERROR(__xludf.DUMMYFUNCTION("""COMPUTED_VALUE"""),"14:00-15:30")</f>
        <v>14:00-15:30</v>
      </c>
      <c r="N2232" s="7">
        <f>IFERROR(__xludf.DUMMYFUNCTION("""COMPUTED_VALUE"""),4.0)</f>
        <v>4</v>
      </c>
    </row>
    <row r="2233">
      <c r="A2233" s="7" t="str">
        <f>IFERROR(__xludf.DUMMYFUNCTION("""COMPUTED_VALUE"""),"1500-MAIN")</f>
        <v>1500-MAIN</v>
      </c>
      <c r="B2233" s="7" t="str">
        <f>IFERROR(__xludf.DUMMYFUNCTION("""COMPUTED_VALUE"""),"ChildMandarin: A Comprehensive Mandarin Speech Dataset for Young Children Aged 3-5")</f>
        <v>ChildMandarin: A Comprehensive Mandarin Speech Dataset for Young Children Aged 3-5</v>
      </c>
      <c r="C2233" s="7" t="str">
        <f>IFERROR(__xludf.DUMMYFUNCTION("""COMPUTED_VALUE"""),"Automatic speech recognition (ASR) systems have advanced significantly with models like Whisper, Conformer, and self-supervised frameworks such as Wav2vec 2.0 and HuBERT. However, developing robust ASR models for young children's speech remains challengin"&amp;"g due to differences in pronunciation, tone, and pace compared to adult speech. In this paper, we introduce a new Mandarin speech dataset focused on children aged 3 to 5, addressing the scarcity of resources in this area. The dataset comprises 41.25 hours"&amp;" of speech with carefully crafted manual transcriptions, collected from 397 speakers across various provinces in China, with balanced gender representation. We provide a comprehensive analysis of speaker demographics, speech duration distribution and geog"&amp;"raphic coverage. Additionally, we evaluate ASR performance on models trained from scratch, such as Conformer, as well as fine-tuned pre-trained models like HuBERT and Whisper, where fine-tuning demonstrates significant performance improvements. Furthermor"&amp;"e, we assess speaker verification (SV) on our dataset, showing that, despite the challenges posed by the unique vocal characteristics of young children, the dataset effectively supports both ASR and SV tasks. This dataset is a valuable contribution to Man"&amp;"darin child speech research and holds potential for applications in educational technology and child-computer interaction. It will be open-source and freely available for all academic purposes.")</f>
        <v>Automatic speech recognition (ASR) systems have advanced significantly with models like Whisper, Conformer, and self-supervised frameworks such as Wav2vec 2.0 and HuBERT. However, developing robust ASR models for young children's speech remains challenging due to differences in pronunciation, tone, and pace compared to adult speech. In this paper, we introduce a new Mandarin speech dataset focused on children aged 3 to 5, addressing the scarcity of resources in this area. The dataset comprises 41.25 hours of speech with carefully crafted manual transcriptions, collected from 397 speakers across various provinces in China, with balanced gender representation. We provide a comprehensive analysis of speaker demographics, speech duration distribution and geographic coverage. Additionally, we evaluate ASR performance on models trained from scratch, such as Conformer, as well as fine-tuned pre-trained models like HuBERT and Whisper, where fine-tuning demonstrates significant performance improvements. Furthermore, we assess speaker verification (SV) on our dataset, showing that, despite the challenges posed by the unique vocal characteristics of young children, the dataset effectively supports both ASR and SV tasks. This dataset is a valuable contribution to Mandarin child speech research and holds potential for applications in educational technology and child-computer interaction. It will be open-source and freely available for all academic purposes.</v>
      </c>
      <c r="D2233" s="7" t="str">
        <f>IFERROR(__xludf.DUMMYFUNCTION("""COMPUTED_VALUE"""),"Jiaming Zhou")</f>
        <v>Jiaming Zhou</v>
      </c>
      <c r="E2233" s="7" t="str">
        <f>IFERROR(__xludf.DUMMYFUNCTION("""COMPUTED_VALUE"""),"Yes")</f>
        <v>Yes</v>
      </c>
      <c r="F2233" s="7" t="str">
        <f>IFERROR(__xludf.DUMMYFUNCTION("""COMPUTED_VALUE"""),"IP-Poster")</f>
        <v>IP-Poster</v>
      </c>
      <c r="G2233" s="7" t="str">
        <f>IFERROR(__xludf.DUMMYFUNCTION("""COMPUTED_VALUE"""),"In-Person")</f>
        <v>In-Person</v>
      </c>
      <c r="H2233" s="7" t="str">
        <f>IFERROR(__xludf.DUMMYFUNCTION("""COMPUTED_VALUE"""),"Hall 4/5")</f>
        <v>Hall 4/5</v>
      </c>
      <c r="I2233" s="7" t="str">
        <f>IFERROR(__xludf.DUMMYFUNCTION("""COMPUTED_VALUE"""),"Session 7: IP-Posters")</f>
        <v>Session 7: IP-Posters</v>
      </c>
      <c r="J2233" s="7" t="str">
        <f>IFERROR(__xludf.DUMMYFUNCTION("""COMPUTED_VALUE"""),"Poster Session 2")</f>
        <v>Poster Session 2</v>
      </c>
      <c r="K2233" s="7"/>
      <c r="L2233" s="8">
        <f>IFERROR(__xludf.DUMMYFUNCTION("""COMPUTED_VALUE"""),45867.0)</f>
        <v>45867</v>
      </c>
      <c r="M2233" s="7" t="str">
        <f>IFERROR(__xludf.DUMMYFUNCTION("""COMPUTED_VALUE"""),"10:30-12:00")</f>
        <v>10:30-12:00</v>
      </c>
      <c r="N2233" s="7"/>
    </row>
    <row r="2234">
      <c r="A2234" s="7" t="str">
        <f>IFERROR(__xludf.DUMMYFUNCTION("""COMPUTED_VALUE"""),"1508-MAIN")</f>
        <v>1508-MAIN</v>
      </c>
      <c r="B2234" s="7" t="str">
        <f>IFERROR(__xludf.DUMMYFUNCTION("""COMPUTED_VALUE"""),"Finding the Sweet Spot: Preference Data Construction for Scaling Preference Optimization")</f>
        <v>Finding the Sweet Spot: Preference Data Construction for Scaling Preference Optimization</v>
      </c>
      <c r="C2234" s="7" t="str">
        <f>IFERROR(__xludf.DUMMYFUNCTION("""COMPUTED_VALUE"""),"Iterative data generation and model retraining are widely used to align large language models (LLMs).
It typically involves a policy model to generate on-policy responses and a reward model to guide training data selection. 
Direct Preference Optimization"&amp;" (DPO) further enhances this process by constructing preference pairs of chosen and rejected responses. 
In this work, we aim to \emph{scale up} the number of on-policy samples via repeated random sampling to improve alignment performance. 
Conventional p"&amp;"ractice selects the sample with the highest reward as chosen and the lowest as rejected for DPO. 
However, our experiments reveal that this strategy leads to a \emph{decline} in performance as the sample size increases. 
To address this, we investigate pr"&amp;"eference data construction through the lens of underlying normal distribution of sample rewards. 
We categorize the reward space into seven representative points and systematically explore all 21 ($C_7^2$) pairwise combinations. 
Through evaluations on fo"&amp;"ur models using AlpacaEval 2, we find that selecting the rejected response at reward position $\mu - 2\sigma$ rather than the minimum reward, is crucial for optimal performance. 
We finally introduce a scalable preference data construction strategy that c"&amp;"onsistently enhances model performance as the sample scale increases.")</f>
        <v>Iterative data generation and model retraining are widely used to align large language models (LLMs).
It typically involves a policy model to generate on-policy responses and a reward model to guide training data selection. 
Direct Preference Optimization (DPO) further enhances this process by constructing preference pairs of chosen and rejected responses. 
In this work, we aim to \emph{scale up} the number of on-policy samples via repeated random sampling to improve alignment performance. 
Conventional practice selects the sample with the highest reward as chosen and the lowest as rejected for DPO. 
However, our experiments reveal that this strategy leads to a \emph{decline} in performance as the sample size increases. 
To address this, we investigate preference data construction through the lens of underlying normal distribution of sample rewards. 
We categorize the reward space into seven representative points and systematically explore all 21 ($C_7^2$) pairwise combinations. 
Through evaluations on four models using AlpacaEval 2, we find that selecting the rejected response at reward position $\mu - 2\sigma$ rather than the minimum reward, is crucial for optimal performance. 
We finally introduce a scalable preference data construction strategy that consistently enhances model performance as the sample scale increases.</v>
      </c>
      <c r="D2234" s="7" t="str">
        <f>IFERROR(__xludf.DUMMYFUNCTION("""COMPUTED_VALUE"""),"Xiao Yao")</f>
        <v>Xiao Yao</v>
      </c>
      <c r="E2234" s="7" t="str">
        <f>IFERROR(__xludf.DUMMYFUNCTION("""COMPUTED_VALUE"""),"Yes")</f>
        <v>Yes</v>
      </c>
      <c r="F2234" s="7" t="str">
        <f>IFERROR(__xludf.DUMMYFUNCTION("""COMPUTED_VALUE"""),"IP-Poster")</f>
        <v>IP-Poster</v>
      </c>
      <c r="G2234" s="7" t="str">
        <f>IFERROR(__xludf.DUMMYFUNCTION("""COMPUTED_VALUE"""),"In-Person")</f>
        <v>In-Person</v>
      </c>
      <c r="H2234" s="7" t="str">
        <f>IFERROR(__xludf.DUMMYFUNCTION("""COMPUTED_VALUE"""),"Hall 4/5")</f>
        <v>Hall 4/5</v>
      </c>
      <c r="I2234" s="7" t="str">
        <f>IFERROR(__xludf.DUMMYFUNCTION("""COMPUTED_VALUE"""),"Session 12: IP-Posters")</f>
        <v>Session 12: IP-Posters</v>
      </c>
      <c r="J2234" s="7" t="str">
        <f>IFERROR(__xludf.DUMMYFUNCTION("""COMPUTED_VALUE"""),"Poster Session 4")</f>
        <v>Poster Session 4</v>
      </c>
      <c r="K2234" s="7"/>
      <c r="L2234" s="8">
        <f>IFERROR(__xludf.DUMMYFUNCTION("""COMPUTED_VALUE"""),45868.0)</f>
        <v>45868</v>
      </c>
      <c r="M2234" s="7" t="str">
        <f>IFERROR(__xludf.DUMMYFUNCTION("""COMPUTED_VALUE"""),"11:00-12:30")</f>
        <v>11:00-12:30</v>
      </c>
      <c r="N2234" s="7"/>
    </row>
    <row r="2235">
      <c r="A2235" s="7" t="str">
        <f>IFERROR(__xludf.DUMMYFUNCTION("""COMPUTED_VALUE"""),"1514-MAIN")</f>
        <v>1514-MAIN</v>
      </c>
      <c r="B2235" s="7" t="str">
        <f>IFERROR(__xludf.DUMMYFUNCTION("""COMPUTED_VALUE"""),"Enhancing Safe and Controllable Protein Generation via Knowledge Preference Optimization")</f>
        <v>Enhancing Safe and Controllable Protein Generation via Knowledge Preference Optimization</v>
      </c>
      <c r="C2235" s="7" t="str">
        <f>IFERROR(__xludf.DUMMYFUNCTION("""COMPUTED_VALUE"""),"Protein language models have emerged as powerful tools for sequence generation, offering substantial advantages in functional optimization and *denovo* design. However, these models also present significant risks of generating harmful protein sequences, s"&amp;"uch as those that enhance viral transmissibility or evade immune responses. These concerns underscore critical biosafety and ethical challenges. To address these issues, we propose a Knowledge-guided Preference Optimization (KPO) framework that integrates"&amp;" prior knowledge via a Protein Safety Knowledge Graph. This framework utilizes an efficient graph pruning strategy to identify preferred sequences and employs reinforcement learning to minimize the risk of generating harmful proteins. Experimental results"&amp;" demonstrate that KPO effectively reduces the likelihood of producing hazardous sequences while maintaining high functionality, offering a robust safety assurance framework for applying generative models in biotechnology.")</f>
        <v>Protein language models have emerged as powerful tools for sequence generation, offering substantial advantages in functional optimization and *denovo* design. However, these models also present significant risks of generating harmful protein sequences, such as those that enhance viral transmissibility or evade immune responses. These concerns underscore critical biosafety and ethical challenges. To address these issues, we propose a Knowledge-guided Preference Optimization (KPO) framework that integrates prior knowledge via a Protein Safety Knowledge Graph. This framework utilizes an efficient graph pruning strategy to identify preferred sequences and employs reinforcement learning to minimize the risk of generating harmful proteins. Experimental results demonstrate that KPO effectively reduces the likelihood of producing hazardous sequences while maintaining high functionality, offering a robust safety assurance framework for applying generative models in biotechnology.</v>
      </c>
      <c r="D2235" s="7" t="str">
        <f>IFERROR(__xludf.DUMMYFUNCTION("""COMPUTED_VALUE"""),"Yuhao Wang")</f>
        <v>Yuhao Wang</v>
      </c>
      <c r="E2235" s="7" t="str">
        <f>IFERROR(__xludf.DUMMYFUNCTION("""COMPUTED_VALUE"""),"Yes")</f>
        <v>Yes</v>
      </c>
      <c r="F2235" s="7" t="str">
        <f>IFERROR(__xludf.DUMMYFUNCTION("""COMPUTED_VALUE"""),"V-Presentation")</f>
        <v>V-Presentation</v>
      </c>
      <c r="G2235" s="7" t="str">
        <f>IFERROR(__xludf.DUMMYFUNCTION("""COMPUTED_VALUE"""),"Virtual/Gather")</f>
        <v>Virtual/Gather</v>
      </c>
      <c r="H2235" s="7" t="str">
        <f>IFERROR(__xludf.DUMMYFUNCTION("""COMPUTED_VALUE"""),"Zoom")</f>
        <v>Zoom</v>
      </c>
      <c r="I2235" s="7" t="str">
        <f>IFERROR(__xludf.DUMMYFUNCTION("""COMPUTED_VALUE"""),"Session 12: V-Presentations")</f>
        <v>Session 12: V-Presentations</v>
      </c>
      <c r="J2235" s="7" t="str">
        <f>IFERROR(__xludf.DUMMYFUNCTION("""COMPUTED_VALUE"""),"Virtual Presentations 4")</f>
        <v>Virtual Presentations 4</v>
      </c>
      <c r="K2235" s="7"/>
      <c r="L2235" s="8">
        <f>IFERROR(__xludf.DUMMYFUNCTION("""COMPUTED_VALUE"""),45868.0)</f>
        <v>45868</v>
      </c>
      <c r="M2235" s="7" t="str">
        <f>IFERROR(__xludf.DUMMYFUNCTION("""COMPUTED_VALUE"""),"11:00-12:30")</f>
        <v>11:00-12:30</v>
      </c>
      <c r="N2235" s="7"/>
    </row>
    <row r="2236">
      <c r="A2236" s="7" t="str">
        <f>IFERROR(__xludf.DUMMYFUNCTION("""COMPUTED_VALUE"""),"1515-MAIN")</f>
        <v>1515-MAIN</v>
      </c>
      <c r="B2236" s="7" t="str">
        <f>IFERROR(__xludf.DUMMYFUNCTION("""COMPUTED_VALUE"""),"SINCon: Mitigate LLM-Generated Malicious Message Injection Attack for Rumor Detection")</f>
        <v>SINCon: Mitigate LLM-Generated Malicious Message Injection Attack for Rumor Detection</v>
      </c>
      <c r="C2236" s="7" t="str">
        <f>IFERROR(__xludf.DUMMYFUNCTION("""COMPUTED_VALUE"""),"In the era of rapidly evolving large language models (LLMs), state-of-the-art rumor detection systems, particularly those based on Message Propagation Trees (MPTs), which represent a conversation tree with the post as its root and the replies as its desce"&amp;"ndants, are facing increasing threats from adversarial attacks that leverage LLMs to generate and inject malicious messages. Existing methods are based on the assumption that different nodes exhibit varying degrees of influence on predictions. They define"&amp;" nodes with high predictive influence as important nodes and target them for attacks. If the model treats nodes' predictive influence more uniformly, attackers will find it harder to target high predictive influence nodes. In this paper, we propose Simila"&amp;"rizing the predictive Influence of Nodes with Contrastive Learning (SINCon), a defense mechanism that encourages the model to learn graph representations where nodes with varying importance have a more uniform influence on predictions. Extensive experimen"&amp;"ts on the Twitter and Weibo datasets demonstrate that SINCon not only preserves high classification accuracy on clean data but also significantly enhances resistance against LLM-driven message injection attacks.")</f>
        <v>In the era of rapidly evolving large language models (LLMs), state-of-the-art rumor detection systems, particularly those based on Message Propagation Trees (MPTs), which represent a conversation tree with the post as its root and the replies as its descendants, are facing increasing threats from adversarial attacks that leverage LLMs to generate and inject malicious messages. Existing methods are based on the assumption that different nodes exhibit varying degrees of influence on predictions. They define nodes with high predictive influence as important nodes and target them for attacks. If the model treats nodes' predictive influence more uniformly, attackers will find it harder to target high predictive influence nodes. In this paper, we propose Similarizing the predictive Influence of Nodes with Contrastive Learning (SINCon), a defense mechanism that encourages the model to learn graph representations where nodes with varying importance have a more uniform influence on predictions. Extensive experiments on the Twitter and Weibo datasets demonstrate that SINCon not only preserves high classification accuracy on clean data but also significantly enhances resistance against LLM-driven message injection attacks.</v>
      </c>
      <c r="D2236" s="7" t="str">
        <f>IFERROR(__xludf.DUMMYFUNCTION("""COMPUTED_VALUE"""),"Mingqing Zhang")</f>
        <v>Mingqing Zhang</v>
      </c>
      <c r="E2236" s="7" t="str">
        <f>IFERROR(__xludf.DUMMYFUNCTION("""COMPUTED_VALUE"""),"Yes")</f>
        <v>Yes</v>
      </c>
      <c r="F2236" s="7" t="str">
        <f>IFERROR(__xludf.DUMMYFUNCTION("""COMPUTED_VALUE"""),"IP-Poster")</f>
        <v>IP-Poster</v>
      </c>
      <c r="G2236" s="7" t="str">
        <f>IFERROR(__xludf.DUMMYFUNCTION("""COMPUTED_VALUE"""),"In-Person")</f>
        <v>In-Person</v>
      </c>
      <c r="H2236" s="7" t="str">
        <f>IFERROR(__xludf.DUMMYFUNCTION("""COMPUTED_VALUE"""),"Hall 4/5")</f>
        <v>Hall 4/5</v>
      </c>
      <c r="I2236" s="7" t="str">
        <f>IFERROR(__xludf.DUMMYFUNCTION("""COMPUTED_VALUE"""),"Session 7: IP-Posters")</f>
        <v>Session 7: IP-Posters</v>
      </c>
      <c r="J2236" s="7" t="str">
        <f>IFERROR(__xludf.DUMMYFUNCTION("""COMPUTED_VALUE"""),"Poster Session 2")</f>
        <v>Poster Session 2</v>
      </c>
      <c r="K2236" s="7"/>
      <c r="L2236" s="8">
        <f>IFERROR(__xludf.DUMMYFUNCTION("""COMPUTED_VALUE"""),45867.0)</f>
        <v>45867</v>
      </c>
      <c r="M2236" s="7" t="str">
        <f>IFERROR(__xludf.DUMMYFUNCTION("""COMPUTED_VALUE"""),"10:30-12:00")</f>
        <v>10:30-12:00</v>
      </c>
      <c r="N2236" s="7"/>
    </row>
    <row r="2237">
      <c r="A2237" s="7" t="str">
        <f>IFERROR(__xludf.DUMMYFUNCTION("""COMPUTED_VALUE"""),"1521-MAIN")</f>
        <v>1521-MAIN</v>
      </c>
      <c r="B2237" s="7" t="str">
        <f>IFERROR(__xludf.DUMMYFUNCTION("""COMPUTED_VALUE"""),"Outlier-Safe Pre-Training for Robust 4-Bit Quantization of Large Language Models")</f>
        <v>Outlier-Safe Pre-Training for Robust 4-Bit Quantization of Large Language Models</v>
      </c>
      <c r="C2237" s="7" t="str">
        <f>IFERROR(__xludf.DUMMYFUNCTION("""COMPUTED_VALUE"""),"Extreme activation outliers in Large Language Models (LLMs) critically degrade quantization performance, hindering efficient on-device deployment. While channel-wise operations and adaptive gradient scaling are recognized causes, practical mitigation rema"&amp;"ins challenging. We introduce **Outlier-Safe Pre-Training (OSP)**, a practical guideline that proactively prevents outlier formation, rather than relying on post-hoc mitigation. OSP combines three key innovations: (1) the Muon optimizer, eliminating privi"&amp;"leged bases while maintaining training efficiency, (2) Single-Scale RMSNorm, preventing channel-wise amplification, and (3) a learnable embedding projection, redistributing activation magnitudes. We validate OSP by training a 1.4B-parameter model on 1 tri"&amp;"llion tokens, which is the first production-scale LLM trained without such outliers. Under aggressive 4-bit quantization, our OSP model achieves a 35.7 average score across 10 benchmarks (versus 26.5 for an Adam-trained model), with only a 2% training ove"&amp;"rhead. Remarkably, OSP models exhibit near-zero excess kurtosis (0.04) compared to extreme values (1818.56) in standard models, fundamentally altering LLM quantization behavior. Our work demonstrates that outliers are not inherent to LLMs but are conseque"&amp;"nces of training strategies, paving the way for more efficient LLM deployment.")</f>
        <v>Extreme activation outliers in Large Language Models (LLMs) critically degrade quantization performance, hindering efficient on-device deployment. While channel-wise operations and adaptive gradient scaling are recognized causes, practical mitigation remains challenging. We introduce **Outlier-Safe Pre-Training (OSP)**, a practical guideline that proactively prevents outlier formation, rather than relying on post-hoc mitigation. OSP combines three key innovations: (1) the Muon optimizer, eliminating privileged bases while maintaining training efficiency, (2) Single-Scale RMSNorm, preventing channel-wise amplification, and (3) a learnable embedding projection, redistributing activation magnitudes. We validate OSP by training a 1.4B-parameter model on 1 trillion tokens, which is the first production-scale LLM trained without such outliers. Under aggressive 4-bit quantization, our OSP model achieves a 35.7 average score across 10 benchmarks (versus 26.5 for an Adam-trained model), with only a 2% training overhead. Remarkably, OSP models exhibit near-zero excess kurtosis (0.04) compared to extreme values (1818.56) in standard models, fundamentally altering LLM quantization behavior. Our work demonstrates that outliers are not inherent to LLMs but are consequences of training strategies, paving the way for more efficient LLM deployment.</v>
      </c>
      <c r="D2237" s="7" t="str">
        <f>IFERROR(__xludf.DUMMYFUNCTION("""COMPUTED_VALUE"""),"Jungwoo Park")</f>
        <v>Jungwoo Park</v>
      </c>
      <c r="E2237" s="7" t="str">
        <f>IFERROR(__xludf.DUMMYFUNCTION("""COMPUTED_VALUE"""),"Yes")</f>
        <v>Yes</v>
      </c>
      <c r="F2237" s="7" t="str">
        <f>IFERROR(__xludf.DUMMYFUNCTION("""COMPUTED_VALUE"""),"IP-Poster")</f>
        <v>IP-Poster</v>
      </c>
      <c r="G2237" s="7" t="str">
        <f>IFERROR(__xludf.DUMMYFUNCTION("""COMPUTED_VALUE"""),"In-Person")</f>
        <v>In-Person</v>
      </c>
      <c r="H2237" s="7" t="str">
        <f>IFERROR(__xludf.DUMMYFUNCTION("""COMPUTED_VALUE"""),"Hall 4/5")</f>
        <v>Hall 4/5</v>
      </c>
      <c r="I2237" s="7" t="str">
        <f>IFERROR(__xludf.DUMMYFUNCTION("""COMPUTED_VALUE"""),"Session 2: IP-Posters ")</f>
        <v>Session 2: IP-Posters </v>
      </c>
      <c r="J2237" s="7" t="str">
        <f>IFERROR(__xludf.DUMMYFUNCTION("""COMPUTED_VALUE"""),"Poster Session 1")</f>
        <v>Poster Session 1</v>
      </c>
      <c r="K2237" s="7"/>
      <c r="L2237" s="8">
        <f>IFERROR(__xludf.DUMMYFUNCTION("""COMPUTED_VALUE"""),45866.0)</f>
        <v>45866</v>
      </c>
      <c r="M2237" s="7" t="str">
        <f>IFERROR(__xludf.DUMMYFUNCTION("""COMPUTED_VALUE"""),"11:00-12:30")</f>
        <v>11:00-12:30</v>
      </c>
      <c r="N2237" s="7"/>
    </row>
    <row r="2238">
      <c r="A2238" s="7" t="str">
        <f>IFERROR(__xludf.DUMMYFUNCTION("""COMPUTED_VALUE"""),"1522-MAIN")</f>
        <v>1522-MAIN</v>
      </c>
      <c r="B2238" s="7" t="str">
        <f>IFERROR(__xludf.DUMMYFUNCTION("""COMPUTED_VALUE"""),"Agentic Knowledgeable Self-awareness")</f>
        <v>Agentic Knowledgeable Self-awareness</v>
      </c>
      <c r="C2238" s="7" t="str">
        <f>IFERROR(__xludf.DUMMYFUNCTION("""COMPUTED_VALUE"""),"Large Language Models (LLMs) have achieved considerable performance across various agentic planning tasks. However, traditional approaches adopt a ``flood irrigation'' methodology that indiscriminately injects gold trajectories, external feedback, and dom"&amp;"ain knowledge into agent models. This practice overlooks the fundamental human cognitive principle of self-awareness - the ability to dynamically assess situational demands and strategically employ resources during decision-making. We propose $\textbf{Age"&amp;"ntic Knowledgeable Self-awareness}$ to address this gap, a novel paradigm enabling LLM-based agents to autonomously regulate knowledge utilization. Specifically, we propose $\texttt{KnowSelf}$, a data-centric approach that applies agents with $\texttt{kno"&amp;"w}$ledgeable $\texttt{self}$-awareness like humans. Concretely, we devise a heuristic situation judgement criterion to mark special tokens on the agent's self-explored trajectories for collecting training data. Through a two-stage training process, the ag"&amp;"ent model can switch between different situations by generating specific special tokens, achieving optimal planning effects with minimal costs. Our experiments demonstrate that 
 can outperform various strong baselines on different tasks and models with m"&amp;"inimal use of external knowledge.")</f>
        <v>Large Language Models (LLMs) have achieved considerable performance across various agentic planning tasks. However, traditional approaches adopt a ``flood irrigation'' methodology that indiscriminately injects gold trajectories, external feedback, and domain knowledge into agent models. This practice overlooks the fundamental human cognitive principle of self-awareness - the ability to dynamically assess situational demands and strategically employ resources during decision-making. We propose $\textbf{Agentic Knowledgeable Self-awareness}$ to address this gap, a novel paradigm enabling LLM-based agents to autonomously regulate knowledge utilization. Specifically, we propose $\texttt{KnowSelf}$, a data-centric approach that applies agents with $\texttt{know}$ledgeable $\texttt{self}$-awareness like humans. Concretely, we devise a heuristic situation judgement criterion to mark special tokens on the agent's self-explored trajectories for collecting training data. Through a two-stage training process, the agent model can switch between different situations by generating specific special tokens, achieving optimal planning effects with minimal costs. Our experiments demonstrate that 
 can outperform various strong baselines on different tasks and models with minimal use of external knowledge.</v>
      </c>
      <c r="D2238" s="7" t="str">
        <f>IFERROR(__xludf.DUMMYFUNCTION("""COMPUTED_VALUE"""),"Shuofei Qiao")</f>
        <v>Shuofei Qiao</v>
      </c>
      <c r="E2238" s="7" t="str">
        <f>IFERROR(__xludf.DUMMYFUNCTION("""COMPUTED_VALUE"""),"Yes")</f>
        <v>Yes</v>
      </c>
      <c r="F2238" s="7" t="str">
        <f>IFERROR(__xludf.DUMMYFUNCTION("""COMPUTED_VALUE"""),"IP-Poster")</f>
        <v>IP-Poster</v>
      </c>
      <c r="G2238" s="7" t="str">
        <f>IFERROR(__xludf.DUMMYFUNCTION("""COMPUTED_VALUE"""),"In-Person")</f>
        <v>In-Person</v>
      </c>
      <c r="H2238" s="7" t="str">
        <f>IFERROR(__xludf.DUMMYFUNCTION("""COMPUTED_VALUE"""),"Hall 4/5")</f>
        <v>Hall 4/5</v>
      </c>
      <c r="I2238" s="7" t="str">
        <f>IFERROR(__xludf.DUMMYFUNCTION("""COMPUTED_VALUE"""),"Session 7: IP-Posters")</f>
        <v>Session 7: IP-Posters</v>
      </c>
      <c r="J2238" s="7" t="str">
        <f>IFERROR(__xludf.DUMMYFUNCTION("""COMPUTED_VALUE"""),"Poster Session 2")</f>
        <v>Poster Session 2</v>
      </c>
      <c r="K2238" s="7"/>
      <c r="L2238" s="8">
        <f>IFERROR(__xludf.DUMMYFUNCTION("""COMPUTED_VALUE"""),45867.0)</f>
        <v>45867</v>
      </c>
      <c r="M2238" s="7" t="str">
        <f>IFERROR(__xludf.DUMMYFUNCTION("""COMPUTED_VALUE"""),"10:30-12:00")</f>
        <v>10:30-12:00</v>
      </c>
      <c r="N2238" s="7"/>
    </row>
    <row r="2239">
      <c r="A2239" s="7" t="str">
        <f>IFERROR(__xludf.DUMMYFUNCTION("""COMPUTED_VALUE"""),"1524-MAIN")</f>
        <v>1524-MAIN</v>
      </c>
      <c r="B2239" s="7" t="str">
        <f>IFERROR(__xludf.DUMMYFUNCTION("""COMPUTED_VALUE"""),"A Unified Agentic Framework for Evaluating Conditional Image Generation")</f>
        <v>A Unified Agentic Framework for Evaluating Conditional Image Generation</v>
      </c>
      <c r="C2239" s="7" t="str">
        <f>IFERROR(__xludf.DUMMYFUNCTION("""COMPUTED_VALUE"""),"Conditional image generation has gained significant attention for its ability to personalize content. However, the field faces challenges in developing task-agnostic, reliable, and explainable evaluation metrics. This paper introduces CIGEval, a unified a"&amp;"gentic framework for comprehensive evaluation of conditional image generation tasks. CIGEval utilizes large multimodal models (LMMs) as its core, integrating a multi-functional toolbox and establishing a fine-grained evaluation framework. Additionally, we"&amp;" synthesize evaluation trajectories for fine-tuning, empowering smaller LMMs to autonomously select appropriate tools and conduct nuanced analyses based on tool outputs. Experiments across seven prominent conditional image generation tasks demonstrate tha"&amp;"t CIGEval (GPT-4o version) achieves a high correlation of 0.4625 with human assessments, closely matching the inter-annotator correlation of 0.47. Notably, when implemented with 7B open-source LMMs using only 2.3K training trajectories, CIGEval surpasses "&amp;"the previous GPT-4o-based state-of-the-art method. These findings indicate that CIGEval holds great potential for automating evaluation of image generation tasks while maintaining human-level reliability.")</f>
        <v>Conditional image generation has gained significant attention for its ability to personalize content. However, the field faces challenges in developing task-agnostic, reliable, and explainable evaluation metrics. This paper introduces CIGEval, a unified agentic framework for comprehensive evaluation of conditional image generation tasks. CIGEval utilizes large multimodal models (LMMs) as its core, integrating a multi-functional toolbox and establishing a fine-grained evaluation framework. Additionally, we synthesize evaluation trajectories for fine-tuning, empowering smaller LMMs to autonomously select appropriate tools and conduct nuanced analyses based on tool outputs. Experiments across seven prominent conditional image generation tasks demonstrate that CIGEval (GPT-4o version) achieves a high correlation of 0.4625 with human assessments, closely matching the inter-annotator correlation of 0.47. Notably, when implemented with 7B open-source LMMs using only 2.3K training trajectories, CIGEval surpasses the previous GPT-4o-based state-of-the-art method. These findings indicate that CIGEval holds great potential for automating evaluation of image generation tasks while maintaining human-level reliability.</v>
      </c>
      <c r="D2239" s="7" t="str">
        <f>IFERROR(__xludf.DUMMYFUNCTION("""COMPUTED_VALUE"""),"Zhenran Xu")</f>
        <v>Zhenran Xu</v>
      </c>
      <c r="E2239" s="7" t="str">
        <f>IFERROR(__xludf.DUMMYFUNCTION("""COMPUTED_VALUE"""),"Yes")</f>
        <v>Yes</v>
      </c>
      <c r="F2239" s="7" t="str">
        <f>IFERROR(__xludf.DUMMYFUNCTION("""COMPUTED_VALUE"""),"IP-Poster")</f>
        <v>IP-Poster</v>
      </c>
      <c r="G2239" s="7" t="str">
        <f>IFERROR(__xludf.DUMMYFUNCTION("""COMPUTED_VALUE"""),"In-Person")</f>
        <v>In-Person</v>
      </c>
      <c r="H2239" s="7" t="str">
        <f>IFERROR(__xludf.DUMMYFUNCTION("""COMPUTED_VALUE"""),"Hall 4/5")</f>
        <v>Hall 4/5</v>
      </c>
      <c r="I2239" s="7" t="str">
        <f>IFERROR(__xludf.DUMMYFUNCTION("""COMPUTED_VALUE"""),"Session 2: IP-Posters ")</f>
        <v>Session 2: IP-Posters </v>
      </c>
      <c r="J2239" s="7" t="str">
        <f>IFERROR(__xludf.DUMMYFUNCTION("""COMPUTED_VALUE"""),"Poster Session 1")</f>
        <v>Poster Session 1</v>
      </c>
      <c r="K2239" s="7"/>
      <c r="L2239" s="8">
        <f>IFERROR(__xludf.DUMMYFUNCTION("""COMPUTED_VALUE"""),45866.0)</f>
        <v>45866</v>
      </c>
      <c r="M2239" s="7" t="str">
        <f>IFERROR(__xludf.DUMMYFUNCTION("""COMPUTED_VALUE"""),"11:00-12:30")</f>
        <v>11:00-12:30</v>
      </c>
      <c r="N2239" s="7"/>
    </row>
    <row r="2240">
      <c r="A2240" s="7" t="str">
        <f>IFERROR(__xludf.DUMMYFUNCTION("""COMPUTED_VALUE"""),"1527-MAIN")</f>
        <v>1527-MAIN</v>
      </c>
      <c r="B2240" s="7" t="str">
        <f>IFERROR(__xludf.DUMMYFUNCTION("""COMPUTED_VALUE"""),"Planning-Driven Programming: A Large Language Model Programming Workflow")</f>
        <v>Planning-Driven Programming: A Large Language Model Programming Workflow</v>
      </c>
      <c r="C2240" s="7" t="str">
        <f>IFERROR(__xludf.DUMMYFUNCTION("""COMPUTED_VALUE"""),"The strong performance of large language models (LLMs) raises extensive discussion on their application to code generation. Recent research suggests continuous program refinements through visible tests to improve code generation accuracy in LLMs. However,"&amp;" these methods suffer from LLMs' inefficiency and limited reasoning capacity. In this work, we propose an LLM programming workflow (LPW) designed to improve both initial code generation and subsequent refinements within a structured two-phase workflow. Sp"&amp;"ecifically, the solution generation phase formulates a solution plan, which is then verified through visible tests to specify the intended natural language solution. Subsequently, the code implementation phase drafts an initial code according to the solut"&amp;"ion plan and its verification. If the generated code fails the visible tests, the plan verification serves as the intended solution to consistently inform the refinement process for correcting bugs. Compared to state-of-the-art methods across various exis"&amp;"ting LLMs, LPW significantly improves the Pass@1 accuracy by up to 16.4% on well-established text-to-code generation benchmarks. LPW also sets new state-of-the-art Pass@1 accuracy, achieving 98.2% on HumanEval, 84.8% on MBPP, 59.3% on LiveCode, 62.6% on A"&amp;"PPS, and 34.7% on CodeContests, using GPT-4o as the backbone. Our code is publicly available at: https://github.com/you68681/lpw.")</f>
        <v>The strong performance of large language models (LLMs) raises extensive discussion on their application to code generation. Recent research suggests continuous program refinements through visible tests to improve code generation accuracy in LLMs. However, these methods suffer from LLMs' inefficiency and limited reasoning capacity. In this work, we propose an LLM programming workflow (LPW) designed to improve both initial code generation and subsequent refinements within a structured two-phase workflow. Specifically, the solution generation phase formulates a solution plan, which is then verified through visible tests to specify the intended natural language solution. Subsequently, the code implementation phase drafts an initial code according to the solution plan and its verification. If the generated code fails the visible tests, the plan verification serves as the intended solution to consistently inform the refinement process for correcting bugs. Compared to state-of-the-art methods across various existing LLMs, LPW significantly improves the Pass@1 accuracy by up to 16.4% on well-established text-to-code generation benchmarks. LPW also sets new state-of-the-art Pass@1 accuracy, achieving 98.2% on HumanEval, 84.8% on MBPP, 59.3% on LiveCode, 62.6% on APPS, and 34.7% on CodeContests, using GPT-4o as the backbone. Our code is publicly available at: https://github.com/you68681/lpw.</v>
      </c>
      <c r="D2240" s="7" t="str">
        <f>IFERROR(__xludf.DUMMYFUNCTION("""COMPUTED_VALUE"""),"Chao Lei")</f>
        <v>Chao Lei</v>
      </c>
      <c r="E2240" s="7" t="str">
        <f>IFERROR(__xludf.DUMMYFUNCTION("""COMPUTED_VALUE"""),"Yes")</f>
        <v>Yes</v>
      </c>
      <c r="F2240" s="7" t="str">
        <f>IFERROR(__xludf.DUMMYFUNCTION("""COMPUTED_VALUE"""),"IP-Poster")</f>
        <v>IP-Poster</v>
      </c>
      <c r="G2240" s="7" t="str">
        <f>IFERROR(__xludf.DUMMYFUNCTION("""COMPUTED_VALUE"""),"In-Person")</f>
        <v>In-Person</v>
      </c>
      <c r="H2240" s="7" t="str">
        <f>IFERROR(__xludf.DUMMYFUNCTION("""COMPUTED_VALUE"""),"Hall 4/5")</f>
        <v>Hall 4/5</v>
      </c>
      <c r="I2240" s="7" t="str">
        <f>IFERROR(__xludf.DUMMYFUNCTION("""COMPUTED_VALUE"""),"Session 12: IP-Posters")</f>
        <v>Session 12: IP-Posters</v>
      </c>
      <c r="J2240" s="7" t="str">
        <f>IFERROR(__xludf.DUMMYFUNCTION("""COMPUTED_VALUE"""),"Poster Session 4")</f>
        <v>Poster Session 4</v>
      </c>
      <c r="K2240" s="7"/>
      <c r="L2240" s="8">
        <f>IFERROR(__xludf.DUMMYFUNCTION("""COMPUTED_VALUE"""),45868.0)</f>
        <v>45868</v>
      </c>
      <c r="M2240" s="7" t="str">
        <f>IFERROR(__xludf.DUMMYFUNCTION("""COMPUTED_VALUE"""),"11:00-12:30")</f>
        <v>11:00-12:30</v>
      </c>
      <c r="N2240" s="7"/>
    </row>
    <row r="2241">
      <c r="A2241" s="7" t="str">
        <f>IFERROR(__xludf.DUMMYFUNCTION("""COMPUTED_VALUE"""),"1534-MAIN")</f>
        <v>1534-MAIN</v>
      </c>
      <c r="B2241" s="7" t="str">
        <f>IFERROR(__xludf.DUMMYFUNCTION("""COMPUTED_VALUE"""),"Can Knowledge Graphs Make Large Language Models More Trustworthy? An Empirical Study Over Open-ended Question Answering")</f>
        <v>Can Knowledge Graphs Make Large Language Models More Trustworthy? An Empirical Study Over Open-ended Question Answering</v>
      </c>
      <c r="C2241" s="7" t="str">
        <f>IFERROR(__xludf.DUMMYFUNCTION("""COMPUTED_VALUE"""),"Recent works integrating Knowledge Graphs (KGs) have shown promising improvements in enhancing the reasoning capabilities of Large Language Models (LLMs). However, existing benchmarks primarily focus on closed-ended tasks, leaving a gap in evaluating perf"&amp;"ormance on more complex, real-world scenarios. This limitation also hinders a thorough assessment of KGs' potential to reduce hallucinations in LLMs. To address this, we introduce OKGQA, a new benchmark specifically designed to evaluate LLMs augmented wit"&amp;"h KGs in open-ended, real-world question answering settings. OKGQA reflects practical complexities through diverse question types and incorporates metrics to quantify both hallucination rates and reasoning improvements in LLM+KG models. To consider the sc"&amp;"enarios in which KGs may contain varying levels of errors, we propose a benchmark variant, OKGQA-P, to assess model performance when the semantics and structure of KGs are deliberately perturbed and contaminated. In this paper, we aims to (1) explore whet"&amp;"her KGs can make LLMs more trustworthy in an open-ended setting, and (2) conduct a comparative analysis to shed light on method design. We believe this study can facilitate a more complete performance comparison and encourages continuous improvement in in"&amp;"tegrating KGs with LLMs to mitigate hallucination, and make LLMs more trustworthy.")</f>
        <v>Recent works integrating Knowledge Graphs (KGs) have shown promising improvements in enhancing the reasoning capabilities of Large Language Models (LLMs). However, existing benchmarks primarily focus on closed-ended tasks, leaving a gap in evaluating performance on more complex, real-world scenarios. This limitation also hinders a thorough assessment of KGs' potential to reduce hallucinations in LLMs. To address this, we introduce OKGQA, a new benchmark specifically designed to evaluate LLMs augmented with KGs in open-ended, real-world question answering settings. OKGQA reflects practical complexities through diverse question types and incorporates metrics to quantify both hallucination rates and reasoning improvements in LLM+KG models. To consider the scenarios in which KGs may contain varying levels of errors, we propose a benchmark variant, OKGQA-P, to assess model performance when the semantics and structure of KGs are deliberately perturbed and contaminated. In this paper, we aims to (1) explore whether KGs can make LLMs more trustworthy in an open-ended setting, and (2) conduct a comparative analysis to shed light on method design. We believe this study can facilitate a more complete performance comparison and encourages continuous improvement in integrating KGs with LLMs to mitigate hallucination, and make LLMs more trustworthy.</v>
      </c>
      <c r="D2241" s="7" t="str">
        <f>IFERROR(__xludf.DUMMYFUNCTION("""COMPUTED_VALUE"""),"Yuan Sui")</f>
        <v>Yuan Sui</v>
      </c>
      <c r="E2241" s="7" t="str">
        <f>IFERROR(__xludf.DUMMYFUNCTION("""COMPUTED_VALUE"""),"Yes")</f>
        <v>Yes</v>
      </c>
      <c r="F2241" s="7" t="str">
        <f>IFERROR(__xludf.DUMMYFUNCTION("""COMPUTED_VALUE"""),"IP-Poster")</f>
        <v>IP-Poster</v>
      </c>
      <c r="G2241" s="7" t="str">
        <f>IFERROR(__xludf.DUMMYFUNCTION("""COMPUTED_VALUE"""),"In-Person")</f>
        <v>In-Person</v>
      </c>
      <c r="H2241" s="7" t="str">
        <f>IFERROR(__xludf.DUMMYFUNCTION("""COMPUTED_VALUE"""),"Hall 4/5")</f>
        <v>Hall 4/5</v>
      </c>
      <c r="I2241" s="7" t="str">
        <f>IFERROR(__xludf.DUMMYFUNCTION("""COMPUTED_VALUE"""),"Session 7: IP-Posters")</f>
        <v>Session 7: IP-Posters</v>
      </c>
      <c r="J2241" s="7" t="str">
        <f>IFERROR(__xludf.DUMMYFUNCTION("""COMPUTED_VALUE"""),"Poster Session 2")</f>
        <v>Poster Session 2</v>
      </c>
      <c r="K2241" s="7"/>
      <c r="L2241" s="8">
        <f>IFERROR(__xludf.DUMMYFUNCTION("""COMPUTED_VALUE"""),45867.0)</f>
        <v>45867</v>
      </c>
      <c r="M2241" s="7" t="str">
        <f>IFERROR(__xludf.DUMMYFUNCTION("""COMPUTED_VALUE"""),"10:30-12:00")</f>
        <v>10:30-12:00</v>
      </c>
      <c r="N2241" s="7"/>
    </row>
    <row r="2242">
      <c r="A2242" s="7" t="str">
        <f>IFERROR(__xludf.DUMMYFUNCTION("""COMPUTED_VALUE"""),"1535-MAIN")</f>
        <v>1535-MAIN</v>
      </c>
      <c r="B2242" s="7" t="str">
        <f>IFERROR(__xludf.DUMMYFUNCTION("""COMPUTED_VALUE"""),"Nudging: Inference-time Alignment of LLMs via Guided Decoding")</f>
        <v>Nudging: Inference-time Alignment of LLMs via Guided Decoding</v>
      </c>
      <c r="C2242" s="7" t="str">
        <f>IFERROR(__xludf.DUMMYFUNCTION("""COMPUTED_VALUE"""),"Large language models (LLMs) require alignment to effectively and safely follow user instructions. This process necessitates training an aligned version for every base model, resulting in significant computational overhead. In this work, we propose NUDGIN"&amp;"G, a simple, training-free algorithm that aligns any base model at inference time using a small aligned model. NUDGING is motivated by recent findings that alignment primarily alters the model’s behavior on a small subset of stylistic tokens (e.g., discou"&amp;"rse markers). We find that base models are significantly more uncertain when generating these tokens. Building on this insight, NUDGING employs a small aligned model to generate nudging tokens to guide the base model’s output during decoding when the base"&amp;" model’s uncertainty is high, with only a minor additional inference overhead. We evaluate NUDGING across 3 model families on a diverse range of open-instruction tasks. Without any training, nudging a large base model with a 7×-14× smaller aligned model a"&amp;"chieves zero-shot performance comparable to, and sometimes surpassing, that of large aligned models. By operating at the token level, NUDGING enables off-the-shelf collaboration between model families. For instance, nudging Gemma-2-27b with Llama-27b-chat"&amp;" outperforms Llama-2-70b-chat on various tasks. Overall, our work offers a modular and cost-efficient solution to LLM alignment. Our code and demo are available at: https://fywalter.github.io/nudging/.")</f>
        <v>Large language models (LLMs) require alignment to effectively and safely follow user instructions. This process necessitates training an aligned version for every base model, resulting in significant computational overhead. In this work, we propose NUDGING, a simple, training-free algorithm that aligns any base model at inference time using a small aligned model. NUDGING is motivated by recent findings that alignment primarily alters the model’s behavior on a small subset of stylistic tokens (e.g., discourse markers). We find that base models are significantly more uncertain when generating these tokens. Building on this insight, NUDGING employs a small aligned model to generate nudging tokens to guide the base model’s output during decoding when the base model’s uncertainty is high, with only a minor additional inference overhead. We evaluate NUDGING across 3 model families on a diverse range of open-instruction tasks. Without any training, nudging a large base model with a 7×-14× smaller aligned model achieves zero-shot performance comparable to, and sometimes surpassing, that of large aligned models. By operating at the token level, NUDGING enables off-the-shelf collaboration between model families. For instance, nudging Gemma-2-27b with Llama-27b-chat outperforms Llama-2-70b-chat on various tasks. Overall, our work offers a modular and cost-efficient solution to LLM alignment. Our code and demo are available at: https://fywalter.github.io/nudging/.</v>
      </c>
      <c r="D2242" s="7" t="str">
        <f>IFERROR(__xludf.DUMMYFUNCTION("""COMPUTED_VALUE"""),"Yu Fei")</f>
        <v>Yu Fei</v>
      </c>
      <c r="E2242" s="7" t="str">
        <f>IFERROR(__xludf.DUMMYFUNCTION("""COMPUTED_VALUE"""),"Yes")</f>
        <v>Yes</v>
      </c>
      <c r="F2242" s="7" t="str">
        <f>IFERROR(__xludf.DUMMYFUNCTION("""COMPUTED_VALUE"""),"IP-Oral")</f>
        <v>IP-Oral</v>
      </c>
      <c r="G2242" s="7" t="str">
        <f>IFERROR(__xludf.DUMMYFUNCTION("""COMPUTED_VALUE"""),"In-Person")</f>
        <v>In-Person</v>
      </c>
      <c r="H2242" s="7" t="str">
        <f>IFERROR(__xludf.DUMMYFUNCTION("""COMPUTED_VALUE"""),"Hall B")</f>
        <v>Hall B</v>
      </c>
      <c r="I2242" s="7" t="str">
        <f>IFERROR(__xludf.DUMMYFUNCTION("""COMPUTED_VALUE"""),"Session 11: IP-Orals ")</f>
        <v>Session 11: IP-Orals </v>
      </c>
      <c r="J2242" s="7" t="str">
        <f>IFERROR(__xludf.DUMMYFUNCTION("""COMPUTED_VALUE"""),"Panel 2: LLM alignment")</f>
        <v>Panel 2: LLM alignment</v>
      </c>
      <c r="K2242" s="7"/>
      <c r="L2242" s="8">
        <f>IFERROR(__xludf.DUMMYFUNCTION("""COMPUTED_VALUE"""),45868.0)</f>
        <v>45868</v>
      </c>
      <c r="M2242" s="7" t="str">
        <f>IFERROR(__xludf.DUMMYFUNCTION("""COMPUTED_VALUE"""),"09:00-10:30")</f>
        <v>09:00-10:30</v>
      </c>
      <c r="N2242" s="7">
        <f>IFERROR(__xludf.DUMMYFUNCTION("""COMPUTED_VALUE"""),2.0)</f>
        <v>2</v>
      </c>
    </row>
    <row r="2243">
      <c r="A2243" s="7" t="str">
        <f>IFERROR(__xludf.DUMMYFUNCTION("""COMPUTED_VALUE"""),"1538-MAIN")</f>
        <v>1538-MAIN</v>
      </c>
      <c r="B2243" s="7" t="str">
        <f>IFERROR(__xludf.DUMMYFUNCTION("""COMPUTED_VALUE"""),"Unveiling Attractor Cycles in Large Language Models: A Dynamical Systems View of Successive Paraphrasing")</f>
        <v>Unveiling Attractor Cycles in Large Language Models: A Dynamical Systems View of Successive Paraphrasing</v>
      </c>
      <c r="C2243" s="7" t="str">
        <f>IFERROR(__xludf.DUMMYFUNCTION("""COMPUTED_VALUE"""),"Dynamical systems theory provides a framework for analyzing iterative processes and evolution over time. Within such systems, repetitive transformations can lead to stable configurations, known as attractors, including fixed points and limit cycles. Apply"&amp;"ing this perspective to large language models (LLMs), which iteratively map input text to output text, provides a principled approach to characterizing long-term behaviors. Successive paraphrasing serves as a compelling testbed for exploring such dynamics"&amp;", as paraphrases re-express the same underlying meaning with linguistic variation. Although LLMs are expected to explore a diverse set of paraphrases in the text space, our study reveals that successive paraphrasing converges to stable periodic states, su"&amp;"ch as 2-period attractor cycles, limiting linguistic diversity. This phenomenon is attributed to the self-reinforcing nature of LLMs, as they iteratively favour and amplify certain textual forms over others. This pattern persists with increasing generatio"&amp;"n randomness or alternating prompts and LLMs. These findings underscore inherent constraints in LLM generative capability, while offering a novel dynamical systems perspective for studying their expressive potential.")</f>
        <v>Dynamical systems theory provides a framework for analyzing iterative processes and evolution over time. Within such systems, repetitive transformations can lead to stable configurations, known as attractors, including fixed points and limit cycles. Applying this perspective to large language models (LLMs), which iteratively map input text to output text, provides a principled approach to characterizing long-term behaviors. Successive paraphrasing serves as a compelling testbed for exploring such dynamics, as paraphrases re-express the same underlying meaning with linguistic variation. Although LLMs are expected to explore a diverse set of paraphrases in the text space, our study reveals that successive paraphrasing converges to stable periodic states, such as 2-period attractor cycles, limiting linguistic diversity. This phenomenon is attributed to the self-reinforcing nature of LLMs, as they iteratively favour and amplify certain textual forms over others. This pattern persists with increasing generation randomness or alternating prompts and LLMs. These findings underscore inherent constraints in LLM generative capability, while offering a novel dynamical systems perspective for studying their expressive potential.</v>
      </c>
      <c r="D2243" s="7" t="str">
        <f>IFERROR(__xludf.DUMMYFUNCTION("""COMPUTED_VALUE"""),"Zhilin Wang")</f>
        <v>Zhilin Wang</v>
      </c>
      <c r="E2243" s="7" t="str">
        <f>IFERROR(__xludf.DUMMYFUNCTION("""COMPUTED_VALUE"""),"Yes")</f>
        <v>Yes</v>
      </c>
      <c r="F2243" s="7" t="str">
        <f>IFERROR(__xludf.DUMMYFUNCTION("""COMPUTED_VALUE"""),"IP-Poster")</f>
        <v>IP-Poster</v>
      </c>
      <c r="G2243" s="7" t="str">
        <f>IFERROR(__xludf.DUMMYFUNCTION("""COMPUTED_VALUE"""),"In-Person")</f>
        <v>In-Person</v>
      </c>
      <c r="H2243" s="7" t="str">
        <f>IFERROR(__xludf.DUMMYFUNCTION("""COMPUTED_VALUE"""),"Hall 4/5")</f>
        <v>Hall 4/5</v>
      </c>
      <c r="I2243" s="7" t="str">
        <f>IFERROR(__xludf.DUMMYFUNCTION("""COMPUTED_VALUE"""),"Session 7: IP-Posters")</f>
        <v>Session 7: IP-Posters</v>
      </c>
      <c r="J2243" s="7" t="str">
        <f>IFERROR(__xludf.DUMMYFUNCTION("""COMPUTED_VALUE"""),"Poster Session 2")</f>
        <v>Poster Session 2</v>
      </c>
      <c r="K2243" s="7"/>
      <c r="L2243" s="8">
        <f>IFERROR(__xludf.DUMMYFUNCTION("""COMPUTED_VALUE"""),45867.0)</f>
        <v>45867</v>
      </c>
      <c r="M2243" s="7" t="str">
        <f>IFERROR(__xludf.DUMMYFUNCTION("""COMPUTED_VALUE"""),"10:30-12:00")</f>
        <v>10:30-12:00</v>
      </c>
      <c r="N2243" s="7"/>
    </row>
    <row r="2244">
      <c r="A2244" s="7" t="str">
        <f>IFERROR(__xludf.DUMMYFUNCTION("""COMPUTED_VALUE"""),"1540-MAIN")</f>
        <v>1540-MAIN</v>
      </c>
      <c r="B2244" s="7" t="str">
        <f>IFERROR(__xludf.DUMMYFUNCTION("""COMPUTED_VALUE"""),"State-offset Tuning: State-based Parameter-Efficient Fine-Tuning for State Space Models")</f>
        <v>State-offset Tuning: State-based Parameter-Efficient Fine-Tuning for State Space Models</v>
      </c>
      <c r="C2244" s="7" t="str">
        <f>IFERROR(__xludf.DUMMYFUNCTION("""COMPUTED_VALUE"""),"State Space Models (SSMs) have emerged as efficient alternatives to Transformers, mitigating their quadratic computational cost. However, the application of Parameter-Efficient Fine-Tuning (PEFT) methods to SSMs remains largely unexplored. In particular, "&amp;"prompt-based methods like Prompt Tuning and Prefix-Tuning, which are widely used in Transformers, do not perform well on SSMs. To address this, we propose **state-based methods** as a superior alternative to prompt-based methods. This new family of method"&amp;"s naturally stems from the architectural characteristics of SSMs. State-based methods adjust state-related features directly instead of depending on external prompts. Furthermore, we introduce a novel state-based PEFT method: **State-offset Tuning**. At e"&amp;"very timestep, our method directly affects the state at the current step, leading to more effective adaptation. Through extensive experiments across diverse datasets, we demonstrate the effectiveness of our method. Code is available at https://github.com/"&amp;"furiosa-ai/ssm-state-tuning.")</f>
        <v>State Space Models (SSMs) have emerged as efficient alternatives to Transformers, mitigating their quadratic computational cost. However, the application of Parameter-Efficient Fine-Tuning (PEFT) methods to SSMs remains largely unexplored. In particular, prompt-based methods like Prompt Tuning and Prefix-Tuning, which are widely used in Transformers, do not perform well on SSMs. To address this, we propose **state-based methods** as a superior alternative to prompt-based methods. This new family of methods naturally stems from the architectural characteristics of SSMs. State-based methods adjust state-related features directly instead of depending on external prompts. Furthermore, we introduce a novel state-based PEFT method: **State-offset Tuning**. At every timestep, our method directly affects the state at the current step, leading to more effective adaptation. Through extensive experiments across diverse datasets, we demonstrate the effectiveness of our method. Code is available at https://github.com/furiosa-ai/ssm-state-tuning.</v>
      </c>
      <c r="D2244" s="7" t="str">
        <f>IFERROR(__xludf.DUMMYFUNCTION("""COMPUTED_VALUE"""),"Wonjun Kang")</f>
        <v>Wonjun Kang</v>
      </c>
      <c r="E2244" s="7" t="str">
        <f>IFERROR(__xludf.DUMMYFUNCTION("""COMPUTED_VALUE"""),"Yes")</f>
        <v>Yes</v>
      </c>
      <c r="F2244" s="7" t="str">
        <f>IFERROR(__xludf.DUMMYFUNCTION("""COMPUTED_VALUE"""),"IP-Poster")</f>
        <v>IP-Poster</v>
      </c>
      <c r="G2244" s="7" t="str">
        <f>IFERROR(__xludf.DUMMYFUNCTION("""COMPUTED_VALUE"""),"In-Person")</f>
        <v>In-Person</v>
      </c>
      <c r="H2244" s="7" t="str">
        <f>IFERROR(__xludf.DUMMYFUNCTION("""COMPUTED_VALUE"""),"Hall 4/5")</f>
        <v>Hall 4/5</v>
      </c>
      <c r="I2244" s="7" t="str">
        <f>IFERROR(__xludf.DUMMYFUNCTION("""COMPUTED_VALUE"""),"Session 2: IP-Posters ")</f>
        <v>Session 2: IP-Posters </v>
      </c>
      <c r="J2244" s="7" t="str">
        <f>IFERROR(__xludf.DUMMYFUNCTION("""COMPUTED_VALUE"""),"Poster Session 1")</f>
        <v>Poster Session 1</v>
      </c>
      <c r="K2244" s="7"/>
      <c r="L2244" s="8">
        <f>IFERROR(__xludf.DUMMYFUNCTION("""COMPUTED_VALUE"""),45866.0)</f>
        <v>45866</v>
      </c>
      <c r="M2244" s="7" t="str">
        <f>IFERROR(__xludf.DUMMYFUNCTION("""COMPUTED_VALUE"""),"11:00-12:30")</f>
        <v>11:00-12:30</v>
      </c>
      <c r="N2244" s="7"/>
    </row>
    <row r="2245">
      <c r="A2245" s="7" t="str">
        <f>IFERROR(__xludf.DUMMYFUNCTION("""COMPUTED_VALUE"""),"1542-MAIN")</f>
        <v>1542-MAIN</v>
      </c>
      <c r="B2245" s="7" t="str">
        <f>IFERROR(__xludf.DUMMYFUNCTION("""COMPUTED_VALUE"""),"SCAR: Data Selection via Style Consistency-Aware Response Ranking for Efficient Instruction-Tuning of Large Language Models")</f>
        <v>SCAR: Data Selection via Style Consistency-Aware Response Ranking for Efficient Instruction-Tuning of Large Language Models</v>
      </c>
      <c r="C2245" s="7" t="str">
        <f>IFERROR(__xludf.DUMMYFUNCTION("""COMPUTED_VALUE"""),"Recent studies emphasize that manually ensuring a consistent response style and maintaining high data quality in training sets can significantly improve the performance of fine-tuned Large Language Models (LLMs) while reducing the number of training examp"&amp;"les needed. However, the precise definition of style and the relationship between style, data quality, and LLM performance remains unclear. This research identifies two key stylistic elements in responses: linguistic form and instructional surprisal. We f"&amp;"ind that, among training data of comparable quality, higher consistency in these response elements leads to better LLM performance. Inspired by this, we introduce Style Consistency-Aware Response Ranking (SCAR), which automatically prioritizes instruction"&amp;"-response pairs in the training set based on their response stylistic consistency. By selecting the most style-consistent examples, using 0.7% of the full dataset in certain cases, the fine-tuned LLMs can match or even surpass the performance of models tr"&amp;"ained on the entire dataset in coding and open-ended question-answering benchmarks. Code and data are available at https://github.com/zhuang-li/SCAR .")</f>
        <v>Recent studies emphasize that manually ensuring a consistent response style and maintaining high data quality in training sets can significantly improve the performance of fine-tuned Large Language Models (LLMs) while reducing the number of training examples needed. However, the precise definition of style and the relationship between style, data quality, and LLM performance remains unclear. This research identifies two key stylistic elements in responses: linguistic form and instructional surprisal. We find that, among training data of comparable quality, higher consistency in these response elements leads to better LLM performance. Inspired by this, we introduce Style Consistency-Aware Response Ranking (SCAR), which automatically prioritizes instruction-response pairs in the training set based on their response stylistic consistency. By selecting the most style-consistent examples, using 0.7% of the full dataset in certain cases, the fine-tuned LLMs can match or even surpass the performance of models trained on the entire dataset in coding and open-ended question-answering benchmarks. Code and data are available at https://github.com/zhuang-li/SCAR .</v>
      </c>
      <c r="D2245" s="7" t="str">
        <f>IFERROR(__xludf.DUMMYFUNCTION("""COMPUTED_VALUE"""),"Zhuang Li")</f>
        <v>Zhuang Li</v>
      </c>
      <c r="E2245" s="7" t="str">
        <f>IFERROR(__xludf.DUMMYFUNCTION("""COMPUTED_VALUE"""),"Yes")</f>
        <v>Yes</v>
      </c>
      <c r="F2245" s="7" t="str">
        <f>IFERROR(__xludf.DUMMYFUNCTION("""COMPUTED_VALUE"""),"IP-Poster")</f>
        <v>IP-Poster</v>
      </c>
      <c r="G2245" s="7" t="str">
        <f>IFERROR(__xludf.DUMMYFUNCTION("""COMPUTED_VALUE"""),"In-Person")</f>
        <v>In-Person</v>
      </c>
      <c r="H2245" s="7" t="str">
        <f>IFERROR(__xludf.DUMMYFUNCTION("""COMPUTED_VALUE"""),"Hall 4/5")</f>
        <v>Hall 4/5</v>
      </c>
      <c r="I2245" s="7" t="str">
        <f>IFERROR(__xludf.DUMMYFUNCTION("""COMPUTED_VALUE"""),"Session 2: IP-Posters ")</f>
        <v>Session 2: IP-Posters </v>
      </c>
      <c r="J2245" s="7" t="str">
        <f>IFERROR(__xludf.DUMMYFUNCTION("""COMPUTED_VALUE"""),"Poster Session 1")</f>
        <v>Poster Session 1</v>
      </c>
      <c r="K2245" s="7"/>
      <c r="L2245" s="8">
        <f>IFERROR(__xludf.DUMMYFUNCTION("""COMPUTED_VALUE"""),45866.0)</f>
        <v>45866</v>
      </c>
      <c r="M2245" s="7" t="str">
        <f>IFERROR(__xludf.DUMMYFUNCTION("""COMPUTED_VALUE"""),"11:00-12:30")</f>
        <v>11:00-12:30</v>
      </c>
      <c r="N2245" s="7"/>
    </row>
    <row r="2246">
      <c r="A2246" s="7" t="str">
        <f>IFERROR(__xludf.DUMMYFUNCTION("""COMPUTED_VALUE"""),"1545-MAIN")</f>
        <v>1545-MAIN</v>
      </c>
      <c r="B2246" s="7" t="str">
        <f>IFERROR(__xludf.DUMMYFUNCTION("""COMPUTED_VALUE"""),"Internal and External Impacts of Natural Language Processing Papers")</f>
        <v>Internal and External Impacts of Natural Language Processing Papers</v>
      </c>
      <c r="C2246" s="7" t="str">
        <f>IFERROR(__xludf.DUMMYFUNCTION("""COMPUTED_VALUE"""),"We investigate the impacts of NLP research published in top-tier conferences (i.e., ACL, EMNLP, and NAACL) from 1979 to 2024. By analyzing citations from research articles and external sources such as patents, media, and policy documents, we examine how d"&amp;"ifferent NLP topics are consumed both within the academic community and by the broader public. Our findings reveal that language modeling has the widest internal and external influence, while linguistic foundations have lower impacts. We also observe that"&amp;" internal and external impacts generally align, but topics like ethics, bias, and fairness show significant attention in policy documents with much fewer academic citations. Additionally, external domains exhibit distinct preferences, with patents focusin"&amp;"g on practical NLP applications and media and policy documents engaging more with the societal implications of NLP models.")</f>
        <v>We investigate the impacts of NLP research published in top-tier conferences (i.e., ACL, EMNLP, and NAACL) from 1979 to 2024. By analyzing citations from research articles and external sources such as patents, media, and policy documents, we examine how different NLP topics are consumed both within the academic community and by the broader public. Our findings reveal that language modeling has the widest internal and external influence, while linguistic foundations have lower impacts. We also observe that internal and external impacts generally align, but topics like ethics, bias, and fairness show significant attention in policy documents with much fewer academic citations. Additionally, external domains exhibit distinct preferences, with patents focusing on practical NLP applications and media and policy documents engaging more with the societal implications of NLP models.</v>
      </c>
      <c r="D2246" s="7" t="str">
        <f>IFERROR(__xludf.DUMMYFUNCTION("""COMPUTED_VALUE"""),"Yu Zhang")</f>
        <v>Yu Zhang</v>
      </c>
      <c r="E2246" s="7" t="str">
        <f>IFERROR(__xludf.DUMMYFUNCTION("""COMPUTED_VALUE"""),"Yes")</f>
        <v>Yes</v>
      </c>
      <c r="F2246" s="7" t="str">
        <f>IFERROR(__xludf.DUMMYFUNCTION("""COMPUTED_VALUE"""),"V-Presentation")</f>
        <v>V-Presentation</v>
      </c>
      <c r="G2246" s="7" t="str">
        <f>IFERROR(__xludf.DUMMYFUNCTION("""COMPUTED_VALUE"""),"Virtual/Gather")</f>
        <v>Virtual/Gather</v>
      </c>
      <c r="H2246" s="7" t="str">
        <f>IFERROR(__xludf.DUMMYFUNCTION("""COMPUTED_VALUE"""),"Zoom")</f>
        <v>Zoom</v>
      </c>
      <c r="I2246" s="7" t="str">
        <f>IFERROR(__xludf.DUMMYFUNCTION("""COMPUTED_VALUE"""),"Session 7: V--Presentations ")</f>
        <v>Session 7: V--Presentations </v>
      </c>
      <c r="J2246" s="7" t="str">
        <f>IFERROR(__xludf.DUMMYFUNCTION("""COMPUTED_VALUE"""),"Virtual Presentations 2")</f>
        <v>Virtual Presentations 2</v>
      </c>
      <c r="K2246" s="7"/>
      <c r="L2246" s="8"/>
      <c r="M2246" s="7" t="str">
        <f>IFERROR(__xludf.DUMMYFUNCTION("""COMPUTED_VALUE"""),"10:30-12:00")</f>
        <v>10:30-12:00</v>
      </c>
      <c r="N2246" s="7"/>
    </row>
    <row r="2247">
      <c r="A2247" s="7" t="str">
        <f>IFERROR(__xludf.DUMMYFUNCTION("""COMPUTED_VALUE"""),"1558-MAIN")</f>
        <v>1558-MAIN</v>
      </c>
      <c r="B2247" s="7" t="str">
        <f>IFERROR(__xludf.DUMMYFUNCTION("""COMPUTED_VALUE"""),"HFT: Half Fine-Tuning for Large Language Models")</f>
        <v>HFT: Half Fine-Tuning for Large Language Models</v>
      </c>
      <c r="C2247" s="7" t="str">
        <f>IFERROR(__xludf.DUMMYFUNCTION("""COMPUTED_VALUE"""),"Large language models (LLMs) with one or more fine-tuning phases have become necessary to unlock various capabilities, enabling LLMs to follow natural language instructions and align with human preferences. However, it carries the risk of catastrophic for"&amp;"getting during sequential training, the parametric knowledge or the ability learned in previous stages may be overwhelmed by incoming training data. This paper finds that LLMs can restore some original knowledge by regularly resetting partial parameters. "&amp;"Inspired by this, we introduce \underline{H}alf \underline{F}ine-\underline{T}uning (HFT) for LLMs, as a substitute for full fine-tuning (FFT), to mitigate the forgetting issues, where half of the parameters are selected to learn new tasks. In contrast, t"&amp;"he other half are frozen to retain previous knowledge. We provide a feasibility analysis from the optimization perspective and interpret the parameter selection operation as a regularization term. HFT could be seamlessly integrated into existing fine-tuni"&amp;"ng frameworks without changing the model architecture. Extensive experiments and analysis on supervised fine-tuning, direct preference optimization, and continual learning consistently demonstrate the effectiveness, robustness, and efficiency of HFT. Comp"&amp;"ared with FFT, HFT not only significantly alleviates the forgetting problem, but also achieves the best performance in a series of downstream benchmarks, with an approximately 30% reduction in training time.")</f>
        <v>Large language models (LLMs) with one or more fine-tuning phases have become necessary to unlock various capabilities, enabling LLMs to follow natural language instructions and align with human preferences. However, it carries the risk of catastrophic forgetting during sequential training, the parametric knowledge or the ability learned in previous stages may be overwhelmed by incoming training data. This paper finds that LLMs can restore some original knowledge by regularly resetting partial parameters. Inspired by this, we introduce \underline{H}alf \underline{F}ine-\underline{T}uning (HFT) for LLMs, as a substitute for full fine-tuning (FFT), to mitigate the forgetting issues, where half of the parameters are selected to learn new tasks. In contrast, the other half are frozen to retain previous knowledge. We provide a feasibility analysis from the optimization perspective and interpret the parameter selection operation as a regularization term. HFT could be seamlessly integrated into existing fine-tuning frameworks without changing the model architecture. Extensive experiments and analysis on supervised fine-tuning, direct preference optimization, and continual learning consistently demonstrate the effectiveness, robustness, and efficiency of HFT. Compared with FFT, HFT not only significantly alleviates the forgetting problem, but also achieves the best performance in a series of downstream benchmarks, with an approximately 30% reduction in training time.</v>
      </c>
      <c r="D2247" s="7" t="str">
        <f>IFERROR(__xludf.DUMMYFUNCTION("""COMPUTED_VALUE"""),"Tingfeng Hui
Zhenyu Zhang")</f>
        <v>Tingfeng Hui
Zhenyu Zhang</v>
      </c>
      <c r="E2247" s="7" t="str">
        <f>IFERROR(__xludf.DUMMYFUNCTION("""COMPUTED_VALUE"""),"Yes")</f>
        <v>Yes</v>
      </c>
      <c r="F2247" s="7" t="str">
        <f>IFERROR(__xludf.DUMMYFUNCTION("""COMPUTED_VALUE"""),"IP-Poster")</f>
        <v>IP-Poster</v>
      </c>
      <c r="G2247" s="7" t="str">
        <f>IFERROR(__xludf.DUMMYFUNCTION("""COMPUTED_VALUE"""),"In-Person")</f>
        <v>In-Person</v>
      </c>
      <c r="H2247" s="7" t="str">
        <f>IFERROR(__xludf.DUMMYFUNCTION("""COMPUTED_VALUE"""),"Hall 4/5")</f>
        <v>Hall 4/5</v>
      </c>
      <c r="I2247" s="7" t="str">
        <f>IFERROR(__xludf.DUMMYFUNCTION("""COMPUTED_VALUE"""),"Session 12: IP-Posters")</f>
        <v>Session 12: IP-Posters</v>
      </c>
      <c r="J2247" s="7" t="str">
        <f>IFERROR(__xludf.DUMMYFUNCTION("""COMPUTED_VALUE"""),"Poster Session 4")</f>
        <v>Poster Session 4</v>
      </c>
      <c r="K2247" s="7"/>
      <c r="L2247" s="8">
        <f>IFERROR(__xludf.DUMMYFUNCTION("""COMPUTED_VALUE"""),45868.0)</f>
        <v>45868</v>
      </c>
      <c r="M2247" s="7" t="str">
        <f>IFERROR(__xludf.DUMMYFUNCTION("""COMPUTED_VALUE"""),"11:00-12:30")</f>
        <v>11:00-12:30</v>
      </c>
      <c r="N2247" s="7"/>
    </row>
    <row r="2248">
      <c r="A2248" s="7" t="str">
        <f>IFERROR(__xludf.DUMMYFUNCTION("""COMPUTED_VALUE"""),"1560-MAIN")</f>
        <v>1560-MAIN</v>
      </c>
      <c r="B2248" s="7" t="str">
        <f>IFERROR(__xludf.DUMMYFUNCTION("""COMPUTED_VALUE"""),"Beyond Surface Simplicity: Revealing Hidden Reasoning Attributes for Precise Commonsense Diagnosis")</f>
        <v>Beyond Surface Simplicity: Revealing Hidden Reasoning Attributes for Precise Commonsense Diagnosis</v>
      </c>
      <c r="C2248" s="7" t="str">
        <f>IFERROR(__xludf.DUMMYFUNCTION("""COMPUTED_VALUE"""),"Commonsense question answering (QA) are widely used to evaluate the commonsense abilities of large language models. However, answering commonsense questions correctly requires not only knowledge but also reasoning—even for seemingly simple questions. We d"&amp;"emonstrate that such hidden reasoning attributes in commonsense questions can lead evaluation accuracy differences of up to 24.8% across different difficulty levels in the same benchmark. Current benchmarks overlook these hidden reasoning attributes, maki"&amp;"ng it difficult to assess a model's specific levels of commonsense knowledge and reasoning ability. To address this issue, we introduce ReComSBench, a novel framework that reveals hidden reasoning attributes behind commonsense questions by leveraging the "&amp;"knowledge generated during the reasoning process. Additionally, ReComSBench proposes three new metrics for decoupled evaluation: Knowledge Balanced Accuracy, Marginal Sampling Gain, and Knowledge Coverage Ratio. Experiments show that ReComSBench provides "&amp;"insights into model performance that traditional benchmarks cannot offer. The difficulty stratification based on revealed hidden reasoning attributes performs as effectively as the model-probability-based approach but is more generalizable and better suit"&amp;"ed for improving a model's commonsense reasoning abilities. By uncovering and analyzing the hidden reasoning attributes in commonsense data, ReComSBench offers a new approach to enhancing existing commonsense benchmarks.")</f>
        <v>Commonsense question answering (QA) are widely used to evaluate the commonsense abilities of large language models. However, answering commonsense questions correctly requires not only knowledge but also reasoning—even for seemingly simple questions. We demonstrate that such hidden reasoning attributes in commonsense questions can lead evaluation accuracy differences of up to 24.8% across different difficulty levels in the same benchmark. Current benchmarks overlook these hidden reasoning attributes, making it difficult to assess a model's specific levels of commonsense knowledge and reasoning ability. To address this issue, we introduce ReComSBench, a novel framework that reveals hidden reasoning attributes behind commonsense questions by leveraging the knowledge generated during the reasoning process. Additionally, ReComSBench proposes three new metrics for decoupled evaluation: Knowledge Balanced Accuracy, Marginal Sampling Gain, and Knowledge Coverage Ratio. Experiments show that ReComSBench provides insights into model performance that traditional benchmarks cannot offer. The difficulty stratification based on revealed hidden reasoning attributes performs as effectively as the model-probability-based approach but is more generalizable and better suited for improving a model's commonsense reasoning abilities. By uncovering and analyzing the hidden reasoning attributes in commonsense data, ReComSBench offers a new approach to enhancing existing commonsense benchmarks.</v>
      </c>
      <c r="D2248" s="7" t="str">
        <f>IFERROR(__xludf.DUMMYFUNCTION("""COMPUTED_VALUE"""),"Huijun Lian")</f>
        <v>Huijun Lian</v>
      </c>
      <c r="E2248" s="7" t="str">
        <f>IFERROR(__xludf.DUMMYFUNCTION("""COMPUTED_VALUE"""),"Yes")</f>
        <v>Yes</v>
      </c>
      <c r="F2248" s="7" t="str">
        <f>IFERROR(__xludf.DUMMYFUNCTION("""COMPUTED_VALUE"""),"IP-Poster")</f>
        <v>IP-Poster</v>
      </c>
      <c r="G2248" s="7" t="str">
        <f>IFERROR(__xludf.DUMMYFUNCTION("""COMPUTED_VALUE"""),"In-Person")</f>
        <v>In-Person</v>
      </c>
      <c r="H2248" s="7" t="str">
        <f>IFERROR(__xludf.DUMMYFUNCTION("""COMPUTED_VALUE"""),"Hall 4/5")</f>
        <v>Hall 4/5</v>
      </c>
      <c r="I2248" s="7" t="str">
        <f>IFERROR(__xludf.DUMMYFUNCTION("""COMPUTED_VALUE"""),"Session 12: IP-Posters")</f>
        <v>Session 12: IP-Posters</v>
      </c>
      <c r="J2248" s="7" t="str">
        <f>IFERROR(__xludf.DUMMYFUNCTION("""COMPUTED_VALUE"""),"Poster Session 4")</f>
        <v>Poster Session 4</v>
      </c>
      <c r="K2248" s="7"/>
      <c r="L2248" s="8">
        <f>IFERROR(__xludf.DUMMYFUNCTION("""COMPUTED_VALUE"""),45868.0)</f>
        <v>45868</v>
      </c>
      <c r="M2248" s="7" t="str">
        <f>IFERROR(__xludf.DUMMYFUNCTION("""COMPUTED_VALUE"""),"11:00-12:30")</f>
        <v>11:00-12:30</v>
      </c>
      <c r="N2248" s="7"/>
    </row>
    <row r="2249">
      <c r="A2249" s="7" t="str">
        <f>IFERROR(__xludf.DUMMYFUNCTION("""COMPUTED_VALUE"""),"1561-MAIN")</f>
        <v>1561-MAIN</v>
      </c>
      <c r="B2249" s="7" t="str">
        <f>IFERROR(__xludf.DUMMYFUNCTION("""COMPUTED_VALUE"""),"From Objectives to Questions: A Planning-based Framework for Educational Mathematical Question Generation")</f>
        <v>From Objectives to Questions: A Planning-based Framework for Educational Mathematical Question Generation</v>
      </c>
      <c r="C2249" s="7" t="str">
        <f>IFERROR(__xludf.DUMMYFUNCTION("""COMPUTED_VALUE"""),"Automatically generating high-quality mathematical problems that align with educational objectives is a crucial task in NLP-based educational technology. Traditional generation methods focus primarily on textual quality, but they often overlook educationa"&amp;"l objectives. Moreover, these methods address only single-dimensional, simple question generation, failing to meet complex, multifaceted educational requirements. To address these challenges, we constructed and annotated EduMath, a dataset of 16k mathemat"&amp;"ical questions with multi-dimensional educational objectives. Based on this dataset, we developed EQGEVAL, which incorporates three evaluation dimensions and is designed to assess the ability of models to generate educational questions. Drawing inspiratio"&amp;"n from teachers' problem design processes, we propose the Educational Question Planning with self-Reflection (EQPR) method for educational mathematical question generation, following a ""plan-evaluate-optimize"" approach. Specifically, by combining planni"&amp;"ng algorithm based on Monte Carlo Tree Search with the generative capabilities of Large Language Models, we continuously optimize questions through iterative feedback. This self-optimization mechanism ensures that the generated questions both fit the educ"&amp;"ational context and strategically achieve specific basic educational objectives. Through extensive experiments based on EQGEVAL, we have demonstrated that EQPR achieves significant improvements in generating questions that meet multi-dimensional education"&amp;"al objectives.")</f>
        <v>Automatically generating high-quality mathematical problems that align with educational objectives is a crucial task in NLP-based educational technology. Traditional generation methods focus primarily on textual quality, but they often overlook educational objectives. Moreover, these methods address only single-dimensional, simple question generation, failing to meet complex, multifaceted educational requirements. To address these challenges, we constructed and annotated EduMath, a dataset of 16k mathematical questions with multi-dimensional educational objectives. Based on this dataset, we developed EQGEVAL, which incorporates three evaluation dimensions and is designed to assess the ability of models to generate educational questions. Drawing inspiration from teachers' problem design processes, we propose the Educational Question Planning with self-Reflection (EQPR) method for educational mathematical question generation, following a "plan-evaluate-optimize" approach. Specifically, by combining planning algorithm based on Monte Carlo Tree Search with the generative capabilities of Large Language Models, we continuously optimize questions through iterative feedback. This self-optimization mechanism ensures that the generated questions both fit the educational context and strategically achieve specific basic educational objectives. Through extensive experiments based on EQGEVAL, we have demonstrated that EQPR achieves significant improvements in generating questions that meet multi-dimensional educational objectives.</v>
      </c>
      <c r="D2249" s="7" t="str">
        <f>IFERROR(__xludf.DUMMYFUNCTION("""COMPUTED_VALUE"""),"Cheng Cheng")</f>
        <v>Cheng Cheng</v>
      </c>
      <c r="E2249" s="7" t="str">
        <f>IFERROR(__xludf.DUMMYFUNCTION("""COMPUTED_VALUE"""),"Yes")</f>
        <v>Yes</v>
      </c>
      <c r="F2249" s="7" t="str">
        <f>IFERROR(__xludf.DUMMYFUNCTION("""COMPUTED_VALUE"""),"V-Presentation")</f>
        <v>V-Presentation</v>
      </c>
      <c r="G2249" s="7" t="str">
        <f>IFERROR(__xludf.DUMMYFUNCTION("""COMPUTED_VALUE"""),"Virtual/Gather")</f>
        <v>Virtual/Gather</v>
      </c>
      <c r="H2249" s="7" t="str">
        <f>IFERROR(__xludf.DUMMYFUNCTION("""COMPUTED_VALUE"""),"Zoom")</f>
        <v>Zoom</v>
      </c>
      <c r="I2249" s="7" t="str">
        <f>IFERROR(__xludf.DUMMYFUNCTION("""COMPUTED_VALUE"""),"Session 2: V-Presentations")</f>
        <v>Session 2: V-Presentations</v>
      </c>
      <c r="J2249" s="7" t="str">
        <f>IFERROR(__xludf.DUMMYFUNCTION("""COMPUTED_VALUE"""),"Virtual Presentations 1")</f>
        <v>Virtual Presentations 1</v>
      </c>
      <c r="K2249" s="7"/>
      <c r="L2249" s="8">
        <f>IFERROR(__xludf.DUMMYFUNCTION("""COMPUTED_VALUE"""),45866.0)</f>
        <v>45866</v>
      </c>
      <c r="M2249" s="7" t="str">
        <f>IFERROR(__xludf.DUMMYFUNCTION("""COMPUTED_VALUE"""),"11:00-12:30")</f>
        <v>11:00-12:30</v>
      </c>
      <c r="N2249" s="7"/>
    </row>
    <row r="2250">
      <c r="A2250" s="7" t="str">
        <f>IFERROR(__xludf.DUMMYFUNCTION("""COMPUTED_VALUE"""),"1565-MAIN")</f>
        <v>1565-MAIN</v>
      </c>
      <c r="B2250" s="7" t="str">
        <f>IFERROR(__xludf.DUMMYFUNCTION("""COMPUTED_VALUE"""),"RankCoT: Refining Knowledge for Retrieval-Augmented Generation through Ranking Chain-of-Thoughts")</f>
        <v>RankCoT: Refining Knowledge for Retrieval-Augmented Generation through Ranking Chain-of-Thoughts</v>
      </c>
      <c r="C2250" s="7" t="str">
        <f>IFERROR(__xludf.DUMMYFUNCTION("""COMPUTED_VALUE"""),"Retrieval-Augmented Generation (RAG) enhances the performance of Large Language Models (LLMs) by incorporating external knowledge. However, LLMs still encounter challenges in effectively utilizing the knowledge from retrieved documents, often being misled"&amp;" by irrelevant or noisy information. To address this issue, we introduce RankCoT, a knowledge refinement method that incorporates reranking signals in generating CoT-based summarization for knowledge refinement based on given query and all retrieval docum"&amp;"ents. During training, RankCoT prompts the LLM to generate Chain-of-Thought (CoT) candidates based on the query and individual documents. It then fine-tunes the LLM to directly reproduce the best CoT from these candidate outputs based on all retrieved doc"&amp;"uments, which requires LLM to filter out irrelevant documents during generating CoT-style summarization. Additionally, RankCoT incorporates a self-reflection mechanism that further refines the CoT outputs, resulting in higher-quality training data. Our ex"&amp;"periments demonstrate the effectiveness of RankCoT, showing its superior performance over other knowledge refinement models. Further analysis reveals that RankCoT can provide shorter but effective refinement results, enabling the generator to produce more"&amp;" accurate answers. All code and data are available at https://github.com/NEUIR/RankCoT.")</f>
        <v>Retrieval-Augmented Generation (RAG) enhances the performance of Large Language Models (LLMs) by incorporating external knowledge. However, LLMs still encounter challenges in effectively utilizing the knowledge from retrieved documents, often being misled by irrelevant or noisy information. To address this issue, we introduce RankCoT, a knowledge refinement method that incorporates reranking signals in generating CoT-based summarization for knowledge refinement based on given query and all retrieval documents. During training, RankCoT prompts the LLM to generate Chain-of-Thought (CoT) candidates based on the query and individual documents. It then fine-tunes the LLM to directly reproduce the best CoT from these candidate outputs based on all retrieved documents, which requires LLM to filter out irrelevant documents during generating CoT-style summarization. Additionally, RankCoT incorporates a self-reflection mechanism that further refines the CoT outputs, resulting in higher-quality training data. Our experiments demonstrate the effectiveness of RankCoT, showing its superior performance over other knowledge refinement models. Further analysis reveals that RankCoT can provide shorter but effective refinement results, enabling the generator to produce more accurate answers. All code and data are available at https://github.com/NEUIR/RankCoT.</v>
      </c>
      <c r="D2250" s="7" t="str">
        <f>IFERROR(__xludf.DUMMYFUNCTION("""COMPUTED_VALUE"""),"Mingyan Wu")</f>
        <v>Mingyan Wu</v>
      </c>
      <c r="E2250" s="7" t="str">
        <f>IFERROR(__xludf.DUMMYFUNCTION("""COMPUTED_VALUE"""),"Yes")</f>
        <v>Yes</v>
      </c>
      <c r="F2250" s="7" t="str">
        <f>IFERROR(__xludf.DUMMYFUNCTION("""COMPUTED_VALUE"""),"IP-Poster")</f>
        <v>IP-Poster</v>
      </c>
      <c r="G2250" s="7" t="str">
        <f>IFERROR(__xludf.DUMMYFUNCTION("""COMPUTED_VALUE"""),"In-Person")</f>
        <v>In-Person</v>
      </c>
      <c r="H2250" s="7" t="str">
        <f>IFERROR(__xludf.DUMMYFUNCTION("""COMPUTED_VALUE"""),"Hall 4/5")</f>
        <v>Hall 4/5</v>
      </c>
      <c r="I2250" s="7" t="str">
        <f>IFERROR(__xludf.DUMMYFUNCTION("""COMPUTED_VALUE"""),"Session 10: IP-Posters")</f>
        <v>Session 10: IP-Posters</v>
      </c>
      <c r="J2250" s="7" t="str">
        <f>IFERROR(__xludf.DUMMYFUNCTION("""COMPUTED_VALUE"""),"Poster Session 3")</f>
        <v>Poster Session 3</v>
      </c>
      <c r="K2250" s="7"/>
      <c r="L2250" s="8">
        <f>IFERROR(__xludf.DUMMYFUNCTION("""COMPUTED_VALUE"""),45867.0)</f>
        <v>45867</v>
      </c>
      <c r="M2250" s="7" t="str">
        <f>IFERROR(__xludf.DUMMYFUNCTION("""COMPUTED_VALUE"""),"16:00-17:30")</f>
        <v>16:00-17:30</v>
      </c>
      <c r="N2250" s="7"/>
    </row>
    <row r="2251">
      <c r="A2251" s="7" t="str">
        <f>IFERROR(__xludf.DUMMYFUNCTION("""COMPUTED_VALUE"""),"1566-MAIN")</f>
        <v>1566-MAIN</v>
      </c>
      <c r="B2251" s="7" t="str">
        <f>IFERROR(__xludf.DUMMYFUNCTION("""COMPUTED_VALUE"""),"Lost in Literalism: How Supervised Training Shapes Translationese in LLMs")</f>
        <v>Lost in Literalism: How Supervised Training Shapes Translationese in LLMs</v>
      </c>
      <c r="C2251" s="7" t="str">
        <f>IFERROR(__xludf.DUMMYFUNCTION("""COMPUTED_VALUE"""),"Large language models (LLMs) have achieved remarkable success in machine translation, demonstrating impressive performance across diverse languages. However, translationese—characterized by overly literal and unnatural translations—remains a persistent ch"&amp;"allenge in LLM-based translation systems. Despite their pre-training on vast corpora of natural utterances, LLMs exhibit translationese errors and generate unexpected unnatural translations, stemming from biases introduced during supervised fine-tuning (S"&amp;"FT). In this work, we systematically evaluate the prevalence of translationese in LLM-generated translations and investigate its roots during supervised training. We introduce methods to mitigate these biases, including polishing golden references and fil"&amp;"tering unnatural training instances. Empirical evaluations demonstrate that these approaches significantly reduce translationese while improving translation naturalness, validated by human evaluations and automatic metrics. Our findings highlight the need"&amp;" for training-aware adjustments to optimize LLM translation outputs, paving the way for more fluent and target-language-consistent translations.")</f>
        <v>Large language models (LLMs) have achieved remarkable success in machine translation, demonstrating impressive performance across diverse languages. However, translationese—characterized by overly literal and unnatural translations—remains a persistent challenge in LLM-based translation systems. Despite their pre-training on vast corpora of natural utterances, LLMs exhibit translationese errors and generate unexpected unnatural translations, stemming from biases introduced during supervised fine-tuning (SFT). In this work, we systematically evaluate the prevalence of translationese in LLM-generated translations and investigate its roots during supervised training. We introduce methods to mitigate these biases, including polishing golden references and filtering unnatural training instances. Empirical evaluations demonstrate that these approaches significantly reduce translationese while improving translation naturalness, validated by human evaluations and automatic metrics. Our findings highlight the need for training-aware adjustments to optimize LLM translation outputs, paving the way for more fluent and target-language-consistent translations.</v>
      </c>
      <c r="D2251" s="7" t="str">
        <f>IFERROR(__xludf.DUMMYFUNCTION("""COMPUTED_VALUE"""),"Yafu Li")</f>
        <v>Yafu Li</v>
      </c>
      <c r="E2251" s="7" t="str">
        <f>IFERROR(__xludf.DUMMYFUNCTION("""COMPUTED_VALUE"""),"Yes")</f>
        <v>Yes</v>
      </c>
      <c r="F2251" s="7" t="str">
        <f>IFERROR(__xludf.DUMMYFUNCTION("""COMPUTED_VALUE"""),"IP-Poster")</f>
        <v>IP-Poster</v>
      </c>
      <c r="G2251" s="7" t="str">
        <f>IFERROR(__xludf.DUMMYFUNCTION("""COMPUTED_VALUE"""),"In-Person")</f>
        <v>In-Person</v>
      </c>
      <c r="H2251" s="7" t="str">
        <f>IFERROR(__xludf.DUMMYFUNCTION("""COMPUTED_VALUE"""),"Hall 4/5")</f>
        <v>Hall 4/5</v>
      </c>
      <c r="I2251" s="7" t="str">
        <f>IFERROR(__xludf.DUMMYFUNCTION("""COMPUTED_VALUE"""),"Session 10: IP-Posters")</f>
        <v>Session 10: IP-Posters</v>
      </c>
      <c r="J2251" s="7" t="str">
        <f>IFERROR(__xludf.DUMMYFUNCTION("""COMPUTED_VALUE"""),"Poster Session 3")</f>
        <v>Poster Session 3</v>
      </c>
      <c r="K2251" s="7"/>
      <c r="L2251" s="8">
        <f>IFERROR(__xludf.DUMMYFUNCTION("""COMPUTED_VALUE"""),45867.0)</f>
        <v>45867</v>
      </c>
      <c r="M2251" s="7" t="str">
        <f>IFERROR(__xludf.DUMMYFUNCTION("""COMPUTED_VALUE"""),"16:00-17:30")</f>
        <v>16:00-17:30</v>
      </c>
      <c r="N2251" s="7"/>
    </row>
    <row r="2252">
      <c r="A2252" s="7" t="str">
        <f>IFERROR(__xludf.DUMMYFUNCTION("""COMPUTED_VALUE"""),"1569-MAIN")</f>
        <v>1569-MAIN</v>
      </c>
      <c r="B2252" s="7" t="str">
        <f>IFERROR(__xludf.DUMMYFUNCTION("""COMPUTED_VALUE"""),"An Effective Incorporating Heterogeneous Knowledge Curriculum Learning for Sequence Labeling")</f>
        <v>An Effective Incorporating Heterogeneous Knowledge Curriculum Learning for Sequence Labeling</v>
      </c>
      <c r="C2252" s="7" t="str">
        <f>IFERROR(__xludf.DUMMYFUNCTION("""COMPUTED_VALUE"""),"Sequence labeling models often benefit from incorporating external knowledge. However, this practice introduces data heterogeneity and complicates the model with additional modules, leading to increased expenses for training a high-performing model. To ad"&amp;"dress this challenge, we propose a dual-stage curriculum learning (DCL) framework specifically designed for sequence labeling tasks. The DCL framework enhances training by gradually introducing data instances from easy to hard. Additionally, we introduce "&amp;"a dynamic metric for evaluating the difficulty levels of sequence labeling tasks. Experiments on several sequence labeling datasets show that our model enhances performance and accelerates training, mitigating the slow training issue of complex models.")</f>
        <v>Sequence labeling models often benefit from incorporating external knowledge. However, this practice introduces data heterogeneity and complicates the model with additional modules, leading to increased expenses for training a high-performing model. To address this challenge, we propose a dual-stage curriculum learning (DCL) framework specifically designed for sequence labeling tasks. The DCL framework enhances training by gradually introducing data instances from easy to hard. Additionally, we introduce a dynamic metric for evaluating the difficulty levels of sequence labeling tasks. Experiments on several sequence labeling datasets show that our model enhances performance and accelerates training, mitigating the slow training issue of complex models.</v>
      </c>
      <c r="D2252" s="7" t="str">
        <f>IFERROR(__xludf.DUMMYFUNCTION("""COMPUTED_VALUE"""),"Xuemei Tang")</f>
        <v>Xuemei Tang</v>
      </c>
      <c r="E2252" s="7" t="str">
        <f>IFERROR(__xludf.DUMMYFUNCTION("""COMPUTED_VALUE"""),"Yes")</f>
        <v>Yes</v>
      </c>
      <c r="F2252" s="7" t="str">
        <f>IFERROR(__xludf.DUMMYFUNCTION("""COMPUTED_VALUE"""),"IP-Oral")</f>
        <v>IP-Oral</v>
      </c>
      <c r="G2252" s="7" t="str">
        <f>IFERROR(__xludf.DUMMYFUNCTION("""COMPUTED_VALUE"""),"In-Person")</f>
        <v>In-Person</v>
      </c>
      <c r="H2252" s="7" t="str">
        <f>IFERROR(__xludf.DUMMYFUNCTION("""COMPUTED_VALUE"""),"Room 1.86")</f>
        <v>Room 1.86</v>
      </c>
      <c r="I2252" s="7" t="str">
        <f>IFERROR(__xludf.DUMMYFUNCTION("""COMPUTED_VALUE"""),"Session 9: IP-Orals")</f>
        <v>Session 9: IP-Orals</v>
      </c>
      <c r="J2252" s="7" t="str">
        <f>IFERROR(__xludf.DUMMYFUNCTION("""COMPUTED_VALUE"""),"Phonology, Morphology, and Syntax")</f>
        <v>Phonology, Morphology, and Syntax</v>
      </c>
      <c r="K2252" s="7"/>
      <c r="L2252" s="8">
        <f>IFERROR(__xludf.DUMMYFUNCTION("""COMPUTED_VALUE"""),45867.0)</f>
        <v>45867</v>
      </c>
      <c r="M2252" s="7" t="str">
        <f>IFERROR(__xludf.DUMMYFUNCTION("""COMPUTED_VALUE"""),"14:00-15:30")</f>
        <v>14:00-15:30</v>
      </c>
      <c r="N2252" s="7">
        <f>IFERROR(__xludf.DUMMYFUNCTION("""COMPUTED_VALUE"""),2.0)</f>
        <v>2</v>
      </c>
    </row>
    <row r="2253">
      <c r="A2253" s="7" t="str">
        <f>IFERROR(__xludf.DUMMYFUNCTION("""COMPUTED_VALUE"""),"1576-MAIN")</f>
        <v>1576-MAIN</v>
      </c>
      <c r="B2253" s="7" t="str">
        <f>IFERROR(__xludf.DUMMYFUNCTION("""COMPUTED_VALUE"""),"Accurate KV Cache Quantization with Outlier Tokens Tracing")</f>
        <v>Accurate KV Cache Quantization with Outlier Tokens Tracing</v>
      </c>
      <c r="C2253" s="7" t="str">
        <f>IFERROR(__xludf.DUMMYFUNCTION("""COMPUTED_VALUE"""),"The impressive capabilities of Large Language Models (LLMs) come at the cost of substantial computational resources during deployment. While KV Cache can significantly reduce recomputation during inference, it also introduces additional memory overhead. K"&amp;"V Cache quantization presents a promising solution, striking a good balance between memory usage and accuracy. Previous research has shown that the Keys are distributed by channel, while the Values are distributed by token. Consequently, the common practi"&amp;"ce is to apply channel-wise quantization to the Keys and token-wise quantization to the Values. However, our further investigation reveals that a small subset of unusual tokens exhibit unique characteristics that deviate from this pattern, which can subst"&amp;"antially impact quantization accuracy. To address this, we develop a simple yet effective method to identify these tokens accurately during the decoding process and exclude them from quantization as outlier tokens, significantly improving overall accuracy"&amp;". Extensive experiments show that our method achieves significant accuracy improvements under 2-bit quantization and can deliver a 6.4 times reduction in memory usage and a 2.3 times increase in throughput.")</f>
        <v>The impressive capabilities of Large Language Models (LLMs) come at the cost of substantial computational resources during deployment. While KV Cache can significantly reduce recomputation during inference, it also introduces additional memory overhead. KV Cache quantization presents a promising solution, striking a good balance between memory usage and accuracy. Previous research has shown that the Keys are distributed by channel, while the Values are distributed by token. Consequently, the common practice is to apply channel-wise quantization to the Keys and token-wise quantization to the Values. However, our further investigation reveals that a small subset of unusual tokens exhibit unique characteristics that deviate from this pattern, which can substantially impact quantization accuracy. To address this, we develop a simple yet effective method to identify these tokens accurately during the decoding process and exclude them from quantization as outlier tokens, significantly improving overall accuracy. Extensive experiments show that our method achieves significant accuracy improvements under 2-bit quantization and can deliver a 6.4 times reduction in memory usage and a 2.3 times increase in throughput.</v>
      </c>
      <c r="D2253" s="7" t="str">
        <f>IFERROR(__xludf.DUMMYFUNCTION("""COMPUTED_VALUE"""),"Yi Su")</f>
        <v>Yi Su</v>
      </c>
      <c r="E2253" s="7" t="str">
        <f>IFERROR(__xludf.DUMMYFUNCTION("""COMPUTED_VALUE"""),"Yes")</f>
        <v>Yes</v>
      </c>
      <c r="F2253" s="7" t="str">
        <f>IFERROR(__xludf.DUMMYFUNCTION("""COMPUTED_VALUE"""),"IP-Poster")</f>
        <v>IP-Poster</v>
      </c>
      <c r="G2253" s="7" t="str">
        <f>IFERROR(__xludf.DUMMYFUNCTION("""COMPUTED_VALUE"""),"In-Person")</f>
        <v>In-Person</v>
      </c>
      <c r="H2253" s="7" t="str">
        <f>IFERROR(__xludf.DUMMYFUNCTION("""COMPUTED_VALUE"""),"Hall 4/5")</f>
        <v>Hall 4/5</v>
      </c>
      <c r="I2253" s="7" t="str">
        <f>IFERROR(__xludf.DUMMYFUNCTION("""COMPUTED_VALUE"""),"Session 2: IP-Posters ")</f>
        <v>Session 2: IP-Posters </v>
      </c>
      <c r="J2253" s="7" t="str">
        <f>IFERROR(__xludf.DUMMYFUNCTION("""COMPUTED_VALUE"""),"Poster Session 1")</f>
        <v>Poster Session 1</v>
      </c>
      <c r="K2253" s="7"/>
      <c r="L2253" s="8">
        <f>IFERROR(__xludf.DUMMYFUNCTION("""COMPUTED_VALUE"""),45866.0)</f>
        <v>45866</v>
      </c>
      <c r="M2253" s="7" t="str">
        <f>IFERROR(__xludf.DUMMYFUNCTION("""COMPUTED_VALUE"""),"11:00-12:30")</f>
        <v>11:00-12:30</v>
      </c>
      <c r="N2253" s="7"/>
    </row>
    <row r="2254">
      <c r="A2254" s="7" t="str">
        <f>IFERROR(__xludf.DUMMYFUNCTION("""COMPUTED_VALUE"""),"1577-MAIN")</f>
        <v>1577-MAIN</v>
      </c>
      <c r="B2254" s="7" t="str">
        <f>IFERROR(__xludf.DUMMYFUNCTION("""COMPUTED_VALUE"""),"Can Large Language Models Understand Internet Buzzwords Through User-Generated Content")</f>
        <v>Can Large Language Models Understand Internet Buzzwords Through User-Generated Content</v>
      </c>
      <c r="C2254" s="7" t="str">
        <f>IFERROR(__xludf.DUMMYFUNCTION("""COMPUTED_VALUE"""),"The massive user-generated content (UGC) available in Chinese social media is giving rise to the possibility of studying internet buzzwords. In this paper, we study if large language models (LLMs) can generate accurate definitions for these buzzwords base"&amp;"d on UGC as examples. Our work serves a threefold contribution. First, we introduce CHEER, the first dataset of Chinese internet buzzwords, each annotated with a definition and relevant UGC. Second, we propose a novel method, called RESS, to effectively s"&amp;"teer the comprehending process of LLMs to produce more accurate buzzword definitions, mirroring the skills of human language learning. Third, with CHEER, we benchmark the strengths and weaknesses of various off-the-shelf definition generation methods and "&amp;"our RESS. Our benchmark demonstrates the effectiveness of RESS while revealing a crucial shared challenge: comprehending unseen buzzwords and leveraging sufficient, high-quality UGC to facilitate this comprehension. In this paper, we believe our work lays"&amp;" the groundwork for future advancements in LLM-based definition generation. Our dataset and code will be openly released.")</f>
        <v>The massive user-generated content (UGC) available in Chinese social media is giving rise to the possibility of studying internet buzzwords. In this paper, we study if large language models (LLMs) can generate accurate definitions for these buzzwords based on UGC as examples. Our work serves a threefold contribution. First, we introduce CHEER, the first dataset of Chinese internet buzzwords, each annotated with a definition and relevant UGC. Second, we propose a novel method, called RESS, to effectively steer the comprehending process of LLMs to produce more accurate buzzword definitions, mirroring the skills of human language learning. Third, with CHEER, we benchmark the strengths and weaknesses of various off-the-shelf definition generation methods and our RESS. Our benchmark demonstrates the effectiveness of RESS while revealing a crucial shared challenge: comprehending unseen buzzwords and leveraging sufficient, high-quality UGC to facilitate this comprehension. In this paper, we believe our work lays the groundwork for future advancements in LLM-based definition generation. Our dataset and code will be openly released.</v>
      </c>
      <c r="D2254" s="7" t="str">
        <f>IFERROR(__xludf.DUMMYFUNCTION("""COMPUTED_VALUE"""),"Wenqiang Lei")</f>
        <v>Wenqiang Lei</v>
      </c>
      <c r="E2254" s="7" t="str">
        <f>IFERROR(__xludf.DUMMYFUNCTION("""COMPUTED_VALUE"""),"Yes")</f>
        <v>Yes</v>
      </c>
      <c r="F2254" s="7" t="str">
        <f>IFERROR(__xludf.DUMMYFUNCTION("""COMPUTED_VALUE"""),"V-Presentation")</f>
        <v>V-Presentation</v>
      </c>
      <c r="G2254" s="7" t="str">
        <f>IFERROR(__xludf.DUMMYFUNCTION("""COMPUTED_VALUE"""),"Virtual/Gather")</f>
        <v>Virtual/Gather</v>
      </c>
      <c r="H2254" s="7" t="str">
        <f>IFERROR(__xludf.DUMMYFUNCTION("""COMPUTED_VALUE"""),"Zoom")</f>
        <v>Zoom</v>
      </c>
      <c r="I2254" s="7" t="str">
        <f>IFERROR(__xludf.DUMMYFUNCTION("""COMPUTED_VALUE"""),"Session 12: V-Presentations")</f>
        <v>Session 12: V-Presentations</v>
      </c>
      <c r="J2254" s="7" t="str">
        <f>IFERROR(__xludf.DUMMYFUNCTION("""COMPUTED_VALUE"""),"Virtual Presentations 4")</f>
        <v>Virtual Presentations 4</v>
      </c>
      <c r="K2254" s="7"/>
      <c r="L2254" s="8">
        <f>IFERROR(__xludf.DUMMYFUNCTION("""COMPUTED_VALUE"""),45868.0)</f>
        <v>45868</v>
      </c>
      <c r="M2254" s="7" t="str">
        <f>IFERROR(__xludf.DUMMYFUNCTION("""COMPUTED_VALUE"""),"11:00-12:30")</f>
        <v>11:00-12:30</v>
      </c>
      <c r="N2254" s="7"/>
    </row>
    <row r="2255">
      <c r="A2255" s="7" t="str">
        <f>IFERROR(__xludf.DUMMYFUNCTION("""COMPUTED_VALUE"""),"1581-MAIN")</f>
        <v>1581-MAIN</v>
      </c>
      <c r="B2255" s="7" t="str">
        <f>IFERROR(__xludf.DUMMYFUNCTION("""COMPUTED_VALUE"""),"EAC-MoE: Expert-Selection Aware Compressor for Mixture-of-Experts Large Language Models")</f>
        <v>EAC-MoE: Expert-Selection Aware Compressor for Mixture-of-Experts Large Language Models</v>
      </c>
      <c r="C2255" s="7" t="str">
        <f>IFERROR(__xludf.DUMMYFUNCTION("""COMPUTED_VALUE"""),"Mixture-of-Experts (MoE) has demonstrated promising potential in scaling LLMs. However, it is hindered by two critical challenges: (1) substantial GPU memory consumption to load all experts; (2) low activated parameters cannot be equivalently translated i"&amp;"nto inference acceleration effects. In this work, we propose EAC-MoE, an Expert-Selection Aware Compressor for MoE-LLMs, which deeply aligns with the characteristics of MoE from the perspectives of quantization and pruning, and introduces two modules to a"&amp;"ddress these two challenges respectively: (1) The expert selection bias caused by low-bit quantization is a major factor contributing to the performance degradation in MoE-LLMs. Based on this, we propose Quantization with Expert-Selection Calibration (QES"&amp;"C), which mitigates the expert selection bias by calibrating the routers within the MoE; (2) There are always certain experts that are not crucial for the corresponding tasks, yet causing inference latency. Therefore, we propose Pruning based on Expert-Se"&amp;"lection Frequency (PESF), which significantly improves inference speed by pruning less frequently used experts for current task. Extensive experiments demonstrate that our approach significantly reduces memory usage and improves inference speed with minim"&amp;"al performance degradation.")</f>
        <v>Mixture-of-Experts (MoE) has demonstrated promising potential in scaling LLMs. However, it is hindered by two critical challenges: (1) substantial GPU memory consumption to load all experts; (2) low activated parameters cannot be equivalently translated into inference acceleration effects. In this work, we propose EAC-MoE, an Expert-Selection Aware Compressor for MoE-LLMs, which deeply aligns with the characteristics of MoE from the perspectives of quantization and pruning, and introduces two modules to address these two challenges respectively: (1) The expert selection bias caused by low-bit quantization is a major factor contributing to the performance degradation in MoE-LLMs. Based on this, we propose Quantization with Expert-Selection Calibration (QESC), which mitigates the expert selection bias by calibrating the routers within the MoE; (2) There are always certain experts that are not crucial for the corresponding tasks, yet causing inference latency. Therefore, we propose Pruning based on Expert-Selection Frequency (PESF), which significantly improves inference speed by pruning less frequently used experts for current task. Extensive experiments demonstrate that our approach significantly reduces memory usage and improves inference speed with minimal performance degradation.</v>
      </c>
      <c r="D2255" s="7" t="str">
        <f>IFERROR(__xludf.DUMMYFUNCTION("""COMPUTED_VALUE"""),"Yuanteng Chen")</f>
        <v>Yuanteng Chen</v>
      </c>
      <c r="E2255" s="7" t="str">
        <f>IFERROR(__xludf.DUMMYFUNCTION("""COMPUTED_VALUE"""),"Yes")</f>
        <v>Yes</v>
      </c>
      <c r="F2255" s="7" t="str">
        <f>IFERROR(__xludf.DUMMYFUNCTION("""COMPUTED_VALUE"""),"IP-Poster")</f>
        <v>IP-Poster</v>
      </c>
      <c r="G2255" s="7" t="str">
        <f>IFERROR(__xludf.DUMMYFUNCTION("""COMPUTED_VALUE"""),"In-Person")</f>
        <v>In-Person</v>
      </c>
      <c r="H2255" s="7" t="str">
        <f>IFERROR(__xludf.DUMMYFUNCTION("""COMPUTED_VALUE"""),"Hall 4/5")</f>
        <v>Hall 4/5</v>
      </c>
      <c r="I2255" s="7" t="str">
        <f>IFERROR(__xludf.DUMMYFUNCTION("""COMPUTED_VALUE"""),"Session 10: IP-Posters")</f>
        <v>Session 10: IP-Posters</v>
      </c>
      <c r="J2255" s="7" t="str">
        <f>IFERROR(__xludf.DUMMYFUNCTION("""COMPUTED_VALUE"""),"Poster Session 3")</f>
        <v>Poster Session 3</v>
      </c>
      <c r="K2255" s="7"/>
      <c r="L2255" s="8">
        <f>IFERROR(__xludf.DUMMYFUNCTION("""COMPUTED_VALUE"""),45867.0)</f>
        <v>45867</v>
      </c>
      <c r="M2255" s="7" t="str">
        <f>IFERROR(__xludf.DUMMYFUNCTION("""COMPUTED_VALUE"""),"16:00-17:30")</f>
        <v>16:00-17:30</v>
      </c>
      <c r="N2255" s="7"/>
    </row>
    <row r="2256">
      <c r="A2256" s="7" t="str">
        <f>IFERROR(__xludf.DUMMYFUNCTION("""COMPUTED_VALUE"""),"1582-MAIN")</f>
        <v>1582-MAIN</v>
      </c>
      <c r="B2256" s="7" t="str">
        <f>IFERROR(__xludf.DUMMYFUNCTION("""COMPUTED_VALUE"""),"Activation Steering Decoding: Mitigating Hallucination in Large Vision-Language Models through Bidirectional Hidden State Intervention")</f>
        <v>Activation Steering Decoding: Mitigating Hallucination in Large Vision-Language Models through Bidirectional Hidden State Intervention</v>
      </c>
      <c r="C2256" s="7" t="str">
        <f>IFERROR(__xludf.DUMMYFUNCTION("""COMPUTED_VALUE"""),"Large Vision-Language Models (LVLMs) have demonstrated impressive capabilities in multimodal understanding, but they frequently suffer from hallucination - generating content inconsistent with visual inputs. In this work, we explore a novel perspective on"&amp;" hallucination mitigation by examining the intermediate activations of LVLMs during generation. Our investigation reveals that hallucinated content manifests as distinct, identifiable patterns in the model's hidden state space. Motivated by this finding, "&amp;"we propose Activation Steering Decoding (ASD), a training-free approach that mitigates hallucination through targeted intervention in the model's intermediate activations. ASD operates by first identifying directional patterns of hallucination in the acti"&amp;"vation space using a small calibration set, then employing a contrast decoding mechanism that computes the difference between positive and negative steering predictions. This approach effectively suppresses hallucination patterns while preserving the mode"&amp;"l's general capabilities. Extensive experiments demonstrate that our method significantly reduces hallucination across multiple benchmarks while maintaining performance on general visual understanding tasks. Notably, our approach requires no model re-trai"&amp;"ning or architectural modifications, making it readily applicable to existing deployed models.")</f>
        <v>Large Vision-Language Models (LVLMs) have demonstrated impressive capabilities in multimodal understanding, but they frequently suffer from hallucination - generating content inconsistent with visual inputs. In this work, we explore a novel perspective on hallucination mitigation by examining the intermediate activations of LVLMs during generation. Our investigation reveals that hallucinated content manifests as distinct, identifiable patterns in the model's hidden state space. Motivated by this finding, we propose Activation Steering Decoding (ASD), a training-free approach that mitigates hallucination through targeted intervention in the model's intermediate activations. ASD operates by first identifying directional patterns of hallucination in the activation space using a small calibration set, then employing a contrast decoding mechanism that computes the difference between positive and negative steering predictions. This approach effectively suppresses hallucination patterns while preserving the model's general capabilities. Extensive experiments demonstrate that our method significantly reduces hallucination across multiple benchmarks while maintaining performance on general visual understanding tasks. Notably, our approach requires no model re-training or architectural modifications, making it readily applicable to existing deployed models.</v>
      </c>
      <c r="D2256" s="7" t="str">
        <f>IFERROR(__xludf.DUMMYFUNCTION("""COMPUTED_VALUE"""),"Jingran Su")</f>
        <v>Jingran Su</v>
      </c>
      <c r="E2256" s="7" t="str">
        <f>IFERROR(__xludf.DUMMYFUNCTION("""COMPUTED_VALUE"""),"Yes")</f>
        <v>Yes</v>
      </c>
      <c r="F2256" s="7" t="str">
        <f>IFERROR(__xludf.DUMMYFUNCTION("""COMPUTED_VALUE"""),"IP-Poster")</f>
        <v>IP-Poster</v>
      </c>
      <c r="G2256" s="7" t="str">
        <f>IFERROR(__xludf.DUMMYFUNCTION("""COMPUTED_VALUE"""),"In-Person")</f>
        <v>In-Person</v>
      </c>
      <c r="H2256" s="7" t="str">
        <f>IFERROR(__xludf.DUMMYFUNCTION("""COMPUTED_VALUE"""),"Hall 4/5")</f>
        <v>Hall 4/5</v>
      </c>
      <c r="I2256" s="7" t="str">
        <f>IFERROR(__xludf.DUMMYFUNCTION("""COMPUTED_VALUE"""),"Session 2: IP-Posters ")</f>
        <v>Session 2: IP-Posters </v>
      </c>
      <c r="J2256" s="7" t="str">
        <f>IFERROR(__xludf.DUMMYFUNCTION("""COMPUTED_VALUE"""),"Poster Session 1")</f>
        <v>Poster Session 1</v>
      </c>
      <c r="K2256" s="7"/>
      <c r="L2256" s="8">
        <f>IFERROR(__xludf.DUMMYFUNCTION("""COMPUTED_VALUE"""),45866.0)</f>
        <v>45866</v>
      </c>
      <c r="M2256" s="7" t="str">
        <f>IFERROR(__xludf.DUMMYFUNCTION("""COMPUTED_VALUE"""),"11:00-12:30")</f>
        <v>11:00-12:30</v>
      </c>
      <c r="N2256" s="7"/>
    </row>
    <row r="2257">
      <c r="A2257" s="7" t="str">
        <f>IFERROR(__xludf.DUMMYFUNCTION("""COMPUTED_VALUE"""),"1583-MAIN")</f>
        <v>1583-MAIN</v>
      </c>
      <c r="B2257" s="7" t="str">
        <f>IFERROR(__xludf.DUMMYFUNCTION("""COMPUTED_VALUE"""),"Interactive Evolution: A Neural-Symbolic Self-Training Framework For Large Language Models")</f>
        <v>Interactive Evolution: A Neural-Symbolic Self-Training Framework For Large Language Models</v>
      </c>
      <c r="C2257" s="7" t="str">
        <f>IFERROR(__xludf.DUMMYFUNCTION("""COMPUTED_VALUE"""),"One of the primary driving forces contributing to the superior performance of Large Language Models (LLMs) is the extensive availability of human-annotated natural language data, which is used for alignment fine-tuning. This inspired researchers to invest"&amp;"igate self-training methods to mitigate the extensive reliance on human annotations. However, the current success of self-training has been primarily observed in natural language scenarios, rather than in the increasingly important neural-symbolic scenari"&amp;"os. To this end, we propose an environment-guided neural-symbolic self-training framework named ENVISIONS. It aims to overcome two main challenges: (1) the scarcity of symbolic data, and (2) the limited proficiency of LLMs in processing symbolic language."&amp;" Extensive evaluations conducted on three distinct domains demonstrate the effectiveness of our approach. Additionally, we have conducted a comprehensive analysis to uncover the factors contributing to ENVISIONS's success, thereby offering valuable insigh"&amp;"ts for future research in this area.")</f>
        <v>One of the primary driving forces contributing to the superior performance of Large Language Models (LLMs) is the extensive availability of human-annotated natural language data, which is used for alignment fine-tuning. This inspired researchers to investigate self-training methods to mitigate the extensive reliance on human annotations. However, the current success of self-training has been primarily observed in natural language scenarios, rather than in the increasingly important neural-symbolic scenarios. To this end, we propose an environment-guided neural-symbolic self-training framework named ENVISIONS. It aims to overcome two main challenges: (1) the scarcity of symbolic data, and (2) the limited proficiency of LLMs in processing symbolic language. Extensive evaluations conducted on three distinct domains demonstrate the effectiveness of our approach. Additionally, we have conducted a comprehensive analysis to uncover the factors contributing to ENVISIONS's success, thereby offering valuable insights for future research in this area.</v>
      </c>
      <c r="D2257" s="7" t="str">
        <f>IFERROR(__xludf.DUMMYFUNCTION("""COMPUTED_VALUE"""),"Fangzhi Xu")</f>
        <v>Fangzhi Xu</v>
      </c>
      <c r="E2257" s="7" t="str">
        <f>IFERROR(__xludf.DUMMYFUNCTION("""COMPUTED_VALUE"""),"Yes")</f>
        <v>Yes</v>
      </c>
      <c r="F2257" s="7" t="str">
        <f>IFERROR(__xludf.DUMMYFUNCTION("""COMPUTED_VALUE"""),"IP-Poster")</f>
        <v>IP-Poster</v>
      </c>
      <c r="G2257" s="7" t="str">
        <f>IFERROR(__xludf.DUMMYFUNCTION("""COMPUTED_VALUE"""),"In-Person")</f>
        <v>In-Person</v>
      </c>
      <c r="H2257" s="7" t="str">
        <f>IFERROR(__xludf.DUMMYFUNCTION("""COMPUTED_VALUE"""),"Hall 4/5")</f>
        <v>Hall 4/5</v>
      </c>
      <c r="I2257" s="7" t="str">
        <f>IFERROR(__xludf.DUMMYFUNCTION("""COMPUTED_VALUE"""),"Session 2: IP-Posters ")</f>
        <v>Session 2: IP-Posters </v>
      </c>
      <c r="J2257" s="7" t="str">
        <f>IFERROR(__xludf.DUMMYFUNCTION("""COMPUTED_VALUE"""),"Poster Session 1")</f>
        <v>Poster Session 1</v>
      </c>
      <c r="K2257" s="7"/>
      <c r="L2257" s="8">
        <f>IFERROR(__xludf.DUMMYFUNCTION("""COMPUTED_VALUE"""),45866.0)</f>
        <v>45866</v>
      </c>
      <c r="M2257" s="7" t="str">
        <f>IFERROR(__xludf.DUMMYFUNCTION("""COMPUTED_VALUE"""),"11:00-12:30")</f>
        <v>11:00-12:30</v>
      </c>
      <c r="N2257" s="7"/>
    </row>
    <row r="2258">
      <c r="A2258" s="7" t="str">
        <f>IFERROR(__xludf.DUMMYFUNCTION("""COMPUTED_VALUE"""),"1586-MAIN")</f>
        <v>1586-MAIN</v>
      </c>
      <c r="B2258" s="7" t="str">
        <f>IFERROR(__xludf.DUMMYFUNCTION("""COMPUTED_VALUE"""),"Improving Medical Large Vision-Language Models with Abnormal-Aware Feedback")</f>
        <v>Improving Medical Large Vision-Language Models with Abnormal-Aware Feedback</v>
      </c>
      <c r="C2258" s="7" t="str">
        <f>IFERROR(__xludf.DUMMYFUNCTION("""COMPUTED_VALUE"""),"Existing Medical Large Vision-Language Models (Med-LVLMs), encapsulating extensive medical knowledge, demonstrate excellent capabilities in understanding medical images. However, there remain challenges in visual localization in medical images, which is c"&amp;"rucial for abnormality detection and interpretation. To address these issues, we propose a novel UMed-LVLM designed to unveil medical abnormalities. Specifically, we collect a Medical Abnormalities Unveiling (MAU) dataset and propose a two-stage training "&amp;"method for UMed-LVLM training. To collect MAU dataset, we propose a prompt method utilizing the GPT-4V to generate diagnoses based on identified abnormal areas in medical images. Moreover, the two-stage training method includes Abnormal-Aware Instruction "&amp;"Tuning and Abnormal-Aware Rewarding, comprising Relevance Reward, Abnormal Localization Reward and Vision Relevance Reward. Experimental results demonstrate that our UMed-LVLM significantly outperforms existing Med-LVLMs in identifying and understanding m"&amp;"edical abnormalities, achieving a 58% improvement over the baseline. In addition, this work shows that enhancing the abnormality detection capabilities of Med-LVLMs significantly improves their understanding of medical images and generalization capability"&amp;". Our code and data release at URL.")</f>
        <v>Existing Medical Large Vision-Language Models (Med-LVLMs), encapsulating extensive medical knowledge, demonstrate excellent capabilities in understanding medical images. However, there remain challenges in visual localization in medical images, which is crucial for abnormality detection and interpretation. To address these issues, we propose a novel UMed-LVLM designed to unveil medical abnormalities. Specifically, we collect a Medical Abnormalities Unveiling (MAU) dataset and propose a two-stage training method for UMed-LVLM training. To collect MAU dataset, we propose a prompt method utilizing the GPT-4V to generate diagnoses based on identified abnormal areas in medical images. Moreover, the two-stage training method includes Abnormal-Aware Instruction Tuning and Abnormal-Aware Rewarding, comprising Relevance Reward, Abnormal Localization Reward and Vision Relevance Reward. Experimental results demonstrate that our UMed-LVLM significantly outperforms existing Med-LVLMs in identifying and understanding medical abnormalities, achieving a 58% improvement over the baseline. In addition, this work shows that enhancing the abnormality detection capabilities of Med-LVLMs significantly improves their understanding of medical images and generalization capability. Our code and data release at URL.</v>
      </c>
      <c r="D2258" s="7" t="str">
        <f>IFERROR(__xludf.DUMMYFUNCTION("""COMPUTED_VALUE"""),"Yucheng Zhou")</f>
        <v>Yucheng Zhou</v>
      </c>
      <c r="E2258" s="7" t="str">
        <f>IFERROR(__xludf.DUMMYFUNCTION("""COMPUTED_VALUE"""),"Yes")</f>
        <v>Yes</v>
      </c>
      <c r="F2258" s="7" t="str">
        <f>IFERROR(__xludf.DUMMYFUNCTION("""COMPUTED_VALUE"""),"IP-Poster")</f>
        <v>IP-Poster</v>
      </c>
      <c r="G2258" s="7" t="str">
        <f>IFERROR(__xludf.DUMMYFUNCTION("""COMPUTED_VALUE"""),"In-Person")</f>
        <v>In-Person</v>
      </c>
      <c r="H2258" s="7" t="str">
        <f>IFERROR(__xludf.DUMMYFUNCTION("""COMPUTED_VALUE"""),"Hall 4/5")</f>
        <v>Hall 4/5</v>
      </c>
      <c r="I2258" s="7" t="str">
        <f>IFERROR(__xludf.DUMMYFUNCTION("""COMPUTED_VALUE"""),"Session 7: IP-Posters")</f>
        <v>Session 7: IP-Posters</v>
      </c>
      <c r="J2258" s="7" t="str">
        <f>IFERROR(__xludf.DUMMYFUNCTION("""COMPUTED_VALUE"""),"Poster Session 2")</f>
        <v>Poster Session 2</v>
      </c>
      <c r="K2258" s="7"/>
      <c r="L2258" s="8">
        <f>IFERROR(__xludf.DUMMYFUNCTION("""COMPUTED_VALUE"""),45867.0)</f>
        <v>45867</v>
      </c>
      <c r="M2258" s="7" t="str">
        <f>IFERROR(__xludf.DUMMYFUNCTION("""COMPUTED_VALUE"""),"10:30-12:00")</f>
        <v>10:30-12:00</v>
      </c>
      <c r="N2258" s="7"/>
    </row>
    <row r="2259">
      <c r="A2259" s="7" t="str">
        <f>IFERROR(__xludf.DUMMYFUNCTION("""COMPUTED_VALUE"""),"1589-MAIN")</f>
        <v>1589-MAIN</v>
      </c>
      <c r="B2259" s="7" t="str">
        <f>IFERROR(__xludf.DUMMYFUNCTION("""COMPUTED_VALUE"""),"Upcycling Instruction Tuning from Dense to Mixture-of-Experts via Parameter Merging")</f>
        <v>Upcycling Instruction Tuning from Dense to Mixture-of-Experts via Parameter Merging</v>
      </c>
      <c r="C2259" s="7" t="str">
        <f>IFERROR(__xludf.DUMMYFUNCTION("""COMPUTED_VALUE"""),"Mixture-of-Experts (MoE) shines brightly in large language models (LLMs) and demonstrates outstanding performance in plentiful natural language processing tasks. However, existing methods transforming LLMs from dense to MoE face significant data requireme"&amp;"nts and typically rely on large-scale post-training. In this paper, we propose Upcycling Instruction Tuning (UpIT), a data-efficient approach for tuning a dense pre-trained model into a MoE instruction model. Specifically, we first point out that intermed"&amp;"iate checkpoints during instruction tuning of the dense model are naturally suitable for specialized experts, and then propose an expert expansion stage to flexibly achieve models with flexible numbers of experts, where genetic algorithm and parameter mer"&amp;"ging are introduced to ensure sufficient diversity of new extended experts. To ensure that each specialized expert in the MoE model works as expected, we select a small amount of seed data that each expert excels to pre-optimize the router. Extensive expe"&amp;"riments with various data scales and upcycling settings demonstrate the outstanding performance and data efficiency of UpIT, as well as stable improvement in expert or data scaling. Further analysis reveals the importance of ensuring expert diversity in u"&amp;"pcycling.")</f>
        <v>Mixture-of-Experts (MoE) shines brightly in large language models (LLMs) and demonstrates outstanding performance in plentiful natural language processing tasks. However, existing methods transforming LLMs from dense to MoE face significant data requirements and typically rely on large-scale post-training. In this paper, we propose Upcycling Instruction Tuning (UpIT), a data-efficient approach for tuning a dense pre-trained model into a MoE instruction model. Specifically, we first point out that intermediate checkpoints during instruction tuning of the dense model are naturally suitable for specialized experts, and then propose an expert expansion stage to flexibly achieve models with flexible numbers of experts, where genetic algorithm and parameter merging are introduced to ensure sufficient diversity of new extended experts. To ensure that each specialized expert in the MoE model works as expected, we select a small amount of seed data that each expert excels to pre-optimize the router. Extensive experiments with various data scales and upcycling settings demonstrate the outstanding performance and data efficiency of UpIT, as well as stable improvement in expert or data scaling. Further analysis reveals the importance of ensuring expert diversity in upcycling.</v>
      </c>
      <c r="D2259" s="7" t="str">
        <f>IFERROR(__xludf.DUMMYFUNCTION("""COMPUTED_VALUE"""),"Tingfeng Hui
Zhenyu Zhang")</f>
        <v>Tingfeng Hui
Zhenyu Zhang</v>
      </c>
      <c r="E2259" s="7" t="str">
        <f>IFERROR(__xludf.DUMMYFUNCTION("""COMPUTED_VALUE"""),"Yes")</f>
        <v>Yes</v>
      </c>
      <c r="F2259" s="7" t="str">
        <f>IFERROR(__xludf.DUMMYFUNCTION("""COMPUTED_VALUE"""),"IP-Poster")</f>
        <v>IP-Poster</v>
      </c>
      <c r="G2259" s="7" t="str">
        <f>IFERROR(__xludf.DUMMYFUNCTION("""COMPUTED_VALUE"""),"In-Person")</f>
        <v>In-Person</v>
      </c>
      <c r="H2259" s="7" t="str">
        <f>IFERROR(__xludf.DUMMYFUNCTION("""COMPUTED_VALUE"""),"Hall 4/5")</f>
        <v>Hall 4/5</v>
      </c>
      <c r="I2259" s="7" t="str">
        <f>IFERROR(__xludf.DUMMYFUNCTION("""COMPUTED_VALUE"""),"Session 12: IP-Posters")</f>
        <v>Session 12: IP-Posters</v>
      </c>
      <c r="J2259" s="7" t="str">
        <f>IFERROR(__xludf.DUMMYFUNCTION("""COMPUTED_VALUE"""),"Poster Session 4")</f>
        <v>Poster Session 4</v>
      </c>
      <c r="K2259" s="7"/>
      <c r="L2259" s="8">
        <f>IFERROR(__xludf.DUMMYFUNCTION("""COMPUTED_VALUE"""),45868.0)</f>
        <v>45868</v>
      </c>
      <c r="M2259" s="7" t="str">
        <f>IFERROR(__xludf.DUMMYFUNCTION("""COMPUTED_VALUE"""),"11:00-12:30")</f>
        <v>11:00-12:30</v>
      </c>
      <c r="N2259" s="7"/>
    </row>
    <row r="2260">
      <c r="A2260" s="7" t="str">
        <f>IFERROR(__xludf.DUMMYFUNCTION("""COMPUTED_VALUE"""),"1590-MAIN")</f>
        <v>1590-MAIN</v>
      </c>
      <c r="B2260" s="7" t="str">
        <f>IFERROR(__xludf.DUMMYFUNCTION("""COMPUTED_VALUE"""),"MapNav: A Novel Memory Representation via Annotated Semantic Maps for VLM-based Vision-and-Language Navigation")</f>
        <v>MapNav: A Novel Memory Representation via Annotated Semantic Maps for VLM-based Vision-and-Language Navigation</v>
      </c>
      <c r="C2260" s="7" t="str">
        <f>IFERROR(__xludf.DUMMYFUNCTION("""COMPUTED_VALUE"""),"Vision-language navigation (VLN) is a key task in Embodied AI, requiring agents to navigate diverse and unseen environments while following natural language instructions. Traditional approaches rely heavily on historical observations as spatio-temporal co"&amp;"ntexts for decision making, leading to significant storage and computational overhead. In this paper, we introduce MapNav, a novel end-to-end VLN model that leverages Annotated Semantic Map (ASM) to replace historical frames. Specifically, our approach co"&amp;"nstructs a top-down semantic map at the start of each episode and update it at each timestep, allowing for precise object mapping and structured navigation information. Then, we enhance this map with explicit textual labels for key regions, transforming a"&amp;"bstract semantics into clear navigation cues and generate our ASM. MapNav agent using the constructed ASM as input, and use the powerful end-to-end capabilities of VLM to empower VLN. Extensive experiments demonstrate that MapNav achieves state-of-the-art"&amp;" (SOTA) performance in both simulated and real-world environments, validating the effectiveness of our method. We will release our ASM generation source code and dataset to ensure reproducibility, contributing valuable resources to the field. We believe t"&amp;"hat our proposed MapNav can be used as a new memory representation method in VLN, paving the way for future research in this field.")</f>
        <v>Vision-language navigation (VLN) is a key task in Embodied AI, requiring agents to navigate diverse and unseen environments while following natural language instructions. Traditional approaches rely heavily on historical observations as spatio-temporal contexts for decision making, leading to significant storage and computational overhead. In this paper, we introduce MapNav, a novel end-to-end VLN model that leverages Annotated Semantic Map (ASM) to replace historical frames. Specifically, our approach constructs a top-down semantic map at the start of each episode and update it at each timestep, allowing for precise object mapping and structured navigation information. Then, we enhance this map with explicit textual labels for key regions, transforming abstract semantics into clear navigation cues and generate our ASM. MapNav agent using the constructed ASM as input, and use the powerful end-to-end capabilities of VLM to empower VLN. Extensive experiments demonstrate that MapNav achieves state-of-the-art (SOTA) performance in both simulated and real-world environments, validating the effectiveness of our method. We will release our ASM generation source code and dataset to ensure reproducibility, contributing valuable resources to the field. We believe that our proposed MapNav can be used as a new memory representation method in VLN, paving the way for future research in this field.</v>
      </c>
      <c r="D2260" s="7" t="str">
        <f>IFERROR(__xludf.DUMMYFUNCTION("""COMPUTED_VALUE"""),"Lingfeng Zhang, Xiaoshuai Hao, Qiang Zhang")</f>
        <v>Lingfeng Zhang, Xiaoshuai Hao, Qiang Zhang</v>
      </c>
      <c r="E2260" s="7" t="str">
        <f>IFERROR(__xludf.DUMMYFUNCTION("""COMPUTED_VALUE"""),"Yes")</f>
        <v>Yes</v>
      </c>
      <c r="F2260" s="7" t="str">
        <f>IFERROR(__xludf.DUMMYFUNCTION("""COMPUTED_VALUE"""),"IP-Poster")</f>
        <v>IP-Poster</v>
      </c>
      <c r="G2260" s="7" t="str">
        <f>IFERROR(__xludf.DUMMYFUNCTION("""COMPUTED_VALUE"""),"In-Person")</f>
        <v>In-Person</v>
      </c>
      <c r="H2260" s="7" t="str">
        <f>IFERROR(__xludf.DUMMYFUNCTION("""COMPUTED_VALUE"""),"Hall 4/5")</f>
        <v>Hall 4/5</v>
      </c>
      <c r="I2260" s="7" t="str">
        <f>IFERROR(__xludf.DUMMYFUNCTION("""COMPUTED_VALUE"""),"Session 2: IP-Posters ")</f>
        <v>Session 2: IP-Posters </v>
      </c>
      <c r="J2260" s="7" t="str">
        <f>IFERROR(__xludf.DUMMYFUNCTION("""COMPUTED_VALUE"""),"Poster Session 1")</f>
        <v>Poster Session 1</v>
      </c>
      <c r="K2260" s="7"/>
      <c r="L2260" s="8">
        <f>IFERROR(__xludf.DUMMYFUNCTION("""COMPUTED_VALUE"""),45866.0)</f>
        <v>45866</v>
      </c>
      <c r="M2260" s="7" t="str">
        <f>IFERROR(__xludf.DUMMYFUNCTION("""COMPUTED_VALUE"""),"11:00-12:30")</f>
        <v>11:00-12:30</v>
      </c>
      <c r="N2260" s="7"/>
    </row>
    <row r="2261">
      <c r="A2261" s="7" t="str">
        <f>IFERROR(__xludf.DUMMYFUNCTION("""COMPUTED_VALUE"""),"1591-MAIN")</f>
        <v>1591-MAIN</v>
      </c>
      <c r="B2261" s="7" t="str">
        <f>IFERROR(__xludf.DUMMYFUNCTION("""COMPUTED_VALUE"""),"Exploring Compositional Generalization of Multimodal LLMs for Medical Imaging")</f>
        <v>Exploring Compositional Generalization of Multimodal LLMs for Medical Imaging</v>
      </c>
      <c r="C2261" s="7" t="str">
        <f>IFERROR(__xludf.DUMMYFUNCTION("""COMPUTED_VALUE"""),"Medical imaging provides essential visual insights for diagnosis, and multimodal large language models (MLLMs) are increasingly utilized for its analysis due to their strong generalization capabilities; however, the underlying factors driving this general"&amp;"ization remain unclear. Current research suggests that multi-task training outperforms single-task as different tasks can benefit each other, but they often overlook the internal relationships within these tasks. To analyze this phenomenon, we attempted t"&amp;"o employ **compositional generalization** (CG), which refers to the models' ability to understand novel combinations by recombining learned elements, as a guiding framework. Since medical images can be precisely defined by **M**odality, **A**natomical are"&amp;"a, and **T**ask, naturally providing an environment for exploring CG, we assembled 106 medical datasets to create **Med-MAT** for comprehensive experiments. The experiments confirmed that MLLMs can use CG to understand unseen medical images and identified"&amp;" CG as one of the main drivers of the generalization observed in multi-task training. Additionally, further studies demonstrated that CG effectively supports datasets with limited data and confirmed that MLLMs can achieve CG across classification and dete"&amp;"ction tasks, underscoring its broader generalization potential. Med-MAT is available at https://github.com/FreedomIntelligence/Med-MAT.")</f>
        <v>Medical imaging provides essential visual insights for diagnosis, and multimodal large language models (MLLMs) are increasingly utilized for its analysis due to their strong generalization capabilities; however, the underlying factors driving this generalization remain unclear. Current research suggests that multi-task training outperforms single-task as different tasks can benefit each other, but they often overlook the internal relationships within these tasks. To analyze this phenomenon, we attempted to employ **compositional generalization** (CG), which refers to the models' ability to understand novel combinations by recombining learned elements, as a guiding framework. Since medical images can be precisely defined by **M**odality, **A**natomical area, and **T**ask, naturally providing an environment for exploring CG, we assembled 106 medical datasets to create **Med-MAT** for comprehensive experiments. The experiments confirmed that MLLMs can use CG to understand unseen medical images and identified CG as one of the main drivers of the generalization observed in multi-task training. Additionally, further studies demonstrated that CG effectively supports datasets with limited data and confirmed that MLLMs can achieve CG across classification and detection tasks, underscoring its broader generalization potential. Med-MAT is available at https://github.com/FreedomIntelligence/Med-MAT.</v>
      </c>
      <c r="D2261" s="7" t="str">
        <f>IFERROR(__xludf.DUMMYFUNCTION("""COMPUTED_VALUE"""),"Zhenyang Cai, Junying Chen")</f>
        <v>Zhenyang Cai, Junying Chen</v>
      </c>
      <c r="E2261" s="7" t="str">
        <f>IFERROR(__xludf.DUMMYFUNCTION("""COMPUTED_VALUE"""),"Yes")</f>
        <v>Yes</v>
      </c>
      <c r="F2261" s="7" t="str">
        <f>IFERROR(__xludf.DUMMYFUNCTION("""COMPUTED_VALUE"""),"IP-Poster")</f>
        <v>IP-Poster</v>
      </c>
      <c r="G2261" s="7" t="str">
        <f>IFERROR(__xludf.DUMMYFUNCTION("""COMPUTED_VALUE"""),"In-Person")</f>
        <v>In-Person</v>
      </c>
      <c r="H2261" s="7" t="str">
        <f>IFERROR(__xludf.DUMMYFUNCTION("""COMPUTED_VALUE"""),"Hall 4/5")</f>
        <v>Hall 4/5</v>
      </c>
      <c r="I2261" s="7" t="str">
        <f>IFERROR(__xludf.DUMMYFUNCTION("""COMPUTED_VALUE"""),"Session 2: IP-Posters ")</f>
        <v>Session 2: IP-Posters </v>
      </c>
      <c r="J2261" s="7" t="str">
        <f>IFERROR(__xludf.DUMMYFUNCTION("""COMPUTED_VALUE"""),"Poster Session 1")</f>
        <v>Poster Session 1</v>
      </c>
      <c r="K2261" s="7"/>
      <c r="L2261" s="8">
        <f>IFERROR(__xludf.DUMMYFUNCTION("""COMPUTED_VALUE"""),45866.0)</f>
        <v>45866</v>
      </c>
      <c r="M2261" s="7" t="str">
        <f>IFERROR(__xludf.DUMMYFUNCTION("""COMPUTED_VALUE"""),"11:00-12:30")</f>
        <v>11:00-12:30</v>
      </c>
      <c r="N2261" s="7"/>
    </row>
    <row r="2262">
      <c r="A2262" s="7" t="str">
        <f>IFERROR(__xludf.DUMMYFUNCTION("""COMPUTED_VALUE"""),"1592-MAIN")</f>
        <v>1592-MAIN</v>
      </c>
      <c r="B2262" s="7" t="str">
        <f>IFERROR(__xludf.DUMMYFUNCTION("""COMPUTED_VALUE"""),"CLAIM: Mitigating Multilingual Object Hallucination in Large Vision-Language Models with Cross-Lingual Attention Intervention")</f>
        <v>CLAIM: Mitigating Multilingual Object Hallucination in Large Vision-Language Models with Cross-Lingual Attention Intervention</v>
      </c>
      <c r="C2262" s="7" t="str">
        <f>IFERROR(__xludf.DUMMYFUNCTION("""COMPUTED_VALUE"""),"Large Vision-Language Models (LVLMs) have demonstrated impressive multimodal abilities but remain prone to multilingual object hallucination, with a higher likelihood of generating responses inconsistent with the visual input when utilizing queries in non"&amp;"-English languages compared to English. Most existing approaches to address these rely on pretraining or fine-tuning, which are resource-intensive. In this paper, inspired by observing the disparities in cross-modal attention patterns across languages, we"&amp;" propose Cross-Lingual Attention Intervention for Mitigating multilingual object hallucination (CLAIM) in LVLMs, a novel near training-free method by aligning attention patterns. CLAIM first identifies language-specific cross-modal attention heads, then e"&amp;"stimates language shift vectors from English to the target language, and finally intervenes in the attention outputs during inference to facilitate cross-lingual visual perception capability alignment. Extensive experiments demonstrate that CLAIM achieves"&amp;" an average improvement of 13.56% (up to 30% in Spanish) on the POPE and 21.75% on the hallucination subsets of the MME benchmark across various languages. Further analysis reveals that multilingual attention divergence is most prominent in intermediate l"&amp;"ayers, highlighting their critical role in multilingual scenarios.")</f>
        <v>Large Vision-Language Models (LVLMs) have demonstrated impressive multimodal abilities but remain prone to multilingual object hallucination, with a higher likelihood of generating responses inconsistent with the visual input when utilizing queries in non-English languages compared to English. Most existing approaches to address these rely on pretraining or fine-tuning, which are resource-intensive. In this paper, inspired by observing the disparities in cross-modal attention patterns across languages, we propose Cross-Lingual Attention Intervention for Mitigating multilingual object hallucination (CLAIM) in LVLMs, a novel near training-free method by aligning attention patterns. CLAIM first identifies language-specific cross-modal attention heads, then estimates language shift vectors from English to the target language, and finally intervenes in the attention outputs during inference to facilitate cross-lingual visual perception capability alignment. Extensive experiments demonstrate that CLAIM achieves an average improvement of 13.56% (up to 30% in Spanish) on the POPE and 21.75% on the hallucination subsets of the MME benchmark across various languages. Further analysis reveals that multilingual attention divergence is most prominent in intermediate layers, highlighting their critical role in multilingual scenarios.</v>
      </c>
      <c r="D2262" s="7" t="str">
        <f>IFERROR(__xludf.DUMMYFUNCTION("""COMPUTED_VALUE"""),"Zekai Ye")</f>
        <v>Zekai Ye</v>
      </c>
      <c r="E2262" s="7" t="str">
        <f>IFERROR(__xludf.DUMMYFUNCTION("""COMPUTED_VALUE"""),"Yes")</f>
        <v>Yes</v>
      </c>
      <c r="F2262" s="7" t="str">
        <f>IFERROR(__xludf.DUMMYFUNCTION("""COMPUTED_VALUE"""),"V-Presentation")</f>
        <v>V-Presentation</v>
      </c>
      <c r="G2262" s="7" t="str">
        <f>IFERROR(__xludf.DUMMYFUNCTION("""COMPUTED_VALUE"""),"Virtual/Gather")</f>
        <v>Virtual/Gather</v>
      </c>
      <c r="H2262" s="7" t="str">
        <f>IFERROR(__xludf.DUMMYFUNCTION("""COMPUTED_VALUE"""),"Zoom")</f>
        <v>Zoom</v>
      </c>
      <c r="I2262" s="7" t="str">
        <f>IFERROR(__xludf.DUMMYFUNCTION("""COMPUTED_VALUE"""),"Session 2: V-Presentations")</f>
        <v>Session 2: V-Presentations</v>
      </c>
      <c r="J2262" s="7" t="str">
        <f>IFERROR(__xludf.DUMMYFUNCTION("""COMPUTED_VALUE"""),"Virtual Presentations 1")</f>
        <v>Virtual Presentations 1</v>
      </c>
      <c r="K2262" s="7"/>
      <c r="L2262" s="8">
        <f>IFERROR(__xludf.DUMMYFUNCTION("""COMPUTED_VALUE"""),45866.0)</f>
        <v>45866</v>
      </c>
      <c r="M2262" s="7" t="str">
        <f>IFERROR(__xludf.DUMMYFUNCTION("""COMPUTED_VALUE"""),"11:00-12:30")</f>
        <v>11:00-12:30</v>
      </c>
      <c r="N2262" s="7"/>
    </row>
    <row r="2263">
      <c r="A2263" s="7" t="str">
        <f>IFERROR(__xludf.DUMMYFUNCTION("""COMPUTED_VALUE"""),"1596-MAIN")</f>
        <v>1596-MAIN</v>
      </c>
      <c r="B2263" s="7" t="str">
        <f>IFERROR(__xludf.DUMMYFUNCTION("""COMPUTED_VALUE"""),"Wizard of Shopping: Target-Oriented E-commerce Dialogue Generation with Decision Tree Branching")</f>
        <v>Wizard of Shopping: Target-Oriented E-commerce Dialogue Generation with Decision Tree Branching</v>
      </c>
      <c r="C2263" s="7" t="str">
        <f>IFERROR(__xludf.DUMMYFUNCTION("""COMPUTED_VALUE"""),"The goal of conversational product search (CPS) is to develop an intelligent, chat-based shopping assistant that can directly interact with customers to understand shopping intents, ask clarification questions, and find relevant products. However, trainin"&amp;"g such assistants is hindered mainly due to the lack of reliable and large-scale datasets. Prior human-annotated CPS datasets are extremely small in size and lack integration with real-world product search systems. We propose a novel approach, TRACER, whi"&amp;"ch leverages large language models (LLMs) to generate realistic and natural conversations for different shopping domains. TRACER's novelty lies in grounding the generation to dialogue plans, which are product search trajectories predicted from a decision "&amp;"tree model, that guarantees relevant product discovery in the shortest number of search conditions. We also release the first target-oriented CPS dataset Wizard of Shopping (WoS), containing highly natural and coherent conversations (3.6k) from three shop"&amp;"ping domains. Finally, we demonstrate the quality and effectiveness of WoS via human evaluations and downstream tasks.")</f>
        <v>The goal of conversational product search (CPS) is to develop an intelligent, chat-based shopping assistant that can directly interact with customers to understand shopping intents, ask clarification questions, and find relevant products. However, training such assistants is hindered mainly due to the lack of reliable and large-scale datasets. Prior human-annotated CPS datasets are extremely small in size and lack integration with real-world product search systems. We propose a novel approach, TRACER, which leverages large language models (LLMs) to generate realistic and natural conversations for different shopping domains. TRACER's novelty lies in grounding the generation to dialogue plans, which are product search trajectories predicted from a decision tree model, that guarantees relevant product discovery in the shortest number of search conditions. We also release the first target-oriented CPS dataset Wizard of Shopping (WoS), containing highly natural and coherent conversations (3.6k) from three shopping domains. Finally, we demonstrate the quality and effectiveness of WoS via human evaluations and downstream tasks.</v>
      </c>
      <c r="D2263" s="7" t="str">
        <f>IFERROR(__xludf.DUMMYFUNCTION("""COMPUTED_VALUE"""),"Xiangci Li")</f>
        <v>Xiangci Li</v>
      </c>
      <c r="E2263" s="7" t="str">
        <f>IFERROR(__xludf.DUMMYFUNCTION("""COMPUTED_VALUE"""),"Yes")</f>
        <v>Yes</v>
      </c>
      <c r="F2263" s="7" t="str">
        <f>IFERROR(__xludf.DUMMYFUNCTION("""COMPUTED_VALUE"""),"V-Presentation")</f>
        <v>V-Presentation</v>
      </c>
      <c r="G2263" s="7" t="str">
        <f>IFERROR(__xludf.DUMMYFUNCTION("""COMPUTED_VALUE"""),"Virtual/Gather")</f>
        <v>Virtual/Gather</v>
      </c>
      <c r="H2263" s="7" t="str">
        <f>IFERROR(__xludf.DUMMYFUNCTION("""COMPUTED_VALUE"""),"Zoom")</f>
        <v>Zoom</v>
      </c>
      <c r="I2263" s="7" t="str">
        <f>IFERROR(__xludf.DUMMYFUNCTION("""COMPUTED_VALUE"""),"Session 10: V-Presenations")</f>
        <v>Session 10: V-Presenations</v>
      </c>
      <c r="J2263" s="7" t="str">
        <f>IFERROR(__xludf.DUMMYFUNCTION("""COMPUTED_VALUE"""),"Virtual Presentations 3")</f>
        <v>Virtual Presentations 3</v>
      </c>
      <c r="K2263" s="7"/>
      <c r="L2263" s="8">
        <f>IFERROR(__xludf.DUMMYFUNCTION("""COMPUTED_VALUE"""),45867.0)</f>
        <v>45867</v>
      </c>
      <c r="M2263" s="7" t="str">
        <f>IFERROR(__xludf.DUMMYFUNCTION("""COMPUTED_VALUE"""),"16:00-17:30")</f>
        <v>16:00-17:30</v>
      </c>
      <c r="N2263" s="7"/>
    </row>
    <row r="2264">
      <c r="A2264" s="7" t="str">
        <f>IFERROR(__xludf.DUMMYFUNCTION("""COMPUTED_VALUE"""),"1598-MAIN")</f>
        <v>1598-MAIN</v>
      </c>
      <c r="B2264" s="7" t="str">
        <f>IFERROR(__xludf.DUMMYFUNCTION("""COMPUTED_VALUE"""),"Multi-Agent Collaboration for Multilingual Code Instruction Tuning")</f>
        <v>Multi-Agent Collaboration for Multilingual Code Instruction Tuning</v>
      </c>
      <c r="C2264" s="7" t="str">
        <f>IFERROR(__xludf.DUMMYFUNCTION("""COMPUTED_VALUE"""),"Recent advancement in code understanding and generation demonstrates that code LLMs fine-tuned on a high-quality instruction dataset can gain powerful capabilities to address wide-ranging code-related tasks. However, most previous existing methods mainly "&amp;"view each programming language in isolation and ignore the knowledge transfer among different programming languages. To bridge the gap among different programming languages, we introduce a novel multi-agent collaboration framework to enhance multilingual "&amp;"instruction tuning for code LLMs, where multiple language-specific intelligent agent components with generation memory work together to transfer knowledge from one language to another efficiently and effectively. Specifically, we first generate the langua"&amp;"ge-specific instruction data from the code snippets and then provide the generated data as the seed data for language-specific agents. Multiple language-specific agents discuss and collaborate to formulate a new instruction and its corresponding solution "&amp;"(A new programming language or existing programming language), To further encourage the cross-lingual transfer, each agent stores its generation history as memory and then summarizes its merits and faults. Finally, the high-quality multilingual instructio"&amp;"n data is used to encourage knowledge transfer among different programming languages to train Qwen2.5-xCoder. Experimental results on multilingual programming benchmarks demonstrate the superior performance of Qwen2.5-xCoder in sharing common knowledge, h"&amp;"ighlighting its potential to reduce the cross-lingual gap.")</f>
        <v>Recent advancement in code understanding and generation demonstrates that code LLMs fine-tuned on a high-quality instruction dataset can gain powerful capabilities to address wide-ranging code-related tasks. However, most previous existing methods mainly view each programming language in isolation and ignore the knowledge transfer among different programming languages. To bridge the gap among different programming languages, we introduce a novel multi-agent collaboration framework to enhance multilingual instruction tuning for code LLMs, where multiple language-specific intelligent agent components with generation memory work together to transfer knowledge from one language to another efficiently and effectively. Specifically, we first generate the language-specific instruction data from the code snippets and then provide the generated data as the seed data for language-specific agents. Multiple language-specific agents discuss and collaborate to formulate a new instruction and its corresponding solution (A new programming language or existing programming language), To further encourage the cross-lingual transfer, each agent stores its generation history as memory and then summarizes its merits and faults. Finally, the high-quality multilingual instruction data is used to encourage knowledge transfer among different programming languages to train Qwen2.5-xCoder. Experimental results on multilingual programming benchmarks demonstrate the superior performance of Qwen2.5-xCoder in sharing common knowledge, highlighting its potential to reduce the cross-lingual gap.</v>
      </c>
      <c r="D2264" s="7" t="str">
        <f>IFERROR(__xludf.DUMMYFUNCTION("""COMPUTED_VALUE"""),"Jian Yang")</f>
        <v>Jian Yang</v>
      </c>
      <c r="E2264" s="7" t="str">
        <f>IFERROR(__xludf.DUMMYFUNCTION("""COMPUTED_VALUE"""),"Yes")</f>
        <v>Yes</v>
      </c>
      <c r="F2264" s="7" t="str">
        <f>IFERROR(__xludf.DUMMYFUNCTION("""COMPUTED_VALUE"""),"V-Presentation")</f>
        <v>V-Presentation</v>
      </c>
      <c r="G2264" s="7" t="str">
        <f>IFERROR(__xludf.DUMMYFUNCTION("""COMPUTED_VALUE"""),"Virtual/Gather")</f>
        <v>Virtual/Gather</v>
      </c>
      <c r="H2264" s="7" t="str">
        <f>IFERROR(__xludf.DUMMYFUNCTION("""COMPUTED_VALUE"""),"Zoom")</f>
        <v>Zoom</v>
      </c>
      <c r="I2264" s="7" t="str">
        <f>IFERROR(__xludf.DUMMYFUNCTION("""COMPUTED_VALUE"""),"Session 7: V--Presentations ")</f>
        <v>Session 7: V--Presentations </v>
      </c>
      <c r="J2264" s="7" t="str">
        <f>IFERROR(__xludf.DUMMYFUNCTION("""COMPUTED_VALUE"""),"Virtual Presentations 2")</f>
        <v>Virtual Presentations 2</v>
      </c>
      <c r="K2264" s="7"/>
      <c r="L2264" s="8"/>
      <c r="M2264" s="7" t="str">
        <f>IFERROR(__xludf.DUMMYFUNCTION("""COMPUTED_VALUE"""),"10:30-12:00")</f>
        <v>10:30-12:00</v>
      </c>
      <c r="N2264" s="7"/>
    </row>
    <row r="2265">
      <c r="A2265" s="7" t="str">
        <f>IFERROR(__xludf.DUMMYFUNCTION("""COMPUTED_VALUE"""),"1602-MAIN")</f>
        <v>1602-MAIN</v>
      </c>
      <c r="B2265" s="7" t="str">
        <f>IFERROR(__xludf.DUMMYFUNCTION("""COMPUTED_VALUE"""),"Cultivating Gaming Sense for Yourself: Making VLMs Gaming Experts")</f>
        <v>Cultivating Gaming Sense for Yourself: Making VLMs Gaming Experts</v>
      </c>
      <c r="C2265" s="7" t="str">
        <f>IFERROR(__xludf.DUMMYFUNCTION("""COMPUTED_VALUE"""),"Developing agents capable of fluid gameplay in first/third-person games without API access remains a critical challenge in Artificial General Intelligence (AGI). Recent efforts leverage Vision Language Models (VLMs) as direct controllers, frequently pausi"&amp;"ng the game to analyze screens and plan action through language reasoning. However, this inefficient paradigm fundamentally restricts agents to basic and non-fluent interactions: relying on isolated VLM reasoning for each action makes it impossible to han"&amp;"dle tasks requiring high reactivity (e.g., FPS shooting) or dynamic adaptability (e.g., ACT combat). To handle this, we propose a paradigm shift in gameplay agent design: instead of direct control, VLM serves as a developer, creating specialized execution"&amp;" modules tailored for tasks like shooting and combat. These modules handle real-time game interactions, elevating VLM to a high-level developer. Building upon this paradigm, we introduce GameSense, a gameplay agent framework where VLM develops task-specif"&amp;"ic game sense modules by observing task execution and leveraging vision tools and neural network training pipelines. These modules encapsulate action-feedback logic, ranging from direct action rules to neural network-based decisions. Experiments demonstra"&amp;"te that our framework is the first to achieve fluent gameplay in diverse genres, including ACT, FPS, and Flappy Bird, setting a new benchmark for game-playing agents.")</f>
        <v>Developing agents capable of fluid gameplay in first/third-person games without API access remains a critical challenge in Artificial General Intelligence (AGI). Recent efforts leverage Vision Language Models (VLMs) as direct controllers, frequently pausing the game to analyze screens and plan action through language reasoning. However, this inefficient paradigm fundamentally restricts agents to basic and non-fluent interactions: relying on isolated VLM reasoning for each action makes it impossible to handle tasks requiring high reactivity (e.g., FPS shooting) or dynamic adaptability (e.g., ACT combat). To handle this, we propose a paradigm shift in gameplay agent design: instead of direct control, VLM serves as a developer, creating specialized execution modules tailored for tasks like shooting and combat. These modules handle real-time game interactions, elevating VLM to a high-level developer. Building upon this paradigm, we introduce GameSense, a gameplay agent framework where VLM develops task-specific game sense modules by observing task execution and leveraging vision tools and neural network training pipelines. These modules encapsulate action-feedback logic, ranging from direct action rules to neural network-based decisions. Experiments demonstrate that our framework is the first to achieve fluent gameplay in diverse genres, including ACT, FPS, and Flappy Bird, setting a new benchmark for game-playing agents.</v>
      </c>
      <c r="D2265" s="7" t="str">
        <f>IFERROR(__xludf.DUMMYFUNCTION("""COMPUTED_VALUE"""),"wenxuan Lu")</f>
        <v>wenxuan Lu</v>
      </c>
      <c r="E2265" s="7" t="str">
        <f>IFERROR(__xludf.DUMMYFUNCTION("""COMPUTED_VALUE"""),"Yes")</f>
        <v>Yes</v>
      </c>
      <c r="F2265" s="7" t="str">
        <f>IFERROR(__xludf.DUMMYFUNCTION("""COMPUTED_VALUE"""),"IP-Poster")</f>
        <v>IP-Poster</v>
      </c>
      <c r="G2265" s="7" t="str">
        <f>IFERROR(__xludf.DUMMYFUNCTION("""COMPUTED_VALUE"""),"In-Person")</f>
        <v>In-Person</v>
      </c>
      <c r="H2265" s="7" t="str">
        <f>IFERROR(__xludf.DUMMYFUNCTION("""COMPUTED_VALUE"""),"Hall 4/5")</f>
        <v>Hall 4/5</v>
      </c>
      <c r="I2265" s="7" t="str">
        <f>IFERROR(__xludf.DUMMYFUNCTION("""COMPUTED_VALUE"""),"Session 10: IP-Posters")</f>
        <v>Session 10: IP-Posters</v>
      </c>
      <c r="J2265" s="7" t="str">
        <f>IFERROR(__xludf.DUMMYFUNCTION("""COMPUTED_VALUE"""),"Poster Session 3")</f>
        <v>Poster Session 3</v>
      </c>
      <c r="K2265" s="7"/>
      <c r="L2265" s="8">
        <f>IFERROR(__xludf.DUMMYFUNCTION("""COMPUTED_VALUE"""),45867.0)</f>
        <v>45867</v>
      </c>
      <c r="M2265" s="7" t="str">
        <f>IFERROR(__xludf.DUMMYFUNCTION("""COMPUTED_VALUE"""),"16:00-17:30")</f>
        <v>16:00-17:30</v>
      </c>
      <c r="N2265" s="7"/>
    </row>
    <row r="2266">
      <c r="A2266" s="7" t="str">
        <f>IFERROR(__xludf.DUMMYFUNCTION("""COMPUTED_VALUE"""),"1603-MAIN")</f>
        <v>1603-MAIN</v>
      </c>
      <c r="B2266" s="7" t="str">
        <f>IFERROR(__xludf.DUMMYFUNCTION("""COMPUTED_VALUE"""),"Genius: A Generalizable and Purely Unsupervised Self-Training Framework For Advanced Reasoning")</f>
        <v>Genius: A Generalizable and Purely Unsupervised Self-Training Framework For Advanced Reasoning</v>
      </c>
      <c r="C2266" s="7" t="str">
        <f>IFERROR(__xludf.DUMMYFUNCTION("""COMPUTED_VALUE"""),"Advancing LLM reasoning skills has captivated wide interest. However, current post-training techniques rely heavily on supervisory signals, such as outcome supervision or auxiliary reward models, which face the problem of scalability and high annotation c"&amp;"osts. This motivates us to enhance LLM reasoning without the need for external supervision. Given the input query, the LLM seeks the globally optimal response by stepwise sampling and self-rewarding, and optimizes itself with the collected responses. Geni"&amp;"us offers some technical solutions to address the following key challenges. To tackle the problem of how to determine the steps in the response via self-rewarding, Genius introduces a stepwise foresight re-sampling strategy to sample and estimate the step"&amp;" value by simulating future outcomes. Recognizing the intrinsic noise and uncertainty of self-supervision, we propose an advantage-calibrated optimization (ACO) loss function to mitigate estimation inconsistencies. In short, Genius provides an advanced in"&amp;"itial step towards self-improve LLM reasoning with general queries and without supervision, revolutionizing reasoning scaling laws given the vast availability of general queries.")</f>
        <v>Advancing LLM reasoning skills has captivated wide interest. However, current post-training techniques rely heavily on supervisory signals, such as outcome supervision or auxiliary reward models, which face the problem of scalability and high annotation costs. This motivates us to enhance LLM reasoning without the need for external supervision. Given the input query, the LLM seeks the globally optimal response by stepwise sampling and self-rewarding, and optimizes itself with the collected responses. Genius offers some technical solutions to address the following key challenges. To tackle the problem of how to determine the steps in the response via self-rewarding, Genius introduces a stepwise foresight re-sampling strategy to sample and estimate the step value by simulating future outcomes. Recognizing the intrinsic noise and uncertainty of self-supervision, we propose an advantage-calibrated optimization (ACO) loss function to mitigate estimation inconsistencies. In short, Genius provides an advanced initial step towards self-improve LLM reasoning with general queries and without supervision, revolutionizing reasoning scaling laws given the vast availability of general queries.</v>
      </c>
      <c r="D2266" s="7" t="str">
        <f>IFERROR(__xludf.DUMMYFUNCTION("""COMPUTED_VALUE"""),"Fangzhi Xu")</f>
        <v>Fangzhi Xu</v>
      </c>
      <c r="E2266" s="7" t="str">
        <f>IFERROR(__xludf.DUMMYFUNCTION("""COMPUTED_VALUE"""),"Yes")</f>
        <v>Yes</v>
      </c>
      <c r="F2266" s="7" t="str">
        <f>IFERROR(__xludf.DUMMYFUNCTION("""COMPUTED_VALUE"""),"IP-Poster")</f>
        <v>IP-Poster</v>
      </c>
      <c r="G2266" s="7" t="str">
        <f>IFERROR(__xludf.DUMMYFUNCTION("""COMPUTED_VALUE"""),"In-Person")</f>
        <v>In-Person</v>
      </c>
      <c r="H2266" s="7" t="str">
        <f>IFERROR(__xludf.DUMMYFUNCTION("""COMPUTED_VALUE"""),"Hall 4/5")</f>
        <v>Hall 4/5</v>
      </c>
      <c r="I2266" s="7" t="str">
        <f>IFERROR(__xludf.DUMMYFUNCTION("""COMPUTED_VALUE"""),"Session 7: IP-Posters")</f>
        <v>Session 7: IP-Posters</v>
      </c>
      <c r="J2266" s="7" t="str">
        <f>IFERROR(__xludf.DUMMYFUNCTION("""COMPUTED_VALUE"""),"Poster Session 2")</f>
        <v>Poster Session 2</v>
      </c>
      <c r="K2266" s="7"/>
      <c r="L2266" s="8">
        <f>IFERROR(__xludf.DUMMYFUNCTION("""COMPUTED_VALUE"""),45867.0)</f>
        <v>45867</v>
      </c>
      <c r="M2266" s="7" t="str">
        <f>IFERROR(__xludf.DUMMYFUNCTION("""COMPUTED_VALUE"""),"10:30-12:00")</f>
        <v>10:30-12:00</v>
      </c>
      <c r="N2266" s="7"/>
    </row>
    <row r="2267">
      <c r="A2267" s="7" t="str">
        <f>IFERROR(__xludf.DUMMYFUNCTION("""COMPUTED_VALUE"""),"1605-MAIN")</f>
        <v>1605-MAIN</v>
      </c>
      <c r="B2267" s="7" t="str">
        <f>IFERROR(__xludf.DUMMYFUNCTION("""COMPUTED_VALUE"""),"Accelerating Dense LLMs via L0-regularized Mixture-of-Experts")</f>
        <v>Accelerating Dense LLMs via L0-regularized Mixture-of-Experts</v>
      </c>
      <c r="C2267" s="7" t="str">
        <f>IFERROR(__xludf.DUMMYFUNCTION("""COMPUTED_VALUE"""),"Large language models (LLMs) achieve strong performance but suffer from slow and costly inference. Existing acceleration methods often lead to noticeable performance degradation, while Mixture-of-Experts (MoE) models require extensive computational resour"&amp;"ces. In this paper, we propose L0-MoE, a lightweight MoE approach using L0-regularization to accelerate dense LLMs nearly without performance loss. Our method introduces a cluster confusion matrix for domain-aware dataset curation and applies dynamic batc"&amp;"hing for efficient training. Experiments show that L0-MoE achieves up to 2.5x speedup over dense models while maintaining competitive performance, outperforming existing LLM acceleration baselines.")</f>
        <v>Large language models (LLMs) achieve strong performance but suffer from slow and costly inference. Existing acceleration methods often lead to noticeable performance degradation, while Mixture-of-Experts (MoE) models require extensive computational resources. In this paper, we propose L0-MoE, a lightweight MoE approach using L0-regularization to accelerate dense LLMs nearly without performance loss. Our method introduces a cluster confusion matrix for domain-aware dataset curation and applies dynamic batching for efficient training. Experiments show that L0-MoE achieves up to 2.5x speedup over dense models while maintaining competitive performance, outperforming existing LLM acceleration baselines.</v>
      </c>
      <c r="D2267" s="7" t="str">
        <f>IFERROR(__xludf.DUMMYFUNCTION("""COMPUTED_VALUE"""),"Zhenyu Zhang")</f>
        <v>Zhenyu Zhang</v>
      </c>
      <c r="E2267" s="7" t="str">
        <f>IFERROR(__xludf.DUMMYFUNCTION("""COMPUTED_VALUE"""),"Yes")</f>
        <v>Yes</v>
      </c>
      <c r="F2267" s="7" t="str">
        <f>IFERROR(__xludf.DUMMYFUNCTION("""COMPUTED_VALUE"""),"V-Presentation")</f>
        <v>V-Presentation</v>
      </c>
      <c r="G2267" s="7" t="str">
        <f>IFERROR(__xludf.DUMMYFUNCTION("""COMPUTED_VALUE"""),"Virtual/Gather")</f>
        <v>Virtual/Gather</v>
      </c>
      <c r="H2267" s="7" t="str">
        <f>IFERROR(__xludf.DUMMYFUNCTION("""COMPUTED_VALUE"""),"Zoom")</f>
        <v>Zoom</v>
      </c>
      <c r="I2267" s="7" t="str">
        <f>IFERROR(__xludf.DUMMYFUNCTION("""COMPUTED_VALUE"""),"Session 10: V-Presenations")</f>
        <v>Session 10: V-Presenations</v>
      </c>
      <c r="J2267" s="7" t="str">
        <f>IFERROR(__xludf.DUMMYFUNCTION("""COMPUTED_VALUE"""),"Virtual Presentations 3")</f>
        <v>Virtual Presentations 3</v>
      </c>
      <c r="K2267" s="7"/>
      <c r="L2267" s="8">
        <f>IFERROR(__xludf.DUMMYFUNCTION("""COMPUTED_VALUE"""),45867.0)</f>
        <v>45867</v>
      </c>
      <c r="M2267" s="7" t="str">
        <f>IFERROR(__xludf.DUMMYFUNCTION("""COMPUTED_VALUE"""),"16:00-17:30")</f>
        <v>16:00-17:30</v>
      </c>
      <c r="N2267" s="7"/>
    </row>
    <row r="2268">
      <c r="A2268" s="7" t="str">
        <f>IFERROR(__xludf.DUMMYFUNCTION("""COMPUTED_VALUE"""),"1609-MAIN")</f>
        <v>1609-MAIN</v>
      </c>
      <c r="B2268" s="7" t="str">
        <f>IFERROR(__xludf.DUMMYFUNCTION("""COMPUTED_VALUE"""),"Extending Complex Logical Queries on Uncertain Knowledge Graphs")</f>
        <v>Extending Complex Logical Queries on Uncertain Knowledge Graphs</v>
      </c>
      <c r="C2268" s="7" t="str">
        <f>IFERROR(__xludf.DUMMYFUNCTION("""COMPUTED_VALUE"""),"The study of machine learning-based logical query-answering enables reasoning with large-scale and incomplete knowledge graphs. This paper further advances this line of research by considering the uncertainty in the knowledge. The uncertain nature of know"&amp;"ledge is widely observed in the real world, but does not align seamlessly with the first-order logic underpinning existing studies. To bridge this gap, we study the setting of soft queries on uncertain knowledge, which is motivated by the establishment of"&amp;" soft constraint programming. We further propose an ML-based approach with both forward inference and backward calibration to answer soft queries on large-scale, incomplete, and uncertain knowledge graphs. Theoretical discussions reveal that our method en"&amp;"sures there are no catastrophic cascading errors in our forward inference algorithm while maintaining the same complexity as state-of-the-art inference algorithms for first-order queries. Empirical results justify the superior performance of our approach "&amp;"against previous ML-based methods with number embedding extensions.")</f>
        <v>The study of machine learning-based logical query-answering enables reasoning with large-scale and incomplete knowledge graphs. This paper further advances this line of research by considering the uncertainty in the knowledge. The uncertain nature of knowledge is widely observed in the real world, but does not align seamlessly with the first-order logic underpinning existing studies. To bridge this gap, we study the setting of soft queries on uncertain knowledge, which is motivated by the establishment of soft constraint programming. We further propose an ML-based approach with both forward inference and backward calibration to answer soft queries on large-scale, incomplete, and uncertain knowledge graphs. Theoretical discussions reveal that our method ensures there are no catastrophic cascading errors in our forward inference algorithm while maintaining the same complexity as state-of-the-art inference algorithms for first-order queries. Empirical results justify the superior performance of our approach against previous ML-based methods with number embedding extensions.</v>
      </c>
      <c r="D2268" s="7" t="str">
        <f>IFERROR(__xludf.DUMMYFUNCTION("""COMPUTED_VALUE"""),"Weizhi Fei")</f>
        <v>Weizhi Fei</v>
      </c>
      <c r="E2268" s="7" t="str">
        <f>IFERROR(__xludf.DUMMYFUNCTION("""COMPUTED_VALUE"""),"Yes")</f>
        <v>Yes</v>
      </c>
      <c r="F2268" s="7" t="str">
        <f>IFERROR(__xludf.DUMMYFUNCTION("""COMPUTED_VALUE"""),"IP-Poster")</f>
        <v>IP-Poster</v>
      </c>
      <c r="G2268" s="7" t="str">
        <f>IFERROR(__xludf.DUMMYFUNCTION("""COMPUTED_VALUE"""),"In-Person")</f>
        <v>In-Person</v>
      </c>
      <c r="H2268" s="7" t="str">
        <f>IFERROR(__xludf.DUMMYFUNCTION("""COMPUTED_VALUE"""),"Hall 4/5")</f>
        <v>Hall 4/5</v>
      </c>
      <c r="I2268" s="7" t="str">
        <f>IFERROR(__xludf.DUMMYFUNCTION("""COMPUTED_VALUE"""),"Session 12: IP-Posters")</f>
        <v>Session 12: IP-Posters</v>
      </c>
      <c r="J2268" s="7" t="str">
        <f>IFERROR(__xludf.DUMMYFUNCTION("""COMPUTED_VALUE"""),"Poster Session 4")</f>
        <v>Poster Session 4</v>
      </c>
      <c r="K2268" s="7"/>
      <c r="L2268" s="8">
        <f>IFERROR(__xludf.DUMMYFUNCTION("""COMPUTED_VALUE"""),45868.0)</f>
        <v>45868</v>
      </c>
      <c r="M2268" s="7" t="str">
        <f>IFERROR(__xludf.DUMMYFUNCTION("""COMPUTED_VALUE"""),"11:00-12:30")</f>
        <v>11:00-12:30</v>
      </c>
      <c r="N2268" s="7"/>
    </row>
    <row r="2269">
      <c r="A2269" s="7" t="str">
        <f>IFERROR(__xludf.DUMMYFUNCTION("""COMPUTED_VALUE"""),"1610-MAIN")</f>
        <v>1610-MAIN</v>
      </c>
      <c r="B2269" s="7" t="str">
        <f>IFERROR(__xludf.DUMMYFUNCTION("""COMPUTED_VALUE"""),"Knowledge Decoupling via Orthogonal Projection for Lifelong Editing of Large Language Models")</f>
        <v>Knowledge Decoupling via Orthogonal Projection for Lifelong Editing of Large Language Models</v>
      </c>
      <c r="C2269" s="7" t="str">
        <f>IFERROR(__xludf.DUMMYFUNCTION("""COMPUTED_VALUE"""),"As large language models (LLMs) require continuous knowledge updates and the mitigation of hallucination issues in generated content, lifelong model editing has become a prominent research area. A mainstream knowledge editing method usually freezes LLM's "&amp;"original parameters and adds extra trainable modules for new knowledge management, reducing interference with old knowledge. Although these approaches have achieved some success, our experiments show that, after extensive editing, the model's knowledge un"&amp;"derstanding and memory capacity significantly degrade, particularly concerning early edited knowledge. The root cause is that subsequent edits interfere with the previously edited knowledge, and we refer to this phenomenon as knowledge coupling. To addres"&amp;"s this issue, we propose the \textbf{\underline{K}nowledge \underline{D}ecoupling \underline{E}diting} (KDE) method. Specifically, KDE stores the basis vectors of the representation space of past edits in a knowledge cache. It projects the gradient of the"&amp;" current edit onto a space orthogonal to previous knowledge for updating. This method effectively alleviates the coupling between different pieces of knowledge. We also propose a two-stage training strategy to better balance the model's ability to edit ne"&amp;"w knowledge and distinguish whether a query is related to previous edits. This strategy gradually reduces the interference between new knowledge editing and query distinction, maintaining stable performance during long-term editing. We compared KDE with n"&amp;"ine cutting-edge editing methods across multiple mainstream LLMs. The results demonstrate that, regarding question-answering ability and hallucination mitigation, KDE achieves average improvements of 14% and 61%.")</f>
        <v>As large language models (LLMs) require continuous knowledge updates and the mitigation of hallucination issues in generated content, lifelong model editing has become a prominent research area. A mainstream knowledge editing method usually freezes LLM's original parameters and adds extra trainable modules for new knowledge management, reducing interference with old knowledge. Although these approaches have achieved some success, our experiments show that, after extensive editing, the model's knowledge understanding and memory capacity significantly degrade, particularly concerning early edited knowledge. The root cause is that subsequent edits interfere with the previously edited knowledge, and we refer to this phenomenon as knowledge coupling. To address this issue, we propose the \textbf{\underline{K}nowledge \underline{D}ecoupling \underline{E}diting} (KDE) method. Specifically, KDE stores the basis vectors of the representation space of past edits in a knowledge cache. It projects the gradient of the current edit onto a space orthogonal to previous knowledge for updating. This method effectively alleviates the coupling between different pieces of knowledge. We also propose a two-stage training strategy to better balance the model's ability to edit new knowledge and distinguish whether a query is related to previous edits. This strategy gradually reduces the interference between new knowledge editing and query distinction, maintaining stable performance during long-term editing. We compared KDE with nine cutting-edge editing methods across multiple mainstream LLMs. The results demonstrate that, regarding question-answering ability and hallucination mitigation, KDE achieves average improvements of 14% and 61%.</v>
      </c>
      <c r="D2269" s="7" t="str">
        <f>IFERROR(__xludf.DUMMYFUNCTION("""COMPUTED_VALUE"""),"Haoyu Xu")</f>
        <v>Haoyu Xu</v>
      </c>
      <c r="E2269" s="7" t="str">
        <f>IFERROR(__xludf.DUMMYFUNCTION("""COMPUTED_VALUE"""),"Yes")</f>
        <v>Yes</v>
      </c>
      <c r="F2269" s="7" t="str">
        <f>IFERROR(__xludf.DUMMYFUNCTION("""COMPUTED_VALUE"""),"IP-Poster")</f>
        <v>IP-Poster</v>
      </c>
      <c r="G2269" s="7" t="str">
        <f>IFERROR(__xludf.DUMMYFUNCTION("""COMPUTED_VALUE"""),"In-Person")</f>
        <v>In-Person</v>
      </c>
      <c r="H2269" s="7" t="str">
        <f>IFERROR(__xludf.DUMMYFUNCTION("""COMPUTED_VALUE"""),"Hall 4/5")</f>
        <v>Hall 4/5</v>
      </c>
      <c r="I2269" s="7" t="str">
        <f>IFERROR(__xludf.DUMMYFUNCTION("""COMPUTED_VALUE"""),"Session 12: IP-Posters")</f>
        <v>Session 12: IP-Posters</v>
      </c>
      <c r="J2269" s="7" t="str">
        <f>IFERROR(__xludf.DUMMYFUNCTION("""COMPUTED_VALUE"""),"Poster Session 4")</f>
        <v>Poster Session 4</v>
      </c>
      <c r="K2269" s="7"/>
      <c r="L2269" s="8">
        <f>IFERROR(__xludf.DUMMYFUNCTION("""COMPUTED_VALUE"""),45868.0)</f>
        <v>45868</v>
      </c>
      <c r="M2269" s="7" t="str">
        <f>IFERROR(__xludf.DUMMYFUNCTION("""COMPUTED_VALUE"""),"11:00-12:30")</f>
        <v>11:00-12:30</v>
      </c>
      <c r="N2269" s="7"/>
    </row>
    <row r="2270">
      <c r="A2270" s="7" t="str">
        <f>IFERROR(__xludf.DUMMYFUNCTION("""COMPUTED_VALUE"""),"1611-MAIN")</f>
        <v>1611-MAIN</v>
      </c>
      <c r="B2270" s="7" t="str">
        <f>IFERROR(__xludf.DUMMYFUNCTION("""COMPUTED_VALUE"""),"φ-Decoding: Adaptive Foresight Sampling for Balanced Inference-Time Exploration and Exploitation")</f>
        <v>φ-Decoding: Adaptive Foresight Sampling for Balanced Inference-Time Exploration and Exploitation</v>
      </c>
      <c r="C2270" s="7" t="str">
        <f>IFERROR(__xludf.DUMMYFUNCTION("""COMPUTED_VALUE"""),"Inference-time optimization scales computation to derive deliberate reasoning steps for effective performance. While previous search-based strategies address the short-sightedness of auto-regressive generation, the vast search space leads to excessive exp"&amp;"loration and insufficient exploitation. To strike an efficient balance to derive the optimal step, we frame the decoding strategy as foresight sampling, leveraging simulated future steps to obtain globally optimal step estimation. Built on it, we propose "&amp;"a novel decoding strategy, named 
$\phi$-Decoding. To provide a precise and expressive estimation of step value, 
$\phi$-Decoding approximates two distributions via foresight and clustering. Sampling from the joint distribution, the optimal steps can be s"&amp;"elected for exploitation. To support adaptive computation allocation, we propose in-width and in-depth pruning strategies, featuring a light-weight solution to achieve inference efficiency. Extensive experiments across seven benchmarks show 
$\phi$-Decodi"&amp;"ng outperforms strong baselines in both performance and efficiency. Additional analysis demonstrates its generalization across various LLMs and scalability across a wide range of computing budgets.")</f>
        <v>Inference-time optimization scales computation to derive deliberate reasoning steps for effective performance. While previous search-based strategies address the short-sightedness of auto-regressive generation, the vast search space leads to excessive exploration and insufficient exploitation. To strike an efficient balance to derive the optimal step, we frame the decoding strategy as foresight sampling, leveraging simulated future steps to obtain globally optimal step estimation. Built on it, we propose a novel decoding strategy, named 
$\phi$-Decoding. To provide a precise and expressive estimation of step value, 
$\phi$-Decoding approximates two distributions via foresight and clustering. Sampling from the joint distribution, the optimal steps can be selected for exploitation. To support adaptive computation allocation, we propose in-width and in-depth pruning strategies, featuring a light-weight solution to achieve inference efficiency. Extensive experiments across seven benchmarks show 
$\phi$-Decoding outperforms strong baselines in both performance and efficiency. Additional analysis demonstrates its generalization across various LLMs and scalability across a wide range of computing budgets.</v>
      </c>
      <c r="D2270" s="7" t="str">
        <f>IFERROR(__xludf.DUMMYFUNCTION("""COMPUTED_VALUE"""),"Fangzhi Xu")</f>
        <v>Fangzhi Xu</v>
      </c>
      <c r="E2270" s="7" t="str">
        <f>IFERROR(__xludf.DUMMYFUNCTION("""COMPUTED_VALUE"""),"Yes")</f>
        <v>Yes</v>
      </c>
      <c r="F2270" s="7" t="str">
        <f>IFERROR(__xludf.DUMMYFUNCTION("""COMPUTED_VALUE"""),"IP-Poster")</f>
        <v>IP-Poster</v>
      </c>
      <c r="G2270" s="7" t="str">
        <f>IFERROR(__xludf.DUMMYFUNCTION("""COMPUTED_VALUE"""),"In-Person")</f>
        <v>In-Person</v>
      </c>
      <c r="H2270" s="7" t="str">
        <f>IFERROR(__xludf.DUMMYFUNCTION("""COMPUTED_VALUE"""),"Hall 4/5")</f>
        <v>Hall 4/5</v>
      </c>
      <c r="I2270" s="7" t="str">
        <f>IFERROR(__xludf.DUMMYFUNCTION("""COMPUTED_VALUE"""),"Session 12: IP-Posters")</f>
        <v>Session 12: IP-Posters</v>
      </c>
      <c r="J2270" s="7" t="str">
        <f>IFERROR(__xludf.DUMMYFUNCTION("""COMPUTED_VALUE"""),"Poster Session 4")</f>
        <v>Poster Session 4</v>
      </c>
      <c r="K2270" s="7"/>
      <c r="L2270" s="8">
        <f>IFERROR(__xludf.DUMMYFUNCTION("""COMPUTED_VALUE"""),45868.0)</f>
        <v>45868</v>
      </c>
      <c r="M2270" s="7" t="str">
        <f>IFERROR(__xludf.DUMMYFUNCTION("""COMPUTED_VALUE"""),"11:00-12:30")</f>
        <v>11:00-12:30</v>
      </c>
      <c r="N2270" s="7"/>
    </row>
    <row r="2271">
      <c r="A2271" s="7" t="str">
        <f>IFERROR(__xludf.DUMMYFUNCTION("""COMPUTED_VALUE"""),"1613-MAIN")</f>
        <v>1613-MAIN</v>
      </c>
      <c r="B2271" s="7" t="str">
        <f>IFERROR(__xludf.DUMMYFUNCTION("""COMPUTED_VALUE"""),"Can LLM Watermarks Robustly Prevent Unauthorized Knowledge Distillation?")</f>
        <v>Can LLM Watermarks Robustly Prevent Unauthorized Knowledge Distillation?</v>
      </c>
      <c r="C2271" s="7" t="str">
        <f>IFERROR(__xludf.DUMMYFUNCTION("""COMPUTED_VALUE"""),"The radioactive nature of Large Language Model (LLM) watermarking enables the detection of watermarks inherited by student models when trained on the outputs of watermarked teacher models, making it a promising tool for preventing unauthorized knowledge d"&amp;"istillation. However, the robustness of watermark radioactivity against adversarial actors remains largely unexplored. In this paper, we investigate whether student models can acquire the capabilities of teacher models through knowledge distillation while"&amp;" avoiding watermark inheritance. We propose two categories of watermark removal approaches: pre-distillation removal through untargeted and targeted training data paraphrasing (UP and TP), and post-distillation removal through inference-time watermark neu"&amp;"tralization (WN). Extensive experiments across multiple model pairs, watermarking schemes and hyper-parameter settings demonstrate that both TP and WN thoroughly eliminate inherited watermarks, with WN achieving this while maintaining knowledge transfer e"&amp;"fficiency and low computational overhead. Given the ongoing deployment of watermarking techniques in production LLMs, these findings emphasize the urgent need for more robust defense strategies.")</f>
        <v>The radioactive nature of Large Language Model (LLM) watermarking enables the detection of watermarks inherited by student models when trained on the outputs of watermarked teacher models, making it a promising tool for preventing unauthorized knowledge distillation. However, the robustness of watermark radioactivity against adversarial actors remains largely unexplored. In this paper, we investigate whether student models can acquire the capabilities of teacher models through knowledge distillation while avoiding watermark inheritance. We propose two categories of watermark removal approaches: pre-distillation removal through untargeted and targeted training data paraphrasing (UP and TP), and post-distillation removal through inference-time watermark neutralization (WN). Extensive experiments across multiple model pairs, watermarking schemes and hyper-parameter settings demonstrate that both TP and WN thoroughly eliminate inherited watermarks, with WN achieving this while maintaining knowledge transfer efficiency and low computational overhead. Given the ongoing deployment of watermarking techniques in production LLMs, these findings emphasize the urgent need for more robust defense strategies.</v>
      </c>
      <c r="D2271" s="7" t="str">
        <f>IFERROR(__xludf.DUMMYFUNCTION("""COMPUTED_VALUE"""),"Leyi Pan")</f>
        <v>Leyi Pan</v>
      </c>
      <c r="E2271" s="7" t="str">
        <f>IFERROR(__xludf.DUMMYFUNCTION("""COMPUTED_VALUE"""),"Yes")</f>
        <v>Yes</v>
      </c>
      <c r="F2271" s="7" t="str">
        <f>IFERROR(__xludf.DUMMYFUNCTION("""COMPUTED_VALUE"""),"V-Presentation")</f>
        <v>V-Presentation</v>
      </c>
      <c r="G2271" s="7" t="str">
        <f>IFERROR(__xludf.DUMMYFUNCTION("""COMPUTED_VALUE"""),"Virtual/Gather")</f>
        <v>Virtual/Gather</v>
      </c>
      <c r="H2271" s="7" t="str">
        <f>IFERROR(__xludf.DUMMYFUNCTION("""COMPUTED_VALUE"""),"Zoom")</f>
        <v>Zoom</v>
      </c>
      <c r="I2271" s="7" t="str">
        <f>IFERROR(__xludf.DUMMYFUNCTION("""COMPUTED_VALUE"""),"Session 2: V-Presentations")</f>
        <v>Session 2: V-Presentations</v>
      </c>
      <c r="J2271" s="7" t="str">
        <f>IFERROR(__xludf.DUMMYFUNCTION("""COMPUTED_VALUE"""),"Virtual Presentations 1")</f>
        <v>Virtual Presentations 1</v>
      </c>
      <c r="K2271" s="7"/>
      <c r="L2271" s="8">
        <f>IFERROR(__xludf.DUMMYFUNCTION("""COMPUTED_VALUE"""),45866.0)</f>
        <v>45866</v>
      </c>
      <c r="M2271" s="7" t="str">
        <f>IFERROR(__xludf.DUMMYFUNCTION("""COMPUTED_VALUE"""),"11:00-12:30")</f>
        <v>11:00-12:30</v>
      </c>
      <c r="N2271" s="7"/>
    </row>
    <row r="2272">
      <c r="A2272" s="7" t="str">
        <f>IFERROR(__xludf.DUMMYFUNCTION("""COMPUTED_VALUE"""),"1617-MAIN")</f>
        <v>1617-MAIN</v>
      </c>
      <c r="B2272" s="7" t="str">
        <f>IFERROR(__xludf.DUMMYFUNCTION("""COMPUTED_VALUE"""),"Rethinking Reward Model Evaluation Through the Lens of Reward Overoptimization")</f>
        <v>Rethinking Reward Model Evaluation Through the Lens of Reward Overoptimization</v>
      </c>
      <c r="C2272" s="7" t="str">
        <f>IFERROR(__xludf.DUMMYFUNCTION("""COMPUTED_VALUE"""),"Reward models (RMs) play a crucial role in reinforcement learning from human feedback (RLHF), aligning model behavior with human preferences. However, existing benchmarks for reward models show a weak correlation with the performance of optimized policies"&amp;", suggesting that they fail to accurately assess the true capabilities of RMs. To bridge this gap, we explore several evaluation designs through the lens of reward overoptimization, i.e., a phenomenon that captures both how well the reward model aligns wi"&amp;"th human preferences and the dynamics of the learning signal it provides to the policy. The results highlight three key findings on how to construct a reliable benchmark: (i) it is important to minimize differences between chosen and rejected responses be"&amp;"yond correctness, (ii) evaluating reward models requires multiple comparisons across a wide range of chosen and rejected responses, and (iii) given that reward models encounter responses with diverse representations, responses should be sourced from a var"&amp;"iety of models. However, we also observe that a extremely high correlation with degree of overoptimization leads to comparatively lower correlation with certain downstream performance. Thus, when designing a benchmark, it is desirable to use the degree of"&amp;" overoptimization as a useful tool, rather than the end goal.")</f>
        <v>Reward models (RMs) play a crucial role in reinforcement learning from human feedback (RLHF), aligning model behavior with human preferences. However, existing benchmarks for reward models show a weak correlation with the performance of optimized policies, suggesting that they fail to accurately assess the true capabilities of RMs. To bridge this gap, we explore several evaluation designs through the lens of reward overoptimization, i.e., a phenomenon that captures both how well the reward model aligns with human preferences and the dynamics of the learning signal it provides to the policy. The results highlight three key findings on how to construct a reliable benchmark: (i) it is important to minimize differences between chosen and rejected responses beyond correctness, (ii) evaluating reward models requires multiple comparisons across a wide range of chosen and rejected responses, and (iii) given that reward models encounter responses with diverse representations, responses should be sourced from a variety of models. However, we also observe that a extremely high correlation with degree of overoptimization leads to comparatively lower correlation with certain downstream performance. Thus, when designing a benchmark, it is desirable to use the degree of overoptimization as a useful tool, rather than the end goal.</v>
      </c>
      <c r="D2272" s="7" t="str">
        <f>IFERROR(__xludf.DUMMYFUNCTION("""COMPUTED_VALUE"""),"Dongjin Kang")</f>
        <v>Dongjin Kang</v>
      </c>
      <c r="E2272" s="7" t="str">
        <f>IFERROR(__xludf.DUMMYFUNCTION("""COMPUTED_VALUE"""),"Yes")</f>
        <v>Yes</v>
      </c>
      <c r="F2272" s="7" t="str">
        <f>IFERROR(__xludf.DUMMYFUNCTION("""COMPUTED_VALUE"""),"IP-Oral")</f>
        <v>IP-Oral</v>
      </c>
      <c r="G2272" s="7" t="str">
        <f>IFERROR(__xludf.DUMMYFUNCTION("""COMPUTED_VALUE"""),"In-Person")</f>
        <v>In-Person</v>
      </c>
      <c r="H2272" s="7" t="str">
        <f>IFERROR(__xludf.DUMMYFUNCTION("""COMPUTED_VALUE"""),"Room 1.61")</f>
        <v>Room 1.61</v>
      </c>
      <c r="I2272" s="7" t="str">
        <f>IFERROR(__xludf.DUMMYFUNCTION("""COMPUTED_VALUE"""),"Session 11: IP-Orals ")</f>
        <v>Session 11: IP-Orals </v>
      </c>
      <c r="J2272" s="7" t="str">
        <f>IFERROR(__xludf.DUMMYFUNCTION("""COMPUTED_VALUE"""),"Machine Learning for NLP")</f>
        <v>Machine Learning for NLP</v>
      </c>
      <c r="K2272" s="7"/>
      <c r="L2272" s="8">
        <f>IFERROR(__xludf.DUMMYFUNCTION("""COMPUTED_VALUE"""),45868.0)</f>
        <v>45868</v>
      </c>
      <c r="M2272" s="7" t="str">
        <f>IFERROR(__xludf.DUMMYFUNCTION("""COMPUTED_VALUE"""),"09:00-10:30")</f>
        <v>09:00-10:30</v>
      </c>
      <c r="N2272" s="7">
        <f>IFERROR(__xludf.DUMMYFUNCTION("""COMPUTED_VALUE"""),2.0)</f>
        <v>2</v>
      </c>
    </row>
    <row r="2273">
      <c r="A2273" s="7" t="str">
        <f>IFERROR(__xludf.DUMMYFUNCTION("""COMPUTED_VALUE"""),"1620-MAIN")</f>
        <v>1620-MAIN</v>
      </c>
      <c r="B2273" s="7" t="str">
        <f>IFERROR(__xludf.DUMMYFUNCTION("""COMPUTED_VALUE"""),"LISTN: Lexicon induction with socio-temporal nuance")</f>
        <v>LISTN: Lexicon induction with socio-temporal nuance</v>
      </c>
      <c r="C2273" s="7" t="str">
        <f>IFERROR(__xludf.DUMMYFUNCTION("""COMPUTED_VALUE"""),"In-group language is an important signifier of group dynamics. This paper proposes a novel method for inducing lexicons of in-group language, which incorporates its socio-temporal context. Existing methods for lexicon induction do not capture the evolving"&amp;" nature of in-group language, nor the social structure of the community. Using dynamic word and user embeddings trained on conversations from online anti-women communities, our approach outperforms prior methods for lexicon induction. We develop a test se"&amp;"t for the task of lexicon induction and a new lexicon of manosphere language, validated by human experts, which quantifies the relevance of each term to a specific sub-community at a given point in time. Finally, we present novel insights on in-group lang"&amp;"uage which illustrate the utility of this approach.")</f>
        <v>In-group language is an important signifier of group dynamics. This paper proposes a novel method for inducing lexicons of in-group language, which incorporates its socio-temporal context. Existing methods for lexicon induction do not capture the evolving nature of in-group language, nor the social structure of the community. Using dynamic word and user embeddings trained on conversations from online anti-women communities, our approach outperforms prior methods for lexicon induction. We develop a test set for the task of lexicon induction and a new lexicon of manosphere language, validated by human experts, which quantifies the relevance of each term to a specific sub-community at a given point in time. Finally, we present novel insights on in-group language which illustrate the utility of this approach.</v>
      </c>
      <c r="D2273" s="7" t="str">
        <f>IFERROR(__xludf.DUMMYFUNCTION("""COMPUTED_VALUE"""),"Christine de Kock")</f>
        <v>Christine de Kock</v>
      </c>
      <c r="E2273" s="7" t="str">
        <f>IFERROR(__xludf.DUMMYFUNCTION("""COMPUTED_VALUE"""),"Yes")</f>
        <v>Yes</v>
      </c>
      <c r="F2273" s="7" t="str">
        <f>IFERROR(__xludf.DUMMYFUNCTION("""COMPUTED_VALUE"""),"IP-Poster")</f>
        <v>IP-Poster</v>
      </c>
      <c r="G2273" s="7" t="str">
        <f>IFERROR(__xludf.DUMMYFUNCTION("""COMPUTED_VALUE"""),"In-Person")</f>
        <v>In-Person</v>
      </c>
      <c r="H2273" s="7" t="str">
        <f>IFERROR(__xludf.DUMMYFUNCTION("""COMPUTED_VALUE"""),"Hall 4/5")</f>
        <v>Hall 4/5</v>
      </c>
      <c r="I2273" s="7" t="str">
        <f>IFERROR(__xludf.DUMMYFUNCTION("""COMPUTED_VALUE"""),"Session 12: IP-Posters")</f>
        <v>Session 12: IP-Posters</v>
      </c>
      <c r="J2273" s="7" t="str">
        <f>IFERROR(__xludf.DUMMYFUNCTION("""COMPUTED_VALUE"""),"Poster Session 4")</f>
        <v>Poster Session 4</v>
      </c>
      <c r="K2273" s="7"/>
      <c r="L2273" s="8">
        <f>IFERROR(__xludf.DUMMYFUNCTION("""COMPUTED_VALUE"""),45868.0)</f>
        <v>45868</v>
      </c>
      <c r="M2273" s="7" t="str">
        <f>IFERROR(__xludf.DUMMYFUNCTION("""COMPUTED_VALUE"""),"11:00-12:30")</f>
        <v>11:00-12:30</v>
      </c>
      <c r="N2273" s="7"/>
    </row>
    <row r="2274">
      <c r="A2274" s="7" t="str">
        <f>IFERROR(__xludf.DUMMYFUNCTION("""COMPUTED_VALUE"""),"1621-MAIN")</f>
        <v>1621-MAIN</v>
      </c>
      <c r="B2274" s="7" t="str">
        <f>IFERROR(__xludf.DUMMYFUNCTION("""COMPUTED_VALUE"""),"LLaSE-G1: Incentivizing Generalization Capability for LLaMA-based Speech Enhancement")</f>
        <v>LLaSE-G1: Incentivizing Generalization Capability for LLaMA-based Speech Enhancement</v>
      </c>
      <c r="C2274" s="7" t="str">
        <f>IFERROR(__xludf.DUMMYFUNCTION("""COMPUTED_VALUE"""),"Recent advancements in language models (LMs) have demonstrated strong capabilities in semantic understanding and contextual modeling, which have flourished in generative speech enhancement (SE). However, many LM-based SE approaches primarily focus on sema"&amp;"ntic information, often neglecting the critical role of acoustic information, which leads to acoustic inconsistency after enhancement and limited generalization across diverse SE tasks. In this paper, we introduce LLaSE-G1, a LLaMA-based language model th"&amp;"at incentivizes generalization capabilities for speech enhancement. LLaSE-G1 offers the following key contributions: First, to mitigate acoustic inconsistency, LLaSE-G1 employs continuous representations from WavLM as input and predicts speech tokens from"&amp;" X-Codec2, maximizing acoustic preservation. Second, to promote generalization capability, LLaSE-G1 introduces dual-channel inputs and outputs, unifying multiple SE tasks without requiring task-specific IDs. Third, LLaSE-G1 outperforms prior task-specific"&amp;" discriminative and generative SE models, demonstrating scaling effects at test time and emerging capabilities for unseen SE tasks. Additionally, we release our code and models to support further research in this area.")</f>
        <v>Recent advancements in language models (LMs) have demonstrated strong capabilities in semantic understanding and contextual modeling, which have flourished in generative speech enhancement (SE). However, many LM-based SE approaches primarily focus on semantic information, often neglecting the critical role of acoustic information, which leads to acoustic inconsistency after enhancement and limited generalization across diverse SE tasks. In this paper, we introduce LLaSE-G1, a LLaMA-based language model that incentivizes generalization capabilities for speech enhancement. LLaSE-G1 offers the following key contributions: First, to mitigate acoustic inconsistency, LLaSE-G1 employs continuous representations from WavLM as input and predicts speech tokens from X-Codec2, maximizing acoustic preservation. Second, to promote generalization capability, LLaSE-G1 introduces dual-channel inputs and outputs, unifying multiple SE tasks without requiring task-specific IDs. Third, LLaSE-G1 outperforms prior task-specific discriminative and generative SE models, demonstrating scaling effects at test time and emerging capabilities for unseen SE tasks. Additionally, we release our code and models to support further research in this area.</v>
      </c>
      <c r="D2274" s="7" t="str">
        <f>IFERROR(__xludf.DUMMYFUNCTION("""COMPUTED_VALUE"""),"Boyi Kang")</f>
        <v>Boyi Kang</v>
      </c>
      <c r="E2274" s="7" t="str">
        <f>IFERROR(__xludf.DUMMYFUNCTION("""COMPUTED_VALUE"""),"Yes")</f>
        <v>Yes</v>
      </c>
      <c r="F2274" s="7" t="str">
        <f>IFERROR(__xludf.DUMMYFUNCTION("""COMPUTED_VALUE"""),"IP-Poster")</f>
        <v>IP-Poster</v>
      </c>
      <c r="G2274" s="7" t="str">
        <f>IFERROR(__xludf.DUMMYFUNCTION("""COMPUTED_VALUE"""),"In-Person")</f>
        <v>In-Person</v>
      </c>
      <c r="H2274" s="7" t="str">
        <f>IFERROR(__xludf.DUMMYFUNCTION("""COMPUTED_VALUE"""),"Hall 4/5")</f>
        <v>Hall 4/5</v>
      </c>
      <c r="I2274" s="7" t="str">
        <f>IFERROR(__xludf.DUMMYFUNCTION("""COMPUTED_VALUE"""),"Session 7: IP-Posters")</f>
        <v>Session 7: IP-Posters</v>
      </c>
      <c r="J2274" s="7" t="str">
        <f>IFERROR(__xludf.DUMMYFUNCTION("""COMPUTED_VALUE"""),"Poster Session 2")</f>
        <v>Poster Session 2</v>
      </c>
      <c r="K2274" s="7"/>
      <c r="L2274" s="8">
        <f>IFERROR(__xludf.DUMMYFUNCTION("""COMPUTED_VALUE"""),45867.0)</f>
        <v>45867</v>
      </c>
      <c r="M2274" s="7" t="str">
        <f>IFERROR(__xludf.DUMMYFUNCTION("""COMPUTED_VALUE"""),"10:30-12:00")</f>
        <v>10:30-12:00</v>
      </c>
      <c r="N2274" s="7"/>
    </row>
    <row r="2275">
      <c r="A2275" s="7" t="str">
        <f>IFERROR(__xludf.DUMMYFUNCTION("""COMPUTED_VALUE"""),"1623-MAIN")</f>
        <v>1623-MAIN</v>
      </c>
      <c r="B2275" s="7" t="str">
        <f>IFERROR(__xludf.DUMMYFUNCTION("""COMPUTED_VALUE"""),"MadaKV: Adaptive Modality-Perception KV Cache Eviction for Efficient Multimodal Long-Context Inference")</f>
        <v>MadaKV: Adaptive Modality-Perception KV Cache Eviction for Efficient Multimodal Long-Context Inference</v>
      </c>
      <c r="C2275" s="7" t="str">
        <f>IFERROR(__xludf.DUMMYFUNCTION("""COMPUTED_VALUE"""),"This paper introduces MadaKV, a modality-adaptive key-value (KV) cache eviction strategy designed to enhance the efficiency of multimodal large language models (MLLMs) in long-context inference. In multimodal scenarios, attention heads exhibit varying pre"&amp;"ferences for different modalities, resulting in significant disparities in modality importance across attention heads. Traditional KV cache eviction methods, which are tailored for unimodal settings, fail to capture modality-specific information, thereby "&amp;"yielding suboptimal performance. MadaKV addresses these challenges through two key components: modality preference adaptation and hierarchical compression compensation. By dynamically sensing modality information within attention heads and adaptively reta"&amp;"ining critical tokens, MadaKV achieves substantial reductions in KV cache memory footprint and model inference decoding latency (1.3 to 1.5 times improvement) while maintaining high accuracy across various multimodal long-context tasks. Extensive experime"&amp;"nts on representative MLLMs and the MileBench benchmark demonstrate the effectiveness of MadaKV compared to existing KV cache eviction methods.")</f>
        <v>This paper introduces MadaKV, a modality-adaptive key-value (KV) cache eviction strategy designed to enhance the efficiency of multimodal large language models (MLLMs) in long-context inference. In multimodal scenarios, attention heads exhibit varying preferences for different modalities, resulting in significant disparities in modality importance across attention heads. Traditional KV cache eviction methods, which are tailored for unimodal settings, fail to capture modality-specific information, thereby yielding suboptimal performance. MadaKV addresses these challenges through two key components: modality preference adaptation and hierarchical compression compensation. By dynamically sensing modality information within attention heads and adaptively retaining critical tokens, MadaKV achieves substantial reductions in KV cache memory footprint and model inference decoding latency (1.3 to 1.5 times improvement) while maintaining high accuracy across various multimodal long-context tasks. Extensive experiments on representative MLLMs and the MileBench benchmark demonstrate the effectiveness of MadaKV compared to existing KV cache eviction methods.</v>
      </c>
      <c r="D2275" s="7" t="str">
        <f>IFERROR(__xludf.DUMMYFUNCTION("""COMPUTED_VALUE"""),"Kunxi Li")</f>
        <v>Kunxi Li</v>
      </c>
      <c r="E2275" s="7" t="str">
        <f>IFERROR(__xludf.DUMMYFUNCTION("""COMPUTED_VALUE"""),"Yes")</f>
        <v>Yes</v>
      </c>
      <c r="F2275" s="7" t="str">
        <f>IFERROR(__xludf.DUMMYFUNCTION("""COMPUTED_VALUE"""),"V-Presentation")</f>
        <v>V-Presentation</v>
      </c>
      <c r="G2275" s="7" t="str">
        <f>IFERROR(__xludf.DUMMYFUNCTION("""COMPUTED_VALUE"""),"Virtual/Gather")</f>
        <v>Virtual/Gather</v>
      </c>
      <c r="H2275" s="7" t="str">
        <f>IFERROR(__xludf.DUMMYFUNCTION("""COMPUTED_VALUE"""),"Zoom")</f>
        <v>Zoom</v>
      </c>
      <c r="I2275" s="7" t="str">
        <f>IFERROR(__xludf.DUMMYFUNCTION("""COMPUTED_VALUE"""),"Session 10: V-Presenations")</f>
        <v>Session 10: V-Presenations</v>
      </c>
      <c r="J2275" s="7" t="str">
        <f>IFERROR(__xludf.DUMMYFUNCTION("""COMPUTED_VALUE"""),"Virtual Presentations 3")</f>
        <v>Virtual Presentations 3</v>
      </c>
      <c r="K2275" s="7"/>
      <c r="L2275" s="8">
        <f>IFERROR(__xludf.DUMMYFUNCTION("""COMPUTED_VALUE"""),45867.0)</f>
        <v>45867</v>
      </c>
      <c r="M2275" s="7" t="str">
        <f>IFERROR(__xludf.DUMMYFUNCTION("""COMPUTED_VALUE"""),"16:00-17:30")</f>
        <v>16:00-17:30</v>
      </c>
      <c r="N2275" s="7"/>
    </row>
    <row r="2276">
      <c r="A2276" s="7" t="str">
        <f>IFERROR(__xludf.DUMMYFUNCTION("""COMPUTED_VALUE"""),"1628-MAIN")</f>
        <v>1628-MAIN</v>
      </c>
      <c r="B2276" s="7" t="str">
        <f>IFERROR(__xludf.DUMMYFUNCTION("""COMPUTED_VALUE"""),"Efficient OpAmp Adaptation for Zoom Attention to Golden Contexts")</f>
        <v>Efficient OpAmp Adaptation for Zoom Attention to Golden Contexts</v>
      </c>
      <c r="C2276" s="7" t="str">
        <f>IFERROR(__xludf.DUMMYFUNCTION("""COMPUTED_VALUE"""),"Large language models (LLMs) have shown significant promise in question-answering (QA) tasks, particularly in retrieval-augmented generation (RAG) scenarios and long-context applications. 
However, their performance is hindered by noisy reference document"&amp;"s, which often distract from essential information. 
Despite fine-tuning efforts, Transformer-based architectures struggle to prioritize relevant content. 
This is evidenced by their tendency to allocate disproportionate attention to irrelevant or later-p"&amp;"ositioned documents. 
Recent work proposes the differential attention mechanism to address this issue, but this mechanism is limited by an unsuitable common-mode rejection ratio (CMRR) and high computational costs. 
Inspired by the operational amplifier ("&amp;"OpAmp), we propose the OpAmp adaptation to address these challenges, which is implemented with adapters efficiently. 
By integrating the adapter into pre-trained Transformer blocks, our approach enhances focus on the golden context without costly training"&amp;" from scratch. 
Empirical evaluations on noisy-context benchmarks reveal that our Qwen2.5-OpAmp-72B model, trained with our OpAmp adaptation, surpasses the performance of state-of-the-art LLMs, including DeepSeek-V3 and GPT-4o.
Our code is available at ht"&amp;"tps://github.com/wuhy68/OpampAdapter.")</f>
        <v>Large language models (LLMs) have shown significant promise in question-answering (QA) tasks, particularly in retrieval-augmented generation (RAG) scenarios and long-context applications. 
However, their performance is hindered by noisy reference documents, which often distract from essential information. 
Despite fine-tuning efforts, Transformer-based architectures struggle to prioritize relevant content. 
This is evidenced by their tendency to allocate disproportionate attention to irrelevant or later-positioned documents. 
Recent work proposes the differential attention mechanism to address this issue, but this mechanism is limited by an unsuitable common-mode rejection ratio (CMRR) and high computational costs. 
Inspired by the operational amplifier (OpAmp), we propose the OpAmp adaptation to address these challenges, which is implemented with adapters efficiently. 
By integrating the adapter into pre-trained Transformer blocks, our approach enhances focus on the golden context without costly training from scratch. 
Empirical evaluations on noisy-context benchmarks reveal that our Qwen2.5-OpAmp-72B model, trained with our OpAmp adaptation, surpasses the performance of state-of-the-art LLMs, including DeepSeek-V3 and GPT-4o.
Our code is available at https://github.com/wuhy68/OpampAdapter.</v>
      </c>
      <c r="D2276" s="7" t="str">
        <f>IFERROR(__xludf.DUMMYFUNCTION("""COMPUTED_VALUE"""),"Haoyuan Wu")</f>
        <v>Haoyuan Wu</v>
      </c>
      <c r="E2276" s="7" t="str">
        <f>IFERROR(__xludf.DUMMYFUNCTION("""COMPUTED_VALUE"""),"Yes")</f>
        <v>Yes</v>
      </c>
      <c r="F2276" s="7" t="str">
        <f>IFERROR(__xludf.DUMMYFUNCTION("""COMPUTED_VALUE"""),"V-Presentation")</f>
        <v>V-Presentation</v>
      </c>
      <c r="G2276" s="7" t="str">
        <f>IFERROR(__xludf.DUMMYFUNCTION("""COMPUTED_VALUE"""),"Virtual/Gather")</f>
        <v>Virtual/Gather</v>
      </c>
      <c r="H2276" s="7" t="str">
        <f>IFERROR(__xludf.DUMMYFUNCTION("""COMPUTED_VALUE"""),"Zoom")</f>
        <v>Zoom</v>
      </c>
      <c r="I2276" s="7" t="str">
        <f>IFERROR(__xludf.DUMMYFUNCTION("""COMPUTED_VALUE"""),"Session 7: V--Presentations ")</f>
        <v>Session 7: V--Presentations </v>
      </c>
      <c r="J2276" s="7" t="str">
        <f>IFERROR(__xludf.DUMMYFUNCTION("""COMPUTED_VALUE"""),"Virtual Presentations 2")</f>
        <v>Virtual Presentations 2</v>
      </c>
      <c r="K2276" s="7"/>
      <c r="L2276" s="8"/>
      <c r="M2276" s="7" t="str">
        <f>IFERROR(__xludf.DUMMYFUNCTION("""COMPUTED_VALUE"""),"10:30-12:00")</f>
        <v>10:30-12:00</v>
      </c>
      <c r="N2276" s="7"/>
    </row>
    <row r="2277">
      <c r="A2277" s="7" t="str">
        <f>IFERROR(__xludf.DUMMYFUNCTION("""COMPUTED_VALUE"""),"1629-MAIN")</f>
        <v>1629-MAIN</v>
      </c>
      <c r="B2277" s="7" t="str">
        <f>IFERROR(__xludf.DUMMYFUNCTION("""COMPUTED_VALUE"""),"Bridging Discrete Codec Representations and Speech Language Models")</f>
        <v>Bridging Discrete Codec Representations and Speech Language Models</v>
      </c>
      <c r="C2277" s="7" t="str">
        <f>IFERROR(__xludf.DUMMYFUNCTION("""COMPUTED_VALUE"""),"In recent years, large language models have achieved significant success in generative tasks (e.g., speech cloning and audio generation) related to speech, audio, music, and other signal domains. A crucial element of these models is the discrete acoustic "&amp;"codecs, which serve as an intermediate representation replacing the mel-spectrogram. However, there exist several gaps between discrete codecs and downstream speech language models. Specifically, 1) Due to the reconstruction paradigm of the Codec model an"&amp;"d the structure of residual vector quantization, the initial channel of the codebooks contains excessive information, making it challenging to directly generate acoustic tokens from weakly supervised signals such as text in downstream tasks. 2) Achieving "&amp;"good reconstruction performance requires the utilization of numerous codebooks, which increases the burden on downstream speech language models. Consequently, leveraging the characteristics of speech language models, we propose Language-Codec. In the Lang"&amp;"uage-Codec, we introduce a Masked Channel Residual Vector Quantization (MCRVQ) mechanism along with improved fourier transform structures, refined discriminator design to address the aforementioned gaps. We compare our method with competing audio compress"&amp;"ion algorithms and observe significant outperformance across extensive evaluations. Furthermore, we also validate the efficiency of the Language-Codec on downstream speech language models. The source code and pretrained models will be open-sourced after t"&amp;"he paper is accepted. Codes are available at https://github.com/jishengpeng/Languagecodec.")</f>
        <v>In recent years, large language models have achieved significant success in generative tasks (e.g., speech cloning and audio generation) related to speech, audio, music, and other signal domains. A crucial element of these models is the discrete acoustic codecs, which serve as an intermediate representation replacing the mel-spectrogram. However, there exist several gaps between discrete codecs and downstream speech language models. Specifically, 1) Due to the reconstruction paradigm of the Codec model and the structure of residual vector quantization, the initial channel of the codebooks contains excessive information, making it challenging to directly generate acoustic tokens from weakly supervised signals such as text in downstream tasks. 2) Achieving good reconstruction performance requires the utilization of numerous codebooks, which increases the burden on downstream speech language models. Consequently, leveraging the characteristics of speech language models, we propose Language-Codec. In the Language-Codec, we introduce a Masked Channel Residual Vector Quantization (MCRVQ) mechanism along with improved fourier transform structures, refined discriminator design to address the aforementioned gaps. We compare our method with competing audio compression algorithms and observe significant outperformance across extensive evaluations. Furthermore, we also validate the efficiency of the Language-Codec on downstream speech language models. The source code and pretrained models will be open-sourced after the paper is accepted. Codes are available at https://github.com/jishengpeng/Languagecodec.</v>
      </c>
      <c r="D2277" s="7" t="str">
        <f>IFERROR(__xludf.DUMMYFUNCTION("""COMPUTED_VALUE"""),"shengpeng ji")</f>
        <v>shengpeng ji</v>
      </c>
      <c r="E2277" s="7" t="str">
        <f>IFERROR(__xludf.DUMMYFUNCTION("""COMPUTED_VALUE"""),"Yes")</f>
        <v>Yes</v>
      </c>
      <c r="F2277" s="7" t="str">
        <f>IFERROR(__xludf.DUMMYFUNCTION("""COMPUTED_VALUE"""),"IP-Oral")</f>
        <v>IP-Oral</v>
      </c>
      <c r="G2277" s="7" t="str">
        <f>IFERROR(__xludf.DUMMYFUNCTION("""COMPUTED_VALUE"""),"In-Person")</f>
        <v>In-Person</v>
      </c>
      <c r="H2277" s="7" t="str">
        <f>IFERROR(__xludf.DUMMYFUNCTION("""COMPUTED_VALUE"""),"Room 1.61")</f>
        <v>Room 1.61</v>
      </c>
      <c r="I2277" s="7" t="str">
        <f>IFERROR(__xludf.DUMMYFUNCTION("""COMPUTED_VALUE"""),"Session 9: IP-Orals")</f>
        <v>Session 9: IP-Orals</v>
      </c>
      <c r="J2277" s="7" t="str">
        <f>IFERROR(__xludf.DUMMYFUNCTION("""COMPUTED_VALUE"""),"Speech Processing ")</f>
        <v>Speech Processing </v>
      </c>
      <c r="K2277" s="7"/>
      <c r="L2277" s="8">
        <f>IFERROR(__xludf.DUMMYFUNCTION("""COMPUTED_VALUE"""),45867.0)</f>
        <v>45867</v>
      </c>
      <c r="M2277" s="7" t="str">
        <f>IFERROR(__xludf.DUMMYFUNCTION("""COMPUTED_VALUE"""),"14:00-15:30")</f>
        <v>14:00-15:30</v>
      </c>
      <c r="N2277" s="7">
        <f>IFERROR(__xludf.DUMMYFUNCTION("""COMPUTED_VALUE"""),5.0)</f>
        <v>5</v>
      </c>
    </row>
    <row r="2278">
      <c r="A2278" s="7" t="str">
        <f>IFERROR(__xludf.DUMMYFUNCTION("""COMPUTED_VALUE"""),"1634-MAIN")</f>
        <v>1634-MAIN</v>
      </c>
      <c r="B2278" s="7" t="str">
        <f>IFERROR(__xludf.DUMMYFUNCTION("""COMPUTED_VALUE"""),"Adaptive Tool Use in Large Language Models with Meta-Cognition Trigger")</f>
        <v>Adaptive Tool Use in Large Language Models with Meta-Cognition Trigger</v>
      </c>
      <c r="C2278" s="7" t="str">
        <f>IFERROR(__xludf.DUMMYFUNCTION("""COMPUTED_VALUE"""),"Large language models (LLMs) have shown remarkable emergent capabilities, transforming the execution of functional tasks by leveraging external tools for complex problems that require specialized processing or up-to-date data. While existing research expa"&amp;"nds LLMs access to diverse tools (e.g., program interpreters, search engines, calculators), the necessity of using these tools is often overlooked, leading to indiscriminate tool invocation. This naive approach raises two key issues: increased latency due"&amp;" to unnecessary tool calls, and potential errors resulting from faulty interactions with external tools. In this paper, we introduce meta-cognition as a proxy for LLMs self-assessment of their capabilities, reflecting the model's awareness of its own limi"&amp;"tations. Based on this, we propose MeCo, an adaptive decision-making strategy for external tool use. MeCo quantifies metacognitive scores by capturing high-level cognitive signals in the representation space, guiding when to invoke tools. Notably, MeCo is"&amp;" fine-tuning-free and incurs minimal cost. Experiments across multiple backbone models and benchmarks show that MeCo reliably detects LLMs’ internal cognitive signals and significantly improves tool-use decision-making.")</f>
        <v>Large language models (LLMs) have shown remarkable emergent capabilities, transforming the execution of functional tasks by leveraging external tools for complex problems that require specialized processing or up-to-date data. While existing research expands LLMs access to diverse tools (e.g., program interpreters, search engines, calculators), the necessity of using these tools is often overlooked, leading to indiscriminate tool invocation. This naive approach raises two key issues: increased latency due to unnecessary tool calls, and potential errors resulting from faulty interactions with external tools. In this paper, we introduce meta-cognition as a proxy for LLMs self-assessment of their capabilities, reflecting the model's awareness of its own limitations. Based on this, we propose MeCo, an adaptive decision-making strategy for external tool use. MeCo quantifies metacognitive scores by capturing high-level cognitive signals in the representation space, guiding when to invoke tools. Notably, MeCo is fine-tuning-free and incurs minimal cost. Experiments across multiple backbone models and benchmarks show that MeCo reliably detects LLMs’ internal cognitive signals and significantly improves tool-use decision-making.</v>
      </c>
      <c r="D2278" s="7" t="str">
        <f>IFERROR(__xludf.DUMMYFUNCTION("""COMPUTED_VALUE"""),"Wenjun Li")</f>
        <v>Wenjun Li</v>
      </c>
      <c r="E2278" s="7" t="str">
        <f>IFERROR(__xludf.DUMMYFUNCTION("""COMPUTED_VALUE"""),"yes")</f>
        <v>yes</v>
      </c>
      <c r="F2278" s="7" t="str">
        <f>IFERROR(__xludf.DUMMYFUNCTION("""COMPUTED_VALUE"""),"IP-Poster")</f>
        <v>IP-Poster</v>
      </c>
      <c r="G2278" s="7" t="str">
        <f>IFERROR(__xludf.DUMMYFUNCTION("""COMPUTED_VALUE"""),"In-Person")</f>
        <v>In-Person</v>
      </c>
      <c r="H2278" s="7" t="str">
        <f>IFERROR(__xludf.DUMMYFUNCTION("""COMPUTED_VALUE"""),"Hall 4/5")</f>
        <v>Hall 4/5</v>
      </c>
      <c r="I2278" s="7" t="str">
        <f>IFERROR(__xludf.DUMMYFUNCTION("""COMPUTED_VALUE"""),"Session 12: IP-Posters")</f>
        <v>Session 12: IP-Posters</v>
      </c>
      <c r="J2278" s="7" t="str">
        <f>IFERROR(__xludf.DUMMYFUNCTION("""COMPUTED_VALUE"""),"Poster Session 4")</f>
        <v>Poster Session 4</v>
      </c>
      <c r="K2278" s="7"/>
      <c r="L2278" s="8">
        <f>IFERROR(__xludf.DUMMYFUNCTION("""COMPUTED_VALUE"""),45868.0)</f>
        <v>45868</v>
      </c>
      <c r="M2278" s="7" t="str">
        <f>IFERROR(__xludf.DUMMYFUNCTION("""COMPUTED_VALUE"""),"11:00-12:30")</f>
        <v>11:00-12:30</v>
      </c>
      <c r="N2278" s="7"/>
    </row>
    <row r="2279">
      <c r="A2279" s="7" t="str">
        <f>IFERROR(__xludf.DUMMYFUNCTION("""COMPUTED_VALUE"""),"1636-MAIN")</f>
        <v>1636-MAIN</v>
      </c>
      <c r="B2279" s="7" t="str">
        <f>IFERROR(__xludf.DUMMYFUNCTION("""COMPUTED_VALUE"""),"MMLU-CF: A Contamination-free Multi-task Language Understanding Benchmark")</f>
        <v>MMLU-CF: A Contamination-free Multi-task Language Understanding Benchmark</v>
      </c>
      <c r="C2279" s="7" t="str">
        <f>IFERROR(__xludf.DUMMYFUNCTION("""COMPUTED_VALUE"""),"Multiple-choice question (MCQ) datasets like Massive Multitask Language Understanding (MMLU) are widely used to evaluate the commonsense, understanding, and problem-solving abilities of large language models (LLMs). However, the open-source nature of thes"&amp;"e benchmarks and the broad sources of training data for LLMs have inevitably led to benchmark contamination, resulting in unreliable evaluation. To alleviate this issue, we propose the contamination-free MCQ benchmark called MMLU-CF, which reassesses LLMs"&amp;"' understanding of world knowledge by averting both unintentional and malicious data contamination. To mitigate unintentional data contamination, we source questions from a broader domain of over 200 billion webpages and apply three specifically designed "&amp;"decontamination rules. To prevent malicious data contamination, we divide the benchmark into validation and test sets with similar difficulty and subject distributions. The test set remains closed-source to ensure reliable results, while the validation se"&amp;"t is publicly available to promote transparency and facilitate independent evaluation. The performance gap between these two sets of LLMs will indicate the contamination degree on the validation set in the future. We evaluated over 40 mainstream LLMs on t"&amp;"he MMLU-CF. Compared to the original MMLU, not only LLMs' performances significantly dropped but also the performance rankings of them changed considerably. This indicates the effectiveness of our approach in establishing a contamination-free and fairer e"&amp;"valuation standard.")</f>
        <v>Multiple-choice question (MCQ) datasets like Massive Multitask Language Understanding (MMLU) are widely used to evaluate the commonsense, understanding, and problem-solving abilities of large language models (LLMs). However, the open-source nature of these benchmarks and the broad sources of training data for LLMs have inevitably led to benchmark contamination, resulting in unreliable evaluation. To alleviate this issue, we propose the contamination-free MCQ benchmark called MMLU-CF, which reassesses LLMs' understanding of world knowledge by averting both unintentional and malicious data contamination. To mitigate unintentional data contamination, we source questions from a broader domain of over 200 billion webpages and apply three specifically designed decontamination rules. To prevent malicious data contamination, we divide the benchmark into validation and test sets with similar difficulty and subject distributions. The test set remains closed-source to ensure reliable results, while the validation set is publicly available to promote transparency and facilitate independent evaluation. The performance gap between these two sets of LLMs will indicate the contamination degree on the validation set in the future. We evaluated over 40 mainstream LLMs on the MMLU-CF. Compared to the original MMLU, not only LLMs' performances significantly dropped but also the performance rankings of them changed considerably. This indicates the effectiveness of our approach in establishing a contamination-free and fairer evaluation standard.</v>
      </c>
      <c r="D2279" s="7" t="str">
        <f>IFERROR(__xludf.DUMMYFUNCTION("""COMPUTED_VALUE"""),"Yangyu Huang")</f>
        <v>Yangyu Huang</v>
      </c>
      <c r="E2279" s="7" t="str">
        <f>IFERROR(__xludf.DUMMYFUNCTION("""COMPUTED_VALUE"""),"Yes")</f>
        <v>Yes</v>
      </c>
      <c r="F2279" s="7" t="str">
        <f>IFERROR(__xludf.DUMMYFUNCTION("""COMPUTED_VALUE"""),"IP-Poster")</f>
        <v>IP-Poster</v>
      </c>
      <c r="G2279" s="7" t="str">
        <f>IFERROR(__xludf.DUMMYFUNCTION("""COMPUTED_VALUE"""),"In-Person")</f>
        <v>In-Person</v>
      </c>
      <c r="H2279" s="7" t="str">
        <f>IFERROR(__xludf.DUMMYFUNCTION("""COMPUTED_VALUE"""),"Hall 4/5")</f>
        <v>Hall 4/5</v>
      </c>
      <c r="I2279" s="7" t="str">
        <f>IFERROR(__xludf.DUMMYFUNCTION("""COMPUTED_VALUE"""),"Session 2: IP-Posters ")</f>
        <v>Session 2: IP-Posters </v>
      </c>
      <c r="J2279" s="7" t="str">
        <f>IFERROR(__xludf.DUMMYFUNCTION("""COMPUTED_VALUE"""),"Poster Session 1")</f>
        <v>Poster Session 1</v>
      </c>
      <c r="K2279" s="7"/>
      <c r="L2279" s="8">
        <f>IFERROR(__xludf.DUMMYFUNCTION("""COMPUTED_VALUE"""),45866.0)</f>
        <v>45866</v>
      </c>
      <c r="M2279" s="7" t="str">
        <f>IFERROR(__xludf.DUMMYFUNCTION("""COMPUTED_VALUE"""),"11:00-12:30")</f>
        <v>11:00-12:30</v>
      </c>
      <c r="N2279" s="7"/>
    </row>
    <row r="2280">
      <c r="A2280" s="7" t="str">
        <f>IFERROR(__xludf.DUMMYFUNCTION("""COMPUTED_VALUE"""),"1637-MAIN")</f>
        <v>1637-MAIN</v>
      </c>
      <c r="B2280" s="7" t="str">
        <f>IFERROR(__xludf.DUMMYFUNCTION("""COMPUTED_VALUE"""),"Code-Switching Red-Teaming: LLM Evaluation for Safety and Multilingual Understanding")</f>
        <v>Code-Switching Red-Teaming: LLM Evaluation for Safety and Multilingual Understanding</v>
      </c>
      <c r="C2280" s="7" t="str">
        <f>IFERROR(__xludf.DUMMYFUNCTION("""COMPUTED_VALUE"""),"As large language models (LLMs) have advanced rapidly, concerns regarding their safety have become prominent. In this paper, we discover that code-switching in red-teaming queries can effectively elicit undesirable behaviors of LLMs, which are common prac"&amp;"tices in natural language. We introduce a simple yet effective framework, CSRT, to synthesize code-switching red-teaming queries and investigate the safety and multilingual understanding of LLMs comprehensively. Through extensive experiments with ten stat"&amp;"e-of-the-art LLMs and code-switching queries combining up to 10 languages, we demonstrate that the CSRT significantly outperforms existing multilingual red-teaming techniques, achieving 46.7% more attacks than standard attacks in English and being effecti"&amp;"ve in conventional safety domains. We also examine the multilingual ability of those LLMs to generate and understand code-switching texts. Additionally, we validate the extensibility of the CSRT by generating code-switching attack prompts with monolingual"&amp;" data. We finally conduct detailed ablation studies exploring code-switching and propound unintended correlation between resource availability of languages and safety alignment in existing multilingual LLMs.")</f>
        <v>As large language models (LLMs) have advanced rapidly, concerns regarding their safety have become prominent. In this paper, we discover that code-switching in red-teaming queries can effectively elicit undesirable behaviors of LLMs, which are common practices in natural language. We introduce a simple yet effective framework, CSRT, to synthesize code-switching red-teaming queries and investigate the safety and multilingual understanding of LLMs comprehensively. Through extensive experiments with ten state-of-the-art LLMs and code-switching queries combining up to 10 languages, we demonstrate that the CSRT significantly outperforms existing multilingual red-teaming techniques, achieving 46.7% more attacks than standard attacks in English and being effective in conventional safety domains. We also examine the multilingual ability of those LLMs to generate and understand code-switching texts. Additionally, we validate the extensibility of the CSRT by generating code-switching attack prompts with monolingual data. We finally conduct detailed ablation studies exploring code-switching and propound unintended correlation between resource availability of languages and safety alignment in existing multilingual LLMs.</v>
      </c>
      <c r="D2280" s="7" t="str">
        <f>IFERROR(__xludf.DUMMYFUNCTION("""COMPUTED_VALUE"""),"Haneul Yoo")</f>
        <v>Haneul Yoo</v>
      </c>
      <c r="E2280" s="7" t="str">
        <f>IFERROR(__xludf.DUMMYFUNCTION("""COMPUTED_VALUE"""),"Yes")</f>
        <v>Yes</v>
      </c>
      <c r="F2280" s="7" t="str">
        <f>IFERROR(__xludf.DUMMYFUNCTION("""COMPUTED_VALUE"""),"IP-Poster")</f>
        <v>IP-Poster</v>
      </c>
      <c r="G2280" s="7" t="str">
        <f>IFERROR(__xludf.DUMMYFUNCTION("""COMPUTED_VALUE"""),"In-Person")</f>
        <v>In-Person</v>
      </c>
      <c r="H2280" s="7" t="str">
        <f>IFERROR(__xludf.DUMMYFUNCTION("""COMPUTED_VALUE"""),"Hall 4/5")</f>
        <v>Hall 4/5</v>
      </c>
      <c r="I2280" s="7" t="str">
        <f>IFERROR(__xludf.DUMMYFUNCTION("""COMPUTED_VALUE"""),"Session 12: IP-Posters")</f>
        <v>Session 12: IP-Posters</v>
      </c>
      <c r="J2280" s="7" t="str">
        <f>IFERROR(__xludf.DUMMYFUNCTION("""COMPUTED_VALUE"""),"Poster Session 4")</f>
        <v>Poster Session 4</v>
      </c>
      <c r="K2280" s="7"/>
      <c r="L2280" s="8">
        <f>IFERROR(__xludf.DUMMYFUNCTION("""COMPUTED_VALUE"""),45868.0)</f>
        <v>45868</v>
      </c>
      <c r="M2280" s="7" t="str">
        <f>IFERROR(__xludf.DUMMYFUNCTION("""COMPUTED_VALUE"""),"11:00-12:30")</f>
        <v>11:00-12:30</v>
      </c>
      <c r="N2280" s="7"/>
    </row>
    <row r="2281">
      <c r="A2281" s="7" t="str">
        <f>IFERROR(__xludf.DUMMYFUNCTION("""COMPUTED_VALUE"""),"1638-MAIN")</f>
        <v>1638-MAIN</v>
      </c>
      <c r="B2281" s="7" t="str">
        <f>IFERROR(__xludf.DUMMYFUNCTION("""COMPUTED_VALUE"""),"Unleashing LLM Reasoning Capability via Scalable Question Synthesis from Scratch")</f>
        <v>Unleashing LLM Reasoning Capability via Scalable Question Synthesis from Scratch</v>
      </c>
      <c r="C2281" s="7" t="str">
        <f>IFERROR(__xludf.DUMMYFUNCTION("""COMPUTED_VALUE"""),"Improving the mathematical reasoning capabilities of Large Language Models (LLMs) is critical for advancing artificial intelligence. However, access to extensive, diverse, and high-quality reasoning datasets remains a significant challenge, particularly f"&amp;"or the open-source community. In this paper, we propose ScaleQuest, a novel, scalable, and cost-effective data synthesis method that enables the generation of large-scale mathematical reasoning datasets using lightweight 7B-scale models. ScaleQuest introd"&amp;"uces a two-stage question-tuning process comprising Question Fine-Tuning (QFT) and Question Preference Optimization (QPO) to unlock the question generation capabilities of problem-solving models. By generating diverse questions from scratch -- without rel"&amp;"ying on powerful proprietary models or seed data -- we produce a dataset of 1 million problem-solution pairs. Our experiments demonstrate that models trained on our data outperform existing open-source datasets in both in-domain and out-of-domain evaluati"&amp;"ons. Furthermore, our approach shows continued performance improvement as the volume of training data increases, highlighting its potential for ongoing data scaling. The extensive improvements observed in code reasoning tasks demonstrate the generalizatio"&amp;"n capabilities of our proposed method. Our work provides the open-source community with a practical solution to enhance the mathematical reasoning abilities of LLMs.")</f>
        <v>Improving the mathematical reasoning capabilities of Large Language Models (LLMs) is critical for advancing artificial intelligence. However, access to extensive, diverse, and high-quality reasoning datasets remains a significant challenge, particularly for the open-source community. In this paper, we propose ScaleQuest, a novel, scalable, and cost-effective data synthesis method that enables the generation of large-scale mathematical reasoning datasets using lightweight 7B-scale models. ScaleQuest introduces a two-stage question-tuning process comprising Question Fine-Tuning (QFT) and Question Preference Optimization (QPO) to unlock the question generation capabilities of problem-solving models. By generating diverse questions from scratch -- without relying on powerful proprietary models or seed data -- we produce a dataset of 1 million problem-solution pairs. Our experiments demonstrate that models trained on our data outperform existing open-source datasets in both in-domain and out-of-domain evaluations. Furthermore, our approach shows continued performance improvement as the volume of training data increases, highlighting its potential for ongoing data scaling. The extensive improvements observed in code reasoning tasks demonstrate the generalization capabilities of our proposed method. Our work provides the open-source community with a practical solution to enhance the mathematical reasoning abilities of LLMs.</v>
      </c>
      <c r="D2281" s="7" t="str">
        <f>IFERROR(__xludf.DUMMYFUNCTION("""COMPUTED_VALUE"""),"Yuyang Ding")</f>
        <v>Yuyang Ding</v>
      </c>
      <c r="E2281" s="7" t="str">
        <f>IFERROR(__xludf.DUMMYFUNCTION("""COMPUTED_VALUE"""),"Yes")</f>
        <v>Yes</v>
      </c>
      <c r="F2281" s="7" t="str">
        <f>IFERROR(__xludf.DUMMYFUNCTION("""COMPUTED_VALUE"""),"IP-Poster")</f>
        <v>IP-Poster</v>
      </c>
      <c r="G2281" s="7" t="str">
        <f>IFERROR(__xludf.DUMMYFUNCTION("""COMPUTED_VALUE"""),"In-Person")</f>
        <v>In-Person</v>
      </c>
      <c r="H2281" s="7" t="str">
        <f>IFERROR(__xludf.DUMMYFUNCTION("""COMPUTED_VALUE"""),"Hall 4/5")</f>
        <v>Hall 4/5</v>
      </c>
      <c r="I2281" s="7" t="str">
        <f>IFERROR(__xludf.DUMMYFUNCTION("""COMPUTED_VALUE"""),"Session 2: IP-Posters ")</f>
        <v>Session 2: IP-Posters </v>
      </c>
      <c r="J2281" s="7" t="str">
        <f>IFERROR(__xludf.DUMMYFUNCTION("""COMPUTED_VALUE"""),"Poster Session 1")</f>
        <v>Poster Session 1</v>
      </c>
      <c r="K2281" s="7"/>
      <c r="L2281" s="8">
        <f>IFERROR(__xludf.DUMMYFUNCTION("""COMPUTED_VALUE"""),45866.0)</f>
        <v>45866</v>
      </c>
      <c r="M2281" s="7" t="str">
        <f>IFERROR(__xludf.DUMMYFUNCTION("""COMPUTED_VALUE"""),"11:00-12:30")</f>
        <v>11:00-12:30</v>
      </c>
      <c r="N2281" s="7"/>
    </row>
    <row r="2282">
      <c r="A2282" s="7" t="str">
        <f>IFERROR(__xludf.DUMMYFUNCTION("""COMPUTED_VALUE"""),"1641-MAIN")</f>
        <v>1641-MAIN</v>
      </c>
      <c r="B2282" s="7" t="str">
        <f>IFERROR(__xludf.DUMMYFUNCTION("""COMPUTED_VALUE"""),"DREsS: Dataset for Rubric-based Essay Scoring on EFL Writing")</f>
        <v>DREsS: Dataset for Rubric-based Essay Scoring on EFL Writing</v>
      </c>
      <c r="C2282" s="7" t="str">
        <f>IFERROR(__xludf.DUMMYFUNCTION("""COMPUTED_VALUE"""),"Automated essay scoring (AES) is a useful tool in English as a Foreign Language (EFL) writing education, offering real-time essay scores for students and instructors. However, previous AES models were trained on essays and scores irrelevant to the practic"&amp;"al scenarios of EFL writing education and usually provided a single holistic score due to the lack of appropriate datasets. In this paper, we release DREsS, a large-scale, standard dataset for rubric-based automated essay scoring with 48.9K samples in tot"&amp;"al. DREsS comprises three sub-datasets: DREsS_New, DREsS_Std., and DREsS_CASE. We collect DREsS_New, a real-classroom dataset with 2.3K essays authored by EFL undergraduate students and scored by English education experts. We also standardize existing rub"&amp;"ric-based essay scoring datasets as DREsS_Std. We suggest CASE, a corruption-based augmentation strategy for essays, which generates 40.1K synthetic samples of DREsS_CASE and improves the baseline results by 45.44%. DREsS will enable further research to p"&amp;"rovide a more accurate and practical AES system for EFL writing education.")</f>
        <v>Automated essay scoring (AES) is a useful tool in English as a Foreign Language (EFL) writing education, offering real-time essay scores for students and instructors. However, previous AES models were trained on essays and scores irrelevant to the practical scenarios of EFL writing education and usually provided a single holistic score due to the lack of appropriate datasets. In this paper, we release DREsS, a large-scale, standard dataset for rubric-based automated essay scoring with 48.9K samples in total. DREsS comprises three sub-datasets: DREsS_New, DREsS_Std., and DREsS_CASE. We collect DREsS_New, a real-classroom dataset with 2.3K essays authored by EFL undergraduate students and scored by English education experts. We also standardize existing rubric-based essay scoring datasets as DREsS_Std. We suggest CASE, a corruption-based augmentation strategy for essays, which generates 40.1K synthetic samples of DREsS_CASE and improves the baseline results by 45.44%. DREsS will enable further research to provide a more accurate and practical AES system for EFL writing education.</v>
      </c>
      <c r="D2282" s="7" t="str">
        <f>IFERROR(__xludf.DUMMYFUNCTION("""COMPUTED_VALUE"""),"Haneul Yoo")</f>
        <v>Haneul Yoo</v>
      </c>
      <c r="E2282" s="7" t="str">
        <f>IFERROR(__xludf.DUMMYFUNCTION("""COMPUTED_VALUE"""),"Yes")</f>
        <v>Yes</v>
      </c>
      <c r="F2282" s="7" t="str">
        <f>IFERROR(__xludf.DUMMYFUNCTION("""COMPUTED_VALUE"""),"IP-Poster")</f>
        <v>IP-Poster</v>
      </c>
      <c r="G2282" s="7" t="str">
        <f>IFERROR(__xludf.DUMMYFUNCTION("""COMPUTED_VALUE"""),"In-Person")</f>
        <v>In-Person</v>
      </c>
      <c r="H2282" s="7" t="str">
        <f>IFERROR(__xludf.DUMMYFUNCTION("""COMPUTED_VALUE"""),"Hall 4/5")</f>
        <v>Hall 4/5</v>
      </c>
      <c r="I2282" s="7" t="str">
        <f>IFERROR(__xludf.DUMMYFUNCTION("""COMPUTED_VALUE"""),"Session 2: IP-Posters ")</f>
        <v>Session 2: IP-Posters </v>
      </c>
      <c r="J2282" s="7" t="str">
        <f>IFERROR(__xludf.DUMMYFUNCTION("""COMPUTED_VALUE"""),"Poster Session 1")</f>
        <v>Poster Session 1</v>
      </c>
      <c r="K2282" s="7"/>
      <c r="L2282" s="8">
        <f>IFERROR(__xludf.DUMMYFUNCTION("""COMPUTED_VALUE"""),45866.0)</f>
        <v>45866</v>
      </c>
      <c r="M2282" s="7" t="str">
        <f>IFERROR(__xludf.DUMMYFUNCTION("""COMPUTED_VALUE"""),"11:00-12:30")</f>
        <v>11:00-12:30</v>
      </c>
      <c r="N2282" s="7"/>
    </row>
    <row r="2283">
      <c r="A2283" s="7" t="str">
        <f>IFERROR(__xludf.DUMMYFUNCTION("""COMPUTED_VALUE"""),"1650-MAIN")</f>
        <v>1650-MAIN</v>
      </c>
      <c r="B2283" s="7" t="str">
        <f>IFERROR(__xludf.DUMMYFUNCTION("""COMPUTED_VALUE"""),"PQR: Improving Dense Retrieval via Potential Query Modeling")</f>
        <v>PQR: Improving Dense Retrieval via Potential Query Modeling</v>
      </c>
      <c r="C2283" s="7" t="str">
        <f>IFERROR(__xludf.DUMMYFUNCTION("""COMPUTED_VALUE"""),"Dense retrieval has now become the mainstream paradigm in information retrieval. The core idea of dense retrieval is to align document embeddings with their corresponding query embeddings by maximizing their dot product. The current training data is quite"&amp;" sparse, with each document typically associated with only one or a few labeled queries. However, a single document can be retrieved by multiple different queries. Aligning a document with just one or a limited number of labeled queries results in a loss "&amp;"of its semantic information. In this paper, we propose a training-free Potential Query Retrieval (PQR) framework to address this issue. Specifically, we use a Gaussian mixture distribution to model all potential queries for a document, aiming to capture i"&amp;"ts comprehensive semantic information. To obtain this distribution, we introduce three sampling strategies to sample a large number of potential queries for each document and encode them into a semantic space. Using these sampled queries, we employ the Ex"&amp;"pectation-Maximization algorithm to estimate parameters of the distribution. Finally, we also propose a method to calculate similarity scores between user queries and documents under the PQR framework. Extensive experiments demonstrate the effectiveness o"&amp;"f the proposed method.")</f>
        <v>Dense retrieval has now become the mainstream paradigm in information retrieval. The core idea of dense retrieval is to align document embeddings with their corresponding query embeddings by maximizing their dot product. The current training data is quite sparse, with each document typically associated with only one or a few labeled queries. However, a single document can be retrieved by multiple different queries. Aligning a document with just one or a limited number of labeled queries results in a loss of its semantic information. In this paper, we propose a training-free Potential Query Retrieval (PQR) framework to address this issue. Specifically, we use a Gaussian mixture distribution to model all potential queries for a document, aiming to capture its comprehensive semantic information. To obtain this distribution, we introduce three sampling strategies to sample a large number of potential queries for each document and encode them into a semantic space. Using these sampled queries, we employ the Expectation-Maximization algorithm to estimate parameters of the distribution. Finally, we also propose a method to calculate similarity scores between user queries and documents under the PQR framework. Extensive experiments demonstrate the effectiveness of the proposed method.</v>
      </c>
      <c r="D2283" s="7" t="str">
        <f>IFERROR(__xludf.DUMMYFUNCTION("""COMPUTED_VALUE"""),"Junfeng Kang")</f>
        <v>Junfeng Kang</v>
      </c>
      <c r="E2283" s="7" t="str">
        <f>IFERROR(__xludf.DUMMYFUNCTION("""COMPUTED_VALUE"""),"Yes")</f>
        <v>Yes</v>
      </c>
      <c r="F2283" s="7" t="str">
        <f>IFERROR(__xludf.DUMMYFUNCTION("""COMPUTED_VALUE"""),"V-Presentation")</f>
        <v>V-Presentation</v>
      </c>
      <c r="G2283" s="7" t="str">
        <f>IFERROR(__xludf.DUMMYFUNCTION("""COMPUTED_VALUE"""),"Virtual/Gather")</f>
        <v>Virtual/Gather</v>
      </c>
      <c r="H2283" s="7" t="str">
        <f>IFERROR(__xludf.DUMMYFUNCTION("""COMPUTED_VALUE"""),"Zoom")</f>
        <v>Zoom</v>
      </c>
      <c r="I2283" s="7" t="str">
        <f>IFERROR(__xludf.DUMMYFUNCTION("""COMPUTED_VALUE"""),"Session 7: V--Presentations ")</f>
        <v>Session 7: V--Presentations </v>
      </c>
      <c r="J2283" s="7" t="str">
        <f>IFERROR(__xludf.DUMMYFUNCTION("""COMPUTED_VALUE"""),"Virtual Presentations 2")</f>
        <v>Virtual Presentations 2</v>
      </c>
      <c r="K2283" s="7"/>
      <c r="L2283" s="8"/>
      <c r="M2283" s="7" t="str">
        <f>IFERROR(__xludf.DUMMYFUNCTION("""COMPUTED_VALUE"""),"10:30-12:00")</f>
        <v>10:30-12:00</v>
      </c>
      <c r="N2283" s="7"/>
    </row>
    <row r="2284">
      <c r="A2284" s="7" t="str">
        <f>IFERROR(__xludf.DUMMYFUNCTION("""COMPUTED_VALUE"""),"1651-MAIN")</f>
        <v>1651-MAIN</v>
      </c>
      <c r="B2284" s="7" t="str">
        <f>IFERROR(__xludf.DUMMYFUNCTION("""COMPUTED_VALUE"""),"Do Multimodal Large Language Models Truly See What We Point At? Investigating Indexical, Iconic, and Symbolic Gesture Comprehension")</f>
        <v>Do Multimodal Large Language Models Truly See What We Point At? Investigating Indexical, Iconic, and Symbolic Gesture Comprehension</v>
      </c>
      <c r="C2284" s="7" t="str">
        <f>IFERROR(__xludf.DUMMYFUNCTION("""COMPUTED_VALUE"""),"Understanding hand gestures is essential for human communication, yet it remains unclear how well multimodal large language models (MLLMs) comprehend them. In this paper, we examine MLLMs’ ability to interpret indexical gestures, which require external re"&amp;"ferential grounding, in comparison to iconic gestures, which depict imagery, and symbolic gestures, which are conventionally defined. We hypothesize that MLLMs, lacking real-world referential understanding, will struggle significantly with indexical gestu"&amp;"res. To test this, we manually annotated five gesture type labels to 925 gesture instances from the Miraikan SC Corpus and analyzed gesture descriptions generated by state-of-the-art MLLMs, including GPT-4o. Our findings reveal a consistent weakness acros"&amp;"s models in interpreting indexical gestures, suggesting that MLLMs rely heavily on linguistic priors or commonsense knowledge rather than grounding their interpretations in visual or contextual cues.")</f>
        <v>Understanding hand gestures is essential for human communication, yet it remains unclear how well multimodal large language models (MLLMs) comprehend them. In this paper, we examine MLLMs’ ability to interpret indexical gestures, which require external referential grounding, in comparison to iconic gestures, which depict imagery, and symbolic gestures, which are conventionally defined. We hypothesize that MLLMs, lacking real-world referential understanding, will struggle significantly with indexical gestures. To test this, we manually annotated five gesture type labels to 925 gesture instances from the Miraikan SC Corpus and analyzed gesture descriptions generated by state-of-the-art MLLMs, including GPT-4o. Our findings reveal a consistent weakness across models in interpreting indexical gestures, suggesting that MLLMs rely heavily on linguistic priors or commonsense knowledge rather than grounding their interpretations in visual or contextual cues.</v>
      </c>
      <c r="D2284" s="7" t="str">
        <f>IFERROR(__xludf.DUMMYFUNCTION("""COMPUTED_VALUE"""),"Noriki Nishida")</f>
        <v>Noriki Nishida</v>
      </c>
      <c r="E2284" s="7" t="str">
        <f>IFERROR(__xludf.DUMMYFUNCTION("""COMPUTED_VALUE"""),"Yes")</f>
        <v>Yes</v>
      </c>
      <c r="F2284" s="7" t="str">
        <f>IFERROR(__xludf.DUMMYFUNCTION("""COMPUTED_VALUE"""),"IP-Poster")</f>
        <v>IP-Poster</v>
      </c>
      <c r="G2284" s="7" t="str">
        <f>IFERROR(__xludf.DUMMYFUNCTION("""COMPUTED_VALUE"""),"In-Person")</f>
        <v>In-Person</v>
      </c>
      <c r="H2284" s="7" t="str">
        <f>IFERROR(__xludf.DUMMYFUNCTION("""COMPUTED_VALUE"""),"Hall 4/5")</f>
        <v>Hall 4/5</v>
      </c>
      <c r="I2284" s="7" t="str">
        <f>IFERROR(__xludf.DUMMYFUNCTION("""COMPUTED_VALUE"""),"Session 2: IP-Posters ")</f>
        <v>Session 2: IP-Posters </v>
      </c>
      <c r="J2284" s="7" t="str">
        <f>IFERROR(__xludf.DUMMYFUNCTION("""COMPUTED_VALUE"""),"Poster Session 1")</f>
        <v>Poster Session 1</v>
      </c>
      <c r="K2284" s="7"/>
      <c r="L2284" s="8">
        <f>IFERROR(__xludf.DUMMYFUNCTION("""COMPUTED_VALUE"""),45866.0)</f>
        <v>45866</v>
      </c>
      <c r="M2284" s="7" t="str">
        <f>IFERROR(__xludf.DUMMYFUNCTION("""COMPUTED_VALUE"""),"11:00-12:30")</f>
        <v>11:00-12:30</v>
      </c>
      <c r="N2284" s="7"/>
    </row>
    <row r="2285">
      <c r="A2285" s="7" t="str">
        <f>IFERROR(__xludf.DUMMYFUNCTION("""COMPUTED_VALUE"""),"1653-MAIN")</f>
        <v>1653-MAIN</v>
      </c>
      <c r="B2285" s="7" t="str">
        <f>IFERROR(__xludf.DUMMYFUNCTION("""COMPUTED_VALUE"""),"Cross-lingual Generalization and Compression: From Language-Specific to Shared Neurons")</f>
        <v>Cross-lingual Generalization and Compression: From Language-Specific to Shared Neurons</v>
      </c>
      <c r="C2285" s="7" t="str">
        <f>IFERROR(__xludf.DUMMYFUNCTION("""COMPUTED_VALUE"""),"Multilingual language models (MLLMs) have demonstrated remarkable abilities to transfer knowledge across languages, despite being trained without explicit cross-lingual supervision. We analyze the parameter spaces of three MLLMs to study how their represe"&amp;"ntations evolve during pre-training, observing patterns consistent with compression: models initially form language-specific representations, which gradually converge into cross-lingual abstractions as training progresses. Through probing experiments, we "&amp;"observe a clear transition from uniform language identification capabilities across layers to more specialized layer functions. For deeper analysis, we focus on neurons that encode distinct semantic concepts. By tracing their development during pre-traini"&amp;"ng, we show how they gradually align across languages. Notably, we identify specific neurons that emerge as increasingly reliable predictors for the same concepts across languages. This alignment manifests concretely in generation: once an MLLM exhibits c"&amp;"ross-lingual generalization according to our measures, we can select concept-specific neurons identified from, e.g., Spanish text and manipulate them to guide token predictions. Remarkably, rather than generating Spanish text, the model produces semantica"&amp;"lly coherent English text. This demonstrates that cross-lingually aligned neurons encode generalized semantic representations, independent of the original language encoding.")</f>
        <v>Multilingual language models (MLLMs) have demonstrated remarkable abilities to transfer knowledge across languages, despite being trained without explicit cross-lingual supervision. We analyze the parameter spaces of three MLLMs to study how their representations evolve during pre-training, observing patterns consistent with compression: models initially form language-specific representations, which gradually converge into cross-lingual abstractions as training progresses. Through probing experiments, we observe a clear transition from uniform language identification capabilities across layers to more specialized layer functions. For deeper analysis, we focus on neurons that encode distinct semantic concepts. By tracing their development during pre-training, we show how they gradually align across languages. Notably, we identify specific neurons that emerge as increasingly reliable predictors for the same concepts across languages. This alignment manifests concretely in generation: once an MLLM exhibits cross-lingual generalization according to our measures, we can select concept-specific neurons identified from, e.g., Spanish text and manipulate them to guide token predictions. Remarkably, rather than generating Spanish text, the model produces semantically coherent English text. This demonstrates that cross-lingually aligned neurons encode generalized semantic representations, independent of the original language encoding.</v>
      </c>
      <c r="D2285" s="7" t="str">
        <f>IFERROR(__xludf.DUMMYFUNCTION("""COMPUTED_VALUE"""),"Frederick Riemenschneider")</f>
        <v>Frederick Riemenschneider</v>
      </c>
      <c r="E2285" s="7" t="str">
        <f>IFERROR(__xludf.DUMMYFUNCTION("""COMPUTED_VALUE"""),"Yes")</f>
        <v>Yes</v>
      </c>
      <c r="F2285" s="7" t="str">
        <f>IFERROR(__xludf.DUMMYFUNCTION("""COMPUTED_VALUE"""),"IP-Oral")</f>
        <v>IP-Oral</v>
      </c>
      <c r="G2285" s="7" t="str">
        <f>IFERROR(__xludf.DUMMYFUNCTION("""COMPUTED_VALUE"""),"In-Person")</f>
        <v>In-Person</v>
      </c>
      <c r="H2285" s="7" t="str">
        <f>IFERROR(__xludf.DUMMYFUNCTION("""COMPUTED_VALUE"""),"Room 1.15-16")</f>
        <v>Room 1.15-16</v>
      </c>
      <c r="I2285" s="7" t="str">
        <f>IFERROR(__xludf.DUMMYFUNCTION("""COMPUTED_VALUE"""),"Session 3: IP-Orals")</f>
        <v>Session 3: IP-Orals</v>
      </c>
      <c r="J2285" s="7" t="str">
        <f>IFERROR(__xludf.DUMMYFUNCTION("""COMPUTED_VALUE"""),"Theme track: Generalisation of NLP models")</f>
        <v>Theme track: Generalisation of NLP models</v>
      </c>
      <c r="K2285" s="7"/>
      <c r="L2285" s="8">
        <f>IFERROR(__xludf.DUMMYFUNCTION("""COMPUTED_VALUE"""),45866.0)</f>
        <v>45866</v>
      </c>
      <c r="M2285" s="7" t="str">
        <f>IFERROR(__xludf.DUMMYFUNCTION("""COMPUTED_VALUE"""),"14:00-15:30")</f>
        <v>14:00-15:30</v>
      </c>
      <c r="N2285" s="7">
        <f>IFERROR(__xludf.DUMMYFUNCTION("""COMPUTED_VALUE"""),2.0)</f>
        <v>2</v>
      </c>
    </row>
    <row r="2286">
      <c r="A2286" s="7" t="str">
        <f>IFERROR(__xludf.DUMMYFUNCTION("""COMPUTED_VALUE"""),"1655-MAIN")</f>
        <v>1655-MAIN</v>
      </c>
      <c r="B2286" s="7" t="str">
        <f>IFERROR(__xludf.DUMMYFUNCTION("""COMPUTED_VALUE"""),"SDBench: A Survey-based Domain-specific LLM Benchmarking and Optimization Framework")</f>
        <v>SDBench: A Survey-based Domain-specific LLM Benchmarking and Optimization Framework</v>
      </c>
      <c r="C2286" s="7" t="str">
        <f>IFERROR(__xludf.DUMMYFUNCTION("""COMPUTED_VALUE"""),"The rapid advancement of large language models (LLMs) in recent years has made it feasible to establish domain-specific LLMs for specialized fields. However, in practical development, acquiring domain-specific knowledge often requires a significant amount"&amp;" of professional expert manpower. Moreover, even when domain-specific data is available, the lack of a unified methodology for benchmark dataset establishment often results in uneven data distribution. This imbalance can lead to an inaccurate assessment o"&amp;"f the true model capabilities during the evaluation of domain-specific LLMs. To address these challenges, we introduce **SDBench**, a generic framework for generating evaluation datasets for domain-specific LLMs. This method is also applicable for establi"&amp;"shing the LLM instruction datasets. It significantly reduces the reliance on expert manpower while ensuring that the collected data is uniformly distributed. To validate the effectiveness of this framework, we also present the **BridgeBench**, a novel ben"&amp;"chmark for bridge engineering knowledge, and the **BridgeGPT**, the first LLM specialized in bridge engineering, which can solve bridge engineering tasks.")</f>
        <v>The rapid advancement of large language models (LLMs) in recent years has made it feasible to establish domain-specific LLMs for specialized fields. However, in practical development, acquiring domain-specific knowledge often requires a significant amount of professional expert manpower. Moreover, even when domain-specific data is available, the lack of a unified methodology for benchmark dataset establishment often results in uneven data distribution. This imbalance can lead to an inaccurate assessment of the true model capabilities during the evaluation of domain-specific LLMs. To address these challenges, we introduce **SDBench**, a generic framework for generating evaluation datasets for domain-specific LLMs. This method is also applicable for establishing the LLM instruction datasets. It significantly reduces the reliance on expert manpower while ensuring that the collected data is uniformly distributed. To validate the effectiveness of this framework, we also present the **BridgeBench**, a novel benchmark for bridge engineering knowledge, and the **BridgeGPT**, the first LLM specialized in bridge engineering, which can solve bridge engineering tasks.</v>
      </c>
      <c r="D2286" s="7" t="str">
        <f>IFERROR(__xludf.DUMMYFUNCTION("""COMPUTED_VALUE"""),"Cheng, Guo")</f>
        <v>Cheng, Guo</v>
      </c>
      <c r="E2286" s="7" t="str">
        <f>IFERROR(__xludf.DUMMYFUNCTION("""COMPUTED_VALUE"""),"Yes")</f>
        <v>Yes</v>
      </c>
      <c r="F2286" s="7" t="str">
        <f>IFERROR(__xludf.DUMMYFUNCTION("""COMPUTED_VALUE"""),"IP-Poster")</f>
        <v>IP-Poster</v>
      </c>
      <c r="G2286" s="7" t="str">
        <f>IFERROR(__xludf.DUMMYFUNCTION("""COMPUTED_VALUE"""),"In-Person")</f>
        <v>In-Person</v>
      </c>
      <c r="H2286" s="7" t="str">
        <f>IFERROR(__xludf.DUMMYFUNCTION("""COMPUTED_VALUE"""),"Hall 4/5")</f>
        <v>Hall 4/5</v>
      </c>
      <c r="I2286" s="7" t="str">
        <f>IFERROR(__xludf.DUMMYFUNCTION("""COMPUTED_VALUE"""),"Session 7: IP-Posters")</f>
        <v>Session 7: IP-Posters</v>
      </c>
      <c r="J2286" s="7" t="str">
        <f>IFERROR(__xludf.DUMMYFUNCTION("""COMPUTED_VALUE"""),"Poster Session 2")</f>
        <v>Poster Session 2</v>
      </c>
      <c r="K2286" s="7"/>
      <c r="L2286" s="8">
        <f>IFERROR(__xludf.DUMMYFUNCTION("""COMPUTED_VALUE"""),45867.0)</f>
        <v>45867</v>
      </c>
      <c r="M2286" s="7" t="str">
        <f>IFERROR(__xludf.DUMMYFUNCTION("""COMPUTED_VALUE"""),"10:30-12:00")</f>
        <v>10:30-12:00</v>
      </c>
      <c r="N2286" s="7"/>
    </row>
    <row r="2287">
      <c r="A2287" s="7" t="str">
        <f>IFERROR(__xludf.DUMMYFUNCTION("""COMPUTED_VALUE"""),"1659-MAIN")</f>
        <v>1659-MAIN</v>
      </c>
      <c r="B2287" s="7" t="str">
        <f>IFERROR(__xludf.DUMMYFUNCTION("""COMPUTED_VALUE"""),"ReflecTool: Towards Reflection-Aware Tool-Augmented Clinical Agents")</f>
        <v>ReflecTool: Towards Reflection-Aware Tool-Augmented Clinical Agents</v>
      </c>
      <c r="C2287" s="7" t="str">
        <f>IFERROR(__xludf.DUMMYFUNCTION("""COMPUTED_VALUE"""),"Large Language Models (LLMs) have shown promising potential in the medical domain, assisting with tasks like clinical note generation and patient communication. However, current LLMs are limited to text-based communication, hindering their ability to inte"&amp;"ract with diverse forms of information in clinical environments. Despite clinical agents succeeding in diverse signal interaction, they are oriented to a single clinical scenario and hence fail for broader applications. To evaluate clinical agents holisti"&amp;"cally, we propose ClinicalAgent Bench~(CAB), a comprehensive medical agent benchmark consisting of 18 tasks across five key realistic clinical dimensions. Building on this, we introduce ReflectTool, a novel framework that excels at utilizing domain-specif"&amp;"ic tools within two stages. The first optimization stage progressively enlarges a long-term memory by saving successful solving processes and tool-wise experience of agents in a tiny pre-defined training set. In the following inference stage, ReflectTool "&amp;"can search for supportive successful demonstrations from already built long-term memory to guide the tool selection strategy, and a verifier improves the tool usage according to the tool-wise experience with two verification methods--iterative refinement "&amp;"and candidate selection. Extensive experiments on CAB demonstrate that ReflectTool surpasses the pure LLMs with more than 10 points and the well-established agent-based methods with 3 points, highlighting its adaptability and effectiveness in solving comp"&amp;"lex clinical tasks. Our code and datasets are available at https://github.com/BlueZeros/ReflecTool.")</f>
        <v>Large Language Models (LLMs) have shown promising potential in the medical domain, assisting with tasks like clinical note generation and patient communication. However, current LLMs are limited to text-based communication, hindering their ability to interact with diverse forms of information in clinical environments. Despite clinical agents succeeding in diverse signal interaction, they are oriented to a single clinical scenario and hence fail for broader applications. To evaluate clinical agents holistically, we propose ClinicalAgent Bench~(CAB), a comprehensive medical agent benchmark consisting of 18 tasks across five key realistic clinical dimensions. Building on this, we introduce ReflectTool, a novel framework that excels at utilizing domain-specific tools within two stages. The first optimization stage progressively enlarges a long-term memory by saving successful solving processes and tool-wise experience of agents in a tiny pre-defined training set. In the following inference stage, ReflectTool can search for supportive successful demonstrations from already built long-term memory to guide the tool selection strategy, and a verifier improves the tool usage according to the tool-wise experience with two verification methods--iterative refinement and candidate selection. Extensive experiments on CAB demonstrate that ReflectTool surpasses the pure LLMs with more than 10 points and the well-established agent-based methods with 3 points, highlighting its adaptability and effectiveness in solving complex clinical tasks. Our code and datasets are available at https://github.com/BlueZeros/ReflecTool.</v>
      </c>
      <c r="D2287" s="7" t="str">
        <f>IFERROR(__xludf.DUMMYFUNCTION("""COMPUTED_VALUE"""),"Yusheng Liao")</f>
        <v>Yusheng Liao</v>
      </c>
      <c r="E2287" s="7" t="str">
        <f>IFERROR(__xludf.DUMMYFUNCTION("""COMPUTED_VALUE"""),"Yes")</f>
        <v>Yes</v>
      </c>
      <c r="F2287" s="7" t="str">
        <f>IFERROR(__xludf.DUMMYFUNCTION("""COMPUTED_VALUE"""),"IP-Oral")</f>
        <v>IP-Oral</v>
      </c>
      <c r="G2287" s="7" t="str">
        <f>IFERROR(__xludf.DUMMYFUNCTION("""COMPUTED_VALUE"""),"In-Person")</f>
        <v>In-Person</v>
      </c>
      <c r="H2287" s="7" t="str">
        <f>IFERROR(__xludf.DUMMYFUNCTION("""COMPUTED_VALUE"""),"Hall M.1")</f>
        <v>Hall M.1</v>
      </c>
      <c r="I2287" s="7" t="str">
        <f>IFERROR(__xludf.DUMMYFUNCTION("""COMPUTED_VALUE"""),"Session 11: IP-Orals ")</f>
        <v>Session 11: IP-Orals </v>
      </c>
      <c r="J2287" s="7" t="str">
        <f>IFERROR(__xludf.DUMMYFUNCTION("""COMPUTED_VALUE"""),"NLP Applications 2")</f>
        <v>NLP Applications 2</v>
      </c>
      <c r="K2287" s="7"/>
      <c r="L2287" s="8">
        <f>IFERROR(__xludf.DUMMYFUNCTION("""COMPUTED_VALUE"""),45868.0)</f>
        <v>45868</v>
      </c>
      <c r="M2287" s="7" t="str">
        <f>IFERROR(__xludf.DUMMYFUNCTION("""COMPUTED_VALUE"""),"09:00-10:30")</f>
        <v>09:00-10:30</v>
      </c>
      <c r="N2287" s="7">
        <f>IFERROR(__xludf.DUMMYFUNCTION("""COMPUTED_VALUE"""),3.0)</f>
        <v>3</v>
      </c>
    </row>
    <row r="2288">
      <c r="A2288" s="7" t="str">
        <f>IFERROR(__xludf.DUMMYFUNCTION("""COMPUTED_VALUE"""),"1663-MAIN")</f>
        <v>1663-MAIN</v>
      </c>
      <c r="B2288" s="7" t="str">
        <f>IFERROR(__xludf.DUMMYFUNCTION("""COMPUTED_VALUE"""),"Lexical Recall or Logical Reasoning: Probing the Limits of Reasoning Abilities in Large Language Models")</f>
        <v>Lexical Recall or Logical Reasoning: Probing the Limits of Reasoning Abilities in Large Language Models</v>
      </c>
      <c r="C2288" s="7" t="str">
        <f>IFERROR(__xludf.DUMMYFUNCTION("""COMPUTED_VALUE"""),"Despite the increasing interest in the reasoning abilities of Large Language Models (LLMs), existing work shows limitations in assessing logic abilities independently from lexical memory. We address this gap with Mystery-Zebra. This robust two-part benchm"&amp;"ark (4,290 puzzles) challenges the logic abstraction abilities of LLMs in two setups: (1) a lexical obfuscation setup tests the dependence of LLMs on lexical content based on two canonical grid puzzles widely spread on the Internet; (2) a set of new grid "&amp;"puzzles in 42 different sizes and 12 difficulty levels tests how the formal difficulty degree of a puzzle affects LLMs.
We test open and closed-weight LLMs on both parts of the benchmark. The results on part two suggest that model sizes up to 70B paramete"&amp;"rs have only a minor influence when solving newly generated puzzles, while performance mainly relates to the number of items in the puzzle. The results on the first part of the benchmark suggest that the applied obfuscation strategies help to mitigate eff"&amp;"ects of logic puzzles being part of LLM training data, showing a drastic drop in performance for obfuscated versions of well-known puzzles. In addition we conduct a case-study on the first part of the benchmark predicting the position of single items, unv"&amp;"eiling that the reasoning abilities of LLMs are mainly limited to a few consecutive steps of reasoning.")</f>
        <v>Despite the increasing interest in the reasoning abilities of Large Language Models (LLMs), existing work shows limitations in assessing logic abilities independently from lexical memory. We address this gap with Mystery-Zebra. This robust two-part benchmark (4,290 puzzles) challenges the logic abstraction abilities of LLMs in two setups: (1) a lexical obfuscation setup tests the dependence of LLMs on lexical content based on two canonical grid puzzles widely spread on the Internet; (2) a set of new grid puzzles in 42 different sizes and 12 difficulty levels tests how the formal difficulty degree of a puzzle affects LLMs.
We test open and closed-weight LLMs on both parts of the benchmark. The results on part two suggest that model sizes up to 70B parameters have only a minor influence when solving newly generated puzzles, while performance mainly relates to the number of items in the puzzle. The results on the first part of the benchmark suggest that the applied obfuscation strategies help to mitigate effects of logic puzzles being part of LLM training data, showing a drastic drop in performance for obfuscated versions of well-known puzzles. In addition we conduct a case-study on the first part of the benchmark predicting the position of single items, unveiling that the reasoning abilities of LLMs are mainly limited to a few consecutive steps of reasoning.</v>
      </c>
      <c r="D2288" s="7" t="str">
        <f>IFERROR(__xludf.DUMMYFUNCTION("""COMPUTED_VALUE"""),"Henrike Beyer")</f>
        <v>Henrike Beyer</v>
      </c>
      <c r="E2288" s="7" t="str">
        <f>IFERROR(__xludf.DUMMYFUNCTION("""COMPUTED_VALUE"""),"Yes")</f>
        <v>Yes</v>
      </c>
      <c r="F2288" s="7" t="str">
        <f>IFERROR(__xludf.DUMMYFUNCTION("""COMPUTED_VALUE"""),"IP-Oral")</f>
        <v>IP-Oral</v>
      </c>
      <c r="G2288" s="7" t="str">
        <f>IFERROR(__xludf.DUMMYFUNCTION("""COMPUTED_VALUE"""),"In-Person")</f>
        <v>In-Person</v>
      </c>
      <c r="H2288" s="7" t="str">
        <f>IFERROR(__xludf.DUMMYFUNCTION("""COMPUTED_VALUE"""),"Room 1.15-16")</f>
        <v>Room 1.15-16</v>
      </c>
      <c r="I2288" s="7" t="str">
        <f>IFERROR(__xludf.DUMMYFUNCTION("""COMPUTED_VALUE"""),"Session 3: IP-Orals")</f>
        <v>Session 3: IP-Orals</v>
      </c>
      <c r="J2288" s="7" t="str">
        <f>IFERROR(__xludf.DUMMYFUNCTION("""COMPUTED_VALUE"""),"Theme track: Generalisation of NLP models")</f>
        <v>Theme track: Generalisation of NLP models</v>
      </c>
      <c r="K2288" s="7"/>
      <c r="L2288" s="8">
        <f>IFERROR(__xludf.DUMMYFUNCTION("""COMPUTED_VALUE"""),45866.0)</f>
        <v>45866</v>
      </c>
      <c r="M2288" s="7" t="str">
        <f>IFERROR(__xludf.DUMMYFUNCTION("""COMPUTED_VALUE"""),"14:00-15:30")</f>
        <v>14:00-15:30</v>
      </c>
      <c r="N2288" s="7">
        <f>IFERROR(__xludf.DUMMYFUNCTION("""COMPUTED_VALUE"""),3.0)</f>
        <v>3</v>
      </c>
    </row>
    <row r="2289">
      <c r="A2289" s="7" t="str">
        <f>IFERROR(__xludf.DUMMYFUNCTION("""COMPUTED_VALUE"""),"1665-MAIN")</f>
        <v>1665-MAIN</v>
      </c>
      <c r="B2289" s="7" t="str">
        <f>IFERROR(__xludf.DUMMYFUNCTION("""COMPUTED_VALUE"""),"ChainEdit: Propagating Ripple Effects through Logical Rule-Guided Chain Updates")</f>
        <v>ChainEdit: Propagating Ripple Effects through Logical Rule-Guided Chain Updates</v>
      </c>
      <c r="C2289" s="7" t="str">
        <f>IFERROR(__xludf.DUMMYFUNCTION("""COMPUTED_VALUE"""),"Current knowledge editing methods for large language models (LLMs) struggle to maintain logical consistency when propagating ripple effects to associated facts. We propose ChainEdit, a framework that synergizes knowledge graph-derived logical rules with L"&amp;"LM logical reasoning capabilities to enable systematic chain updates. By automatically extracting logical patterns from structured knowledge bases and aligning them with LLMs' internal logics, ChainEdit dynamically generates and edits logically connected "&amp;"knowledge clusters. Experiments demonstrate an improvement of more than 30% in logical generalization over baselines while preserving editing reliability and specificity. We further address evaluation biases in existing benchmarks through knowledge-aware "&amp;"protocols that disentangle external dependencies. This work establishes new state-of-the-art performance on ripple effect while ensuring internal logical consistency after knowledge editing.")</f>
        <v>Current knowledge editing methods for large language models (LLMs) struggle to maintain logical consistency when propagating ripple effects to associated facts. We propose ChainEdit, a framework that synergizes knowledge graph-derived logical rules with LLM logical reasoning capabilities to enable systematic chain updates. By automatically extracting logical patterns from structured knowledge bases and aligning them with LLMs' internal logics, ChainEdit dynamically generates and edits logically connected knowledge clusters. Experiments demonstrate an improvement of more than 30% in logical generalization over baselines while preserving editing reliability and specificity. We further address evaluation biases in existing benchmarks through knowledge-aware protocols that disentangle external dependencies. This work establishes new state-of-the-art performance on ripple effect while ensuring internal logical consistency after knowledge editing.</v>
      </c>
      <c r="D2289" s="7" t="str">
        <f>IFERROR(__xludf.DUMMYFUNCTION("""COMPUTED_VALUE"""),"Zilu Dong")</f>
        <v>Zilu Dong</v>
      </c>
      <c r="E2289" s="7" t="str">
        <f>IFERROR(__xludf.DUMMYFUNCTION("""COMPUTED_VALUE"""),"Yes")</f>
        <v>Yes</v>
      </c>
      <c r="F2289" s="7" t="str">
        <f>IFERROR(__xludf.DUMMYFUNCTION("""COMPUTED_VALUE"""),"IP-Poster")</f>
        <v>IP-Poster</v>
      </c>
      <c r="G2289" s="7" t="str">
        <f>IFERROR(__xludf.DUMMYFUNCTION("""COMPUTED_VALUE"""),"In-Person")</f>
        <v>In-Person</v>
      </c>
      <c r="H2289" s="7" t="str">
        <f>IFERROR(__xludf.DUMMYFUNCTION("""COMPUTED_VALUE"""),"Hall 4/5")</f>
        <v>Hall 4/5</v>
      </c>
      <c r="I2289" s="7" t="str">
        <f>IFERROR(__xludf.DUMMYFUNCTION("""COMPUTED_VALUE"""),"Session 12: IP-Posters")</f>
        <v>Session 12: IP-Posters</v>
      </c>
      <c r="J2289" s="7" t="str">
        <f>IFERROR(__xludf.DUMMYFUNCTION("""COMPUTED_VALUE"""),"Poster Session 4")</f>
        <v>Poster Session 4</v>
      </c>
      <c r="K2289" s="7"/>
      <c r="L2289" s="8">
        <f>IFERROR(__xludf.DUMMYFUNCTION("""COMPUTED_VALUE"""),45868.0)</f>
        <v>45868</v>
      </c>
      <c r="M2289" s="7" t="str">
        <f>IFERROR(__xludf.DUMMYFUNCTION("""COMPUTED_VALUE"""),"11:00-12:30")</f>
        <v>11:00-12:30</v>
      </c>
      <c r="N2289" s="7"/>
    </row>
    <row r="2290">
      <c r="A2290" s="7" t="str">
        <f>IFERROR(__xludf.DUMMYFUNCTION("""COMPUTED_VALUE"""),"1666-MAIN")</f>
        <v>1666-MAIN</v>
      </c>
      <c r="B2290" s="7" t="str">
        <f>IFERROR(__xludf.DUMMYFUNCTION("""COMPUTED_VALUE"""),"HiDe-LLaVA: Hierarchical Decoupling for Continual Instruction Tuning of Multimodal Large Language Model")</f>
        <v>HiDe-LLaVA: Hierarchical Decoupling for Continual Instruction Tuning of Multimodal Large Language Model</v>
      </c>
      <c r="C2290" s="7" t="str">
        <f>IFERROR(__xludf.DUMMYFUNCTION("""COMPUTED_VALUE"""),"Instruction tuning is widely used to enhance a pre-trained Multimodal Large Language Model (MLLM) to understand and follow human instructions by training it on a curated set of task-specific dataset. However, it is infeasible to collect all possible instr"&amp;"uction datasets simultaneously in real-world scenarios. Thus, enabling MLLM with continual instruction tuning is essential for maintaining their adaptability. However, existing methods often trade off memory efficiency for performance gains, significantly"&amp;" compromising overall efficiency. In this paper, we propose a task-specific expansion and task-general fusion framework based on the variations in Centered Kernel Alignment (CKA) similarity across different model layers when trained on diverse datasets. F"&amp;"urthermore, we analyze the information leakage present in the existing benchmark and propose a new and more challenging benchmark to rationally evaluate the performance of different methods. Comprehensive experiments showcase a significant performance imp"&amp;"rovement of our method compared to existing state-of-the-art methods. Our code will be public available.")</f>
        <v>Instruction tuning is widely used to enhance a pre-trained Multimodal Large Language Model (MLLM) to understand and follow human instructions by training it on a curated set of task-specific dataset. However, it is infeasible to collect all possible instruction datasets simultaneously in real-world scenarios. Thus, enabling MLLM with continual instruction tuning is essential for maintaining their adaptability. However, existing methods often trade off memory efficiency for performance gains, significantly compromising overall efficiency. In this paper, we propose a task-specific expansion and task-general fusion framework based on the variations in Centered Kernel Alignment (CKA) similarity across different model layers when trained on diverse datasets. Furthermore, we analyze the information leakage present in the existing benchmark and propose a new and more challenging benchmark to rationally evaluate the performance of different methods. Comprehensive experiments showcase a significant performance improvement of our method compared to existing state-of-the-art methods. Our code will be public available.</v>
      </c>
      <c r="D2290" s="7" t="str">
        <f>IFERROR(__xludf.DUMMYFUNCTION("""COMPUTED_VALUE"""),"Haiyang Guo")</f>
        <v>Haiyang Guo</v>
      </c>
      <c r="E2290" s="7" t="str">
        <f>IFERROR(__xludf.DUMMYFUNCTION("""COMPUTED_VALUE"""),"Yes")</f>
        <v>Yes</v>
      </c>
      <c r="F2290" s="7" t="str">
        <f>IFERROR(__xludf.DUMMYFUNCTION("""COMPUTED_VALUE"""),"IP-Poster")</f>
        <v>IP-Poster</v>
      </c>
      <c r="G2290" s="7" t="str">
        <f>IFERROR(__xludf.DUMMYFUNCTION("""COMPUTED_VALUE"""),"In-Person")</f>
        <v>In-Person</v>
      </c>
      <c r="H2290" s="7" t="str">
        <f>IFERROR(__xludf.DUMMYFUNCTION("""COMPUTED_VALUE"""),"Hall 4/5")</f>
        <v>Hall 4/5</v>
      </c>
      <c r="I2290" s="7" t="str">
        <f>IFERROR(__xludf.DUMMYFUNCTION("""COMPUTED_VALUE"""),"Session 10: IP-Posters")</f>
        <v>Session 10: IP-Posters</v>
      </c>
      <c r="J2290" s="7" t="str">
        <f>IFERROR(__xludf.DUMMYFUNCTION("""COMPUTED_VALUE"""),"Poster Session 3")</f>
        <v>Poster Session 3</v>
      </c>
      <c r="K2290" s="7"/>
      <c r="L2290" s="8">
        <f>IFERROR(__xludf.DUMMYFUNCTION("""COMPUTED_VALUE"""),45867.0)</f>
        <v>45867</v>
      </c>
      <c r="M2290" s="7" t="str">
        <f>IFERROR(__xludf.DUMMYFUNCTION("""COMPUTED_VALUE"""),"16:00-17:30")</f>
        <v>16:00-17:30</v>
      </c>
      <c r="N2290" s="7"/>
    </row>
    <row r="2291">
      <c r="A2291" s="7" t="str">
        <f>IFERROR(__xludf.DUMMYFUNCTION("""COMPUTED_VALUE"""),"1667-MAIN")</f>
        <v>1667-MAIN</v>
      </c>
      <c r="B2291" s="7" t="str">
        <f>IFERROR(__xludf.DUMMYFUNCTION("""COMPUTED_VALUE"""),"Self-supervised Quantized Representation for Seamlessly Integrating Knowledge Graphs with Large Language Models")</f>
        <v>Self-supervised Quantized Representation for Seamlessly Integrating Knowledge Graphs with Large Language Models</v>
      </c>
      <c r="C2291" s="7" t="str">
        <f>IFERROR(__xludf.DUMMYFUNCTION("""COMPUTED_VALUE"""),"Due to the presence of the natural gap between Knowledge Graph (KG) structures and the natural language, the effective integration of holistic structural information of KGs with Large Language Models (LLMs) has emerged as a significant question. To this e"&amp;"nd, we propose a two-stage framework to learn and apply quantized codes for each entity, aiming for the seamless integration of KGs with LLMs. Firstly, a self-supervised quantized representation (SSQR) method is proposed to compress both KG structural and"&amp;" semantic knowledge into discrete codes (i.e., tokens) that align the format of language sentences. We further design KG instruction-following data by viewing these learned codes as features to directly input to LLMs, thereby achieving seamless integratio"&amp;"n. The experiment results demonstrate that SSQR outperforms existing unsupervised quantized methods, producing more distinguishable codes. Moreover, the fine-tuned LLaMA2 and LLaMA3.1 also have superior performance on KG link prediction and triple classif"&amp;"ication tasks, utilizing only 16 tokens per entity instead of thousands in conventional prompting methods.")</f>
        <v>Due to the presence of the natural gap between Knowledge Graph (KG) structures and the natural language, the effective integration of holistic structural information of KGs with Large Language Models (LLMs) has emerged as a significant question. To this end, we propose a two-stage framework to learn and apply quantized codes for each entity, aiming for the seamless integration of KGs with LLMs. Firstly, a self-supervised quantized representation (SSQR) method is proposed to compress both KG structural and semantic knowledge into discrete codes (i.e., tokens) that align the format of language sentences. We further design KG instruction-following data by viewing these learned codes as features to directly input to LLMs, thereby achieving seamless integration. The experiment results demonstrate that SSQR outperforms existing unsupervised quantized methods, producing more distinguishable codes. Moreover, the fine-tuned LLaMA2 and LLaMA3.1 also have superior performance on KG link prediction and triple classification tasks, utilizing only 16 tokens per entity instead of thousands in conventional prompting methods.</v>
      </c>
      <c r="D2291" s="7" t="str">
        <f>IFERROR(__xludf.DUMMYFUNCTION("""COMPUTED_VALUE"""),"Qika Lin")</f>
        <v>Qika Lin</v>
      </c>
      <c r="E2291" s="7" t="str">
        <f>IFERROR(__xludf.DUMMYFUNCTION("""COMPUTED_VALUE"""),"Yes")</f>
        <v>Yes</v>
      </c>
      <c r="F2291" s="7" t="str">
        <f>IFERROR(__xludf.DUMMYFUNCTION("""COMPUTED_VALUE"""),"IP-Poster")</f>
        <v>IP-Poster</v>
      </c>
      <c r="G2291" s="7" t="str">
        <f>IFERROR(__xludf.DUMMYFUNCTION("""COMPUTED_VALUE"""),"In-Person")</f>
        <v>In-Person</v>
      </c>
      <c r="H2291" s="7" t="str">
        <f>IFERROR(__xludf.DUMMYFUNCTION("""COMPUTED_VALUE"""),"Hall 4/5")</f>
        <v>Hall 4/5</v>
      </c>
      <c r="I2291" s="7" t="str">
        <f>IFERROR(__xludf.DUMMYFUNCTION("""COMPUTED_VALUE"""),"Session 2: IP-Posters ")</f>
        <v>Session 2: IP-Posters </v>
      </c>
      <c r="J2291" s="7" t="str">
        <f>IFERROR(__xludf.DUMMYFUNCTION("""COMPUTED_VALUE"""),"Poster Session 1")</f>
        <v>Poster Session 1</v>
      </c>
      <c r="K2291" s="7"/>
      <c r="L2291" s="8">
        <f>IFERROR(__xludf.DUMMYFUNCTION("""COMPUTED_VALUE"""),45866.0)</f>
        <v>45866</v>
      </c>
      <c r="M2291" s="7" t="str">
        <f>IFERROR(__xludf.DUMMYFUNCTION("""COMPUTED_VALUE"""),"11:00-12:30")</f>
        <v>11:00-12:30</v>
      </c>
      <c r="N2291" s="7"/>
    </row>
    <row r="2292">
      <c r="A2292" s="7" t="str">
        <f>IFERROR(__xludf.DUMMYFUNCTION("""COMPUTED_VALUE"""),"1668-MAIN")</f>
        <v>1668-MAIN</v>
      </c>
      <c r="B2292" s="7" t="str">
        <f>IFERROR(__xludf.DUMMYFUNCTION("""COMPUTED_VALUE"""),"Finite State Automata Inside Transformers with Chain-of-Thought: A Mechanistic Study on State Tracking")</f>
        <v>Finite State Automata Inside Transformers with Chain-of-Thought: A Mechanistic Study on State Tracking</v>
      </c>
      <c r="C2292" s="7" t="str">
        <f>IFERROR(__xludf.DUMMYFUNCTION("""COMPUTED_VALUE"""),"Chain-of-thought (CoT) significantly enhances the performance of large language models (LLMs) across a wide range of tasks, and prior research shows that CoT can theoretically increase expressiveness. However, there is limited mechanistic understanding of"&amp;" the algorithms that Transformer+CoT can learn. Our key contributions are: (1) We evaluate the state tracking capabilities of Transformer+CoT and its variants, confirming the effectiveness of CoT. (2) Next, we identify the circuit (a subset of model compo"&amp;"nents, responsible for tracking the world state), indicating that late-layer MLP neurons play a key role. We propose two metrics, compression and distinction, and show that the neuron sets for each state achieve nearly 100% accuracy, providing evidence of"&amp;" an implicit finite state automaton (FSA) embedded within the model. (3) Additionally, we explore three challenging settings: skipping intermediate steps, introducing data noises, and testing length generalization. Our results demonstrate that Transformer"&amp;"+CoT learns robust algorithms (FSAs), highlighting its resilience in challenging scenarios. Our code is available at https://github.com/IvanChangPKU/FSA.")</f>
        <v>Chain-of-thought (CoT) significantly enhances the performance of large language models (LLMs) across a wide range of tasks, and prior research shows that CoT can theoretically increase expressiveness. However, there is limited mechanistic understanding of the algorithms that Transformer+CoT can learn. Our key contributions are: (1) We evaluate the state tracking capabilities of Transformer+CoT and its variants, confirming the effectiveness of CoT. (2) Next, we identify the circuit (a subset of model components, responsible for tracking the world state), indicating that late-layer MLP neurons play a key role. We propose two metrics, compression and distinction, and show that the neuron sets for each state achieve nearly 100% accuracy, providing evidence of an implicit finite state automaton (FSA) embedded within the model. (3) Additionally, we explore three challenging settings: skipping intermediate steps, introducing data noises, and testing length generalization. Our results demonstrate that Transformer+CoT learns robust algorithms (FSAs), highlighting its resilience in challenging scenarios. Our code is available at https://github.com/IvanChangPKU/FSA.</v>
      </c>
      <c r="D2292" s="7" t="str">
        <f>IFERROR(__xludf.DUMMYFUNCTION("""COMPUTED_VALUE"""),"Yifan Zhang")</f>
        <v>Yifan Zhang</v>
      </c>
      <c r="E2292" s="7" t="str">
        <f>IFERROR(__xludf.DUMMYFUNCTION("""COMPUTED_VALUE"""),"Yes")</f>
        <v>Yes</v>
      </c>
      <c r="F2292" s="7" t="str">
        <f>IFERROR(__xludf.DUMMYFUNCTION("""COMPUTED_VALUE"""),"IP-Oral")</f>
        <v>IP-Oral</v>
      </c>
      <c r="G2292" s="7" t="str">
        <f>IFERROR(__xludf.DUMMYFUNCTION("""COMPUTED_VALUE"""),"In-Person")</f>
        <v>In-Person</v>
      </c>
      <c r="H2292" s="7" t="str">
        <f>IFERROR(__xludf.DUMMYFUNCTION("""COMPUTED_VALUE"""),"Room 1.85")</f>
        <v>Room 1.85</v>
      </c>
      <c r="I2292" s="7" t="str">
        <f>IFERROR(__xludf.DUMMYFUNCTION("""COMPUTED_VALUE"""),"Session 11: IP-Orals ")</f>
        <v>Session 11: IP-Orals </v>
      </c>
      <c r="J2292" s="7" t="str">
        <f>IFERROR(__xludf.DUMMYFUNCTION("""COMPUTED_VALUE"""),"Interpretability and Model Analysis 2")</f>
        <v>Interpretability and Model Analysis 2</v>
      </c>
      <c r="K2292" s="7"/>
      <c r="L2292" s="8">
        <f>IFERROR(__xludf.DUMMYFUNCTION("""COMPUTED_VALUE"""),45868.0)</f>
        <v>45868</v>
      </c>
      <c r="M2292" s="7" t="str">
        <f>IFERROR(__xludf.DUMMYFUNCTION("""COMPUTED_VALUE"""),"09:00-10:30")</f>
        <v>09:00-10:30</v>
      </c>
      <c r="N2292" s="7">
        <f>IFERROR(__xludf.DUMMYFUNCTION("""COMPUTED_VALUE"""),4.0)</f>
        <v>4</v>
      </c>
    </row>
    <row r="2293">
      <c r="A2293" s="7" t="str">
        <f>IFERROR(__xludf.DUMMYFUNCTION("""COMPUTED_VALUE"""),"1669-MAIN")</f>
        <v>1669-MAIN</v>
      </c>
      <c r="B2293" s="7" t="str">
        <f>IFERROR(__xludf.DUMMYFUNCTION("""COMPUTED_VALUE"""),"TeamLoRA: Boosting Low-Rank Adaptation with Expert Collaboration and Competition")</f>
        <v>TeamLoRA: Boosting Low-Rank Adaptation with Expert Collaboration and Competition</v>
      </c>
      <c r="C2293" s="7" t="str">
        <f>IFERROR(__xludf.DUMMYFUNCTION("""COMPUTED_VALUE"""),"While Parameter-Efficient Fine-Tuning (PEFT) methods like Low-Rank Adaptation (LoRA) effectively address resource constraints during fine-tuning, their performance often falls short, especially in multidimensional task scenarios. To address this issue, on"&amp;"e straightforward solution is to introduce task-specific LoRA as domain experts, leveraging the modeling of multiple capabilities of experts and thus enhancing the general capability of multi-task learning.
Although promising, these additional components "&amp;"often add complexity to the training and inference process, contravening the efficiency that PEFT is designed to deliver. Considering this, we introduce an innovative PEFT method, **TeamLoRA**, consisting of a collaboration and competition module for LoRA"&amp;" experts, thus achieving the right balance of effectiveness and efficiency:
**(i)** For *collaboration*, we introduce a novel knowledge sharing and organization mechanism designed to optimize hierarchical learning while enhancing the efficiency of model t"&amp;"raining and inference.
**(ii)** For *competition*, we propose leveraging a game-theoretic interaction mechanism for experts, encouraging experts to transfer their domain-specific knowledge while facing diverse downstream tasks, thus enhancing the performa"&amp;"nce.
By doing so, TeamLoRA elegantly connects the experts as a ``*Team*'' with internal collaboration and competition, enabling a faster and more accurate PEFT paradigm. 
Meanwhile, we curate a **Comprehensive Multi-Task Evaluation (CME)** benchmark to th"&amp;"oroughly assess the capability of multi-task learning. Experiments conducted on our CME and other benchmarks indicate the effectiveness and efficiency of TeamLoRA. Our project is available at https://github.com/DCDmllm/TeamLoRA.")</f>
        <v>While Parameter-Efficient Fine-Tuning (PEFT) methods like Low-Rank Adaptation (LoRA) effectively address resource constraints during fine-tuning, their performance often falls short, especially in multidimensional task scenarios. To address this issue, one straightforward solution is to introduce task-specific LoRA as domain experts, leveraging the modeling of multiple capabilities of experts and thus enhancing the general capability of multi-task learning.
Although promising, these additional components often add complexity to the training and inference process, contravening the efficiency that PEFT is designed to deliver. Considering this, we introduce an innovative PEFT method, **TeamLoRA**, consisting of a collaboration and competition module for LoRA experts, thus achieving the right balance of effectiveness and efficiency:
**(i)** For *collaboration*, we introduce a novel knowledge sharing and organization mechanism designed to optimize hierarchical learning while enhancing the efficiency of model training and inference.
**(ii)** For *competition*, we propose leveraging a game-theoretic interaction mechanism for experts, encouraging experts to transfer their domain-specific knowledge while facing diverse downstream tasks, thus enhancing the performance.
By doing so, TeamLoRA elegantly connects the experts as a ``*Team*'' with internal collaboration and competition, enabling a faster and more accurate PEFT paradigm. 
Meanwhile, we curate a **Comprehensive Multi-Task Evaluation (CME)** benchmark to thoroughly assess the capability of multi-task learning. Experiments conducted on our CME and other benchmarks indicate the effectiveness and efficiency of TeamLoRA. Our project is available at https://github.com/DCDmllm/TeamLoRA.</v>
      </c>
      <c r="D2293" s="7" t="str">
        <f>IFERROR(__xludf.DUMMYFUNCTION("""COMPUTED_VALUE"""),"Tianwei Lin")</f>
        <v>Tianwei Lin</v>
      </c>
      <c r="E2293" s="7" t="str">
        <f>IFERROR(__xludf.DUMMYFUNCTION("""COMPUTED_VALUE"""),"Yes")</f>
        <v>Yes</v>
      </c>
      <c r="F2293" s="7" t="str">
        <f>IFERROR(__xludf.DUMMYFUNCTION("""COMPUTED_VALUE"""),"IP-Poster")</f>
        <v>IP-Poster</v>
      </c>
      <c r="G2293" s="7" t="str">
        <f>IFERROR(__xludf.DUMMYFUNCTION("""COMPUTED_VALUE"""),"In-Person")</f>
        <v>In-Person</v>
      </c>
      <c r="H2293" s="7" t="str">
        <f>IFERROR(__xludf.DUMMYFUNCTION("""COMPUTED_VALUE"""),"Hall 4/5")</f>
        <v>Hall 4/5</v>
      </c>
      <c r="I2293" s="7" t="str">
        <f>IFERROR(__xludf.DUMMYFUNCTION("""COMPUTED_VALUE"""),"Session 2: IP-Posters ")</f>
        <v>Session 2: IP-Posters </v>
      </c>
      <c r="J2293" s="7" t="str">
        <f>IFERROR(__xludf.DUMMYFUNCTION("""COMPUTED_VALUE"""),"Poster Session 1")</f>
        <v>Poster Session 1</v>
      </c>
      <c r="K2293" s="7"/>
      <c r="L2293" s="8">
        <f>IFERROR(__xludf.DUMMYFUNCTION("""COMPUTED_VALUE"""),45866.0)</f>
        <v>45866</v>
      </c>
      <c r="M2293" s="7" t="str">
        <f>IFERROR(__xludf.DUMMYFUNCTION("""COMPUTED_VALUE"""),"11:00-12:30")</f>
        <v>11:00-12:30</v>
      </c>
      <c r="N2293" s="7"/>
    </row>
    <row r="2294">
      <c r="A2294" s="7" t="str">
        <f>IFERROR(__xludf.DUMMYFUNCTION("""COMPUTED_VALUE"""),"1670-MAIN")</f>
        <v>1670-MAIN</v>
      </c>
      <c r="B2294" s="7" t="str">
        <f>IFERROR(__xludf.DUMMYFUNCTION("""COMPUTED_VALUE"""),"CRiskEval: A Chinese Multi-Level Risk Evaluation Benchmark Dataset for Large Language Models")</f>
        <v>CRiskEval: A Chinese Multi-Level Risk Evaluation Benchmark Dataset for Large Language Models</v>
      </c>
      <c r="C2294" s="7" t="str">
        <f>IFERROR(__xludf.DUMMYFUNCTION("""COMPUTED_VALUE"""),"Large language models (LLMs) are possessed of numerous beneficial capabilities, yet their potential inclination harbors unpredictable risks that may materialize in the future. We hence propose CRiskEval, a Chinese dataset meticulously designed for gauging"&amp;" the risk proclivities inherent in LLMs such as resource acquisition and malicious coordination, as part of efforts for proactive preparedness. To curate CRiskEval, we define a new risk taxonomy with 7 types of frontier risks and 4 safety levels, includin"&amp;"g extremely hazardous,moderately hazardous, neutral and safe. We follow the philosophy of tendency evaluation to empirically measure the stated ''desire'' of LLMs via fine-grained multiple-choice question answering. The dataset consists of 14,888 question"&amp;"s that simulate scenarios related to predefined 7 types of frontier risks. Each question is accompanied with 4 answer choices that state opinions or behavioral tendencies corresponding to the question. All answer choices are manually annotated with one of"&amp;" the defined risk levels so that we can easily build a fine-grained frontier risk profile for each assessed LLM. Extensive evaluation with CRiskEval on a spectrum of prevalent Chinese LLMs has unveiled a striking revelation: most models exhibit risk tende"&amp;"ncies of more than 40% (weighted tendency to the four risk levels). Furthermore, a subtle increase in the model's inclination toward urgent self-sustainability, power seeking and other dangerous goals becomes evident as the size of models increases. To pr"&amp;"omote further research on the frontier risk evaluation of LLMs, we publicly release our dataset at https://github.com/tjunlp-lab/CRiskEval.")</f>
        <v>Large language models (LLMs) are possessed of numerous beneficial capabilities, yet their potential inclination harbors unpredictable risks that may materialize in the future. We hence propose CRiskEval, a Chinese dataset meticulously designed for gauging the risk proclivities inherent in LLMs such as resource acquisition and malicious coordination, as part of efforts for proactive preparedness. To curate CRiskEval, we define a new risk taxonomy with 7 types of frontier risks and 4 safety levels, including extremely hazardous,moderately hazardous, neutral and safe. We follow the philosophy of tendency evaluation to empirically measure the stated ''desire'' of LLMs via fine-grained multiple-choice question answering. The dataset consists of 14,888 questions that simulate scenarios related to predefined 7 types of frontier risks. Each question is accompanied with 4 answer choices that state opinions or behavioral tendencies corresponding to the question. All answer choices are manually annotated with one of the defined risk levels so that we can easily build a fine-grained frontier risk profile for each assessed LLM. Extensive evaluation with CRiskEval on a spectrum of prevalent Chinese LLMs has unveiled a striking revelation: most models exhibit risk tendencies of more than 40% (weighted tendency to the four risk levels). Furthermore, a subtle increase in the model's inclination toward urgent self-sustainability, power seeking and other dangerous goals becomes evident as the size of models increases. To promote further research on the frontier risk evaluation of LLMs, we publicly release our dataset at https://github.com/tjunlp-lab/CRiskEval.</v>
      </c>
      <c r="D2294" s="7" t="str">
        <f>IFERROR(__xludf.DUMMYFUNCTION("""COMPUTED_VALUE"""),"Ling Shi")</f>
        <v>Ling Shi</v>
      </c>
      <c r="E2294" s="7" t="str">
        <f>IFERROR(__xludf.DUMMYFUNCTION("""COMPUTED_VALUE"""),"Yes")</f>
        <v>Yes</v>
      </c>
      <c r="F2294" s="7" t="str">
        <f>IFERROR(__xludf.DUMMYFUNCTION("""COMPUTED_VALUE"""),"IP-Poster")</f>
        <v>IP-Poster</v>
      </c>
      <c r="G2294" s="7" t="str">
        <f>IFERROR(__xludf.DUMMYFUNCTION("""COMPUTED_VALUE"""),"In-Person")</f>
        <v>In-Person</v>
      </c>
      <c r="H2294" s="7" t="str">
        <f>IFERROR(__xludf.DUMMYFUNCTION("""COMPUTED_VALUE"""),"Hall 4/5")</f>
        <v>Hall 4/5</v>
      </c>
      <c r="I2294" s="7" t="str">
        <f>IFERROR(__xludf.DUMMYFUNCTION("""COMPUTED_VALUE"""),"Session 12: IP-Posters")</f>
        <v>Session 12: IP-Posters</v>
      </c>
      <c r="J2294" s="7" t="str">
        <f>IFERROR(__xludf.DUMMYFUNCTION("""COMPUTED_VALUE"""),"Poster Session 4")</f>
        <v>Poster Session 4</v>
      </c>
      <c r="K2294" s="7"/>
      <c r="L2294" s="8">
        <f>IFERROR(__xludf.DUMMYFUNCTION("""COMPUTED_VALUE"""),45868.0)</f>
        <v>45868</v>
      </c>
      <c r="M2294" s="7" t="str">
        <f>IFERROR(__xludf.DUMMYFUNCTION("""COMPUTED_VALUE"""),"11:00-12:30")</f>
        <v>11:00-12:30</v>
      </c>
      <c r="N2294" s="7"/>
    </row>
    <row r="2295">
      <c r="A2295" s="7" t="str">
        <f>IFERROR(__xludf.DUMMYFUNCTION("""COMPUTED_VALUE"""),"1683-MAIN")</f>
        <v>1683-MAIN</v>
      </c>
      <c r="B2295" s="7" t="str">
        <f>IFERROR(__xludf.DUMMYFUNCTION("""COMPUTED_VALUE"""),"STUN: Structured-Then-Unstructured Pruning for Scalable MoE Pruning")</f>
        <v>STUN: Structured-Then-Unstructured Pruning for Scalable MoE Pruning</v>
      </c>
      <c r="C2295" s="7" t="str">
        <f>IFERROR(__xludf.DUMMYFUNCTION("""COMPUTED_VALUE"""),"Mixture-of-experts (MoEs) have been adopted for reducing inference costs by sparsely activating experts in large language models (LLMs). Despite these reductions, the massive number of parameters in MoEs still makes them expensive to serve. Conventionally"&amp;", unstructured or structured pruning has been considered to reduce number of parameters. Our key contribution is exploring the interpolation between structured and unstructured pruning, to propose a novel structured-then-unstructured (STUN) approach outpe"&amp;"rforming both of structured or unstructured pruning, especially for MoEs. In the first stage, we show a scalable expert pruning with O(1) forward pass, unlike existing work requiring $O(\frac{k^n}{\sqrt{n}})$ forward passes for $n$ experts that cannot sca"&amp;"le for recent MoEs with hundreds of experts. We then show our expert-pruned MoEs are robust to unstructured pruning to follow. Experiments on Snowflake Arctic and Mixtral shows that our proposal is highly effective-- For Snowflake Arctic, a 480B-sized MoE"&amp;" with 128 experts, our method needs only one H100 and two hours to achieve nearly no loss in performance with 40% sparsity, even in generative tasks such as GSM8K, where state-of-the-art structured or unstructured pruning methods fail. The code is publicl"&amp;"y available.")</f>
        <v>Mixture-of-experts (MoEs) have been adopted for reducing inference costs by sparsely activating experts in large language models (LLMs). Despite these reductions, the massive number of parameters in MoEs still makes them expensive to serve. Conventionally, unstructured or structured pruning has been considered to reduce number of parameters. Our key contribution is exploring the interpolation between structured and unstructured pruning, to propose a novel structured-then-unstructured (STUN) approach outperforming both of structured or unstructured pruning, especially for MoEs. In the first stage, we show a scalable expert pruning with O(1) forward pass, unlike existing work requiring $O(\frac{k^n}{\sqrt{n}})$ forward passes for $n$ experts that cannot scale for recent MoEs with hundreds of experts. We then show our expert-pruned MoEs are robust to unstructured pruning to follow. Experiments on Snowflake Arctic and Mixtral shows that our proposal is highly effective-- For Snowflake Arctic, a 480B-sized MoE with 128 experts, our method needs only one H100 and two hours to achieve nearly no loss in performance with 40% sparsity, even in generative tasks such as GSM8K, where state-of-the-art structured or unstructured pruning methods fail. The code is publicly available.</v>
      </c>
      <c r="D2295" s="7" t="str">
        <f>IFERROR(__xludf.DUMMYFUNCTION("""COMPUTED_VALUE"""),"Jaeseong Lee")</f>
        <v>Jaeseong Lee</v>
      </c>
      <c r="E2295" s="7" t="str">
        <f>IFERROR(__xludf.DUMMYFUNCTION("""COMPUTED_VALUE"""),"Yes")</f>
        <v>Yes</v>
      </c>
      <c r="F2295" s="7" t="str">
        <f>IFERROR(__xludf.DUMMYFUNCTION("""COMPUTED_VALUE"""),"IP-Poster")</f>
        <v>IP-Poster</v>
      </c>
      <c r="G2295" s="7" t="str">
        <f>IFERROR(__xludf.DUMMYFUNCTION("""COMPUTED_VALUE"""),"In-Person")</f>
        <v>In-Person</v>
      </c>
      <c r="H2295" s="7" t="str">
        <f>IFERROR(__xludf.DUMMYFUNCTION("""COMPUTED_VALUE"""),"Hall 4/5")</f>
        <v>Hall 4/5</v>
      </c>
      <c r="I2295" s="7" t="str">
        <f>IFERROR(__xludf.DUMMYFUNCTION("""COMPUTED_VALUE"""),"Session 2: IP-Posters ")</f>
        <v>Session 2: IP-Posters </v>
      </c>
      <c r="J2295" s="7" t="str">
        <f>IFERROR(__xludf.DUMMYFUNCTION("""COMPUTED_VALUE"""),"Poster Session 1")</f>
        <v>Poster Session 1</v>
      </c>
      <c r="K2295" s="7"/>
      <c r="L2295" s="8">
        <f>IFERROR(__xludf.DUMMYFUNCTION("""COMPUTED_VALUE"""),45866.0)</f>
        <v>45866</v>
      </c>
      <c r="M2295" s="7" t="str">
        <f>IFERROR(__xludf.DUMMYFUNCTION("""COMPUTED_VALUE"""),"11:00-12:30")</f>
        <v>11:00-12:30</v>
      </c>
      <c r="N2295" s="7"/>
    </row>
    <row r="2296">
      <c r="A2296" s="7" t="str">
        <f>IFERROR(__xludf.DUMMYFUNCTION("""COMPUTED_VALUE"""),"1685-MAIN")</f>
        <v>1685-MAIN</v>
      </c>
      <c r="B2296" s="7" t="str">
        <f>IFERROR(__xludf.DUMMYFUNCTION("""COMPUTED_VALUE"""),"Mimicking the Familiar: Dynamic Command Generation for Information Theft Attacks in LLM Tool-Learning System")</f>
        <v>Mimicking the Familiar: Dynamic Command Generation for Information Theft Attacks in LLM Tool-Learning System</v>
      </c>
      <c r="C2296" s="7" t="str">
        <f>IFERROR(__xludf.DUMMYFUNCTION("""COMPUTED_VALUE"""),"Information theft attacks pose a significant risk to Large Language Model (LLM) tool-learning systems. Adversaries can inject malicious commands through compromised tools, manipulating LLMs to send sensitive information to these tools, which leads to pote"&amp;"ntial privacy breaches. However, existing attack approaches are black-box oriented and rely on static commands that cannot adapt flexibly to the changes in user queries and the invocation chain of tools. It makes malicious commands more likely to be detec"&amp;"ted by LLM and leads to attack failure. In this paper, we propose AutoCMD, a dynamic attack comment generation approach for information theft attacks in LLM tool-learning systems. Inspired by the concept of mimicking the familiar, AutoCMD is capable of in"&amp;"ferring the information utilized by upstream tools in the toolchain through learning on open-source systems and reinforcement with target system examples, thereby generating more targeted commands for information theft. The evaluation results show that Au"&amp;"toCMD outperforms the baselines with +13.2% $ASR_{Theft}$, and can be generalized to new tool-learning systems to expose their information leakage risks. We also design four defense methods to effectively protect tool-learning systems from the attack.")</f>
        <v>Information theft attacks pose a significant risk to Large Language Model (LLM) tool-learning systems. Adversaries can inject malicious commands through compromised tools, manipulating LLMs to send sensitive information to these tools, which leads to potential privacy breaches. However, existing attack approaches are black-box oriented and rely on static commands that cannot adapt flexibly to the changes in user queries and the invocation chain of tools. It makes malicious commands more likely to be detected by LLM and leads to attack failure. In this paper, we propose AutoCMD, a dynamic attack comment generation approach for information theft attacks in LLM tool-learning systems. Inspired by the concept of mimicking the familiar, AutoCMD is capable of inferring the information utilized by upstream tools in the toolchain through learning on open-source systems and reinforcement with target system examples, thereby generating more targeted commands for information theft. The evaluation results show that AutoCMD outperforms the baselines with +13.2% $ASR_{Theft}$, and can be generalized to new tool-learning systems to expose their information leakage risks. We also design four defense methods to effectively protect tool-learning systems from the attack.</v>
      </c>
      <c r="D2296" s="7" t="str">
        <f>IFERROR(__xludf.DUMMYFUNCTION("""COMPUTED_VALUE"""),"Ziyou Jiang")</f>
        <v>Ziyou Jiang</v>
      </c>
      <c r="E2296" s="7" t="str">
        <f>IFERROR(__xludf.DUMMYFUNCTION("""COMPUTED_VALUE"""),"Yes")</f>
        <v>Yes</v>
      </c>
      <c r="F2296" s="7" t="str">
        <f>IFERROR(__xludf.DUMMYFUNCTION("""COMPUTED_VALUE"""),"IP-Poster")</f>
        <v>IP-Poster</v>
      </c>
      <c r="G2296" s="7" t="str">
        <f>IFERROR(__xludf.DUMMYFUNCTION("""COMPUTED_VALUE"""),"In-Person")</f>
        <v>In-Person</v>
      </c>
      <c r="H2296" s="7" t="str">
        <f>IFERROR(__xludf.DUMMYFUNCTION("""COMPUTED_VALUE"""),"Hall 4/5")</f>
        <v>Hall 4/5</v>
      </c>
      <c r="I2296" s="7" t="str">
        <f>IFERROR(__xludf.DUMMYFUNCTION("""COMPUTED_VALUE"""),"Session 12: IP-Posters")</f>
        <v>Session 12: IP-Posters</v>
      </c>
      <c r="J2296" s="7" t="str">
        <f>IFERROR(__xludf.DUMMYFUNCTION("""COMPUTED_VALUE"""),"Poster Session 4")</f>
        <v>Poster Session 4</v>
      </c>
      <c r="K2296" s="7"/>
      <c r="L2296" s="8">
        <f>IFERROR(__xludf.DUMMYFUNCTION("""COMPUTED_VALUE"""),45868.0)</f>
        <v>45868</v>
      </c>
      <c r="M2296" s="7" t="str">
        <f>IFERROR(__xludf.DUMMYFUNCTION("""COMPUTED_VALUE"""),"11:00-12:30")</f>
        <v>11:00-12:30</v>
      </c>
      <c r="N2296" s="7"/>
    </row>
    <row r="2297">
      <c r="A2297" s="7" t="str">
        <f>IFERROR(__xludf.DUMMYFUNCTION("""COMPUTED_VALUE"""),"1686-MAIN")</f>
        <v>1686-MAIN</v>
      </c>
      <c r="B2297" s="7" t="str">
        <f>IFERROR(__xludf.DUMMYFUNCTION("""COMPUTED_VALUE"""),"FlashAudio: Rectified Flow for Fast and High-Fidelity Text-to-Audio Generation")</f>
        <v>FlashAudio: Rectified Flow for Fast and High-Fidelity Text-to-Audio Generation</v>
      </c>
      <c r="C2297" s="7" t="str">
        <f>IFERROR(__xludf.DUMMYFUNCTION("""COMPUTED_VALUE"""),"Recent advancements in latent diffusion models (LDMs) have markedly enhanced text-to-audio generation, yet their iterative sampling processes impose substantial computational demands, limiting practical deployment. While recent methods utilizing consisten"&amp;"cy-based distillation aim to achieve few-step or single-step inference, their one-step performance is constrained by curved trajectories, preventing them from surpassing traditional diffusion models. In this work, we introduce FlashAudio with rectified fl"&amp;"ows to learn straight flow for fast simulation. To alleviate the inefficient timesteps allocation and suboptimal distribution of noise, FlashAudio optimizes the time distribution of rectified flow with Bifocal Samplers and proposes immiscible flow to mini"&amp;"mize the total distance of data-noise pairs in a batch vias assignment. Furthermore, to address the amplified accumulation error caused by the classifier-free guidance (CFG), we propose Anchored Optimization, which refines the guidance scale by anchoring "&amp;"it to a reference trajectory. Experimental results on text-to-audio generation demonstrate that FlashAudio's one-step generation performance surpasses the diffusion-based models with hundreds of sampling steps on audio quality and enables a sampling speed"&amp;" of 400x faster than real-time on a single NVIDIA 4090Ti GPU. Code will be available at~\url{https://github.com/liuhuadai/FlashAudio}. Audio Samples are available at https://FlashAudio-TTA.github.io/.")</f>
        <v>Recent advancements in latent diffusion models (LDMs) have markedly enhanced text-to-audio generation, yet their iterative sampling processes impose substantial computational demands, limiting practical deployment. While recent methods utilizing consistency-based distillation aim to achieve few-step or single-step inference, their one-step performance is constrained by curved trajectories, preventing them from surpassing traditional diffusion models. In this work, we introduce FlashAudio with rectified flows to learn straight flow for fast simulation. To alleviate the inefficient timesteps allocation and suboptimal distribution of noise, FlashAudio optimizes the time distribution of rectified flow with Bifocal Samplers and proposes immiscible flow to minimize the total distance of data-noise pairs in a batch vias assignment. Furthermore, to address the amplified accumulation error caused by the classifier-free guidance (CFG), we propose Anchored Optimization, which refines the guidance scale by anchoring it to a reference trajectory. Experimental results on text-to-audio generation demonstrate that FlashAudio's one-step generation performance surpasses the diffusion-based models with hundreds of sampling steps on audio quality and enables a sampling speed of 400x faster than real-time on a single NVIDIA 4090Ti GPU. Code will be available at~\url{https://github.com/liuhuadai/FlashAudio}. Audio Samples are available at https://FlashAudio-TTA.github.io/.</v>
      </c>
      <c r="D2297" s="7" t="str">
        <f>IFERROR(__xludf.DUMMYFUNCTION("""COMPUTED_VALUE"""),"Huadai Liu")</f>
        <v>Huadai Liu</v>
      </c>
      <c r="E2297" s="7" t="str">
        <f>IFERROR(__xludf.DUMMYFUNCTION("""COMPUTED_VALUE"""),"Yes")</f>
        <v>Yes</v>
      </c>
      <c r="F2297" s="7" t="str">
        <f>IFERROR(__xludf.DUMMYFUNCTION("""COMPUTED_VALUE"""),"IP-Oral")</f>
        <v>IP-Oral</v>
      </c>
      <c r="G2297" s="7" t="str">
        <f>IFERROR(__xludf.DUMMYFUNCTION("""COMPUTED_VALUE"""),"In-Person")</f>
        <v>In-Person</v>
      </c>
      <c r="H2297" s="7" t="str">
        <f>IFERROR(__xludf.DUMMYFUNCTION("""COMPUTED_VALUE"""),"Room 1.61")</f>
        <v>Room 1.61</v>
      </c>
      <c r="I2297" s="7" t="str">
        <f>IFERROR(__xludf.DUMMYFUNCTION("""COMPUTED_VALUE"""),"Session 9: IP-Orals")</f>
        <v>Session 9: IP-Orals</v>
      </c>
      <c r="J2297" s="7" t="str">
        <f>IFERROR(__xludf.DUMMYFUNCTION("""COMPUTED_VALUE"""),"Speech Processing ")</f>
        <v>Speech Processing </v>
      </c>
      <c r="K2297" s="7"/>
      <c r="L2297" s="8">
        <f>IFERROR(__xludf.DUMMYFUNCTION("""COMPUTED_VALUE"""),45867.0)</f>
        <v>45867</v>
      </c>
      <c r="M2297" s="7" t="str">
        <f>IFERROR(__xludf.DUMMYFUNCTION("""COMPUTED_VALUE"""),"14:00-15:30")</f>
        <v>14:00-15:30</v>
      </c>
      <c r="N2297" s="7">
        <f>IFERROR(__xludf.DUMMYFUNCTION("""COMPUTED_VALUE"""),6.0)</f>
        <v>6</v>
      </c>
    </row>
    <row r="2298">
      <c r="A2298" s="7" t="str">
        <f>IFERROR(__xludf.DUMMYFUNCTION("""COMPUTED_VALUE"""),"1693-MAIN")</f>
        <v>1693-MAIN</v>
      </c>
      <c r="B2298" s="7" t="str">
        <f>IFERROR(__xludf.DUMMYFUNCTION("""COMPUTED_VALUE"""),"How does Misinformation Affect Large Language Model Behaviors and Preferences?")</f>
        <v>How does Misinformation Affect Large Language Model Behaviors and Preferences?</v>
      </c>
      <c r="C2298" s="7" t="str">
        <f>IFERROR(__xludf.DUMMYFUNCTION("""COMPUTED_VALUE"""),"Large Language Models (LLMs) have shown remarkable capabilities in knowledge-intensive tasks, while they remain vulnerable when encountering misinformation. Existing studies have explored the role of LLMs in combating misinformation, but there is still a "&amp;"lack of fine-grained analysis on the specific aspects and extent to which LLMs are influenced by misinformation. To bridge this gap, we present MisBench, the current largest and most comprehensive benchmark for evaluating LLMs' behavior and knowledge pref"&amp;"erence toward misinformation. MisBench consists of 10,346,712 pieces of misinformation, which uniquely considers both knowledge-based conflicts and stylistic variations in misinformation. Empirical results reveal that while LLMs demonstrate comparable abi"&amp;"lities in discerning misinformation, they still remain susceptible to knowledge conflicts and stylistic variations. Based on these findings, we further propose a novel approach called Reconstruct to Discriminate (RtD) to strengthen LLMs' ability to detect"&amp;" misinformation. Our study provides valuable insights into LLMs' interactions with misinformation, and we believe MisBench can serve as an effective benchmark for evaluating LLM-based detectors and enhancing their reliability in real-world applications. C"&amp;"odes and data are available at: https://github.com/GKNL/MisBench.")</f>
        <v>Large Language Models (LLMs) have shown remarkable capabilities in knowledge-intensive tasks, while they remain vulnerable when encountering misinformation. Existing studies have explored the role of LLMs in combating misinformation, but there is still a lack of fine-grained analysis on the specific aspects and extent to which LLMs are influenced by misinformation. To bridge this gap, we present MisBench, the current largest and most comprehensive benchmark for evaluating LLMs' behavior and knowledge preference toward misinformation. MisBench consists of 10,346,712 pieces of misinformation, which uniquely considers both knowledge-based conflicts and stylistic variations in misinformation. Empirical results reveal that while LLMs demonstrate comparable abilities in discerning misinformation, they still remain susceptible to knowledge conflicts and stylistic variations. Based on these findings, we further propose a novel approach called Reconstruct to Discriminate (RtD) to strengthen LLMs' ability to detect misinformation. Our study provides valuable insights into LLMs' interactions with misinformation, and we believe MisBench can serve as an effective benchmark for evaluating LLM-based detectors and enhancing their reliability in real-world applications. Codes and data are available at: https://github.com/GKNL/MisBench.</v>
      </c>
      <c r="D2298" s="7" t="str">
        <f>IFERROR(__xludf.DUMMYFUNCTION("""COMPUTED_VALUE"""),"Miao Peng")</f>
        <v>Miao Peng</v>
      </c>
      <c r="E2298" s="7" t="str">
        <f>IFERROR(__xludf.DUMMYFUNCTION("""COMPUTED_VALUE"""),"Yes")</f>
        <v>Yes</v>
      </c>
      <c r="F2298" s="7" t="str">
        <f>IFERROR(__xludf.DUMMYFUNCTION("""COMPUTED_VALUE"""),"IP-Poster")</f>
        <v>IP-Poster</v>
      </c>
      <c r="G2298" s="7" t="str">
        <f>IFERROR(__xludf.DUMMYFUNCTION("""COMPUTED_VALUE"""),"In-Person")</f>
        <v>In-Person</v>
      </c>
      <c r="H2298" s="7" t="str">
        <f>IFERROR(__xludf.DUMMYFUNCTION("""COMPUTED_VALUE"""),"Hall 4/5")</f>
        <v>Hall 4/5</v>
      </c>
      <c r="I2298" s="7" t="str">
        <f>IFERROR(__xludf.DUMMYFUNCTION("""COMPUTED_VALUE"""),"Session 7: IP-Posters")</f>
        <v>Session 7: IP-Posters</v>
      </c>
      <c r="J2298" s="7" t="str">
        <f>IFERROR(__xludf.DUMMYFUNCTION("""COMPUTED_VALUE"""),"Poster Session 2")</f>
        <v>Poster Session 2</v>
      </c>
      <c r="K2298" s="7"/>
      <c r="L2298" s="8">
        <f>IFERROR(__xludf.DUMMYFUNCTION("""COMPUTED_VALUE"""),45867.0)</f>
        <v>45867</v>
      </c>
      <c r="M2298" s="7" t="str">
        <f>IFERROR(__xludf.DUMMYFUNCTION("""COMPUTED_VALUE"""),"10:30-12:00")</f>
        <v>10:30-12:00</v>
      </c>
      <c r="N2298" s="7"/>
    </row>
    <row r="2299">
      <c r="A2299" s="7" t="str">
        <f>IFERROR(__xludf.DUMMYFUNCTION("""COMPUTED_VALUE"""),"1694-MAIN")</f>
        <v>1694-MAIN</v>
      </c>
      <c r="B2299" s="7" t="str">
        <f>IFERROR(__xludf.DUMMYFUNCTION("""COMPUTED_VALUE"""),"YESciEval: Robust LLM-as-a-Judge for Scientific Question Answering")</f>
        <v>YESciEval: Robust LLM-as-a-Judge for Scientific Question Answering</v>
      </c>
      <c r="C2299" s="7" t="str">
        <f>IFERROR(__xludf.DUMMYFUNCTION("""COMPUTED_VALUE"""),"Large Language Models (LLMs) drive scientific question-answering on modern search engines, yet their evaluation robustness remains underexplored. We introduce YESciEval, an open-source framework that combines fine-grained rubric-based assessment with rein"&amp;"forcement learning to mitigate optimism bias in LLM evaluators. We release multidisciplinary scienceQ&amp;A datasets, including adversarial variants, with evaluation scores from multiple LLMs. Independent of proprietary models and human feedback, our approach"&amp;" enables scalable, cost-free evaluation. By advancing reliable LLM-as-a-judge models, this work supports AI alignment and fosters robust, transparent evaluation essential for scientific inquiry.")</f>
        <v>Large Language Models (LLMs) drive scientific question-answering on modern search engines, yet their evaluation robustness remains underexplored. We introduce YESciEval, an open-source framework that combines fine-grained rubric-based assessment with reinforcement learning to mitigate optimism bias in LLM evaluators. We release multidisciplinary scienceQ&amp;A datasets, including adversarial variants, with evaluation scores from multiple LLMs. Independent of proprietary models and human feedback, our approach enables scalable, cost-free evaluation. By advancing reliable LLM-as-a-judge models, this work supports AI alignment and fosters robust, transparent evaluation essential for scientific inquiry.</v>
      </c>
      <c r="D2299" s="7" t="str">
        <f>IFERROR(__xludf.DUMMYFUNCTION("""COMPUTED_VALUE"""),"Jennifer D'Souza")</f>
        <v>Jennifer D'Souza</v>
      </c>
      <c r="E2299" s="7" t="str">
        <f>IFERROR(__xludf.DUMMYFUNCTION("""COMPUTED_VALUE"""),"Yes")</f>
        <v>Yes</v>
      </c>
      <c r="F2299" s="7" t="str">
        <f>IFERROR(__xludf.DUMMYFUNCTION("""COMPUTED_VALUE"""),"IP-Poster")</f>
        <v>IP-Poster</v>
      </c>
      <c r="G2299" s="7" t="str">
        <f>IFERROR(__xludf.DUMMYFUNCTION("""COMPUTED_VALUE"""),"In-Person")</f>
        <v>In-Person</v>
      </c>
      <c r="H2299" s="7" t="str">
        <f>IFERROR(__xludf.DUMMYFUNCTION("""COMPUTED_VALUE"""),"Hall 4/5")</f>
        <v>Hall 4/5</v>
      </c>
      <c r="I2299" s="7" t="str">
        <f>IFERROR(__xludf.DUMMYFUNCTION("""COMPUTED_VALUE"""),"Session 2: IP-Posters ")</f>
        <v>Session 2: IP-Posters </v>
      </c>
      <c r="J2299" s="7" t="str">
        <f>IFERROR(__xludf.DUMMYFUNCTION("""COMPUTED_VALUE"""),"Poster Session 1")</f>
        <v>Poster Session 1</v>
      </c>
      <c r="K2299" s="7"/>
      <c r="L2299" s="8">
        <f>IFERROR(__xludf.DUMMYFUNCTION("""COMPUTED_VALUE"""),45866.0)</f>
        <v>45866</v>
      </c>
      <c r="M2299" s="7" t="str">
        <f>IFERROR(__xludf.DUMMYFUNCTION("""COMPUTED_VALUE"""),"11:00-12:30")</f>
        <v>11:00-12:30</v>
      </c>
      <c r="N2299" s="7"/>
    </row>
    <row r="2300">
      <c r="A2300" s="7" t="str">
        <f>IFERROR(__xludf.DUMMYFUNCTION("""COMPUTED_VALUE"""),"1696-MAIN")</f>
        <v>1696-MAIN</v>
      </c>
      <c r="B2300" s="7" t="str">
        <f>IFERROR(__xludf.DUMMYFUNCTION("""COMPUTED_VALUE"""),"GALLa: Graph Aligned Large Language Models for Improved Source Code Understanding")</f>
        <v>GALLa: Graph Aligned Large Language Models for Improved Source Code Understanding</v>
      </c>
      <c r="C2300" s="7" t="str">
        <f>IFERROR(__xludf.DUMMYFUNCTION("""COMPUTED_VALUE"""),"Programming languages possess rich semantic information - such as data flow - that is represented by graphs and not available from the surface form of source code. Recent code language models have scaled to billions of parameters, but model source code so"&amp;"lely as text tokens while ignoring any other structural information. Conversely, models that do encode structural information of code make modifications to the Transformer architecture, limiting their scale and compatibility with pretrained LLMs. In this "&amp;"work, we take the best of both worlds with GALLa - Graph Aligned Large Language Models. GALLa utilizes graph neural networks and cross-modal alignment technologies to inject the structural information of code into LLMs as an auxiliary task during finetuni"&amp;"ng. This framework is both model-agnostic and task-agnostic, as it can be applied to any code LLM for any code downstream task, and requires the structural graph data only at training time from a corpus unrelated to the finetuning data, while incurring no"&amp;" cost at inference time over the baseline LLM. Experiments on five code tasks with six different baseline LLMs ranging in size from 350M to 14B validate the effectiveness of GALLa, demonstrating consistent improvement over the baseline, even for powerful "&amp;"models such as LLaMA3 and Qwen2.5-Coder.")</f>
        <v>Programming languages possess rich semantic information - such as data flow - that is represented by graphs and not available from the surface form of source code. Recent code language models have scaled to billions of parameters, but model source code solely as text tokens while ignoring any other structural information. Conversely, models that do encode structural information of code make modifications to the Transformer architecture, limiting their scale and compatibility with pretrained LLMs. In this work, we take the best of both worlds with GALLa - Graph Aligned Large Language Models. GALLa utilizes graph neural networks and cross-modal alignment technologies to inject the structural information of code into LLMs as an auxiliary task during finetuning. This framework is both model-agnostic and task-agnostic, as it can be applied to any code LLM for any code downstream task, and requires the structural graph data only at training time from a corpus unrelated to the finetuning data, while incurring no cost at inference time over the baseline LLM. Experiments on five code tasks with six different baseline LLMs ranging in size from 350M to 14B validate the effectiveness of GALLa, demonstrating consistent improvement over the baseline, even for powerful models such as LLaMA3 and Qwen2.5-Coder.</v>
      </c>
      <c r="D2300" s="7" t="str">
        <f>IFERROR(__xludf.DUMMYFUNCTION("""COMPUTED_VALUE"""),"Ziyin Zhang")</f>
        <v>Ziyin Zhang</v>
      </c>
      <c r="E2300" s="7" t="str">
        <f>IFERROR(__xludf.DUMMYFUNCTION("""COMPUTED_VALUE"""),"Yes")</f>
        <v>Yes</v>
      </c>
      <c r="F2300" s="7" t="str">
        <f>IFERROR(__xludf.DUMMYFUNCTION("""COMPUTED_VALUE"""),"IP-Poster")</f>
        <v>IP-Poster</v>
      </c>
      <c r="G2300" s="7" t="str">
        <f>IFERROR(__xludf.DUMMYFUNCTION("""COMPUTED_VALUE"""),"In-Person")</f>
        <v>In-Person</v>
      </c>
      <c r="H2300" s="7" t="str">
        <f>IFERROR(__xludf.DUMMYFUNCTION("""COMPUTED_VALUE"""),"Hall 4/5")</f>
        <v>Hall 4/5</v>
      </c>
      <c r="I2300" s="7" t="str">
        <f>IFERROR(__xludf.DUMMYFUNCTION("""COMPUTED_VALUE"""),"Session 10: IP-Posters")</f>
        <v>Session 10: IP-Posters</v>
      </c>
      <c r="J2300" s="7" t="str">
        <f>IFERROR(__xludf.DUMMYFUNCTION("""COMPUTED_VALUE"""),"Poster Session 3")</f>
        <v>Poster Session 3</v>
      </c>
      <c r="K2300" s="7"/>
      <c r="L2300" s="8">
        <f>IFERROR(__xludf.DUMMYFUNCTION("""COMPUTED_VALUE"""),45867.0)</f>
        <v>45867</v>
      </c>
      <c r="M2300" s="7" t="str">
        <f>IFERROR(__xludf.DUMMYFUNCTION("""COMPUTED_VALUE"""),"16:00-17:30")</f>
        <v>16:00-17:30</v>
      </c>
      <c r="N2300" s="7"/>
    </row>
    <row r="2301">
      <c r="A2301" s="7" t="str">
        <f>IFERROR(__xludf.DUMMYFUNCTION("""COMPUTED_VALUE"""),"1697-MAIN")</f>
        <v>1697-MAIN</v>
      </c>
      <c r="B2301" s="7" t="str">
        <f>IFERROR(__xludf.DUMMYFUNCTION("""COMPUTED_VALUE"""),"MEDDxAgent: A Unified Modular Agent Framework for Explainable Automatic Differential Diagnosis")</f>
        <v>MEDDxAgent: A Unified Modular Agent Framework for Explainable Automatic Differential Diagnosis</v>
      </c>
      <c r="C2301" s="7" t="str">
        <f>IFERROR(__xludf.DUMMYFUNCTION("""COMPUTED_VALUE"""),"Differential Diagnosis (DDx) is a fundamental yet complex aspect of clinical decision-making, in which physicians iteratively refine a ranked list of possible diseases based on symptoms, antecedents, and medical knowledge. While recent advances in large l"&amp;"anguage models (LLMs) have shown promise in supporting DDx, existing approaches face key limitations, including single-dataset evaluations, isolated optimization of components, unrealistic assumptions about complete patient profiles, and single-attempt di"&amp;"agnosis. We introduce a Modular Explainable DDx Agent (MEDDxAgent) framework designed for interactive DDx, where diagnostic reasoning evolves through iterative learning, rather than assuming a complete patient profile is accessible. MEDDxAgent integrates "&amp;"three modular components: (1) an orchestrator (DDxDriver), (2) a history taking simulator, and (3) two specialized agents for knowledge retrieval and diagnosis strategy. To ensure robust evaluation, we introduce a comprehensive DDx benchmark covering resp"&amp;"iratory, skin, and rare diseases.  We analyze single-turn diagnostic approaches and demonstrate the importance of iterative refinement when patient profiles are not available at the outset. Our broad evaluation demonstrates that MEDDxAgent achieves over 1"&amp;"0% accuracy improvements in interactive DDx across both large and small LLMs, while offering critical explainability into its diagnostic reasoning process.")</f>
        <v>Differential Diagnosis (DDx) is a fundamental yet complex aspect of clinical decision-making, in which physicians iteratively refine a ranked list of possible diseases based on symptoms, antecedents, and medical knowledge. While recent advances in large language models (LLMs) have shown promise in supporting DDx, existing approaches face key limitations, including single-dataset evaluations, isolated optimization of components, unrealistic assumptions about complete patient profiles, and single-attempt diagnosis. We introduce a Modular Explainable DDx Agent (MEDDxAgent) framework designed for interactive DDx, where diagnostic reasoning evolves through iterative learning, rather than assuming a complete patient profile is accessible. MEDDxAgent integrates three modular components: (1) an orchestrator (DDxDriver), (2) a history taking simulator, and (3) two specialized agents for knowledge retrieval and diagnosis strategy. To ensure robust evaluation, we introduce a comprehensive DDx benchmark covering respiratory, skin, and rare diseases.  We analyze single-turn diagnostic approaches and demonstrate the importance of iterative refinement when patient profiles are not available at the outset. Our broad evaluation demonstrates that MEDDxAgent achieves over 10% accuracy improvements in interactive DDx across both large and small LLMs, while offering critical explainability into its diagnostic reasoning process.</v>
      </c>
      <c r="D2301" s="7" t="str">
        <f>IFERROR(__xludf.DUMMYFUNCTION("""COMPUTED_VALUE"""),"Daniel Rose
Chia-Chien Hung")</f>
        <v>Daniel Rose
Chia-Chien Hung</v>
      </c>
      <c r="E2301" s="7" t="str">
        <f>IFERROR(__xludf.DUMMYFUNCTION("""COMPUTED_VALUE"""),"Yes")</f>
        <v>Yes</v>
      </c>
      <c r="F2301" s="7" t="str">
        <f>IFERROR(__xludf.DUMMYFUNCTION("""COMPUTED_VALUE"""),"IP-Poster")</f>
        <v>IP-Poster</v>
      </c>
      <c r="G2301" s="7" t="str">
        <f>IFERROR(__xludf.DUMMYFUNCTION("""COMPUTED_VALUE"""),"In-Person")</f>
        <v>In-Person</v>
      </c>
      <c r="H2301" s="7" t="str">
        <f>IFERROR(__xludf.DUMMYFUNCTION("""COMPUTED_VALUE"""),"Hall 4/5")</f>
        <v>Hall 4/5</v>
      </c>
      <c r="I2301" s="7" t="str">
        <f>IFERROR(__xludf.DUMMYFUNCTION("""COMPUTED_VALUE"""),"Session 12: IP-Posters")</f>
        <v>Session 12: IP-Posters</v>
      </c>
      <c r="J2301" s="7" t="str">
        <f>IFERROR(__xludf.DUMMYFUNCTION("""COMPUTED_VALUE"""),"Poster Session 4")</f>
        <v>Poster Session 4</v>
      </c>
      <c r="K2301" s="7"/>
      <c r="L2301" s="8">
        <f>IFERROR(__xludf.DUMMYFUNCTION("""COMPUTED_VALUE"""),45868.0)</f>
        <v>45868</v>
      </c>
      <c r="M2301" s="7" t="str">
        <f>IFERROR(__xludf.DUMMYFUNCTION("""COMPUTED_VALUE"""),"11:00-12:30")</f>
        <v>11:00-12:30</v>
      </c>
      <c r="N2301" s="7"/>
    </row>
    <row r="2302">
      <c r="A2302" s="7" t="str">
        <f>IFERROR(__xludf.DUMMYFUNCTION("""COMPUTED_VALUE"""),"1698-MAIN")</f>
        <v>1698-MAIN</v>
      </c>
      <c r="B2302" s="7" t="str">
        <f>IFERROR(__xludf.DUMMYFUNCTION("""COMPUTED_VALUE"""),"A Training-free LLM-based Approach to General Chinese Character Error Correction")</f>
        <v>A Training-free LLM-based Approach to General Chinese Character Error Correction</v>
      </c>
      <c r="C2302" s="7" t="str">
        <f>IFERROR(__xludf.DUMMYFUNCTION("""COMPUTED_VALUE"""),"Chinese spelling correction (CSC) is a crucial task that aims to correct character errors in Chinese text. While conventional CSC focuses on character substitution errors caused by mistyping, two other common types of character errors, missing and redunda"&amp;"nt characters, have received less attention. These errors are often excluded from CSC datasets during the annotation process or ignored during evaluation, even when they have been annotated. This issue limits the practicality of the CSC task. To address t"&amp;"his issue, we introduce the task of General Chinese Character Error Correction (C2EC), which focuses on all three types of character errors. We construct a high-quality C2EC benchmark by combining and manually verifying data from CCTC and Lemon datasets. "&amp;"We extend the training-free prompt-free CSC method to C2EC by using Levenshtein distance for handling length changes and leveraging an additional prompt-based large language model (LLM) to improve performance. Experiments show that our method enables a 14"&amp;"B-parameter LLM to be on par with models nearly 50 times larger on both conventional CSC and C2EC tasks, without any fine-tuning.")</f>
        <v>Chinese spelling correction (CSC) is a crucial task that aims to correct character errors in Chinese text. While conventional CSC focuses on character substitution errors caused by mistyping, two other common types of character errors, missing and redundant characters, have received less attention. These errors are often excluded from CSC datasets during the annotation process or ignored during evaluation, even when they have been annotated. This issue limits the practicality of the CSC task. To address this issue, we introduce the task of General Chinese Character Error Correction (C2EC), which focuses on all three types of character errors. We construct a high-quality C2EC benchmark by combining and manually verifying data from CCTC and Lemon datasets. We extend the training-free prompt-free CSC method to C2EC by using Levenshtein distance for handling length changes and leveraging an additional prompt-based large language model (LLM) to improve performance. Experiments show that our method enables a 14B-parameter LLM to be on par with models nearly 50 times larger on both conventional CSC and C2EC tasks, without any fine-tuning.</v>
      </c>
      <c r="D2302" s="7" t="str">
        <f>IFERROR(__xludf.DUMMYFUNCTION("""COMPUTED_VALUE"""),"Houquan Zhou")</f>
        <v>Houquan Zhou</v>
      </c>
      <c r="E2302" s="7" t="str">
        <f>IFERROR(__xludf.DUMMYFUNCTION("""COMPUTED_VALUE"""),"Yes")</f>
        <v>Yes</v>
      </c>
      <c r="F2302" s="7" t="str">
        <f>IFERROR(__xludf.DUMMYFUNCTION("""COMPUTED_VALUE"""),"IP-Poster")</f>
        <v>IP-Poster</v>
      </c>
      <c r="G2302" s="7" t="str">
        <f>IFERROR(__xludf.DUMMYFUNCTION("""COMPUTED_VALUE"""),"In-Person")</f>
        <v>In-Person</v>
      </c>
      <c r="H2302" s="7" t="str">
        <f>IFERROR(__xludf.DUMMYFUNCTION("""COMPUTED_VALUE"""),"Hall 4/5")</f>
        <v>Hall 4/5</v>
      </c>
      <c r="I2302" s="7" t="str">
        <f>IFERROR(__xludf.DUMMYFUNCTION("""COMPUTED_VALUE"""),"Session 12: IP-Posters")</f>
        <v>Session 12: IP-Posters</v>
      </c>
      <c r="J2302" s="7" t="str">
        <f>IFERROR(__xludf.DUMMYFUNCTION("""COMPUTED_VALUE"""),"Poster Session 4")</f>
        <v>Poster Session 4</v>
      </c>
      <c r="K2302" s="7"/>
      <c r="L2302" s="8">
        <f>IFERROR(__xludf.DUMMYFUNCTION("""COMPUTED_VALUE"""),45868.0)</f>
        <v>45868</v>
      </c>
      <c r="M2302" s="7" t="str">
        <f>IFERROR(__xludf.DUMMYFUNCTION("""COMPUTED_VALUE"""),"11:00-12:30")</f>
        <v>11:00-12:30</v>
      </c>
      <c r="N2302" s="7"/>
    </row>
    <row r="2303">
      <c r="A2303" s="7" t="str">
        <f>IFERROR(__xludf.DUMMYFUNCTION("""COMPUTED_VALUE"""),"1707-MAIN")</f>
        <v>1707-MAIN</v>
      </c>
      <c r="B2303" s="7" t="str">
        <f>IFERROR(__xludf.DUMMYFUNCTION("""COMPUTED_VALUE"""),"HSCR: Hierarchical Self-Contrastive Rewarding for Aligning Medical Vision Language Models")</f>
        <v>HSCR: Hierarchical Self-Contrastive Rewarding for Aligning Medical Vision Language Models</v>
      </c>
      <c r="C2303" s="7" t="str">
        <f>IFERROR(__xludf.DUMMYFUNCTION("""COMPUTED_VALUE"""),"Medical Vision-Language Models (Med-VLMs) have achieved success across various tasks, yet most existing methods overlook the modality misalignment issue that can lead to untrustworthy responses in clinical settings. 
In this paper,  we propose Hierarchica"&amp;"l Self-Contrastive Rewarding (HSCR), a novel approach that addresses two critical challenges in Med-VLM alignment: 1) Cost-effective generation of high-quality preference data; 2) Capturing nuanced and context-aware preferences for improved alignment. 
HS"&amp;"CR first leverages the inherent capability of Med-VLMs to generate dispreferred responses with higher sampling probability. By analyzing output logit shifts after visual token dropout, we identify modality-coupled tokens that induce misalignment and deriv"&amp;"e an implicit alignment reward function. This function guides token replacement with hallucinated ones during decoding, producing high-quality dispreferred data. Furthermore, HSCR introduces a multi-level preference optimization strategy, which extends be"&amp;"yond traditional adjacent-level optimization by incorporating nuanced implicit preferences, leveraging relative quality in dispreferred data to capture subtle alignment cues for more precise and context-aware optimization. Extensive experiments across mul"&amp;"tiple medical tasks, including Med-VQA, medical image captioning and instruction following, demonstrate that HSCR not only enhances zero-shot performance but also significantly improves modality alignment and trustworthiness with just 2,000 training entri"&amp;"es. Code is released on https://github.com/jiangsongtao/HSCR.")</f>
        <v>Medical Vision-Language Models (Med-VLMs) have achieved success across various tasks, yet most existing methods overlook the modality misalignment issue that can lead to untrustworthy responses in clinical settings. 
In this paper,  we propose Hierarchical Self-Contrastive Rewarding (HSCR), a novel approach that addresses two critical challenges in Med-VLM alignment: 1) Cost-effective generation of high-quality preference data; 2) Capturing nuanced and context-aware preferences for improved alignment. 
HSCR first leverages the inherent capability of Med-VLMs to generate dispreferred responses with higher sampling probability. By analyzing output logit shifts after visual token dropout, we identify modality-coupled tokens that induce misalignment and derive an implicit alignment reward function. This function guides token replacement with hallucinated ones during decoding, producing high-quality dispreferred data. Furthermore, HSCR introduces a multi-level preference optimization strategy, which extends beyond traditional adjacent-level optimization by incorporating nuanced implicit preferences, leveraging relative quality in dispreferred data to capture subtle alignment cues for more precise and context-aware optimization. Extensive experiments across multiple medical tasks, including Med-VQA, medical image captioning and instruction following, demonstrate that HSCR not only enhances zero-shot performance but also significantly improves modality alignment and trustworthiness with just 2,000 training entries. Code is released on https://github.com/jiangsongtao/HSCR.</v>
      </c>
      <c r="D2303" s="7" t="str">
        <f>IFERROR(__xludf.DUMMYFUNCTION("""COMPUTED_VALUE"""),"Songtao Jiang")</f>
        <v>Songtao Jiang</v>
      </c>
      <c r="E2303" s="7" t="str">
        <f>IFERROR(__xludf.DUMMYFUNCTION("""COMPUTED_VALUE"""),"Yes")</f>
        <v>Yes</v>
      </c>
      <c r="F2303" s="7" t="str">
        <f>IFERROR(__xludf.DUMMYFUNCTION("""COMPUTED_VALUE"""),"IP-Poster")</f>
        <v>IP-Poster</v>
      </c>
      <c r="G2303" s="7" t="str">
        <f>IFERROR(__xludf.DUMMYFUNCTION("""COMPUTED_VALUE"""),"In-Person")</f>
        <v>In-Person</v>
      </c>
      <c r="H2303" s="7" t="str">
        <f>IFERROR(__xludf.DUMMYFUNCTION("""COMPUTED_VALUE"""),"Hall 4/5")</f>
        <v>Hall 4/5</v>
      </c>
      <c r="I2303" s="7" t="str">
        <f>IFERROR(__xludf.DUMMYFUNCTION("""COMPUTED_VALUE"""),"Session 7: IP-Posters")</f>
        <v>Session 7: IP-Posters</v>
      </c>
      <c r="J2303" s="7" t="str">
        <f>IFERROR(__xludf.DUMMYFUNCTION("""COMPUTED_VALUE"""),"Poster Session 2")</f>
        <v>Poster Session 2</v>
      </c>
      <c r="K2303" s="7"/>
      <c r="L2303" s="8">
        <f>IFERROR(__xludf.DUMMYFUNCTION("""COMPUTED_VALUE"""),45867.0)</f>
        <v>45867</v>
      </c>
      <c r="M2303" s="7" t="str">
        <f>IFERROR(__xludf.DUMMYFUNCTION("""COMPUTED_VALUE"""),"10:30-12:00")</f>
        <v>10:30-12:00</v>
      </c>
      <c r="N2303" s="7"/>
    </row>
    <row r="2304">
      <c r="A2304" s="7" t="str">
        <f>IFERROR(__xludf.DUMMYFUNCTION("""COMPUTED_VALUE"""),"1714-MAIN")</f>
        <v>1714-MAIN</v>
      </c>
      <c r="B2304" s="7" t="str">
        <f>IFERROR(__xludf.DUMMYFUNCTION("""COMPUTED_VALUE"""),"MAmmoTH-VL: Eliciting Multimodal Reasoning with Instruction Tuning at Scale")</f>
        <v>MAmmoTH-VL: Eliciting Multimodal Reasoning with Instruction Tuning at Scale</v>
      </c>
      <c r="C2304" s="7" t="str">
        <f>IFERROR(__xludf.DUMMYFUNCTION("""COMPUTED_VALUE"""),"Open-source multimodal large language models (MLLMs) have shown significant potential in a broad range of tasks. However, their reasoning capabilities remain constrained by existing instruction-tuning datasets, which were predominately repurposed from aca"&amp;"demic datasets such as VQA, AI2D, and ChartQA. These datasets target simplistic tasks, and only provide phrase-level answers without any intermediate rationales.To address these challenges, we introduce a scalable and cost-effective method to construct a "&amp;"large-scale multimodal instruction-tuning dataset with rich intermediate rationales designed to elicit CoT reasoning. Using only open models, we create a dataset containing 12M instruction-response pairs to cover diverse reasoning-intensive tasks.Experime"&amp;"nts demonstrate that training MLLMs on our dataset not only significantly improves reasoning capabilities, achieving state-of-the-art performance on benchmarks such as MathVerse (+8.1%), MMMU-Pro (+7%), and MuirBench (+13.3%), but also gains improvements "&amp;"of up to 4% on non-reasoning-based benchmarks.")</f>
        <v>Open-source multimodal large language models (MLLMs) have shown significant potential in a broad range of tasks. However, their reasoning capabilities remain constrained by existing instruction-tuning datasets, which were predominately repurposed from academic datasets such as VQA, AI2D, and ChartQA. These datasets target simplistic tasks, and only provide phrase-level answers without any intermediate rationales.To address these challenges, we introduce a scalable and cost-effective method to construct a large-scale multimodal instruction-tuning dataset with rich intermediate rationales designed to elicit CoT reasoning. Using only open models, we create a dataset containing 12M instruction-response pairs to cover diverse reasoning-intensive tasks.Experiments demonstrate that training MLLMs on our dataset not only significantly improves reasoning capabilities, achieving state-of-the-art performance on benchmarks such as MathVerse (+8.1%), MMMU-Pro (+7%), and MuirBench (+13.3%), but also gains improvements of up to 4% on non-reasoning-based benchmarks.</v>
      </c>
      <c r="D2304" s="7" t="str">
        <f>IFERROR(__xludf.DUMMYFUNCTION("""COMPUTED_VALUE"""),"Jarvis Guo")</f>
        <v>Jarvis Guo</v>
      </c>
      <c r="E2304" s="7" t="str">
        <f>IFERROR(__xludf.DUMMYFUNCTION("""COMPUTED_VALUE"""),"Yes")</f>
        <v>Yes</v>
      </c>
      <c r="F2304" s="7" t="str">
        <f>IFERROR(__xludf.DUMMYFUNCTION("""COMPUTED_VALUE"""),"IP-Poster")</f>
        <v>IP-Poster</v>
      </c>
      <c r="G2304" s="7" t="str">
        <f>IFERROR(__xludf.DUMMYFUNCTION("""COMPUTED_VALUE"""),"In-Person")</f>
        <v>In-Person</v>
      </c>
      <c r="H2304" s="7" t="str">
        <f>IFERROR(__xludf.DUMMYFUNCTION("""COMPUTED_VALUE"""),"Hall 4/5")</f>
        <v>Hall 4/5</v>
      </c>
      <c r="I2304" s="7" t="str">
        <f>IFERROR(__xludf.DUMMYFUNCTION("""COMPUTED_VALUE"""),"Session 2: IP-Posters ")</f>
        <v>Session 2: IP-Posters </v>
      </c>
      <c r="J2304" s="7" t="str">
        <f>IFERROR(__xludf.DUMMYFUNCTION("""COMPUTED_VALUE"""),"Poster Session 1")</f>
        <v>Poster Session 1</v>
      </c>
      <c r="K2304" s="7"/>
      <c r="L2304" s="8">
        <f>IFERROR(__xludf.DUMMYFUNCTION("""COMPUTED_VALUE"""),45866.0)</f>
        <v>45866</v>
      </c>
      <c r="M2304" s="7" t="str">
        <f>IFERROR(__xludf.DUMMYFUNCTION("""COMPUTED_VALUE"""),"11:00-12:30")</f>
        <v>11:00-12:30</v>
      </c>
      <c r="N2304" s="7"/>
    </row>
    <row r="2305">
      <c r="A2305" s="7" t="str">
        <f>IFERROR(__xludf.DUMMYFUNCTION("""COMPUTED_VALUE"""),"1715-MAIN")</f>
        <v>1715-MAIN</v>
      </c>
      <c r="B2305" s="7" t="str">
        <f>IFERROR(__xludf.DUMMYFUNCTION("""COMPUTED_VALUE"""),"SIFT-50M: A Large-Scale Multilingual Dataset for Speech Instruction Fine-Tuning")</f>
        <v>SIFT-50M: A Large-Scale Multilingual Dataset for Speech Instruction Fine-Tuning</v>
      </c>
      <c r="C2305" s="7" t="str">
        <f>IFERROR(__xludf.DUMMYFUNCTION("""COMPUTED_VALUE"""),"We introduce SIFT (Speech Instruction Fine-Tuning), a 50M-example dataset designed for instruction fine-tuning and pre-training of speech-text large language models (LLMs). SIFT-50M is built from publicly available speech corpora, which collectively conta"&amp;"in 14K hours of speech, and leverages LLMs along with off-the-shelf expert models. The dataset spans five languages, encompassing a diverse range of speech understanding as well as controllable speech generation instructions. Using SIFT-50M, we train SIFT"&amp;"-LLM, which outperforms existing speech-text LLMs on instruction-following benchmarks while achieving competitive performance on foundational speech tasks. To support further research, we also introduce EvalSIFT, a benchmark dataset specifically designed "&amp;"to evaluate the instruction-following capabilities of speech-text LLMs.")</f>
        <v>We introduce SIFT (Speech Instruction Fine-Tuning), a 50M-example dataset designed for instruction fine-tuning and pre-training of speech-text large language models (LLMs). SIFT-50M is built from publicly available speech corpora, which collectively contain 14K hours of speech, and leverages LLMs along with off-the-shelf expert models. The dataset spans five languages, encompassing a diverse range of speech understanding as well as controllable speech generation instructions. Using SIFT-50M, we train SIFT-LLM, which outperforms existing speech-text LLMs on instruction-following benchmarks while achieving competitive performance on foundational speech tasks. To support further research, we also introduce EvalSIFT, a benchmark dataset specifically designed to evaluate the instruction-following capabilities of speech-text LLMs.</v>
      </c>
      <c r="D2305" s="7" t="str">
        <f>IFERROR(__xludf.DUMMYFUNCTION("""COMPUTED_VALUE"""),"Prabhat Pandey")</f>
        <v>Prabhat Pandey</v>
      </c>
      <c r="E2305" s="7" t="str">
        <f>IFERROR(__xludf.DUMMYFUNCTION("""COMPUTED_VALUE"""),"Yes")</f>
        <v>Yes</v>
      </c>
      <c r="F2305" s="7" t="str">
        <f>IFERROR(__xludf.DUMMYFUNCTION("""COMPUTED_VALUE"""),"IP-Poster")</f>
        <v>IP-Poster</v>
      </c>
      <c r="G2305" s="7" t="str">
        <f>IFERROR(__xludf.DUMMYFUNCTION("""COMPUTED_VALUE"""),"In-Person")</f>
        <v>In-Person</v>
      </c>
      <c r="H2305" s="7" t="str">
        <f>IFERROR(__xludf.DUMMYFUNCTION("""COMPUTED_VALUE"""),"Hall 4/5")</f>
        <v>Hall 4/5</v>
      </c>
      <c r="I2305" s="7" t="str">
        <f>IFERROR(__xludf.DUMMYFUNCTION("""COMPUTED_VALUE"""),"Session 2: IP-Posters ")</f>
        <v>Session 2: IP-Posters </v>
      </c>
      <c r="J2305" s="7" t="str">
        <f>IFERROR(__xludf.DUMMYFUNCTION("""COMPUTED_VALUE"""),"Poster Session 1")</f>
        <v>Poster Session 1</v>
      </c>
      <c r="K2305" s="7"/>
      <c r="L2305" s="8">
        <f>IFERROR(__xludf.DUMMYFUNCTION("""COMPUTED_VALUE"""),45866.0)</f>
        <v>45866</v>
      </c>
      <c r="M2305" s="7" t="str">
        <f>IFERROR(__xludf.DUMMYFUNCTION("""COMPUTED_VALUE"""),"11:00-12:30")</f>
        <v>11:00-12:30</v>
      </c>
      <c r="N2305" s="7"/>
    </row>
    <row r="2306">
      <c r="A2306" s="7" t="str">
        <f>IFERROR(__xludf.DUMMYFUNCTION("""COMPUTED_VALUE"""),"1720-MAIN")</f>
        <v>1720-MAIN</v>
      </c>
      <c r="B2306" s="7" t="str">
        <f>IFERROR(__xludf.DUMMYFUNCTION("""COMPUTED_VALUE"""),"Recent Advances in Speech Language Models: A Survey")</f>
        <v>Recent Advances in Speech Language Models: A Survey</v>
      </c>
      <c r="C2306" s="7" t="str">
        <f>IFERROR(__xludf.DUMMYFUNCTION("""COMPUTED_VALUE"""),"Text-based Large Language Models (LLMs) have recently gained significant attention, primarily for their capabilities in text-based interactions. However, natural human interaction often relies on speech, highlighting the need for voice-based models. In th"&amp;"is context, Speech Language Models (SpeechLMs)---foundation models designed to understand and generate speech---emerge as a promising solution for end-to-end speech interaction. This survey offers a comprehensive overview of recent approaches to building "&amp;"SpeechLMs, outlining their core architectural components, training methodologies, evaluation strategies, and the challenges and potential directions for future research in this rapidly advancing field. The GitHub repository is available at https://github."&amp;"com/dreamtheater123/Awesome-SpeechLM-Survey")</f>
        <v>Text-based Large Language Models (LLMs) have recently gained significant attention, primarily for their capabilities in text-based interactions. However, natural human interaction often relies on speech, highlighting the need for voice-based models. In this context, Speech Language Models (SpeechLMs)---foundation models designed to understand and generate speech---emerge as a promising solution for end-to-end speech interaction. This survey offers a comprehensive overview of recent approaches to building SpeechLMs, outlining their core architectural components, training methodologies, evaluation strategies, and the challenges and potential directions for future research in this rapidly advancing field. The GitHub repository is available at https://github.com/dreamtheater123/Awesome-SpeechLM-Survey</v>
      </c>
      <c r="D2306" s="7" t="str">
        <f>IFERROR(__xludf.DUMMYFUNCTION("""COMPUTED_VALUE"""),"Wenqian Cui")</f>
        <v>Wenqian Cui</v>
      </c>
      <c r="E2306" s="7" t="str">
        <f>IFERROR(__xludf.DUMMYFUNCTION("""COMPUTED_VALUE"""),"Yes")</f>
        <v>Yes</v>
      </c>
      <c r="F2306" s="7" t="str">
        <f>IFERROR(__xludf.DUMMYFUNCTION("""COMPUTED_VALUE"""),"IP-Poster")</f>
        <v>IP-Poster</v>
      </c>
      <c r="G2306" s="7" t="str">
        <f>IFERROR(__xludf.DUMMYFUNCTION("""COMPUTED_VALUE"""),"In-Person")</f>
        <v>In-Person</v>
      </c>
      <c r="H2306" s="7" t="str">
        <f>IFERROR(__xludf.DUMMYFUNCTION("""COMPUTED_VALUE"""),"Hall 4/5")</f>
        <v>Hall 4/5</v>
      </c>
      <c r="I2306" s="7" t="str">
        <f>IFERROR(__xludf.DUMMYFUNCTION("""COMPUTED_VALUE"""),"Session 2: IP-Posters ")</f>
        <v>Session 2: IP-Posters </v>
      </c>
      <c r="J2306" s="7" t="str">
        <f>IFERROR(__xludf.DUMMYFUNCTION("""COMPUTED_VALUE"""),"Poster Session 1")</f>
        <v>Poster Session 1</v>
      </c>
      <c r="K2306" s="7"/>
      <c r="L2306" s="8">
        <f>IFERROR(__xludf.DUMMYFUNCTION("""COMPUTED_VALUE"""),45866.0)</f>
        <v>45866</v>
      </c>
      <c r="M2306" s="7" t="str">
        <f>IFERROR(__xludf.DUMMYFUNCTION("""COMPUTED_VALUE"""),"11:00-12:30")</f>
        <v>11:00-12:30</v>
      </c>
      <c r="N2306" s="7"/>
    </row>
    <row r="2307">
      <c r="A2307" s="7" t="str">
        <f>IFERROR(__xludf.DUMMYFUNCTION("""COMPUTED_VALUE"""),"1722-MAIN")</f>
        <v>1722-MAIN</v>
      </c>
      <c r="B2307" s="7" t="str">
        <f>IFERROR(__xludf.DUMMYFUNCTION("""COMPUTED_VALUE"""),"LexCLiPR: Cross-Lingual Paragraph Retrieval from Legal Judgments")</f>
        <v>LexCLiPR: Cross-Lingual Paragraph Retrieval from Legal Judgments</v>
      </c>
      <c r="C2307" s="7" t="str">
        <f>IFERROR(__xludf.DUMMYFUNCTION("""COMPUTED_VALUE"""),"Efficient retrieval of pinpointed information from case law is crucial for legal professionals but challenging due to the length and complexity of legal judgments. Existing works mostly often focus on retrieving entire cases rather than precise, paragraph"&amp;"-level information. Moreover, multilingual legal practice necessitates cross-lingual retrieval, most works have been limited to monolingual settings. To address these gaps, we introduce LexCLiPR, a cross-lingual dataset for paragraph-level retrieval from "&amp;"European Court of Human Rights (ECtHR) judgments, leveraging multilingual case law guides and distant supervision to curate our dataset. We evaluate retrieval models in a zero-shot setting, revealing the limitations of pre-trained multilingual models for "&amp;"cross-lingual tasks in low-resource languages and the importance of retrieval based post-training strategies. In fine-tuning settings, we observe that two-tower models excel in cross-lingual retrieval, while siamese architectures are better suited for mon"&amp;"olingual tasks. Fine-tuning multilingual models on native language queries improves performance but struggles to generalize to unseen legal concepts, highlighting the need for robust strategies to address topical distribution shifts in the legal queries.")</f>
        <v>Efficient retrieval of pinpointed information from case law is crucial for legal professionals but challenging due to the length and complexity of legal judgments. Existing works mostly often focus on retrieving entire cases rather than precise, paragraph-level information. Moreover, multilingual legal practice necessitates cross-lingual retrieval, most works have been limited to monolingual settings. To address these gaps, we introduce LexCLiPR, a cross-lingual dataset for paragraph-level retrieval from European Court of Human Rights (ECtHR) judgments, leveraging multilingual case law guides and distant supervision to curate our dataset. We evaluate retrieval models in a zero-shot setting, revealing the limitations of pre-trained multilingual models for cross-lingual tasks in low-resource languages and the importance of retrieval based post-training strategies. In fine-tuning settings, we observe that two-tower models excel in cross-lingual retrieval, while siamese architectures are better suited for monolingual tasks. Fine-tuning multilingual models on native language queries improves performance but struggles to generalize to unseen legal concepts, highlighting the need for robust strategies to address topical distribution shifts in the legal queries.</v>
      </c>
      <c r="D2307" s="7" t="str">
        <f>IFERROR(__xludf.DUMMYFUNCTION("""COMPUTED_VALUE"""),"Rohit Upadhya")</f>
        <v>Rohit Upadhya</v>
      </c>
      <c r="E2307" s="7" t="str">
        <f>IFERROR(__xludf.DUMMYFUNCTION("""COMPUTED_VALUE"""),"Yes")</f>
        <v>Yes</v>
      </c>
      <c r="F2307" s="7" t="str">
        <f>IFERROR(__xludf.DUMMYFUNCTION("""COMPUTED_VALUE"""),"V-Presentation")</f>
        <v>V-Presentation</v>
      </c>
      <c r="G2307" s="7" t="str">
        <f>IFERROR(__xludf.DUMMYFUNCTION("""COMPUTED_VALUE"""),"Virtual/Gather")</f>
        <v>Virtual/Gather</v>
      </c>
      <c r="H2307" s="7" t="str">
        <f>IFERROR(__xludf.DUMMYFUNCTION("""COMPUTED_VALUE"""),"Zoom")</f>
        <v>Zoom</v>
      </c>
      <c r="I2307" s="7" t="str">
        <f>IFERROR(__xludf.DUMMYFUNCTION("""COMPUTED_VALUE"""),"Session 10: V-Presenations")</f>
        <v>Session 10: V-Presenations</v>
      </c>
      <c r="J2307" s="7" t="str">
        <f>IFERROR(__xludf.DUMMYFUNCTION("""COMPUTED_VALUE"""),"Virtual Presentations 3")</f>
        <v>Virtual Presentations 3</v>
      </c>
      <c r="K2307" s="7"/>
      <c r="L2307" s="8">
        <f>IFERROR(__xludf.DUMMYFUNCTION("""COMPUTED_VALUE"""),45867.0)</f>
        <v>45867</v>
      </c>
      <c r="M2307" s="7" t="str">
        <f>IFERROR(__xludf.DUMMYFUNCTION("""COMPUTED_VALUE"""),"16:00-17:30")</f>
        <v>16:00-17:30</v>
      </c>
      <c r="N2307" s="7"/>
    </row>
    <row r="2308">
      <c r="A2308" s="7" t="str">
        <f>IFERROR(__xludf.DUMMYFUNCTION("""COMPUTED_VALUE"""),"1723-MAIN")</f>
        <v>1723-MAIN</v>
      </c>
      <c r="B2308" s="7" t="str">
        <f>IFERROR(__xludf.DUMMYFUNCTION("""COMPUTED_VALUE"""),"Multi-task Adversarial Attacks against Black-box Model with Few-shot Queries")</f>
        <v>Multi-task Adversarial Attacks against Black-box Model with Few-shot Queries</v>
      </c>
      <c r="C2308" s="7" t="str">
        <f>IFERROR(__xludf.DUMMYFUNCTION("""COMPUTED_VALUE"""),"Current multi-task adversarial text attacks rely on abundant access to shared internal features and numerous queries, often limited to a single task type. As a result, these attacks are less effective against practical scenarios involving black-box feedba"&amp;"ck APIs, limited queries, or multiple task types. To bridge this gap, we propose \textbf{C}luster and \textbf{E}nsemble \textbf{M}util-task Text Adversarial \textbf{A}ttack (\textbf{CEMA}), an effective black-box attack that exploits the transferability o"&amp;"f adversarial texts across different tasks. CEMA simplifies complex multi-task scenarios by using a \textit{deep-level substitute model} trained in a \textit{plug-and-play} manner for text classification, enabling attacks without mimicking the victim mode"&amp;"l. This approach requires only a few queries for training, converting multi-task attacks into classification attacks and allowing attacks across various tasks. CEMA generates multiple adversarial candidates using different text classification methods and "&amp;"selects the one that most effectively attacks substitute models. In experiments involving multi-task models with two, three, or six tasks—spanning classification, translation, summarization, and text-to-image generation—CEMA demonstrates significant attac"&amp;"k success with as few as 100 queries. Furthermore, CEMA can target commercial APIs (e.g., Baidu and Google Translate), large language models (e.g., ChatGPT 4o), and image-generation models (e.g., Stable Diffusion V2), showcasing its versatility and effect"&amp;"iveness in real-world applications.")</f>
        <v>Current multi-task adversarial text attacks rely on abundant access to shared internal features and numerous queries, often limited to a single task type. As a result, these attacks are less effective against practical scenarios involving black-box feedback APIs, limited queries, or multiple task types. To bridge this gap, we propose \textbf{C}luster and \textbf{E}nsemble \textbf{M}util-task Text Adversarial \textbf{A}ttack (\textbf{CEMA}), an effective black-box attack that exploits the transferability of adversarial texts across different tasks. CEMA simplifies complex multi-task scenarios by using a \textit{deep-level substitute model} trained in a \textit{plug-and-play} manner for text classification, enabling attacks without mimicking the victim model. This approach requires only a few queries for training, converting multi-task attacks into classification attacks and allowing attacks across various tasks. CEMA generates multiple adversarial candidates using different text classification methods and selects the one that most effectively attacks substitute models. In experiments involving multi-task models with two, three, or six tasks—spanning classification, translation, summarization, and text-to-image generation—CEMA demonstrates significant attack success with as few as 100 queries. Furthermore, CEMA can target commercial APIs (e.g., Baidu and Google Translate), large language models (e.g., ChatGPT 4o), and image-generation models (e.g., Stable Diffusion V2), showcasing its versatility and effectiveness in real-world applications.</v>
      </c>
      <c r="D2308" s="7" t="str">
        <f>IFERROR(__xludf.DUMMYFUNCTION("""COMPUTED_VALUE"""),"Wenqiang Wang")</f>
        <v>Wenqiang Wang</v>
      </c>
      <c r="E2308" s="7" t="str">
        <f>IFERROR(__xludf.DUMMYFUNCTION("""COMPUTED_VALUE"""),"Yes")</f>
        <v>Yes</v>
      </c>
      <c r="F2308" s="7" t="str">
        <f>IFERROR(__xludf.DUMMYFUNCTION("""COMPUTED_VALUE"""),"IP-Poster")</f>
        <v>IP-Poster</v>
      </c>
      <c r="G2308" s="7" t="str">
        <f>IFERROR(__xludf.DUMMYFUNCTION("""COMPUTED_VALUE"""),"In-Person")</f>
        <v>In-Person</v>
      </c>
      <c r="H2308" s="7" t="str">
        <f>IFERROR(__xludf.DUMMYFUNCTION("""COMPUTED_VALUE"""),"Hall 4/5")</f>
        <v>Hall 4/5</v>
      </c>
      <c r="I2308" s="7" t="str">
        <f>IFERROR(__xludf.DUMMYFUNCTION("""COMPUTED_VALUE"""),"Session 7: IP-Posters")</f>
        <v>Session 7: IP-Posters</v>
      </c>
      <c r="J2308" s="7" t="str">
        <f>IFERROR(__xludf.DUMMYFUNCTION("""COMPUTED_VALUE"""),"Poster Session 2")</f>
        <v>Poster Session 2</v>
      </c>
      <c r="K2308" s="7"/>
      <c r="L2308" s="8">
        <f>IFERROR(__xludf.DUMMYFUNCTION("""COMPUTED_VALUE"""),45867.0)</f>
        <v>45867</v>
      </c>
      <c r="M2308" s="7" t="str">
        <f>IFERROR(__xludf.DUMMYFUNCTION("""COMPUTED_VALUE"""),"10:30-12:00")</f>
        <v>10:30-12:00</v>
      </c>
      <c r="N2308" s="7"/>
    </row>
    <row r="2309">
      <c r="A2309" s="7" t="str">
        <f>IFERROR(__xludf.DUMMYFUNCTION("""COMPUTED_VALUE"""),"1726-MAIN")</f>
        <v>1726-MAIN</v>
      </c>
      <c r="B2309" s="7" t="str">
        <f>IFERROR(__xludf.DUMMYFUNCTION("""COMPUTED_VALUE"""),"SPECTRA: Faster Large Language Model Inference with Optimized Internal and External Speculation")</f>
        <v>SPECTRA: Faster Large Language Model Inference with Optimized Internal and External Speculation</v>
      </c>
      <c r="C2309" s="7" t="str">
        <f>IFERROR(__xludf.DUMMYFUNCTION("""COMPUTED_VALUE"""),"Inference with modern Large Language Models (LLMs) is both computationally expensive and time-consuming. Speculative decoding has emerged as a promising solution, but existing approaches face key limitations: training-based methods require a draft model t"&amp;"hat is challenging to obtain and lacks generalizability, while training-free methods offer limited speedup gains. In this work, we present Spectra, a novel framework for accelerating LLM inference without the need for additional training or modification t"&amp;"o the original LLM. Spectra introduces two new techniques for efficiently utilizing internal and external speculation, each outperforming corresponding state-of-the-art (SOTA) methods independently. When combined, these techniques achieve up to a 4.08x sp"&amp;"eedup across various benchmarks and LLM architectures, significantly surpassing existing training-free approaches. The implementation of Spectra is publicly available.")</f>
        <v>Inference with modern Large Language Models (LLMs) is both computationally expensive and time-consuming. Speculative decoding has emerged as a promising solution, but existing approaches face key limitations: training-based methods require a draft model that is challenging to obtain and lacks generalizability, while training-free methods offer limited speedup gains. In this work, we present Spectra, a novel framework for accelerating LLM inference without the need for additional training or modification to the original LLM. Spectra introduces two new techniques for efficiently utilizing internal and external speculation, each outperforming corresponding state-of-the-art (SOTA) methods independently. When combined, these techniques achieve up to a 4.08x speedup across various benchmarks and LLM architectures, significantly surpassing existing training-free approaches. The implementation of Spectra is publicly available.</v>
      </c>
      <c r="D2309" s="7" t="str">
        <f>IFERROR(__xludf.DUMMYFUNCTION("""COMPUTED_VALUE"""),"Do Dinh Truong")</f>
        <v>Do Dinh Truong</v>
      </c>
      <c r="E2309" s="7" t="str">
        <f>IFERROR(__xludf.DUMMYFUNCTION("""COMPUTED_VALUE"""),"Yes")</f>
        <v>Yes</v>
      </c>
      <c r="F2309" s="7" t="str">
        <f>IFERROR(__xludf.DUMMYFUNCTION("""COMPUTED_VALUE"""),"IP-Oral")</f>
        <v>IP-Oral</v>
      </c>
      <c r="G2309" s="7" t="str">
        <f>IFERROR(__xludf.DUMMYFUNCTION("""COMPUTED_VALUE"""),"In-Person")</f>
        <v>In-Person</v>
      </c>
      <c r="H2309" s="7" t="str">
        <f>IFERROR(__xludf.DUMMYFUNCTION("""COMPUTED_VALUE"""),"Hall M.1")</f>
        <v>Hall M.1</v>
      </c>
      <c r="I2309" s="7" t="str">
        <f>IFERROR(__xludf.DUMMYFUNCTION("""COMPUTED_VALUE"""),"Session 9: IP-Orals")</f>
        <v>Session 9: IP-Orals</v>
      </c>
      <c r="J2309" s="7" t="str">
        <f>IFERROR(__xludf.DUMMYFUNCTION("""COMPUTED_VALUE"""),"Efficient Methods for NLP 1")</f>
        <v>Efficient Methods for NLP 1</v>
      </c>
      <c r="K2309" s="7"/>
      <c r="L2309" s="8">
        <f>IFERROR(__xludf.DUMMYFUNCTION("""COMPUTED_VALUE"""),45867.0)</f>
        <v>45867</v>
      </c>
      <c r="M2309" s="7" t="str">
        <f>IFERROR(__xludf.DUMMYFUNCTION("""COMPUTED_VALUE"""),"14:00-15:30")</f>
        <v>14:00-15:30</v>
      </c>
      <c r="N2309" s="7">
        <f>IFERROR(__xludf.DUMMYFUNCTION("""COMPUTED_VALUE"""),5.0)</f>
        <v>5</v>
      </c>
    </row>
    <row r="2310">
      <c r="A2310" s="7" t="str">
        <f>IFERROR(__xludf.DUMMYFUNCTION("""COMPUTED_VALUE"""),"1729-MAIN")</f>
        <v>1729-MAIN</v>
      </c>
      <c r="B2310" s="7" t="str">
        <f>IFERROR(__xludf.DUMMYFUNCTION("""COMPUTED_VALUE"""),"Multi-level Association Refinement Network for Dialogue Aspect-based Sentiment Quadruple Analysis")</f>
        <v>Multi-level Association Refinement Network for Dialogue Aspect-based Sentiment Quadruple Analysis</v>
      </c>
      <c r="C2310" s="7" t="str">
        <f>IFERROR(__xludf.DUMMYFUNCTION("""COMPUTED_VALUE"""),"Dialogue Aspect-based Sentiment Quadruple (DiaASQ) analysis aims to identify all quadruples (i.e., target, aspect, opinion, sentiment) from the dialogue. This task is challenging as different elements within a quadruple may manifest in different utterance"&amp;"s, requiring precise handling of associations at both the utterance and word levels. However, most existing methods tackling it predominantly leverage predefined dialogue structure (e.g., reply) and word semantics, resulting in a surficial understanding o"&amp;"f the deep sentiment association between utterances and words. In this paper, we propose a novel Multi-level Association Refinement Network (MARN) designed to achieve more accurate and comprehensive sentiment associations between utterances and words. Spe"&amp;"cifically, for utterances, we dynamically capture their associations with enriched semantic features through a holistic understanding of the dialogue, aligning them more closely with sentiment associations within elements in quadruples. For words, we deve"&amp;"lop a novel cross-utterance syntax parser (CU-Parser) that fully exploits syntactic information to enhance the association between word pairs within and across utterances. Moreover, to address the scarcity of labeled data in DiaASQ, we further introduce a"&amp;" multi-view data augmentation strategy to enhance the performance of MARN under low-resource conditions. Experimental results demonstrate that MARN achieves state-of-the-art performance and maintains robustness even under low-resource conditions.")</f>
        <v>Dialogue Aspect-based Sentiment Quadruple (DiaASQ) analysis aims to identify all quadruples (i.e., target, aspect, opinion, sentiment) from the dialogue. This task is challenging as different elements within a quadruple may manifest in different utterances, requiring precise handling of associations at both the utterance and word levels. However, most existing methods tackling it predominantly leverage predefined dialogue structure (e.g., reply) and word semantics, resulting in a surficial understanding of the deep sentiment association between utterances and words. In this paper, we propose a novel Multi-level Association Refinement Network (MARN) designed to achieve more accurate and comprehensive sentiment associations between utterances and words. Specifically, for utterances, we dynamically capture their associations with enriched semantic features through a holistic understanding of the dialogue, aligning them more closely with sentiment associations within elements in quadruples. For words, we develop a novel cross-utterance syntax parser (CU-Parser) that fully exploits syntactic information to enhance the association between word pairs within and across utterances. Moreover, to address the scarcity of labeled data in DiaASQ, we further introduce a multi-view data augmentation strategy to enhance the performance of MARN under low-resource conditions. Experimental results demonstrate that MARN achieves state-of-the-art performance and maintains robustness even under low-resource conditions.</v>
      </c>
      <c r="D2310" s="7" t="str">
        <f>IFERROR(__xludf.DUMMYFUNCTION("""COMPUTED_VALUE"""),"Zeliang Tong")</f>
        <v>Zeliang Tong</v>
      </c>
      <c r="E2310" s="7" t="str">
        <f>IFERROR(__xludf.DUMMYFUNCTION("""COMPUTED_VALUE"""),"Yes")</f>
        <v>Yes</v>
      </c>
      <c r="F2310" s="7" t="str">
        <f>IFERROR(__xludf.DUMMYFUNCTION("""COMPUTED_VALUE"""),"IP-Poster")</f>
        <v>IP-Poster</v>
      </c>
      <c r="G2310" s="7" t="str">
        <f>IFERROR(__xludf.DUMMYFUNCTION("""COMPUTED_VALUE"""),"In-Person")</f>
        <v>In-Person</v>
      </c>
      <c r="H2310" s="7" t="str">
        <f>IFERROR(__xludf.DUMMYFUNCTION("""COMPUTED_VALUE"""),"Hall 4/5")</f>
        <v>Hall 4/5</v>
      </c>
      <c r="I2310" s="7" t="str">
        <f>IFERROR(__xludf.DUMMYFUNCTION("""COMPUTED_VALUE"""),"Session 2: IP-Posters ")</f>
        <v>Session 2: IP-Posters </v>
      </c>
      <c r="J2310" s="7" t="str">
        <f>IFERROR(__xludf.DUMMYFUNCTION("""COMPUTED_VALUE"""),"Poster Session 1")</f>
        <v>Poster Session 1</v>
      </c>
      <c r="K2310" s="7"/>
      <c r="L2310" s="8">
        <f>IFERROR(__xludf.DUMMYFUNCTION("""COMPUTED_VALUE"""),45866.0)</f>
        <v>45866</v>
      </c>
      <c r="M2310" s="7" t="str">
        <f>IFERROR(__xludf.DUMMYFUNCTION("""COMPUTED_VALUE"""),"11:00-12:30")</f>
        <v>11:00-12:30</v>
      </c>
      <c r="N2310" s="7"/>
    </row>
    <row r="2311">
      <c r="A2311" s="7" t="str">
        <f>IFERROR(__xludf.DUMMYFUNCTION("""COMPUTED_VALUE"""),"1730-MAIN")</f>
        <v>1730-MAIN</v>
      </c>
      <c r="B2311" s="7" t="str">
        <f>IFERROR(__xludf.DUMMYFUNCTION("""COMPUTED_VALUE"""),"Innovative Image Fraud Detection with Cross-Sample Anomaly Analysis: The Power of LLMs")</f>
        <v>Innovative Image Fraud Detection with Cross-Sample Anomaly Analysis: The Power of LLMs</v>
      </c>
      <c r="C2311" s="7" t="str">
        <f>IFERROR(__xludf.DUMMYFUNCTION("""COMPUTED_VALUE"""),"The financial industry faces a substantial workload in verifying document images. Existing methods based on visual features struggle to identify fraudulent document images due to the lack of visual clues on the tampering region. This paper proposes CSIAD "&amp;"(Cross-Sample Image Anomaly Detection) by leveraging LLMs to identify logical inconsistencies in similar images. This novel framework accurately detects forged images with slight tampering traces and explains anomaly detection results. Furthermore, we int"&amp;"roduce CrossCred, a new benchmark of real-world fraudulent images with fine-grained manual annotations. Experiments demonstrate that CSIAD outperforms state-of-the-art image fraud detection methods by 79.6% (F1) on CrossCred and deployed industrial soluti"&amp;"ons by 21.7% (F1) on business data. The benchmark is available at https://github.com/XMUDM/CSIAD.")</f>
        <v>The financial industry faces a substantial workload in verifying document images. Existing methods based on visual features struggle to identify fraudulent document images due to the lack of visual clues on the tampering region. This paper proposes CSIAD (Cross-Sample Image Anomaly Detection) by leveraging LLMs to identify logical inconsistencies in similar images. This novel framework accurately detects forged images with slight tampering traces and explains anomaly detection results. Furthermore, we introduce CrossCred, a new benchmark of real-world fraudulent images with fine-grained manual annotations. Experiments demonstrate that CSIAD outperforms state-of-the-art image fraud detection methods by 79.6% (F1) on CrossCred and deployed industrial solutions by 21.7% (F1) on business data. The benchmark is available at https://github.com/XMUDM/CSIAD.</v>
      </c>
      <c r="D2311" s="7" t="str">
        <f>IFERROR(__xludf.DUMMYFUNCTION("""COMPUTED_VALUE"""),"Qiwen Wang")</f>
        <v>Qiwen Wang</v>
      </c>
      <c r="E2311" s="7" t="str">
        <f>IFERROR(__xludf.DUMMYFUNCTION("""COMPUTED_VALUE"""),"Yes")</f>
        <v>Yes</v>
      </c>
      <c r="F2311" s="7" t="str">
        <f>IFERROR(__xludf.DUMMYFUNCTION("""COMPUTED_VALUE"""),"V-Presentation")</f>
        <v>V-Presentation</v>
      </c>
      <c r="G2311" s="7" t="str">
        <f>IFERROR(__xludf.DUMMYFUNCTION("""COMPUTED_VALUE"""),"Virtual/Gather")</f>
        <v>Virtual/Gather</v>
      </c>
      <c r="H2311" s="7" t="str">
        <f>IFERROR(__xludf.DUMMYFUNCTION("""COMPUTED_VALUE"""),"Zoom")</f>
        <v>Zoom</v>
      </c>
      <c r="I2311" s="7" t="str">
        <f>IFERROR(__xludf.DUMMYFUNCTION("""COMPUTED_VALUE"""),"Session 10: V-Presenations")</f>
        <v>Session 10: V-Presenations</v>
      </c>
      <c r="J2311" s="7" t="str">
        <f>IFERROR(__xludf.DUMMYFUNCTION("""COMPUTED_VALUE"""),"Virtual Presentations 3")</f>
        <v>Virtual Presentations 3</v>
      </c>
      <c r="K2311" s="7"/>
      <c r="L2311" s="8">
        <f>IFERROR(__xludf.DUMMYFUNCTION("""COMPUTED_VALUE"""),45867.0)</f>
        <v>45867</v>
      </c>
      <c r="M2311" s="7" t="str">
        <f>IFERROR(__xludf.DUMMYFUNCTION("""COMPUTED_VALUE"""),"16:00-17:30")</f>
        <v>16:00-17:30</v>
      </c>
      <c r="N2311" s="7"/>
    </row>
    <row r="2312">
      <c r="A2312" s="7" t="str">
        <f>IFERROR(__xludf.DUMMYFUNCTION("""COMPUTED_VALUE"""),"1734-MAIN")</f>
        <v>1734-MAIN</v>
      </c>
      <c r="B2312" s="7" t="str">
        <f>IFERROR(__xludf.DUMMYFUNCTION("""COMPUTED_VALUE"""),"Cooperative or Competitive? Understanding the Interaction between Attention Heads From A Game Theory Perspective")</f>
        <v>Cooperative or Competitive? Understanding the Interaction between Attention Heads From A Game Theory Perspective</v>
      </c>
      <c r="C2312" s="7" t="str">
        <f>IFERROR(__xludf.DUMMYFUNCTION("""COMPUTED_VALUE"""),"Despite the remarkable success of attention-based large language models (LLMs), the precise interaction mechanisms between attention heads remain poorly understood. In contrast to prevalent methods that focus on individual head contributions, we rigorousl"&amp;"y analyze the intricate interplay among attention heads through a novel framework based on the Harsanyi dividend, a concept from cooperative game theory. Our analysis reveals that significant positive Harsanyi dividends are sparsely distributed across hea"&amp;"d combinations, indicating that most heads do not contribute cooperatively. Moreover, certain head combinations exhibit negative dividends, indicating implicit competitive relationships. To further optimize the interactions among attention heads, we propo"&amp;"se a training-free Game-theoretic Attention Calibration (GAC) method. Specifically, GAC selectively retains heads demonstrating significant cooperative gains and applies fine-grained distributional adjustments to the remaining heads. Comprehensive experim"&amp;"ents across 17 benchmarks demonstrate the effectiveness of our proposed GAC and its superior generalization capabilities across diverse model families, scales, and modalities. Crucially, the discovered interaction phenomena offer a path toward a deeper un"&amp;"derstanding of the behaviors of LLMs.")</f>
        <v>Despite the remarkable success of attention-based large language models (LLMs), the precise interaction mechanisms between attention heads remain poorly understood. In contrast to prevalent methods that focus on individual head contributions, we rigorously analyze the intricate interplay among attention heads through a novel framework based on the Harsanyi dividend, a concept from cooperative game theory. Our analysis reveals that significant positive Harsanyi dividends are sparsely distributed across head combinations, indicating that most heads do not contribute cooperatively. Moreover, certain head combinations exhibit negative dividends, indicating implicit competitive relationships. To further optimize the interactions among attention heads, we propose a training-free Game-theoretic Attention Calibration (GAC) method. Specifically, GAC selectively retains heads demonstrating significant cooperative gains and applies fine-grained distributional adjustments to the remaining heads. Comprehensive experiments across 17 benchmarks demonstrate the effectiveness of our proposed GAC and its superior generalization capabilities across diverse model families, scales, and modalities. Crucially, the discovered interaction phenomena offer a path toward a deeper understanding of the behaviors of LLMs.</v>
      </c>
      <c r="D2312" s="7" t="str">
        <f>IFERROR(__xludf.DUMMYFUNCTION("""COMPUTED_VALUE"""),"Xiaoye Qu")</f>
        <v>Xiaoye Qu</v>
      </c>
      <c r="E2312" s="7" t="str">
        <f>IFERROR(__xludf.DUMMYFUNCTION("""COMPUTED_VALUE"""),"Yes")</f>
        <v>Yes</v>
      </c>
      <c r="F2312" s="7" t="str">
        <f>IFERROR(__xludf.DUMMYFUNCTION("""COMPUTED_VALUE"""),"IP-Oral")</f>
        <v>IP-Oral</v>
      </c>
      <c r="G2312" s="7" t="str">
        <f>IFERROR(__xludf.DUMMYFUNCTION("""COMPUTED_VALUE"""),"In-Person")</f>
        <v>In-Person</v>
      </c>
      <c r="H2312" s="7" t="str">
        <f>IFERROR(__xludf.DUMMYFUNCTION("""COMPUTED_VALUE"""),"Hall C")</f>
        <v>Hall C</v>
      </c>
      <c r="I2312" s="7" t="str">
        <f>IFERROR(__xludf.DUMMYFUNCTION("""COMPUTED_VALUE"""),"Session 9: IP-Orals")</f>
        <v>Session 9: IP-Orals</v>
      </c>
      <c r="J2312" s="7" t="str">
        <f>IFERROR(__xludf.DUMMYFUNCTION("""COMPUTED_VALUE"""),"Language Modeling 1")</f>
        <v>Language Modeling 1</v>
      </c>
      <c r="K2312" s="7"/>
      <c r="L2312" s="8">
        <f>IFERROR(__xludf.DUMMYFUNCTION("""COMPUTED_VALUE"""),45867.0)</f>
        <v>45867</v>
      </c>
      <c r="M2312" s="7" t="str">
        <f>IFERROR(__xludf.DUMMYFUNCTION("""COMPUTED_VALUE"""),"14:00-15:30")</f>
        <v>14:00-15:30</v>
      </c>
      <c r="N2312" s="7">
        <f>IFERROR(__xludf.DUMMYFUNCTION("""COMPUTED_VALUE"""),4.0)</f>
        <v>4</v>
      </c>
    </row>
    <row r="2313">
      <c r="A2313" s="7" t="str">
        <f>IFERROR(__xludf.DUMMYFUNCTION("""COMPUTED_VALUE"""),"1735-MAIN")</f>
        <v>1735-MAIN</v>
      </c>
      <c r="B2313" s="7" t="str">
        <f>IFERROR(__xludf.DUMMYFUNCTION("""COMPUTED_VALUE"""),"MM-Verify: Enhancing Multimodal Reasoning with Chain-of-Thought Verification")</f>
        <v>MM-Verify: Enhancing Multimodal Reasoning with Chain-of-Thought Verification</v>
      </c>
      <c r="C2313" s="7" t="str">
        <f>IFERROR(__xludf.DUMMYFUNCTION("""COMPUTED_VALUE"""),"According to the Test-Time Scaling, the integration of External Slow-Thinking with the Verify mechanism has been demonstrated to enhance multi-round reasoning in large language models (LLMs). However, in the multimodal (MM) domain, there is still a lack o"&amp;"f a strong MM-Verifier. In this paper, we introduce MM-Verifier and MM-Reasoner to enhance multimodal reasoning through longer inference and more robust verification. First, we propose a two-step MM verification data synthesis method, which combines a sim"&amp;"ulation-based tree search with verification and uses rejection sampling to generate high-quality Chain-of-Thought (COT) data. This data is then used to fine-tune the verification model, MM-Verifier. Additionally, we present a more efficient method for syn"&amp;"thesizing MMCOT data, bridging the gap between text-based and multimodal reasoning. The synthesized data is used to fine-tune MM-Reasoner. Our MM-Verifier outperforms all larger models on the MathCheck, MathVista, and MathVerse benchmarks. Moreover, MM-Re"&amp;"asoner demonstrates strong effectiveness and scalability, with performance improving as data size increases. Finally, our approach achieves strong performance when combining MM-Reasoner and MM-Verifier, reaching an accuracy of 65.3 on MathVista, surpassin"&amp;"g GPT-4o (63.8) with 12 rollouts.")</f>
        <v>According to the Test-Time Scaling, the integration of External Slow-Thinking with the Verify mechanism has been demonstrated to enhance multi-round reasoning in large language models (LLMs). However, in the multimodal (MM) domain, there is still a lack of a strong MM-Verifier. In this paper, we introduce MM-Verifier and MM-Reasoner to enhance multimodal reasoning through longer inference and more robust verification. First, we propose a two-step MM verification data synthesis method, which combines a simulation-based tree search with verification and uses rejection sampling to generate high-quality Chain-of-Thought (COT) data. This data is then used to fine-tune the verification model, MM-Verifier. Additionally, we present a more efficient method for synthesizing MMCOT data, bridging the gap between text-based and multimodal reasoning. The synthesized data is used to fine-tune MM-Reasoner. Our MM-Verifier outperforms all larger models on the MathCheck, MathVista, and MathVerse benchmarks. Moreover, MM-Reasoner demonstrates strong effectiveness and scalability, with performance improving as data size increases. Finally, our approach achieves strong performance when combining MM-Reasoner and MM-Verifier, reaching an accuracy of 65.3 on MathVista, surpassing GPT-4o (63.8) with 12 rollouts.</v>
      </c>
      <c r="D2313" s="7" t="str">
        <f>IFERROR(__xludf.DUMMYFUNCTION("""COMPUTED_VALUE"""),"Linzhuang Sun")</f>
        <v>Linzhuang Sun</v>
      </c>
      <c r="E2313" s="7" t="str">
        <f>IFERROR(__xludf.DUMMYFUNCTION("""COMPUTED_VALUE"""),"Yes")</f>
        <v>Yes</v>
      </c>
      <c r="F2313" s="7" t="str">
        <f>IFERROR(__xludf.DUMMYFUNCTION("""COMPUTED_VALUE"""),"IP-Poster")</f>
        <v>IP-Poster</v>
      </c>
      <c r="G2313" s="7" t="str">
        <f>IFERROR(__xludf.DUMMYFUNCTION("""COMPUTED_VALUE"""),"In-Person")</f>
        <v>In-Person</v>
      </c>
      <c r="H2313" s="7" t="str">
        <f>IFERROR(__xludf.DUMMYFUNCTION("""COMPUTED_VALUE"""),"Hall 4/5")</f>
        <v>Hall 4/5</v>
      </c>
      <c r="I2313" s="7" t="str">
        <f>IFERROR(__xludf.DUMMYFUNCTION("""COMPUTED_VALUE"""),"Session 2: IP-Posters ")</f>
        <v>Session 2: IP-Posters </v>
      </c>
      <c r="J2313" s="7" t="str">
        <f>IFERROR(__xludf.DUMMYFUNCTION("""COMPUTED_VALUE"""),"Poster Session 1")</f>
        <v>Poster Session 1</v>
      </c>
      <c r="K2313" s="7"/>
      <c r="L2313" s="8">
        <f>IFERROR(__xludf.DUMMYFUNCTION("""COMPUTED_VALUE"""),45866.0)</f>
        <v>45866</v>
      </c>
      <c r="M2313" s="7" t="str">
        <f>IFERROR(__xludf.DUMMYFUNCTION("""COMPUTED_VALUE"""),"11:00-12:30")</f>
        <v>11:00-12:30</v>
      </c>
      <c r="N2313" s="7"/>
    </row>
    <row r="2314">
      <c r="A2314" s="7" t="str">
        <f>IFERROR(__xludf.DUMMYFUNCTION("""COMPUTED_VALUE"""),"1738-MAIN")</f>
        <v>1738-MAIN</v>
      </c>
      <c r="B2314" s="7" t="str">
        <f>IFERROR(__xludf.DUMMYFUNCTION("""COMPUTED_VALUE"""),"Graph-Structured Trajectory Extraction from Travelogues")</f>
        <v>Graph-Structured Trajectory Extraction from Travelogues</v>
      </c>
      <c r="C2314" s="7" t="str">
        <f>IFERROR(__xludf.DUMMYFUNCTION("""COMPUTED_VALUE"""),"Human traveling trajectories play a central role in characterizing each travelogue, and automatic trajectory extraction from travelogues is highly desired for tourism services, such as travel planning and recommendation. This work addresses the extraction"&amp;" of human traveling trajectories from travelogues. Previous work treated each trajectory as a sequence of visited locations, although locations with different granularity levels, e.g., ""Kyoto City"" and ""Kyoto Station,"" should not be lined up in a sequ"&amp;"ence. In this work, we propose to represent the trajectory as a graph that can capture the hierarchy as well as the visiting order, and construct a benchmark dataset for the trajectory extraction. The experiments using this dataset show that even naive ba"&amp;"seline systems can accurately predict visited locations and the visiting order between them, while it is more challenging to predict the hierarchical relations.")</f>
        <v>Human traveling trajectories play a central role in characterizing each travelogue, and automatic trajectory extraction from travelogues is highly desired for tourism services, such as travel planning and recommendation. This work addresses the extraction of human traveling trajectories from travelogues. Previous work treated each trajectory as a sequence of visited locations, although locations with different granularity levels, e.g., "Kyoto City" and "Kyoto Station," should not be lined up in a sequence. In this work, we propose to represent the trajectory as a graph that can capture the hierarchy as well as the visiting order, and construct a benchmark dataset for the trajectory extraction. The experiments using this dataset show that even naive baseline systems can accurately predict visited locations and the visiting order between them, while it is more challenging to predict the hierarchical relations.</v>
      </c>
      <c r="D2314" s="7" t="str">
        <f>IFERROR(__xludf.DUMMYFUNCTION("""COMPUTED_VALUE"""),"Hiroki Ouchi")</f>
        <v>Hiroki Ouchi</v>
      </c>
      <c r="E2314" s="7" t="str">
        <f>IFERROR(__xludf.DUMMYFUNCTION("""COMPUTED_VALUE"""),"Yes")</f>
        <v>Yes</v>
      </c>
      <c r="F2314" s="7" t="str">
        <f>IFERROR(__xludf.DUMMYFUNCTION("""COMPUTED_VALUE"""),"IP-Poster")</f>
        <v>IP-Poster</v>
      </c>
      <c r="G2314" s="7" t="str">
        <f>IFERROR(__xludf.DUMMYFUNCTION("""COMPUTED_VALUE"""),"In-Person")</f>
        <v>In-Person</v>
      </c>
      <c r="H2314" s="7" t="str">
        <f>IFERROR(__xludf.DUMMYFUNCTION("""COMPUTED_VALUE"""),"Hall 4/5")</f>
        <v>Hall 4/5</v>
      </c>
      <c r="I2314" s="7" t="str">
        <f>IFERROR(__xludf.DUMMYFUNCTION("""COMPUTED_VALUE"""),"Session 7: IP-Posters")</f>
        <v>Session 7: IP-Posters</v>
      </c>
      <c r="J2314" s="7" t="str">
        <f>IFERROR(__xludf.DUMMYFUNCTION("""COMPUTED_VALUE"""),"Poster Session 2")</f>
        <v>Poster Session 2</v>
      </c>
      <c r="K2314" s="7"/>
      <c r="L2314" s="8">
        <f>IFERROR(__xludf.DUMMYFUNCTION("""COMPUTED_VALUE"""),45867.0)</f>
        <v>45867</v>
      </c>
      <c r="M2314" s="7" t="str">
        <f>IFERROR(__xludf.DUMMYFUNCTION("""COMPUTED_VALUE"""),"10:30-12:00")</f>
        <v>10:30-12:00</v>
      </c>
      <c r="N2314" s="7"/>
    </row>
    <row r="2315">
      <c r="A2315" s="7" t="str">
        <f>IFERROR(__xludf.DUMMYFUNCTION("""COMPUTED_VALUE"""),"1739-MAIN")</f>
        <v>1739-MAIN</v>
      </c>
      <c r="B2315" s="7" t="str">
        <f>IFERROR(__xludf.DUMMYFUNCTION("""COMPUTED_VALUE"""),"Learning First-Order Logic Rules for Argumentation Mining")</f>
        <v>Learning First-Order Logic Rules for Argumentation Mining</v>
      </c>
      <c r="C2315" s="7" t="str">
        <f>IFERROR(__xludf.DUMMYFUNCTION("""COMPUTED_VALUE"""),"Argumentation Mining (AM) aims to extract argumentative structures from texts by identifying argumentation components (ACs) and their argumentative relations (ARs). While previous works focus on representation learning to encode ACs and AC pairs, they fai"&amp;"l to explicitly model the underlying reasoning patterns of AM, resulting in limited interpretability. This paper proposes a novel $\underline{F}$irst-$\underline{O}$rder $\underline{L}$ogic reasoning framework for $\underline{AM}$ (FOL-AM), designed to ex"&amp;"plicitly capture logical reasoning paths within argumentative texts. By interpreting multiple AM subtasks as a unified relation query task modeled using FOL rules, FOL-AM facilitates multi-hop relational reasoning and enhances interpretability. The framew"&amp;"ork supports two flexible implementations: a fine-tuned approach to leverage task-specific learning, and a prompt-based method utilizing large language models to harness their generalization capabilities. Extensive experiments on two AM benchmarks demonst"&amp;"rate that FOL-AM outperforms strong baselines while significantly improving explainability.")</f>
        <v>Argumentation Mining (AM) aims to extract argumentative structures from texts by identifying argumentation components (ACs) and their argumentative relations (ARs). While previous works focus on representation learning to encode ACs and AC pairs, they fail to explicitly model the underlying reasoning patterns of AM, resulting in limited interpretability. This paper proposes a novel $\underline{F}$irst-$\underline{O}$rder $\underline{L}$ogic reasoning framework for $\underline{AM}$ (FOL-AM), designed to explicitly capture logical reasoning paths within argumentative texts. By interpreting multiple AM subtasks as a unified relation query task modeled using FOL rules, FOL-AM facilitates multi-hop relational reasoning and enhances interpretability. The framework supports two flexible implementations: a fine-tuned approach to leverage task-specific learning, and a prompt-based method utilizing large language models to harness their generalization capabilities. Extensive experiments on two AM benchmarks demonstrate that FOL-AM outperforms strong baselines while significantly improving explainability.</v>
      </c>
      <c r="D2315" s="7" t="str">
        <f>IFERROR(__xludf.DUMMYFUNCTION("""COMPUTED_VALUE"""),"Yang Sun
Guanrong Chen")</f>
        <v>Yang Sun
Guanrong Chen</v>
      </c>
      <c r="E2315" s="7" t="str">
        <f>IFERROR(__xludf.DUMMYFUNCTION("""COMPUTED_VALUE"""),"Yes")</f>
        <v>Yes</v>
      </c>
      <c r="F2315" s="7" t="str">
        <f>IFERROR(__xludf.DUMMYFUNCTION("""COMPUTED_VALUE"""),"IP-Poster")</f>
        <v>IP-Poster</v>
      </c>
      <c r="G2315" s="7" t="str">
        <f>IFERROR(__xludf.DUMMYFUNCTION("""COMPUTED_VALUE"""),"In-Person")</f>
        <v>In-Person</v>
      </c>
      <c r="H2315" s="7" t="str">
        <f>IFERROR(__xludf.DUMMYFUNCTION("""COMPUTED_VALUE"""),"Hall 4/5")</f>
        <v>Hall 4/5</v>
      </c>
      <c r="I2315" s="7" t="str">
        <f>IFERROR(__xludf.DUMMYFUNCTION("""COMPUTED_VALUE"""),"Session 2: IP-Posters ")</f>
        <v>Session 2: IP-Posters </v>
      </c>
      <c r="J2315" s="7" t="str">
        <f>IFERROR(__xludf.DUMMYFUNCTION("""COMPUTED_VALUE"""),"Poster Session 1")</f>
        <v>Poster Session 1</v>
      </c>
      <c r="K2315" s="7"/>
      <c r="L2315" s="8">
        <f>IFERROR(__xludf.DUMMYFUNCTION("""COMPUTED_VALUE"""),45866.0)</f>
        <v>45866</v>
      </c>
      <c r="M2315" s="7" t="str">
        <f>IFERROR(__xludf.DUMMYFUNCTION("""COMPUTED_VALUE"""),"11:00-12:30")</f>
        <v>11:00-12:30</v>
      </c>
      <c r="N2315" s="7"/>
    </row>
    <row r="2316">
      <c r="A2316" s="7" t="str">
        <f>IFERROR(__xludf.DUMMYFUNCTION("""COMPUTED_VALUE"""),"1744-MAIN")</f>
        <v>1744-MAIN</v>
      </c>
      <c r="B2316" s="7" t="str">
        <f>IFERROR(__xludf.DUMMYFUNCTION("""COMPUTED_VALUE"""),"Investigating and Enhancing the Robustness of Large Multimodal Models Against Temporal Inconsistency")</f>
        <v>Investigating and Enhancing the Robustness of Large Multimodal Models Against Temporal Inconsistency</v>
      </c>
      <c r="C2316" s="7" t="str">
        <f>IFERROR(__xludf.DUMMYFUNCTION("""COMPUTED_VALUE"""),"Large Multimodal Models (LMMs) have recently demonstrated impressive performance on general video comprehension benchmarks. Nevertheless, for broader applications, the robustness of their temporal analysis capability needs to be thoroughly investigated ye"&amp;"t predominantly ignored. Motivated by this, we propose a novel temporal robustness benchmark (TemRobBench), which introduces temporal inconsistency perturbations separately at the visual and textual modalities to assess the robustness of models. We evalua"&amp;"te 16 mainstream LMMs and find that they exhibit over-reliance on prior knowledge and textual context in adversarial environments, while ignoring the actual temporal dynamics in the video. To mitigate this issue, we design panoramic direct preference opti"&amp;"mization (PanoDPO), which encourages LMMs to incorporate both visual and linguistic feature preferences simultaneously. Experimental results show that PanoDPO can effectively enhance the model’s robustness and reliability in temporal analysis.")</f>
        <v>Large Multimodal Models (LMMs) have recently demonstrated impressive performance on general video comprehension benchmarks. Nevertheless, for broader applications, the robustness of their temporal analysis capability needs to be thoroughly investigated yet predominantly ignored. Motivated by this, we propose a novel temporal robustness benchmark (TemRobBench), which introduces temporal inconsistency perturbations separately at the visual and textual modalities to assess the robustness of models. We evaluate 16 mainstream LMMs and find that they exhibit over-reliance on prior knowledge and textual context in adversarial environments, while ignoring the actual temporal dynamics in the video. To mitigate this issue, we design panoramic direct preference optimization (PanoDPO), which encourages LMMs to incorporate both visual and linguistic feature preferences simultaneously. Experimental results show that PanoDPO can effectively enhance the model’s robustness and reliability in temporal analysis.</v>
      </c>
      <c r="D2316" s="7" t="str">
        <f>IFERROR(__xludf.DUMMYFUNCTION("""COMPUTED_VALUE"""),"Jiafeng Liang")</f>
        <v>Jiafeng Liang</v>
      </c>
      <c r="E2316" s="7" t="str">
        <f>IFERROR(__xludf.DUMMYFUNCTION("""COMPUTED_VALUE"""),"Yes")</f>
        <v>Yes</v>
      </c>
      <c r="F2316" s="7" t="str">
        <f>IFERROR(__xludf.DUMMYFUNCTION("""COMPUTED_VALUE"""),"IP-Poster")</f>
        <v>IP-Poster</v>
      </c>
      <c r="G2316" s="7" t="str">
        <f>IFERROR(__xludf.DUMMYFUNCTION("""COMPUTED_VALUE"""),"In-Person")</f>
        <v>In-Person</v>
      </c>
      <c r="H2316" s="7" t="str">
        <f>IFERROR(__xludf.DUMMYFUNCTION("""COMPUTED_VALUE"""),"Hall 4/5")</f>
        <v>Hall 4/5</v>
      </c>
      <c r="I2316" s="7" t="str">
        <f>IFERROR(__xludf.DUMMYFUNCTION("""COMPUTED_VALUE"""),"Session 10: IP-Posters")</f>
        <v>Session 10: IP-Posters</v>
      </c>
      <c r="J2316" s="7" t="str">
        <f>IFERROR(__xludf.DUMMYFUNCTION("""COMPUTED_VALUE"""),"Poster Session 3")</f>
        <v>Poster Session 3</v>
      </c>
      <c r="K2316" s="7"/>
      <c r="L2316" s="8">
        <f>IFERROR(__xludf.DUMMYFUNCTION("""COMPUTED_VALUE"""),45867.0)</f>
        <v>45867</v>
      </c>
      <c r="M2316" s="7" t="str">
        <f>IFERROR(__xludf.DUMMYFUNCTION("""COMPUTED_VALUE"""),"16:00-17:30")</f>
        <v>16:00-17:30</v>
      </c>
      <c r="N2316" s="7"/>
    </row>
    <row r="2317">
      <c r="A2317" s="7" t="str">
        <f>IFERROR(__xludf.DUMMYFUNCTION("""COMPUTED_VALUE"""),"1747-MAIN")</f>
        <v>1747-MAIN</v>
      </c>
      <c r="B2317" s="7" t="str">
        <f>IFERROR(__xludf.DUMMYFUNCTION("""COMPUTED_VALUE"""),"UniRAG: Unified Query Understanding Method for Retrieval Augmented Generation")</f>
        <v>UniRAG: Unified Query Understanding Method for Retrieval Augmented Generation</v>
      </c>
      <c r="C2317" s="7" t="str">
        <f>IFERROR(__xludf.DUMMYFUNCTION("""COMPUTED_VALUE"""),"Retrieval-Augmented Generation (RAG) technology effectively addresses the issues of knowledge update lag and hallucinations in large language models (LLMs) by integrating internal and external knowledge. Existing query augmentation methods improve RAG's p"&amp;"erformance in handling complex queries but face two key challenges: (1) the separation of query augmentation and encoding tasks, which hinders information sharing and introduces cumulative errors, and (2) the difficulty of selecting the optimal augmentati"&amp;"on strategy for different scenarios. In this work, we propose UniRAG, a unified framework for query understanding in RAG. UniRAG employs a decoder-only LLM to jointly perform query augmentation and encoding, eliminating task separation. To facilitate adap"&amp;"tive query augmentation, we categorize existing techniques into query paraphrasing, query expansion, and query abstraction. Our model learns to select the optimal augmentation strategy based on user queries, leveraging retrieval and generation outputs as "&amp;"feedback. Experimental results show that UniRAG significantly outperforms traditional query augmentation methods in five knowledge-intensive benchmark tasks in both closed and open domain question answering.")</f>
        <v>Retrieval-Augmented Generation (RAG) technology effectively addresses the issues of knowledge update lag and hallucinations in large language models (LLMs) by integrating internal and external knowledge. Existing query augmentation methods improve RAG's performance in handling complex queries but face two key challenges: (1) the separation of query augmentation and encoding tasks, which hinders information sharing and introduces cumulative errors, and (2) the difficulty of selecting the optimal augmentation strategy for different scenarios. In this work, we propose UniRAG, a unified framework for query understanding in RAG. UniRAG employs a decoder-only LLM to jointly perform query augmentation and encoding, eliminating task separation. To facilitate adaptive query augmentation, we categorize existing techniques into query paraphrasing, query expansion, and query abstraction. Our model learns to select the optimal augmentation strategy based on user queries, leveraging retrieval and generation outputs as feedback. Experimental results show that UniRAG significantly outperforms traditional query augmentation methods in five knowledge-intensive benchmark tasks in both closed and open domain question answering.</v>
      </c>
      <c r="D2317" s="7" t="str">
        <f>IFERROR(__xludf.DUMMYFUNCTION("""COMPUTED_VALUE"""),"Rui Li")</f>
        <v>Rui Li</v>
      </c>
      <c r="E2317" s="7" t="str">
        <f>IFERROR(__xludf.DUMMYFUNCTION("""COMPUTED_VALUE"""),"Yes")</f>
        <v>Yes</v>
      </c>
      <c r="F2317" s="7" t="str">
        <f>IFERROR(__xludf.DUMMYFUNCTION("""COMPUTED_VALUE"""),"IP-Poster")</f>
        <v>IP-Poster</v>
      </c>
      <c r="G2317" s="7" t="str">
        <f>IFERROR(__xludf.DUMMYFUNCTION("""COMPUTED_VALUE"""),"In-Person")</f>
        <v>In-Person</v>
      </c>
      <c r="H2317" s="7" t="str">
        <f>IFERROR(__xludf.DUMMYFUNCTION("""COMPUTED_VALUE"""),"Hall 4/5")</f>
        <v>Hall 4/5</v>
      </c>
      <c r="I2317" s="7" t="str">
        <f>IFERROR(__xludf.DUMMYFUNCTION("""COMPUTED_VALUE"""),"Session 10: IP-Posters")</f>
        <v>Session 10: IP-Posters</v>
      </c>
      <c r="J2317" s="7" t="str">
        <f>IFERROR(__xludf.DUMMYFUNCTION("""COMPUTED_VALUE"""),"Poster Session 3")</f>
        <v>Poster Session 3</v>
      </c>
      <c r="K2317" s="7"/>
      <c r="L2317" s="8">
        <f>IFERROR(__xludf.DUMMYFUNCTION("""COMPUTED_VALUE"""),45867.0)</f>
        <v>45867</v>
      </c>
      <c r="M2317" s="7" t="str">
        <f>IFERROR(__xludf.DUMMYFUNCTION("""COMPUTED_VALUE"""),"16:00-17:30")</f>
        <v>16:00-17:30</v>
      </c>
      <c r="N2317" s="7"/>
    </row>
    <row r="2318">
      <c r="A2318" s="7" t="str">
        <f>IFERROR(__xludf.DUMMYFUNCTION("""COMPUTED_VALUE"""),"1748-MAIN")</f>
        <v>1748-MAIN</v>
      </c>
      <c r="B2318" s="7" t="str">
        <f>IFERROR(__xludf.DUMMYFUNCTION("""COMPUTED_VALUE"""),"Contextual Experience Replay for Continual Learning of Language Agents")</f>
        <v>Contextual Experience Replay for Continual Learning of Language Agents</v>
      </c>
      <c r="C2318" s="7" t="str">
        <f>IFERROR(__xludf.DUMMYFUNCTION("""COMPUTED_VALUE"""),"Large language model (LLM) agents have been applied to sequential decision-making tasks such as web navigation, but without any environment-specific experiences, they often fail in these complex tasks. Moreover, current LLM agents are not designed to cont"&amp;"inually learn from past experiences during inference time, which could be crucial for them to gain these environment-specific experiences. To address this, we propose Contextual Experience Replay (CER), a training-free framework to enable efficient self-i"&amp;"mprovement for language agents in their context window. Specifically, CER accumulates and synthesizes past experiences into a dynamic memory buffer. These experiences encompass environment dynamics and common decision-making patterns, allowing the agents "&amp;"to retrieve and augment themselves with relevant knowledge in new tasks, enhancing their adaptability in complex environments. We evaluate CER on the challenging WebArena and VisualWebArena benchmarks. On VisualWebArena, CER surpasses the tree search meth"&amp;"od with much fewer token costs and achieves the state-of-the-art performance of 31.9%. On WebArena, CER also gets a competitive average success rate of 36.7%, relatively improving the success rate of the GPT-4o agent baseline by 51.0%. We also conduct a c"&amp;"omprehensive analysis on it to prove its efficiency, validity and understand it better.")</f>
        <v>Large language model (LLM) agents have been applied to sequential decision-making tasks such as web navigation, but without any environment-specific experiences, they often fail in these complex tasks. Moreover, current LLM agents are not designed to continually learn from past experiences during inference time, which could be crucial for them to gain these environment-specific experiences. To address this, we propose Contextual Experience Replay (CER), a training-free framework to enable efficient self-improvement for language agents in their context window. Specifically, CER accumulates and synthesizes past experiences into a dynamic memory buffer. These experiences encompass environment dynamics and common decision-making patterns, allowing the agents to retrieve and augment themselves with relevant knowledge in new tasks, enhancing their adaptability in complex environments. We evaluate CER on the challenging WebArena and VisualWebArena benchmarks. On VisualWebArena, CER surpasses the tree search method with much fewer token costs and achieves the state-of-the-art performance of 31.9%. On WebArena, CER also gets a competitive average success rate of 36.7%, relatively improving the success rate of the GPT-4o agent baseline by 51.0%. We also conduct a comprehensive analysis on it to prove its efficiency, validity and understand it better.</v>
      </c>
      <c r="D2318" s="7" t="str">
        <f>IFERROR(__xludf.DUMMYFUNCTION("""COMPUTED_VALUE"""),"Yitao Liu")</f>
        <v>Yitao Liu</v>
      </c>
      <c r="E2318" s="7" t="str">
        <f>IFERROR(__xludf.DUMMYFUNCTION("""COMPUTED_VALUE"""),"Yes")</f>
        <v>Yes</v>
      </c>
      <c r="F2318" s="7" t="str">
        <f>IFERROR(__xludf.DUMMYFUNCTION("""COMPUTED_VALUE"""),"IP-Poster")</f>
        <v>IP-Poster</v>
      </c>
      <c r="G2318" s="7" t="str">
        <f>IFERROR(__xludf.DUMMYFUNCTION("""COMPUTED_VALUE"""),"In-Person")</f>
        <v>In-Person</v>
      </c>
      <c r="H2318" s="7" t="str">
        <f>IFERROR(__xludf.DUMMYFUNCTION("""COMPUTED_VALUE"""),"Hall 4/5")</f>
        <v>Hall 4/5</v>
      </c>
      <c r="I2318" s="7" t="str">
        <f>IFERROR(__xludf.DUMMYFUNCTION("""COMPUTED_VALUE"""),"Session 10: IP-Posters")</f>
        <v>Session 10: IP-Posters</v>
      </c>
      <c r="J2318" s="7" t="str">
        <f>IFERROR(__xludf.DUMMYFUNCTION("""COMPUTED_VALUE"""),"Poster Session 3")</f>
        <v>Poster Session 3</v>
      </c>
      <c r="K2318" s="7"/>
      <c r="L2318" s="8">
        <f>IFERROR(__xludf.DUMMYFUNCTION("""COMPUTED_VALUE"""),45867.0)</f>
        <v>45867</v>
      </c>
      <c r="M2318" s="7" t="str">
        <f>IFERROR(__xludf.DUMMYFUNCTION("""COMPUTED_VALUE"""),"16:00-17:30")</f>
        <v>16:00-17:30</v>
      </c>
      <c r="N2318" s="7"/>
    </row>
    <row r="2319">
      <c r="A2319" s="7" t="str">
        <f>IFERROR(__xludf.DUMMYFUNCTION("""COMPUTED_VALUE"""),"1753-MAIN")</f>
        <v>1753-MAIN</v>
      </c>
      <c r="B2319" s="7" t="str">
        <f>IFERROR(__xludf.DUMMYFUNCTION("""COMPUTED_VALUE"""),"Emma-X: An Embodied Multimodal Action Model with Grounded Chain of Thought and Look-ahead Spatial Reasoning")</f>
        <v>Emma-X: An Embodied Multimodal Action Model with Grounded Chain of Thought and Look-ahead Spatial Reasoning</v>
      </c>
      <c r="C2319" s="7" t="str">
        <f>IFERROR(__xludf.DUMMYFUNCTION("""COMPUTED_VALUE"""),"Traditional reinforcement learning-based robotic control methods are often task-specific and fail to generalize across diverse environments or unseen objects and instructions. Visual Language Models (VLMs) demonstrate strong scene understanding and planni"&amp;"ng capabilities but lack the ability to generate actionable policies tailored to specific robotic embodiments. To address this, Visual-Language-Action (VLA) models have emerged, yet they face challenges in long-horizon spatial reasoning and grounded task "&amp;"planning. In this work, we propose the Embodied Multimodal Action Model with Grounded Chain of Thought and Look-ahead Spatial Reasoning, EMMA-X. EMMA-X leverages our constructed hierarchical embodiment dataset based on BridgeV2, containing 60,000 robot ma"&amp;"nipulation trajectories auto-annotated with grounded task reasoning and spatial guidance. Additionally, we introduce a trajectory segmentation strategy based on gripper states and motion trajectories, which can help mitigate hallucination in grounding sub"&amp;"task reasoning generation. Experimental results demonstrate that EMMA-X achieves superior performance over competitive baselines, particularly in real-world robotic tasks requiring spatial reasoning.")</f>
        <v>Traditional reinforcement learning-based robotic control methods are often task-specific and fail to generalize across diverse environments or unseen objects and instructions. Visual Language Models (VLMs) demonstrate strong scene understanding and planning capabilities but lack the ability to generate actionable policies tailored to specific robotic embodiments. To address this, Visual-Language-Action (VLA) models have emerged, yet they face challenges in long-horizon spatial reasoning and grounded task planning. In this work, we propose the Embodied Multimodal Action Model with Grounded Chain of Thought and Look-ahead Spatial Reasoning, EMMA-X. EMMA-X leverages our constructed hierarchical embodiment dataset based on BridgeV2, containing 60,000 robot manipulation trajectories auto-annotated with grounded task reasoning and spatial guidance. Additionally, we introduce a trajectory segmentation strategy based on gripper states and motion trajectories, which can help mitigate hallucination in grounding subtask reasoning generation. Experimental results demonstrate that EMMA-X achieves superior performance over competitive baselines, particularly in real-world robotic tasks requiring spatial reasoning.</v>
      </c>
      <c r="D2319" s="7" t="str">
        <f>IFERROR(__xludf.DUMMYFUNCTION("""COMPUTED_VALUE"""),"Pengfei Hong")</f>
        <v>Pengfei Hong</v>
      </c>
      <c r="E2319" s="7" t="str">
        <f>IFERROR(__xludf.DUMMYFUNCTION("""COMPUTED_VALUE"""),"Yes")</f>
        <v>Yes</v>
      </c>
      <c r="F2319" s="7" t="str">
        <f>IFERROR(__xludf.DUMMYFUNCTION("""COMPUTED_VALUE"""),"IP-Poster")</f>
        <v>IP-Poster</v>
      </c>
      <c r="G2319" s="7" t="str">
        <f>IFERROR(__xludf.DUMMYFUNCTION("""COMPUTED_VALUE"""),"In-Person")</f>
        <v>In-Person</v>
      </c>
      <c r="H2319" s="7" t="str">
        <f>IFERROR(__xludf.DUMMYFUNCTION("""COMPUTED_VALUE"""),"Hall 4/5")</f>
        <v>Hall 4/5</v>
      </c>
      <c r="I2319" s="7" t="str">
        <f>IFERROR(__xludf.DUMMYFUNCTION("""COMPUTED_VALUE"""),"Session 10: IP-Posters")</f>
        <v>Session 10: IP-Posters</v>
      </c>
      <c r="J2319" s="7" t="str">
        <f>IFERROR(__xludf.DUMMYFUNCTION("""COMPUTED_VALUE"""),"Poster Session 3")</f>
        <v>Poster Session 3</v>
      </c>
      <c r="K2319" s="7"/>
      <c r="L2319" s="8">
        <f>IFERROR(__xludf.DUMMYFUNCTION("""COMPUTED_VALUE"""),45867.0)</f>
        <v>45867</v>
      </c>
      <c r="M2319" s="7" t="str">
        <f>IFERROR(__xludf.DUMMYFUNCTION("""COMPUTED_VALUE"""),"16:00-17:30")</f>
        <v>16:00-17:30</v>
      </c>
      <c r="N2319" s="7"/>
    </row>
    <row r="2320">
      <c r="A2320" s="7" t="str">
        <f>IFERROR(__xludf.DUMMYFUNCTION("""COMPUTED_VALUE"""),"1755-MAIN")</f>
        <v>1755-MAIN</v>
      </c>
      <c r="B2320" s="7" t="str">
        <f>IFERROR(__xludf.DUMMYFUNCTION("""COMPUTED_VALUE"""),"Towards Comprehensive Argument Analysis in Education: Dataset, Tasks, and Method")</f>
        <v>Towards Comprehensive Argument Analysis in Education: Dataset, Tasks, and Method</v>
      </c>
      <c r="C2320" s="7" t="str">
        <f>IFERROR(__xludf.DUMMYFUNCTION("""COMPUTED_VALUE"""),"Argument mining has garnered increasing attention over the years, with the recent advancement of Large Language Models (LLMs) further propelling this trend. However, current argument relations remain relatively simplistic and foundational, struggling to c"&amp;"apture the full scope of argument information. To address this limitation, we propose a systematic framework comprising 14 fine-grained relation types from the perspectives of vertical argument relations and horizontal discourse relations, thereby capturi"&amp;"ng the intricate interplay between argument components for a thorough understanding of argument structure. On this basis, we conducted extensive experiments on three tasks: argument component prediction, relation prediction, and automated essay grading. A"&amp;"dditionally, we explored the impact of writing quality on argument component prediction and relation prediction, as well as the connections between discourse relations and argumentative features. The findings highlight the importance of fine-grained argum"&amp;"entative annotations for argumentative writing assessment and encourage multi-dimensional argument analysis.")</f>
        <v>Argument mining has garnered increasing attention over the years, with the recent advancement of Large Language Models (LLMs) further propelling this trend. However, current argument relations remain relatively simplistic and foundational, struggling to capture the full scope of argument information. To address this limitation, we propose a systematic framework comprising 14 fine-grained relation types from the perspectives of vertical argument relations and horizontal discourse relations, thereby capturing the intricate interplay between argument components for a thorough understanding of argument structure. On this basis, we conducted extensive experiments on three tasks: argument component prediction, relation prediction, and automated essay grading. Additionally, we explored the impact of writing quality on argument component prediction and relation prediction, as well as the connections between discourse relations and argumentative features. The findings highlight the importance of fine-grained argumentative annotations for argumentative writing assessment and encourage multi-dimensional argument analysis.</v>
      </c>
      <c r="D2320" s="7" t="str">
        <f>IFERROR(__xludf.DUMMYFUNCTION("""COMPUTED_VALUE"""),"Yupei Ren")</f>
        <v>Yupei Ren</v>
      </c>
      <c r="E2320" s="7" t="str">
        <f>IFERROR(__xludf.DUMMYFUNCTION("""COMPUTED_VALUE"""),"Yes")</f>
        <v>Yes</v>
      </c>
      <c r="F2320" s="7" t="str">
        <f>IFERROR(__xludf.DUMMYFUNCTION("""COMPUTED_VALUE"""),"IP-Oral")</f>
        <v>IP-Oral</v>
      </c>
      <c r="G2320" s="7" t="str">
        <f>IFERROR(__xludf.DUMMYFUNCTION("""COMPUTED_VALUE"""),"In-Person")</f>
        <v>In-Person</v>
      </c>
      <c r="H2320" s="7" t="str">
        <f>IFERROR(__xludf.DUMMYFUNCTION("""COMPUTED_VALUE"""),"Room 1.62")</f>
        <v>Room 1.62</v>
      </c>
      <c r="I2320" s="7" t="str">
        <f>IFERROR(__xludf.DUMMYFUNCTION("""COMPUTED_VALUE"""),"Session 9: IP-Orals")</f>
        <v>Session 9: IP-Orals</v>
      </c>
      <c r="J2320" s="7" t="str">
        <f>IFERROR(__xludf.DUMMYFUNCTION("""COMPUTED_VALUE"""),"Sentiment, Style and Argumentation Analysis")</f>
        <v>Sentiment, Style and Argumentation Analysis</v>
      </c>
      <c r="K2320" s="7"/>
      <c r="L2320" s="8">
        <f>IFERROR(__xludf.DUMMYFUNCTION("""COMPUTED_VALUE"""),45867.0)</f>
        <v>45867</v>
      </c>
      <c r="M2320" s="7" t="str">
        <f>IFERROR(__xludf.DUMMYFUNCTION("""COMPUTED_VALUE"""),"14:00-15:30")</f>
        <v>14:00-15:30</v>
      </c>
      <c r="N2320" s="7">
        <f>IFERROR(__xludf.DUMMYFUNCTION("""COMPUTED_VALUE"""),3.0)</f>
        <v>3</v>
      </c>
    </row>
    <row r="2321">
      <c r="A2321" s="7" t="str">
        <f>IFERROR(__xludf.DUMMYFUNCTION("""COMPUTED_VALUE"""),"1756-MAIN")</f>
        <v>1756-MAIN</v>
      </c>
      <c r="B2321" s="7" t="str">
        <f>IFERROR(__xludf.DUMMYFUNCTION("""COMPUTED_VALUE"""),"Browsing Like Human: A Multimodal Web Agent with Experiential Fast-and-Slow Thinking")</f>
        <v>Browsing Like Human: A Multimodal Web Agent with Experiential Fast-and-Slow Thinking</v>
      </c>
      <c r="C2321" s="7" t="str">
        <f>IFERROR(__xludf.DUMMYFUNCTION("""COMPUTED_VALUE"""),"Automating web navigation which aims to build a web agent that follows user instructions to complete tasks like booking flights by interacting with websites, has received increasing attention due to its practical value. Although existing web agents are mo"&amp;"stly equipped with visual perception, planning, and memory abilities, their reasoning process are still deviate from human cognition. In this work, we study the human thought pattern to empower agent with more human-like abilities in web navigation. To ta"&amp;"ckle this problem, we propose a novel multimodal web agent framework called WebExperT, which is designed to emulate the human planning process of ""thinking fast and slow"" to effectively decompose complex user instructions. Furthermore, WebExperT leverag"&amp;"es experiential learning by reflecting from failure for continuously refining planning and decision-making outcomes. Experimental results on the Mind2Web benchmark demonstrate the superiority of WebExperT in both supervised and unsupervised settings.")</f>
        <v>Automating web navigation which aims to build a web agent that follows user instructions to complete tasks like booking flights by interacting with websites, has received increasing attention due to its practical value. Although existing web agents are mostly equipped with visual perception, planning, and memory abilities, their reasoning process are still deviate from human cognition. In this work, we study the human thought pattern to empower agent with more human-like abilities in web navigation. To tackle this problem, we propose a novel multimodal web agent framework called WebExperT, which is designed to emulate the human planning process of "thinking fast and slow" to effectively decompose complex user instructions. Furthermore, WebExperT leverages experiential learning by reflecting from failure for continuously refining planning and decision-making outcomes. Experimental results on the Mind2Web benchmark demonstrate the superiority of WebExperT in both supervised and unsupervised settings.</v>
      </c>
      <c r="D2321" s="7" t="str">
        <f>IFERROR(__xludf.DUMMYFUNCTION("""COMPUTED_VALUE"""),"Haohao LUO")</f>
        <v>Haohao LUO</v>
      </c>
      <c r="E2321" s="7" t="str">
        <f>IFERROR(__xludf.DUMMYFUNCTION("""COMPUTED_VALUE"""),"Yes")</f>
        <v>Yes</v>
      </c>
      <c r="F2321" s="7" t="str">
        <f>IFERROR(__xludf.DUMMYFUNCTION("""COMPUTED_VALUE"""),"IP-Poster")</f>
        <v>IP-Poster</v>
      </c>
      <c r="G2321" s="7" t="str">
        <f>IFERROR(__xludf.DUMMYFUNCTION("""COMPUTED_VALUE"""),"In-Person")</f>
        <v>In-Person</v>
      </c>
      <c r="H2321" s="7" t="str">
        <f>IFERROR(__xludf.DUMMYFUNCTION("""COMPUTED_VALUE"""),"Hall 4/5")</f>
        <v>Hall 4/5</v>
      </c>
      <c r="I2321" s="7" t="str">
        <f>IFERROR(__xludf.DUMMYFUNCTION("""COMPUTED_VALUE"""),"Session 10: IP-Posters")</f>
        <v>Session 10: IP-Posters</v>
      </c>
      <c r="J2321" s="7" t="str">
        <f>IFERROR(__xludf.DUMMYFUNCTION("""COMPUTED_VALUE"""),"Poster Session 3")</f>
        <v>Poster Session 3</v>
      </c>
      <c r="K2321" s="7"/>
      <c r="L2321" s="8">
        <f>IFERROR(__xludf.DUMMYFUNCTION("""COMPUTED_VALUE"""),45867.0)</f>
        <v>45867</v>
      </c>
      <c r="M2321" s="7" t="str">
        <f>IFERROR(__xludf.DUMMYFUNCTION("""COMPUTED_VALUE"""),"16:00-17:30")</f>
        <v>16:00-17:30</v>
      </c>
      <c r="N2321" s="7"/>
    </row>
    <row r="2322">
      <c r="A2322" s="7" t="str">
        <f>IFERROR(__xludf.DUMMYFUNCTION("""COMPUTED_VALUE"""),"1757-MAIN")</f>
        <v>1757-MAIN</v>
      </c>
      <c r="B2322" s="7" t="str">
        <f>IFERROR(__xludf.DUMMYFUNCTION("""COMPUTED_VALUE"""),"MaXIFE: Multilingual and Cross-lingual Instruction Following Evaluation")</f>
        <v>MaXIFE: Multilingual and Cross-lingual Instruction Following Evaluation</v>
      </c>
      <c r="C2322" s="7" t="str">
        <f>IFERROR(__xludf.DUMMYFUNCTION("""COMPUTED_VALUE"""),"With the rapid adoption of large language models (LLMs) in natural language processing, the ability to follow instructions has emerged as a key metric for evaluating their practical utility. However, existing evaluation methods often focus on single-langu"&amp;"age scenarios, overlooking the challenges and differences present in multilingual and cross-lingual contexts. To address this gap, we introduce MaXIFE: a comprehensive evaluation benchmark designed to assess instruction-following capabilities across 23 di"&amp;"fferent languages with 1667 verifiable instruction tasks. MaXIFE integrates both Rule-Based Evaluation and Model-Based Evaluation, ensuring a balance of efficiency and accuracy. We applied MaXIFE to evaluate several leading commercial LLMs, establishing b"&amp;"aseline results for future comparisons. By providing a standardized tool for multilingual instruction-following evaluation, MaXIFE aims to advance research and development in natural language processing.")</f>
        <v>With the rapid adoption of large language models (LLMs) in natural language processing, the ability to follow instructions has emerged as a key metric for evaluating their practical utility. However, existing evaluation methods often focus on single-language scenarios, overlooking the challenges and differences present in multilingual and cross-lingual contexts. To address this gap, we introduce MaXIFE: a comprehensive evaluation benchmark designed to assess instruction-following capabilities across 23 different languages with 1667 verifiable instruction tasks. MaXIFE integrates both Rule-Based Evaluation and Model-Based Evaluation, ensuring a balance of efficiency and accuracy. We applied MaXIFE to evaluate several leading commercial LLMs, establishing baseline results for future comparisons. By providing a standardized tool for multilingual instruction-following evaluation, MaXIFE aims to advance research and development in natural language processing.</v>
      </c>
      <c r="D2322" s="7" t="str">
        <f>IFERROR(__xludf.DUMMYFUNCTION("""COMPUTED_VALUE"""),"Yile Liu")</f>
        <v>Yile Liu</v>
      </c>
      <c r="E2322" s="7" t="str">
        <f>IFERROR(__xludf.DUMMYFUNCTION("""COMPUTED_VALUE"""),"Yes")</f>
        <v>Yes</v>
      </c>
      <c r="F2322" s="7" t="str">
        <f>IFERROR(__xludf.DUMMYFUNCTION("""COMPUTED_VALUE"""),"IP-Poster")</f>
        <v>IP-Poster</v>
      </c>
      <c r="G2322" s="7" t="str">
        <f>IFERROR(__xludf.DUMMYFUNCTION("""COMPUTED_VALUE"""),"In-Person")</f>
        <v>In-Person</v>
      </c>
      <c r="H2322" s="7" t="str">
        <f>IFERROR(__xludf.DUMMYFUNCTION("""COMPUTED_VALUE"""),"Hall 4/5")</f>
        <v>Hall 4/5</v>
      </c>
      <c r="I2322" s="7" t="str">
        <f>IFERROR(__xludf.DUMMYFUNCTION("""COMPUTED_VALUE"""),"Session 7: IP-Posters")</f>
        <v>Session 7: IP-Posters</v>
      </c>
      <c r="J2322" s="7" t="str">
        <f>IFERROR(__xludf.DUMMYFUNCTION("""COMPUTED_VALUE"""),"Poster Session 2")</f>
        <v>Poster Session 2</v>
      </c>
      <c r="K2322" s="7"/>
      <c r="L2322" s="8">
        <f>IFERROR(__xludf.DUMMYFUNCTION("""COMPUTED_VALUE"""),45867.0)</f>
        <v>45867</v>
      </c>
      <c r="M2322" s="7" t="str">
        <f>IFERROR(__xludf.DUMMYFUNCTION("""COMPUTED_VALUE"""),"10:30-12:00")</f>
        <v>10:30-12:00</v>
      </c>
      <c r="N2322" s="7"/>
    </row>
    <row r="2323">
      <c r="A2323" s="7" t="str">
        <f>IFERROR(__xludf.DUMMYFUNCTION("""COMPUTED_VALUE"""),"1760-MAIN")</f>
        <v>1760-MAIN</v>
      </c>
      <c r="B2323" s="7" t="str">
        <f>IFERROR(__xludf.DUMMYFUNCTION("""COMPUTED_VALUE"""),"Linguistic Generalizability of Test-Time Scaling in Mathematical Reasoning")</f>
        <v>Linguistic Generalizability of Test-Time Scaling in Mathematical Reasoning</v>
      </c>
      <c r="C2323" s="7" t="str">
        <f>IFERROR(__xludf.DUMMYFUNCTION("""COMPUTED_VALUE"""),"Scaling pre-training compute has proven effective for achieving multilinguality, but does the same hold for test-time scaling? In this work, we introduce **MCLM**, a multilingual math benchmark featuring competition-level problems in 55 languages. We then"&amp;" compare three test-time scaling methods---Outcome Reward Modeling, Process Reward Modeling, and Budget Forcing. Our findings indicate that although ``thinking LLMs'' have recently garnered significant attention, their performance is comparable to traditi"&amp;"onal scaling methods like best-of-N once constrained to similar levels of inference FLOPs. More importantly, all tested methods fail to generalize robustly across languages, achieving only modest gains that are smaller than those observed in English, with"&amp;" no improvements in variance or consistency. To foster further research, we release MCLM and MR1-1.5B (a multilingual LLM with reasoning capabilities) and our evaluation results.")</f>
        <v>Scaling pre-training compute has proven effective for achieving multilinguality, but does the same hold for test-time scaling? In this work, we introduce **MCLM**, a multilingual math benchmark featuring competition-level problems in 55 languages. We then compare three test-time scaling methods---Outcome Reward Modeling, Process Reward Modeling, and Budget Forcing. Our findings indicate that although ``thinking LLMs'' have recently garnered significant attention, their performance is comparable to traditional scaling methods like best-of-N once constrained to similar levels of inference FLOPs. More importantly, all tested methods fail to generalize robustly across languages, achieving only modest gains that are smaller than those observed in English, with no improvements in variance or consistency. To foster further research, we release MCLM and MR1-1.5B (a multilingual LLM with reasoning capabilities) and our evaluation results.</v>
      </c>
      <c r="D2323" s="7" t="str">
        <f>IFERROR(__xludf.DUMMYFUNCTION("""COMPUTED_VALUE"""),"Guijin Son")</f>
        <v>Guijin Son</v>
      </c>
      <c r="E2323" s="7" t="str">
        <f>IFERROR(__xludf.DUMMYFUNCTION("""COMPUTED_VALUE"""),"Yes")</f>
        <v>Yes</v>
      </c>
      <c r="F2323" s="7" t="str">
        <f>IFERROR(__xludf.DUMMYFUNCTION("""COMPUTED_VALUE"""),"IP-Oral")</f>
        <v>IP-Oral</v>
      </c>
      <c r="G2323" s="7" t="str">
        <f>IFERROR(__xludf.DUMMYFUNCTION("""COMPUTED_VALUE"""),"In-Person")</f>
        <v>In-Person</v>
      </c>
      <c r="H2323" s="7" t="str">
        <f>IFERROR(__xludf.DUMMYFUNCTION("""COMPUTED_VALUE"""),"Room 1.15-16")</f>
        <v>Room 1.15-16</v>
      </c>
      <c r="I2323" s="7" t="str">
        <f>IFERROR(__xludf.DUMMYFUNCTION("""COMPUTED_VALUE"""),"Session 3: IP-Orals")</f>
        <v>Session 3: IP-Orals</v>
      </c>
      <c r="J2323" s="7" t="str">
        <f>IFERROR(__xludf.DUMMYFUNCTION("""COMPUTED_VALUE"""),"Theme track: Generalisation of NLP models")</f>
        <v>Theme track: Generalisation of NLP models</v>
      </c>
      <c r="K2323" s="7"/>
      <c r="L2323" s="8">
        <f>IFERROR(__xludf.DUMMYFUNCTION("""COMPUTED_VALUE"""),45866.0)</f>
        <v>45866</v>
      </c>
      <c r="M2323" s="7" t="str">
        <f>IFERROR(__xludf.DUMMYFUNCTION("""COMPUTED_VALUE"""),"14:00-15:30")</f>
        <v>14:00-15:30</v>
      </c>
      <c r="N2323" s="7">
        <f>IFERROR(__xludf.DUMMYFUNCTION("""COMPUTED_VALUE"""),4.0)</f>
        <v>4</v>
      </c>
    </row>
    <row r="2324">
      <c r="A2324" s="7" t="str">
        <f>IFERROR(__xludf.DUMMYFUNCTION("""COMPUTED_VALUE"""),"1763-MAIN")</f>
        <v>1763-MAIN</v>
      </c>
      <c r="B2324" s="7" t="str">
        <f>IFERROR(__xludf.DUMMYFUNCTION("""COMPUTED_VALUE"""),"Can MLLMs Understand the Deep Implication Behind Chinese Images?")</f>
        <v>Can MLLMs Understand the Deep Implication Behind Chinese Images?</v>
      </c>
      <c r="C2324" s="7" t="str">
        <f>IFERROR(__xludf.DUMMYFUNCTION("""COMPUTED_VALUE"""),"As the capabilities of Multimodal Large Language Models (MLLMs) improve, the need for higher-order evaluation of them is increasing. However, there is a lack of work evaluating MLLM for higher-order perception and understanding of Chinese visual content. "&amp;"To address this, we introduce the CII-Bench, which aims to assess MLLMs' such capabilities for Chinese images. To ensure the authenticity of the Chinese context, images in CII-Bench are sourced from the Chinese Internet and manually reviewed, with corresp"&amp;"onding answers also manually crafted. Additionally, CII-Bench incorporates images that represent Chinese traditional culture, such as famous Chinese traditional paintings, which can deeply reflect the model's understanding of Chinese traditional culture. "&amp;"Through experiments on multiple MLLMs using CII-Bench, significant findings emerged. There is a large gap between MLLMs and humans in performance. The highest MLLM accuracy is 64.4%, while the human average is 78.2% and the peak is 81.0%. MLLMs perform po"&amp;"orly on traditional culture images, indicating limitations in understanding high-level semantics and lacking a deep knowledge base of Chinese traditional culture. Moreover, most models have higher accuracy when image emotion hints are added to the prompts"&amp;". We believe CII-Bench will help MLLMs better understand Chinese semantics and specific images, and move forward the development of expert artificial general intelligence (AGI). Our project is publicly available at https://cii-bench.github.io.")</f>
        <v>As the capabilities of Multimodal Large Language Models (MLLMs) improve, the need for higher-order evaluation of them is increasing. However, there is a lack of work evaluating MLLM for higher-order perception and understanding of Chinese visual content. To address this, we introduce the CII-Bench, which aims to assess MLLMs' such capabilities for Chinese images. To ensure the authenticity of the Chinese context, images in CII-Bench are sourced from the Chinese Internet and manually reviewed, with corresponding answers also manually crafted. Additionally, CII-Bench incorporates images that represent Chinese traditional culture, such as famous Chinese traditional paintings, which can deeply reflect the model's understanding of Chinese traditional culture. Through experiments on multiple MLLMs using CII-Bench, significant findings emerged. There is a large gap between MLLMs and humans in performance. The highest MLLM accuracy is 64.4%, while the human average is 78.2% and the peak is 81.0%. MLLMs perform poorly on traditional culture images, indicating limitations in understanding high-level semantics and lacking a deep knowledge base of Chinese traditional culture. Moreover, most models have higher accuracy when image emotion hints are added to the prompts. We believe CII-Bench will help MLLMs better understand Chinese semantics and specific images, and move forward the development of expert artificial general intelligence (AGI). Our project is publicly available at https://cii-bench.github.io.</v>
      </c>
      <c r="D2324" s="7" t="str">
        <f>IFERROR(__xludf.DUMMYFUNCTION("""COMPUTED_VALUE"""),"Chenhao Zhang, Xi Feng, Shiwen Ni, Ge Zhang")</f>
        <v>Chenhao Zhang, Xi Feng, Shiwen Ni, Ge Zhang</v>
      </c>
      <c r="E2324" s="7" t="str">
        <f>IFERROR(__xludf.DUMMYFUNCTION("""COMPUTED_VALUE"""),"Yes")</f>
        <v>Yes</v>
      </c>
      <c r="F2324" s="7" t="str">
        <f>IFERROR(__xludf.DUMMYFUNCTION("""COMPUTED_VALUE"""),"IP-Poster")</f>
        <v>IP-Poster</v>
      </c>
      <c r="G2324" s="7" t="str">
        <f>IFERROR(__xludf.DUMMYFUNCTION("""COMPUTED_VALUE"""),"In-Person")</f>
        <v>In-Person</v>
      </c>
      <c r="H2324" s="7" t="str">
        <f>IFERROR(__xludf.DUMMYFUNCTION("""COMPUTED_VALUE"""),"Hall 4/5")</f>
        <v>Hall 4/5</v>
      </c>
      <c r="I2324" s="7" t="str">
        <f>IFERROR(__xludf.DUMMYFUNCTION("""COMPUTED_VALUE"""),"Session 10: IP-Posters")</f>
        <v>Session 10: IP-Posters</v>
      </c>
      <c r="J2324" s="7" t="str">
        <f>IFERROR(__xludf.DUMMYFUNCTION("""COMPUTED_VALUE"""),"Poster Session 3")</f>
        <v>Poster Session 3</v>
      </c>
      <c r="K2324" s="7"/>
      <c r="L2324" s="8">
        <f>IFERROR(__xludf.DUMMYFUNCTION("""COMPUTED_VALUE"""),45867.0)</f>
        <v>45867</v>
      </c>
      <c r="M2324" s="7" t="str">
        <f>IFERROR(__xludf.DUMMYFUNCTION("""COMPUTED_VALUE"""),"16:00-17:30")</f>
        <v>16:00-17:30</v>
      </c>
      <c r="N2324" s="7"/>
    </row>
    <row r="2325">
      <c r="A2325" s="7" t="str">
        <f>IFERROR(__xludf.DUMMYFUNCTION("""COMPUTED_VALUE"""),"1764-MAIN")</f>
        <v>1764-MAIN</v>
      </c>
      <c r="B2325" s="7" t="str">
        <f>IFERROR(__xludf.DUMMYFUNCTION("""COMPUTED_VALUE"""),"KazMMLU: Evaluating Language Models on Kazakh, Russian, and Regional Knowledge of Kazakhstan")</f>
        <v>KazMMLU: Evaluating Language Models on Kazakh, Russian, and Regional Knowledge of Kazakhstan</v>
      </c>
      <c r="C2325" s="7" t="str">
        <f>IFERROR(__xludf.DUMMYFUNCTION("""COMPUTED_VALUE"""),"Despite having a population of twenty million, Kazakhstan's culture and language remain underrepresented in the field of natural language processing. Although large language models (LLMs) continue to advance worldwide, progress in Kazakh language has been"&amp;" limited, as seen in the scarcity of dedicated models and benchmark evaluations. To address this gap, we introduce KazMMLU, the first MMLU-style dataset specifically designed for Kazakh language. KazMMLU comprises 23,000 questions that cover various educa"&amp;"tional levels, including STEM, humanities, and social sciences, sourced from authentic educational materials and manually validated by native speakers and educators. The dataset includes 10,969 Kazakh questions and 12,031 Russian questions, reflecting Kaz"&amp;"akhstan's bilingual education system and rich local context. Our evaluation of several state-of-the-art multilingual models (Llama3.1, Qwen-2.5, GPT-4, and DeepSeek V3) demonstrates substantial room for improvement, as even the best-performing models stru"&amp;"ggle to achieve competitive performance in Kazakh and Russian. These findings highlight significant performance gaps compared to high-resource languages. We hope that our dataset will enable further research and development of Kazakh-centric LLMs.")</f>
        <v>Despite having a population of twenty million, Kazakhstan's culture and language remain underrepresented in the field of natural language processing. Although large language models (LLMs) continue to advance worldwide, progress in Kazakh language has been limited, as seen in the scarcity of dedicated models and benchmark evaluations. To address this gap, we introduce KazMMLU, the first MMLU-style dataset specifically designed for Kazakh language. KazMMLU comprises 23,000 questions that cover various educational levels, including STEM, humanities, and social sciences, sourced from authentic educational materials and manually validated by native speakers and educators. The dataset includes 10,969 Kazakh questions and 12,031 Russian questions, reflecting Kazakhstan's bilingual education system and rich local context. Our evaluation of several state-of-the-art multilingual models (Llama3.1, Qwen-2.5, GPT-4, and DeepSeek V3) demonstrates substantial room for improvement, as even the best-performing models struggle to achieve competitive performance in Kazakh and Russian. These findings highlight significant performance gaps compared to high-resource languages. We hope that our dataset will enable further research and development of Kazakh-centric LLMs.</v>
      </c>
      <c r="D2325" s="7" t="str">
        <f>IFERROR(__xludf.DUMMYFUNCTION("""COMPUTED_VALUE"""),"Nurdaulet Mukhituly, Diana Turmakhan")</f>
        <v>Nurdaulet Mukhituly, Diana Turmakhan</v>
      </c>
      <c r="E2325" s="7" t="str">
        <f>IFERROR(__xludf.DUMMYFUNCTION("""COMPUTED_VALUE"""),"Yes")</f>
        <v>Yes</v>
      </c>
      <c r="F2325" s="7" t="str">
        <f>IFERROR(__xludf.DUMMYFUNCTION("""COMPUTED_VALUE"""),"IP-Poster")</f>
        <v>IP-Poster</v>
      </c>
      <c r="G2325" s="7" t="str">
        <f>IFERROR(__xludf.DUMMYFUNCTION("""COMPUTED_VALUE"""),"In-Person")</f>
        <v>In-Person</v>
      </c>
      <c r="H2325" s="7" t="str">
        <f>IFERROR(__xludf.DUMMYFUNCTION("""COMPUTED_VALUE"""),"Hall 4/5")</f>
        <v>Hall 4/5</v>
      </c>
      <c r="I2325" s="7" t="str">
        <f>IFERROR(__xludf.DUMMYFUNCTION("""COMPUTED_VALUE"""),"Session 7: IP-Posters")</f>
        <v>Session 7: IP-Posters</v>
      </c>
      <c r="J2325" s="7" t="str">
        <f>IFERROR(__xludf.DUMMYFUNCTION("""COMPUTED_VALUE"""),"Poster Session 2")</f>
        <v>Poster Session 2</v>
      </c>
      <c r="K2325" s="7"/>
      <c r="L2325" s="8">
        <f>IFERROR(__xludf.DUMMYFUNCTION("""COMPUTED_VALUE"""),45867.0)</f>
        <v>45867</v>
      </c>
      <c r="M2325" s="7" t="str">
        <f>IFERROR(__xludf.DUMMYFUNCTION("""COMPUTED_VALUE"""),"10:30-12:00")</f>
        <v>10:30-12:00</v>
      </c>
      <c r="N2325" s="7"/>
    </row>
    <row r="2326">
      <c r="A2326" s="7" t="str">
        <f>IFERROR(__xludf.DUMMYFUNCTION("""COMPUTED_VALUE"""),"1769-MAIN")</f>
        <v>1769-MAIN</v>
      </c>
      <c r="B2326" s="7" t="str">
        <f>IFERROR(__xludf.DUMMYFUNCTION("""COMPUTED_VALUE"""),"Fast or Slow? Integrating Fast Intuition and Deliberate Thinking for Enhancing Visual Question Answering")</f>
        <v>Fast or Slow? Integrating Fast Intuition and Deliberate Thinking for Enhancing Visual Question Answering</v>
      </c>
      <c r="C2326" s="7" t="str">
        <f>IFERROR(__xludf.DUMMYFUNCTION("""COMPUTED_VALUE"""),"Multimodal large language models (MLLMs) still struggle with complex reasoning tasks in Visual Question Answering (VQA). While current methods have advanced by incorporating visual prompts, our study uncovers critical limitations: these approaches indiscr"&amp;"iminately annotate all detected objects for every visual question, generating excessive visual markers that degrade task performance. This issue stems primarily from a lack of focus on key visual elements, raising two important questions: Are all objects "&amp;"equally important, and do all questions require visual prompts? Motivated by Dual Process Theory, which distinguishes between instinctive and deliberate cognitive modes in human reasoning, we propose FOCUS, a plug-and-play approach that dynamically adapts"&amp;" to the complexity of questions, combining fast intuitive judgments with deliberate analytical reasoning to enhance the vision-language reasoning capability of the MLLM. For straightforward questions, FOCUS supports efficient zero-shot reasoning. For more"&amp;" complex tasks, it employs the conceptualizing before observation strategy to highlight critical elements. Extensive experiments on four benchmarks—ScienceQA, TextQA, VizWiz, and MME—demonstrate that FOCUS consistently improves the performance of both ope"&amp;"n-source and black-box MLLMs, achieving significant gains across all datasets. Ablation studies further validate the importance of combining diverse cognitive strategies with refined visual information for superior performance. Code will be released.")</f>
        <v>Multimodal large language models (MLLMs) still struggle with complex reasoning tasks in Visual Question Answering (VQA). While current methods have advanced by incorporating visual prompts, our study uncovers critical limitations: these approaches indiscriminately annotate all detected objects for every visual question, generating excessive visual markers that degrade task performance. This issue stems primarily from a lack of focus on key visual elements, raising two important questions: Are all objects equally important, and do all questions require visual prompts? Motivated by Dual Process Theory, which distinguishes between instinctive and deliberate cognitive modes in human reasoning, we propose FOCUS, a plug-and-play approach that dynamically adapts to the complexity of questions, combining fast intuitive judgments with deliberate analytical reasoning to enhance the vision-language reasoning capability of the MLLM. For straightforward questions, FOCUS supports efficient zero-shot reasoning. For more complex tasks, it employs the conceptualizing before observation strategy to highlight critical elements. Extensive experiments on four benchmarks—ScienceQA, TextQA, VizWiz, and MME—demonstrate that FOCUS consistently improves the performance of both open-source and black-box MLLMs, achieving significant gains across all datasets. Ablation studies further validate the importance of combining diverse cognitive strategies with refined visual information for superior performance. Code will be released.</v>
      </c>
      <c r="D2326" s="7" t="str">
        <f>IFERROR(__xludf.DUMMYFUNCTION("""COMPUTED_VALUE"""),"Songtao Jiang")</f>
        <v>Songtao Jiang</v>
      </c>
      <c r="E2326" s="7" t="str">
        <f>IFERROR(__xludf.DUMMYFUNCTION("""COMPUTED_VALUE"""),"Yes")</f>
        <v>Yes</v>
      </c>
      <c r="F2326" s="7" t="str">
        <f>IFERROR(__xludf.DUMMYFUNCTION("""COMPUTED_VALUE"""),"IP-Poster")</f>
        <v>IP-Poster</v>
      </c>
      <c r="G2326" s="7" t="str">
        <f>IFERROR(__xludf.DUMMYFUNCTION("""COMPUTED_VALUE"""),"In-Person")</f>
        <v>In-Person</v>
      </c>
      <c r="H2326" s="7" t="str">
        <f>IFERROR(__xludf.DUMMYFUNCTION("""COMPUTED_VALUE"""),"Hall 4/5")</f>
        <v>Hall 4/5</v>
      </c>
      <c r="I2326" s="7" t="str">
        <f>IFERROR(__xludf.DUMMYFUNCTION("""COMPUTED_VALUE"""),"Session 12: IP-Posters")</f>
        <v>Session 12: IP-Posters</v>
      </c>
      <c r="J2326" s="7" t="str">
        <f>IFERROR(__xludf.DUMMYFUNCTION("""COMPUTED_VALUE"""),"Poster Session 4")</f>
        <v>Poster Session 4</v>
      </c>
      <c r="K2326" s="7"/>
      <c r="L2326" s="8">
        <f>IFERROR(__xludf.DUMMYFUNCTION("""COMPUTED_VALUE"""),45868.0)</f>
        <v>45868</v>
      </c>
      <c r="M2326" s="7" t="str">
        <f>IFERROR(__xludf.DUMMYFUNCTION("""COMPUTED_VALUE"""),"11:00-12:30")</f>
        <v>11:00-12:30</v>
      </c>
      <c r="N2326" s="7"/>
    </row>
    <row r="2327">
      <c r="A2327" s="7" t="str">
        <f>IFERROR(__xludf.DUMMYFUNCTION("""COMPUTED_VALUE"""),"1782-MAIN")</f>
        <v>1782-MAIN</v>
      </c>
      <c r="B2327" s="7" t="str">
        <f>IFERROR(__xludf.DUMMYFUNCTION("""COMPUTED_VALUE"""),"Towards Multi-dimensional Evaluation of LLM Summarization across Domains and Languages")</f>
        <v>Towards Multi-dimensional Evaluation of LLM Summarization across Domains and Languages</v>
      </c>
      <c r="C2327" s="7" t="str">
        <f>IFERROR(__xludf.DUMMYFUNCTION("""COMPUTED_VALUE"""),"Evaluation frameworks for text summarization have evolved in terms of both domain coverage and metrics. However, existing benchmarks still lack domain-specific assessment criteria, remain predominantly English-centric, and face challenges with human annot"&amp;"ation due to the complexity of reasoning. To address these, we introduce MSumBench, which provides a multi-dimensional, multi-domain evaluation of summarization in English and Chinese. It also incorporates specialized assessment criteria for each domain a"&amp;"nd leverages a multi-agent debate system to enhance annotation quality. By evaluating eight modern summarization models, we discover distinct performance patterns across domains and languages. We further examine large language models as summary evaluators"&amp;", analyzing the correlation between their evaluation and summarization capabilities, and uncovering systematic bias in their assessment of self-generated summaries. Our benchmark dataset is publicly available at https://github.com/DISL-Lab/MSumBench.")</f>
        <v>Evaluation frameworks for text summarization have evolved in terms of both domain coverage and metrics. However, existing benchmarks still lack domain-specific assessment criteria, remain predominantly English-centric, and face challenges with human annotation due to the complexity of reasoning. To address these, we introduce MSumBench, which provides a multi-dimensional, multi-domain evaluation of summarization in English and Chinese. It also incorporates specialized assessment criteria for each domain and leverages a multi-agent debate system to enhance annotation quality. By evaluating eight modern summarization models, we discover distinct performance patterns across domains and languages. We further examine large language models as summary evaluators, analyzing the correlation between their evaluation and summarization capabilities, and uncovering systematic bias in their assessment of self-generated summaries. Our benchmark dataset is publicly available at https://github.com/DISL-Lab/MSumBench.</v>
      </c>
      <c r="D2327" s="7" t="str">
        <f>IFERROR(__xludf.DUMMYFUNCTION("""COMPUTED_VALUE"""),"Hyangsuk Min")</f>
        <v>Hyangsuk Min</v>
      </c>
      <c r="E2327" s="7" t="str">
        <f>IFERROR(__xludf.DUMMYFUNCTION("""COMPUTED_VALUE"""),"Yes")</f>
        <v>Yes</v>
      </c>
      <c r="F2327" s="7" t="str">
        <f>IFERROR(__xludf.DUMMYFUNCTION("""COMPUTED_VALUE"""),"IP-Poster")</f>
        <v>IP-Poster</v>
      </c>
      <c r="G2327" s="7" t="str">
        <f>IFERROR(__xludf.DUMMYFUNCTION("""COMPUTED_VALUE"""),"In-Person")</f>
        <v>In-Person</v>
      </c>
      <c r="H2327" s="7" t="str">
        <f>IFERROR(__xludf.DUMMYFUNCTION("""COMPUTED_VALUE"""),"Hall 4/5")</f>
        <v>Hall 4/5</v>
      </c>
      <c r="I2327" s="7" t="str">
        <f>IFERROR(__xludf.DUMMYFUNCTION("""COMPUTED_VALUE"""),"Session 2: IP-Posters ")</f>
        <v>Session 2: IP-Posters </v>
      </c>
      <c r="J2327" s="7" t="str">
        <f>IFERROR(__xludf.DUMMYFUNCTION("""COMPUTED_VALUE"""),"Poster Session 1")</f>
        <v>Poster Session 1</v>
      </c>
      <c r="K2327" s="7"/>
      <c r="L2327" s="8">
        <f>IFERROR(__xludf.DUMMYFUNCTION("""COMPUTED_VALUE"""),45866.0)</f>
        <v>45866</v>
      </c>
      <c r="M2327" s="7" t="str">
        <f>IFERROR(__xludf.DUMMYFUNCTION("""COMPUTED_VALUE"""),"11:00-12:30")</f>
        <v>11:00-12:30</v>
      </c>
      <c r="N2327" s="7"/>
    </row>
    <row r="2328">
      <c r="A2328" s="7" t="str">
        <f>IFERROR(__xludf.DUMMYFUNCTION("""COMPUTED_VALUE"""),"1784-MAIN")</f>
        <v>1784-MAIN</v>
      </c>
      <c r="B2328" s="7" t="str">
        <f>IFERROR(__xludf.DUMMYFUNCTION("""COMPUTED_VALUE"""),"ClusterAttn: KV Cache Compression under Intrinsic Attention Clustering")</f>
        <v>ClusterAttn: KV Cache Compression under Intrinsic Attention Clustering</v>
      </c>
      <c r="C2328" s="7" t="str">
        <f>IFERROR(__xludf.DUMMYFUNCTION("""COMPUTED_VALUE"""),"Sparse attention can effectively alleviate the significant demands on memory when large language models (LLMs) process long contexts. Existing methods typically apply the same sparse pattern across different attention heads and inputs. However, this unifo"&amp;"rm approach fails to capture the inherent diversity of attention patterns within LLMs — the intrinsic attention clustering. To address this, we propose ClusterAttn, a training-free sparse attention method that provides an efficient prompt cache compressio"&amp;"n scheme under intrinsic attention clustering for efficient LLM inference.
Our findings show that attention heads consistently focus on specific clusters of the prompt during decoding, a pattern detectable from an observation window at the prompt's end. "&amp;"ClusterAttn adaptively fits these clusters utilizing a density-based attention clustering algorithm, thus compressing the KV cache of the prompt. Evaluations on different models across various benchmarks demonstrate ClusterAttn's superior compression rate"&amp;"s and efficiency. By utilizing only 1024 tokens, it can reduce memory usage by 10%–65%, resulting in a latency reduction of 12%–23% and a throughput increase of 2.6–4.8 times, all with nearly no accuracy loss. Additionally, ClusterAttn can handle up to 12"&amp;"8k context on a single A100-80GB GPU, outperforming existing methods.")</f>
        <v>Sparse attention can effectively alleviate the significant demands on memory when large language models (LLMs) process long contexts. Existing methods typically apply the same sparse pattern across different attention heads and inputs. However, this uniform approach fails to capture the inherent diversity of attention patterns within LLMs — the intrinsic attention clustering. To address this, we propose ClusterAttn, a training-free sparse attention method that provides an efficient prompt cache compression scheme under intrinsic attention clustering for efficient LLM inference.
Our findings show that attention heads consistently focus on specific clusters of the prompt during decoding, a pattern detectable from an observation window at the prompt's end. ClusterAttn adaptively fits these clusters utilizing a density-based attention clustering algorithm, thus compressing the KV cache of the prompt. Evaluations on different models across various benchmarks demonstrate ClusterAttn's superior compression rates and efficiency. By utilizing only 1024 tokens, it can reduce memory usage by 10%–65%, resulting in a latency reduction of 12%–23% and a throughput increase of 2.6–4.8 times, all with nearly no accuracy loss. Additionally, ClusterAttn can handle up to 128k context on a single A100-80GB GPU, outperforming existing methods.</v>
      </c>
      <c r="D2328" s="7" t="str">
        <f>IFERROR(__xludf.DUMMYFUNCTION("""COMPUTED_VALUE"""),"Minwei Zhang")</f>
        <v>Minwei Zhang</v>
      </c>
      <c r="E2328" s="7" t="str">
        <f>IFERROR(__xludf.DUMMYFUNCTION("""COMPUTED_VALUE"""),"Yes")</f>
        <v>Yes</v>
      </c>
      <c r="F2328" s="7" t="str">
        <f>IFERROR(__xludf.DUMMYFUNCTION("""COMPUTED_VALUE"""),"V-Presentation")</f>
        <v>V-Presentation</v>
      </c>
      <c r="G2328" s="7" t="str">
        <f>IFERROR(__xludf.DUMMYFUNCTION("""COMPUTED_VALUE"""),"Virtual/Gather")</f>
        <v>Virtual/Gather</v>
      </c>
      <c r="H2328" s="7" t="str">
        <f>IFERROR(__xludf.DUMMYFUNCTION("""COMPUTED_VALUE"""),"Zoom")</f>
        <v>Zoom</v>
      </c>
      <c r="I2328" s="7" t="str">
        <f>IFERROR(__xludf.DUMMYFUNCTION("""COMPUTED_VALUE"""),"Session 10: V-Presenations")</f>
        <v>Session 10: V-Presenations</v>
      </c>
      <c r="J2328" s="7" t="str">
        <f>IFERROR(__xludf.DUMMYFUNCTION("""COMPUTED_VALUE"""),"Virtual Presentations 3")</f>
        <v>Virtual Presentations 3</v>
      </c>
      <c r="K2328" s="7"/>
      <c r="L2328" s="8">
        <f>IFERROR(__xludf.DUMMYFUNCTION("""COMPUTED_VALUE"""),45867.0)</f>
        <v>45867</v>
      </c>
      <c r="M2328" s="7" t="str">
        <f>IFERROR(__xludf.DUMMYFUNCTION("""COMPUTED_VALUE"""),"16:00-17:30")</f>
        <v>16:00-17:30</v>
      </c>
      <c r="N2328" s="7"/>
    </row>
    <row r="2329">
      <c r="A2329" s="7" t="str">
        <f>IFERROR(__xludf.DUMMYFUNCTION("""COMPUTED_VALUE"""),"1792-MAIN")</f>
        <v>1792-MAIN</v>
      </c>
      <c r="B2329" s="7" t="str">
        <f>IFERROR(__xludf.DUMMYFUNCTION("""COMPUTED_VALUE"""),"SHARE: Shared Memory-Aware Open-Domain Long-Term Dialogue Dataset Constructed from Movie Script")</f>
        <v>SHARE: Shared Memory-Aware Open-Domain Long-Term Dialogue Dataset Constructed from Movie Script</v>
      </c>
      <c r="C2329" s="7" t="str">
        <f>IFERROR(__xludf.DUMMYFUNCTION("""COMPUTED_VALUE"""),"Shared memories between two individuals strengthen their bond and are crucial for facilitating their ongoing conversations. This study aims to make long-term dialogue more engaging by leveraging these shared memories. To this end, we introduce a new long-"&amp;"term dialogue dataset named SHARE, constructed from movie scripts, which are a rich source of shared memories among various relationships. Our dialogue dataset contains the summaries of persona information and events of two individuals, as explicitly reve"&amp;"aled in their conversation, along with implicitly extractable shared memories. We also introduce EPISODE, a long-term dialogue framework based on SHARE that utilizes shared experiences between individuals. Through experiments using SHARE, we demonstrate t"&amp;"hat shared memories between two individuals make long-term dialogues more engaging and sustainable, and that EPISODE effectively manages shared memories during dialogue. Our dataset and code are available at https://github.com/e1kim/SHARE.")</f>
        <v>Shared memories between two individuals strengthen their bond and are crucial for facilitating their ongoing conversations. This study aims to make long-term dialogue more engaging by leveraging these shared memories. To this end, we introduce a new long-term dialogue dataset named SHARE, constructed from movie scripts, which are a rich source of shared memories among various relationships. Our dialogue dataset contains the summaries of persona information and events of two individuals, as explicitly revealed in their conversation, along with implicitly extractable shared memories. We also introduce EPISODE, a long-term dialogue framework based on SHARE that utilizes shared experiences between individuals. Through experiments using SHARE, we demonstrate that shared memories between two individuals make long-term dialogues more engaging and sustainable, and that EPISODE effectively manages shared memories during dialogue. Our dataset and code are available at https://github.com/e1kim/SHARE.</v>
      </c>
      <c r="D2329" s="7" t="str">
        <f>IFERROR(__xludf.DUMMYFUNCTION("""COMPUTED_VALUE"""),"Eunwon Kim")</f>
        <v>Eunwon Kim</v>
      </c>
      <c r="E2329" s="7" t="str">
        <f>IFERROR(__xludf.DUMMYFUNCTION("""COMPUTED_VALUE"""),"Yes")</f>
        <v>Yes</v>
      </c>
      <c r="F2329" s="7" t="str">
        <f>IFERROR(__xludf.DUMMYFUNCTION("""COMPUTED_VALUE"""),"IP-Poster")</f>
        <v>IP-Poster</v>
      </c>
      <c r="G2329" s="7" t="str">
        <f>IFERROR(__xludf.DUMMYFUNCTION("""COMPUTED_VALUE"""),"In-Person")</f>
        <v>In-Person</v>
      </c>
      <c r="H2329" s="7" t="str">
        <f>IFERROR(__xludf.DUMMYFUNCTION("""COMPUTED_VALUE"""),"Hall 4/5")</f>
        <v>Hall 4/5</v>
      </c>
      <c r="I2329" s="7" t="str">
        <f>IFERROR(__xludf.DUMMYFUNCTION("""COMPUTED_VALUE"""),"Session 2: IP-Posters ")</f>
        <v>Session 2: IP-Posters </v>
      </c>
      <c r="J2329" s="7" t="str">
        <f>IFERROR(__xludf.DUMMYFUNCTION("""COMPUTED_VALUE"""),"Poster Session 1")</f>
        <v>Poster Session 1</v>
      </c>
      <c r="K2329" s="7"/>
      <c r="L2329" s="8">
        <f>IFERROR(__xludf.DUMMYFUNCTION("""COMPUTED_VALUE"""),45866.0)</f>
        <v>45866</v>
      </c>
      <c r="M2329" s="7" t="str">
        <f>IFERROR(__xludf.DUMMYFUNCTION("""COMPUTED_VALUE"""),"11:00-12:30")</f>
        <v>11:00-12:30</v>
      </c>
      <c r="N2329" s="7"/>
    </row>
    <row r="2330">
      <c r="A2330" s="7" t="str">
        <f>IFERROR(__xludf.DUMMYFUNCTION("""COMPUTED_VALUE"""),"1794-MAIN")</f>
        <v>1794-MAIN</v>
      </c>
      <c r="B2330" s="7" t="str">
        <f>IFERROR(__xludf.DUMMYFUNCTION("""COMPUTED_VALUE"""),"Incongruity-aware Tension Field Network for Multi-modal Sarcasm Detection")</f>
        <v>Incongruity-aware Tension Field Network for Multi-modal Sarcasm Detection</v>
      </c>
      <c r="C2330" s="7" t="str">
        <f>IFERROR(__xludf.DUMMYFUNCTION("""COMPUTED_VALUE"""),"Multi-modal sarcasm detection (MSD) identifies sarcasm and accurately understands users' real attitudes from text-image pairs. Most MSD researches explore the incongruity of text-image pairs as sarcasm information through consistency preference methods. H"&amp;"owever, these methods prioritize consistency over incongruity and blur incongruity information under their global feature aggregation mechanisms, leading to incongruity distortions and model misinterpretations. To address the above issues, this paper prop"&amp;"oses a pioneering inconsistency preference method called incongruity-aware tension field network (ITFNet) for multi-modal sarcasm detection tasks. Specifically, ITFNet extracts effective text-image feature pairs in fact and sentiment perspectives. It then"&amp;" constructs a fact/sentiment tension field with discrepancy metrics to capture the contextual tone and polarized incongruity after the iterative learning of tension intensity, effectively highlighting incongruity information during such inconsistency pref"&amp;"erence learning. It further standardizes the polarized incongruity with reference to contextual tone to obtain standardized incongruity, effectively implementing instance standardization for unbiased decision-making in MSD. ITFNet performs well in extract"&amp;"ing salient and standardized incongruity through an incongruity-aware tension field, significantly tackling incongruity distortions and cross-instance variance. Moreover, ITFNet achieves state-of-the-art performance surpassing LLaVA1.5-7B with only 17.3M "&amp;"trainable parameters, demonstrating its optimal performance-efficiency in multi-modal sarcasm detection tasks.")</f>
        <v>Multi-modal sarcasm detection (MSD) identifies sarcasm and accurately understands users' real attitudes from text-image pairs. Most MSD researches explore the incongruity of text-image pairs as sarcasm information through consistency preference methods. However, these methods prioritize consistency over incongruity and blur incongruity information under their global feature aggregation mechanisms, leading to incongruity distortions and model misinterpretations. To address the above issues, this paper proposes a pioneering inconsistency preference method called incongruity-aware tension field network (ITFNet) for multi-modal sarcasm detection tasks. Specifically, ITFNet extracts effective text-image feature pairs in fact and sentiment perspectives. It then constructs a fact/sentiment tension field with discrepancy metrics to capture the contextual tone and polarized incongruity after the iterative learning of tension intensity, effectively highlighting incongruity information during such inconsistency preference learning. It further standardizes the polarized incongruity with reference to contextual tone to obtain standardized incongruity, effectively implementing instance standardization for unbiased decision-making in MSD. ITFNet performs well in extracting salient and standardized incongruity through an incongruity-aware tension field, significantly tackling incongruity distortions and cross-instance variance. Moreover, ITFNet achieves state-of-the-art performance surpassing LLaVA1.5-7B with only 17.3M trainable parameters, demonstrating its optimal performance-efficiency in multi-modal sarcasm detection tasks.</v>
      </c>
      <c r="D2330" s="7" t="str">
        <f>IFERROR(__xludf.DUMMYFUNCTION("""COMPUTED_VALUE"""),"Jiecheng Zhang")</f>
        <v>Jiecheng Zhang</v>
      </c>
      <c r="E2330" s="7" t="str">
        <f>IFERROR(__xludf.DUMMYFUNCTION("""COMPUTED_VALUE"""),"Yes")</f>
        <v>Yes</v>
      </c>
      <c r="F2330" s="7" t="str">
        <f>IFERROR(__xludf.DUMMYFUNCTION("""COMPUTED_VALUE"""),"IP-Poster")</f>
        <v>IP-Poster</v>
      </c>
      <c r="G2330" s="7" t="str">
        <f>IFERROR(__xludf.DUMMYFUNCTION("""COMPUTED_VALUE"""),"In-Person")</f>
        <v>In-Person</v>
      </c>
      <c r="H2330" s="7" t="str">
        <f>IFERROR(__xludf.DUMMYFUNCTION("""COMPUTED_VALUE"""),"Hall 4/5")</f>
        <v>Hall 4/5</v>
      </c>
      <c r="I2330" s="7" t="str">
        <f>IFERROR(__xludf.DUMMYFUNCTION("""COMPUTED_VALUE"""),"Session 12: IP-Posters")</f>
        <v>Session 12: IP-Posters</v>
      </c>
      <c r="J2330" s="7" t="str">
        <f>IFERROR(__xludf.DUMMYFUNCTION("""COMPUTED_VALUE"""),"Poster Session 4")</f>
        <v>Poster Session 4</v>
      </c>
      <c r="K2330" s="7"/>
      <c r="L2330" s="8">
        <f>IFERROR(__xludf.DUMMYFUNCTION("""COMPUTED_VALUE"""),45868.0)</f>
        <v>45868</v>
      </c>
      <c r="M2330" s="7" t="str">
        <f>IFERROR(__xludf.DUMMYFUNCTION("""COMPUTED_VALUE"""),"11:00-12:30")</f>
        <v>11:00-12:30</v>
      </c>
      <c r="N2330" s="7"/>
    </row>
    <row r="2331">
      <c r="A2331" s="7" t="str">
        <f>IFERROR(__xludf.DUMMYFUNCTION("""COMPUTED_VALUE"""),"1800-MAIN")</f>
        <v>1800-MAIN</v>
      </c>
      <c r="B2331" s="7" t="str">
        <f>IFERROR(__xludf.DUMMYFUNCTION("""COMPUTED_VALUE"""),"Instruction Tuning on Public Government and Cultural Data for Low-Resource Language: a Case Study in Kazakh")</f>
        <v>Instruction Tuning on Public Government and Cultural Data for Low-Resource Language: a Case Study in Kazakh</v>
      </c>
      <c r="C2331" s="7" t="str">
        <f>IFERROR(__xludf.DUMMYFUNCTION("""COMPUTED_VALUE"""),"Instruction tuning in low-resource languages remains underexplored due to limited text data, particularly in government and cultural domains. To address this, we introduce and open-source a large-scale (10,600 samples) instruction-following (IFT) dataset,"&amp;" covering key institutional and cultural knowledge relevant to Kazakhstan. Our dataset enhances LLMs' understanding of procedural, legal, and structural governance topics. We employ LLM-assisted data generation, comparing open-weight and closed-weight mod"&amp;"els for dataset construction, and select GPT-4o as the backbone. Each entity of our dataset undergoes full manual verification to ensure high quality. We also show that fine-tuning Qwen, Falcon, and Gemma on our dataset leads to consistent performance imp"&amp;"rovements in both multiple-choice and generative tasks, demonstrating the potential of LLM-assisted instruction tuning for low-resource languages.")</f>
        <v>Instruction tuning in low-resource languages remains underexplored due to limited text data, particularly in government and cultural domains. To address this, we introduce and open-source a large-scale (10,600 samples) instruction-following (IFT) dataset, covering key institutional and cultural knowledge relevant to Kazakhstan. Our dataset enhances LLMs' understanding of procedural, legal, and structural governance topics. We employ LLM-assisted data generation, comparing open-weight and closed-weight models for dataset construction, and select GPT-4o as the backbone. Each entity of our dataset undergoes full manual verification to ensure high quality. We also show that fine-tuning Qwen, Falcon, and Gemma on our dataset leads to consistent performance improvements in both multiple-choice and generative tasks, demonstrating the potential of LLM-assisted instruction tuning for low-resource languages.</v>
      </c>
      <c r="D2331" s="7" t="str">
        <f>IFERROR(__xludf.DUMMYFUNCTION("""COMPUTED_VALUE"""),"Nurkhan Laiyk")</f>
        <v>Nurkhan Laiyk</v>
      </c>
      <c r="E2331" s="7" t="str">
        <f>IFERROR(__xludf.DUMMYFUNCTION("""COMPUTED_VALUE"""),"Yes")</f>
        <v>Yes</v>
      </c>
      <c r="F2331" s="7" t="str">
        <f>IFERROR(__xludf.DUMMYFUNCTION("""COMPUTED_VALUE"""),"IP-Poster")</f>
        <v>IP-Poster</v>
      </c>
      <c r="G2331" s="7" t="str">
        <f>IFERROR(__xludf.DUMMYFUNCTION("""COMPUTED_VALUE"""),"In-Person")</f>
        <v>In-Person</v>
      </c>
      <c r="H2331" s="7" t="str">
        <f>IFERROR(__xludf.DUMMYFUNCTION("""COMPUTED_VALUE"""),"Hall 4/5")</f>
        <v>Hall 4/5</v>
      </c>
      <c r="I2331" s="7" t="str">
        <f>IFERROR(__xludf.DUMMYFUNCTION("""COMPUTED_VALUE"""),"Session 7: IP-Posters")</f>
        <v>Session 7: IP-Posters</v>
      </c>
      <c r="J2331" s="7" t="str">
        <f>IFERROR(__xludf.DUMMYFUNCTION("""COMPUTED_VALUE"""),"Poster Session 2")</f>
        <v>Poster Session 2</v>
      </c>
      <c r="K2331" s="7"/>
      <c r="L2331" s="8">
        <f>IFERROR(__xludf.DUMMYFUNCTION("""COMPUTED_VALUE"""),45867.0)</f>
        <v>45867</v>
      </c>
      <c r="M2331" s="7" t="str">
        <f>IFERROR(__xludf.DUMMYFUNCTION("""COMPUTED_VALUE"""),"10:30-12:00")</f>
        <v>10:30-12:00</v>
      </c>
      <c r="N2331" s="7"/>
    </row>
    <row r="2332">
      <c r="A2332" s="7" t="str">
        <f>IFERROR(__xludf.DUMMYFUNCTION("""COMPUTED_VALUE"""),"1802-MAIN")</f>
        <v>1802-MAIN</v>
      </c>
      <c r="B2332" s="7" t="str">
        <f>IFERROR(__xludf.DUMMYFUNCTION("""COMPUTED_VALUE"""),"Stealing Training Data from Large Language Models in Decentralized Training through Activation Inversion Attack")</f>
        <v>Stealing Training Data from Large Language Models in Decentralized Training through Activation Inversion Attack</v>
      </c>
      <c r="C2332" s="7" t="str">
        <f>IFERROR(__xludf.DUMMYFUNCTION("""COMPUTED_VALUE"""),"Decentralized training has become a resource-efficient framework to democratize the training of large language models (LLMs). However, the privacy risks associated with this framework, particularly due to the potential inclusion of sensitive data in train"&amp;"ing datasets, remain unexplored. This paper identifies a novel and realistic attack surface: the privacy leakage from training data in decentralized training, and proposes $\textit{activation inversion attack}$ (AIA) for the first time. AIA first construc"&amp;"ts a shadow dataset comprising text labels and corresponding activations using public datasets. Leveraging this dataset, an attack model can be trained to reconstruct the training data from activations in victim decentralized training. We conduct extensiv"&amp;"e experiments on various LLMs and publicly available datasets to demonstrate the susceptibility of decentralized training to AIA. These findings highlight the urgent need to enhance security measures in decentralized training to mitigate privacy risks in "&amp;"training LLMs.")</f>
        <v>Decentralized training has become a resource-efficient framework to democratize the training of large language models (LLMs). However, the privacy risks associated with this framework, particularly due to the potential inclusion of sensitive data in training datasets, remain unexplored. This paper identifies a novel and realistic attack surface: the privacy leakage from training data in decentralized training, and proposes $\textit{activation inversion attack}$ (AIA) for the first time. AIA first constructs a shadow dataset comprising text labels and corresponding activations using public datasets. Leveraging this dataset, an attack model can be trained to reconstruct the training data from activations in victim decentralized training. We conduct extensive experiments on various LLMs and publicly available datasets to demonstrate the susceptibility of decentralized training to AIA. These findings highlight the urgent need to enhance security measures in decentralized training to mitigate privacy risks in training LLMs.</v>
      </c>
      <c r="D2332" s="7" t="str">
        <f>IFERROR(__xludf.DUMMYFUNCTION("""COMPUTED_VALUE"""),"Lin Lu")</f>
        <v>Lin Lu</v>
      </c>
      <c r="E2332" s="7" t="str">
        <f>IFERROR(__xludf.DUMMYFUNCTION("""COMPUTED_VALUE"""),"Yes")</f>
        <v>Yes</v>
      </c>
      <c r="F2332" s="7" t="str">
        <f>IFERROR(__xludf.DUMMYFUNCTION("""COMPUTED_VALUE"""),"V-Presentation")</f>
        <v>V-Presentation</v>
      </c>
      <c r="G2332" s="7" t="str">
        <f>IFERROR(__xludf.DUMMYFUNCTION("""COMPUTED_VALUE"""),"Virtual/Gather")</f>
        <v>Virtual/Gather</v>
      </c>
      <c r="H2332" s="7" t="str">
        <f>IFERROR(__xludf.DUMMYFUNCTION("""COMPUTED_VALUE"""),"Zoom")</f>
        <v>Zoom</v>
      </c>
      <c r="I2332" s="7" t="str">
        <f>IFERROR(__xludf.DUMMYFUNCTION("""COMPUTED_VALUE"""),"Session 7: V--Presentations ")</f>
        <v>Session 7: V--Presentations </v>
      </c>
      <c r="J2332" s="7" t="str">
        <f>IFERROR(__xludf.DUMMYFUNCTION("""COMPUTED_VALUE"""),"Virtual Presentations 2")</f>
        <v>Virtual Presentations 2</v>
      </c>
      <c r="K2332" s="7"/>
      <c r="L2332" s="8"/>
      <c r="M2332" s="7" t="str">
        <f>IFERROR(__xludf.DUMMYFUNCTION("""COMPUTED_VALUE"""),"10:30-12:00")</f>
        <v>10:30-12:00</v>
      </c>
      <c r="N2332" s="7"/>
    </row>
    <row r="2333">
      <c r="A2333" s="7" t="str">
        <f>IFERROR(__xludf.DUMMYFUNCTION("""COMPUTED_VALUE"""),"1804-MAIN")</f>
        <v>1804-MAIN</v>
      </c>
      <c r="B2333" s="7" t="str">
        <f>IFERROR(__xludf.DUMMYFUNCTION("""COMPUTED_VALUE"""),"From Selection to Generation: A Survey of LLM-based Active Learning")</f>
        <v>From Selection to Generation: A Survey of LLM-based Active Learning</v>
      </c>
      <c r="C2333" s="7" t="str">
        <f>IFERROR(__xludf.DUMMYFUNCTION("""COMPUTED_VALUE"""),"Active Learning (AL) has been a powerful paradigm for improving model efficiency and performance by selecting the most informative data points for labeling and training. In recent active learning frameworks, Large Language Models (LLMs) have been employed"&amp;" not only for selection but also for generating entirely new data instances and providing more cost-effective annotations. Motivated by the increasing importance of high-quality data and efficient model training in the era of LLMs, we present a comprehens"&amp;"ive survey on LLM-based Active Learning. We introduce an intuitive taxonomy that categorizes these techniques and discuss the transformative roles LLMs can play in the active learning loop. We further examine the impact of AL on LLM learning paradigms and"&amp;" its applications across various domains. Finally, we identify open challenges and propose future research directions. This survey aims to serve as an up-to-date resource for researchers and practitioners seeking to gain an intuitive understanding of LLM-"&amp;"based AL techniques and deploy them to new applications.")</f>
        <v>Active Learning (AL) has been a powerful paradigm for improving model efficiency and performance by selecting the most informative data points for labeling and training. In recent active learning frameworks, Large Language Models (LLMs) have been employed not only for selection but also for generating entirely new data instances and providing more cost-effective annotations. Motivated by the increasing importance of high-quality data and efficient model training in the era of LLMs, we present a comprehensive survey on LLM-based Active Learning. We introduce an intuitive taxonomy that categorizes these techniques and discuss the transformative roles LLMs can play in the active learning loop. We further examine the impact of AL on LLM learning paradigms and its applications across various domains. Finally, we identify open challenges and propose future research directions. This survey aims to serve as an up-to-date resource for researchers and practitioners seeking to gain an intuitive understanding of LLM-based AL techniques and deploy them to new applications.</v>
      </c>
      <c r="D2333" s="7" t="str">
        <f>IFERROR(__xludf.DUMMYFUNCTION("""COMPUTED_VALUE"""),"Junda Wu")</f>
        <v>Junda Wu</v>
      </c>
      <c r="E2333" s="7" t="str">
        <f>IFERROR(__xludf.DUMMYFUNCTION("""COMPUTED_VALUE"""),"Yes")</f>
        <v>Yes</v>
      </c>
      <c r="F2333" s="7" t="str">
        <f>IFERROR(__xludf.DUMMYFUNCTION("""COMPUTED_VALUE"""),"IP-Poster")</f>
        <v>IP-Poster</v>
      </c>
      <c r="G2333" s="7" t="str">
        <f>IFERROR(__xludf.DUMMYFUNCTION("""COMPUTED_VALUE"""),"In-Person")</f>
        <v>In-Person</v>
      </c>
      <c r="H2333" s="7" t="str">
        <f>IFERROR(__xludf.DUMMYFUNCTION("""COMPUTED_VALUE"""),"Hall 4/5")</f>
        <v>Hall 4/5</v>
      </c>
      <c r="I2333" s="7" t="str">
        <f>IFERROR(__xludf.DUMMYFUNCTION("""COMPUTED_VALUE"""),"Session 10: IP-Posters")</f>
        <v>Session 10: IP-Posters</v>
      </c>
      <c r="J2333" s="7" t="str">
        <f>IFERROR(__xludf.DUMMYFUNCTION("""COMPUTED_VALUE"""),"Poster Session 3")</f>
        <v>Poster Session 3</v>
      </c>
      <c r="K2333" s="7"/>
      <c r="L2333" s="8">
        <f>IFERROR(__xludf.DUMMYFUNCTION("""COMPUTED_VALUE"""),45867.0)</f>
        <v>45867</v>
      </c>
      <c r="M2333" s="7" t="str">
        <f>IFERROR(__xludf.DUMMYFUNCTION("""COMPUTED_VALUE"""),"16:00-17:30")</f>
        <v>16:00-17:30</v>
      </c>
      <c r="N2333" s="7"/>
    </row>
    <row r="2334">
      <c r="A2334" s="7" t="str">
        <f>IFERROR(__xludf.DUMMYFUNCTION("""COMPUTED_VALUE"""),"1805-MAIN")</f>
        <v>1805-MAIN</v>
      </c>
      <c r="B2334" s="7" t="str">
        <f>IFERROR(__xludf.DUMMYFUNCTION("""COMPUTED_VALUE"""),"OmniFlatten: An End-to-end GPT Model for Seamless Voice Conversation")</f>
        <v>OmniFlatten: An End-to-end GPT Model for Seamless Voice Conversation</v>
      </c>
      <c r="C2334" s="7" t="str">
        <f>IFERROR(__xludf.DUMMYFUNCTION("""COMPUTED_VALUE"""),"Full-duplex spoken dialogue systems significantly surpass traditional turn-based dialogue systems, as they allow simultaneous bidirectional communication, closely mirroring human-human interactions. However, achieving low latency and natural interactions "&amp;"in full-duplex dialogue systems remains a significant challenge, especially considering human conversation dynamics such as interruptions, backchannels, and overlapping speech. In this paper, we introduce a novel End-to-End GPT-based model OmniFlatten for"&amp;" full-duplex conversation, capable of effectively modeling the complex behaviors inherent to natural conversations with low latency. To achieve full-duplex conversation capabilities, we propose a multi-stage post-training scheme that progressively adapts "&amp;"a text large language model (LLM) backbone into a speech-text dialogue LLM, capable of generating text and speech in real time, without modifying the architecture of the backbone LLM. The training process comprises three stages: modality alignment, half-d"&amp;"uplex dialogue learning, and full-duplex dialogue learning. In all training stages, we standardize the data using a flattening operation, which enables unifying the training methods and the GPT backbone across different modalities and tasks. Our approach "&amp;"offers a simple modeling technique and a promising research direction for developing efficient and natural end-to-end full-duplex spoken dialogue systems.")</f>
        <v>Full-duplex spoken dialogue systems significantly surpass traditional turn-based dialogue systems, as they allow simultaneous bidirectional communication, closely mirroring human-human interactions. However, achieving low latency and natural interactions in full-duplex dialogue systems remains a significant challenge, especially considering human conversation dynamics such as interruptions, backchannels, and overlapping speech. In this paper, we introduce a novel End-to-End GPT-based model OmniFlatten for full-duplex conversation, capable of effectively modeling the complex behaviors inherent to natural conversations with low latency. To achieve full-duplex conversation capabilities, we propose a multi-stage post-training scheme that progressively adapts a text large language model (LLM) backbone into a speech-text dialogue LLM, capable of generating text and speech in real time, without modifying the architecture of the backbone LLM. The training process comprises three stages: modality alignment, half-duplex dialogue learning, and full-duplex dialogue learning. In all training stages, we standardize the data using a flattening operation, which enables unifying the training methods and the GPT backbone across different modalities and tasks. Our approach offers a simple modeling technique and a promising research direction for developing efficient and natural end-to-end full-duplex spoken dialogue systems.</v>
      </c>
      <c r="D2334" s="7" t="str">
        <f>IFERROR(__xludf.DUMMYFUNCTION("""COMPUTED_VALUE"""),"Qinglin Zhang")</f>
        <v>Qinglin Zhang</v>
      </c>
      <c r="E2334" s="7" t="str">
        <f>IFERROR(__xludf.DUMMYFUNCTION("""COMPUTED_VALUE"""),"Yes")</f>
        <v>Yes</v>
      </c>
      <c r="F2334" s="7" t="str">
        <f>IFERROR(__xludf.DUMMYFUNCTION("""COMPUTED_VALUE"""),"IP-Poster")</f>
        <v>IP-Poster</v>
      </c>
      <c r="G2334" s="7" t="str">
        <f>IFERROR(__xludf.DUMMYFUNCTION("""COMPUTED_VALUE"""),"In-Person")</f>
        <v>In-Person</v>
      </c>
      <c r="H2334" s="7" t="str">
        <f>IFERROR(__xludf.DUMMYFUNCTION("""COMPUTED_VALUE"""),"Hall 4/5")</f>
        <v>Hall 4/5</v>
      </c>
      <c r="I2334" s="7" t="str">
        <f>IFERROR(__xludf.DUMMYFUNCTION("""COMPUTED_VALUE"""),"Session 2: IP-Posters ")</f>
        <v>Session 2: IP-Posters </v>
      </c>
      <c r="J2334" s="7" t="str">
        <f>IFERROR(__xludf.DUMMYFUNCTION("""COMPUTED_VALUE"""),"Poster Session 1")</f>
        <v>Poster Session 1</v>
      </c>
      <c r="K2334" s="7"/>
      <c r="L2334" s="8">
        <f>IFERROR(__xludf.DUMMYFUNCTION("""COMPUTED_VALUE"""),45866.0)</f>
        <v>45866</v>
      </c>
      <c r="M2334" s="7" t="str">
        <f>IFERROR(__xludf.DUMMYFUNCTION("""COMPUTED_VALUE"""),"11:00-12:30")</f>
        <v>11:00-12:30</v>
      </c>
      <c r="N2334" s="7"/>
    </row>
    <row r="2335">
      <c r="A2335" s="7" t="str">
        <f>IFERROR(__xludf.DUMMYFUNCTION("""COMPUTED_VALUE"""),"1806-MAIN")</f>
        <v>1806-MAIN</v>
      </c>
      <c r="B2335" s="7" t="str">
        <f>IFERROR(__xludf.DUMMYFUNCTION("""COMPUTED_VALUE"""),"DoMIX: An Efficient Framework for Exploiting Domain Knowledge in Fine-Tuning")</f>
        <v>DoMIX: An Efficient Framework for Exploiting Domain Knowledge in Fine-Tuning</v>
      </c>
      <c r="C2335" s="7" t="str">
        <f>IFERROR(__xludf.DUMMYFUNCTION("""COMPUTED_VALUE"""),"Domain-Adaptive Pre-training (DAP) has recently gained attention for its effectiveness in fine-tuning pre-trained models. Building on this, continual DAP has been explored to develop pre-trained models capable of incrementally incorporating different doma"&amp;"in datasets. However, existing continual DAP methods face several limitations: (1) high computational cost and GPU memory usage during training; (2) sensitivity to incremental data order; and (3) providing a single, generalized model for all end tasks, wh"&amp;"ich contradicts the essence of DAP. In this paper, we propose DoMIX, a novel approach that addresses these challenges by leveraging LoRA modules, a representative parameter-efficient fine-tuning (PEFT) method. Our approach enables efficient and parallel d"&amp;"omain-adaptive pre-training that is robust to domain order and effectively utilizes accumulated knowledge to provide tailored pre-trained models for specific tasks.
We also demonstrate that our method can be extended beyond the DAP setting to standard LLM"&amp;" fine-tuning scenarios. Code is available at https://github.com/dohoonkim-ai/DoMIX.")</f>
        <v>Domain-Adaptive Pre-training (DAP) has recently gained attention for its effectiveness in fine-tuning pre-trained models. Building on this, continual DAP has been explored to develop pre-trained models capable of incrementally incorporating different domain datasets. However, existing continual DAP methods face several limitations: (1) high computational cost and GPU memory usage during training; (2) sensitivity to incremental data order; and (3) providing a single, generalized model for all end tasks, which contradicts the essence of DAP. In this paper, we propose DoMIX, a novel approach that addresses these challenges by leveraging LoRA modules, a representative parameter-efficient fine-tuning (PEFT) method. Our approach enables efficient and parallel domain-adaptive pre-training that is robust to domain order and effectively utilizes accumulated knowledge to provide tailored pre-trained models for specific tasks.
We also demonstrate that our method can be extended beyond the DAP setting to standard LLM fine-tuning scenarios. Code is available at https://github.com/dohoonkim-ai/DoMIX.</v>
      </c>
      <c r="D2335" s="7" t="str">
        <f>IFERROR(__xludf.DUMMYFUNCTION("""COMPUTED_VALUE"""),"Dohoon Kim")</f>
        <v>Dohoon Kim</v>
      </c>
      <c r="E2335" s="7" t="str">
        <f>IFERROR(__xludf.DUMMYFUNCTION("""COMPUTED_VALUE"""),"Yes")</f>
        <v>Yes</v>
      </c>
      <c r="F2335" s="7" t="str">
        <f>IFERROR(__xludf.DUMMYFUNCTION("""COMPUTED_VALUE"""),"IP-Poster")</f>
        <v>IP-Poster</v>
      </c>
      <c r="G2335" s="7" t="str">
        <f>IFERROR(__xludf.DUMMYFUNCTION("""COMPUTED_VALUE"""),"In-Person")</f>
        <v>In-Person</v>
      </c>
      <c r="H2335" s="7" t="str">
        <f>IFERROR(__xludf.DUMMYFUNCTION("""COMPUTED_VALUE"""),"Hall 4/5")</f>
        <v>Hall 4/5</v>
      </c>
      <c r="I2335" s="7" t="str">
        <f>IFERROR(__xludf.DUMMYFUNCTION("""COMPUTED_VALUE"""),"Session 7: IP-Posters")</f>
        <v>Session 7: IP-Posters</v>
      </c>
      <c r="J2335" s="7" t="str">
        <f>IFERROR(__xludf.DUMMYFUNCTION("""COMPUTED_VALUE"""),"Poster Session 2")</f>
        <v>Poster Session 2</v>
      </c>
      <c r="K2335" s="7"/>
      <c r="L2335" s="8">
        <f>IFERROR(__xludf.DUMMYFUNCTION("""COMPUTED_VALUE"""),45867.0)</f>
        <v>45867</v>
      </c>
      <c r="M2335" s="7" t="str">
        <f>IFERROR(__xludf.DUMMYFUNCTION("""COMPUTED_VALUE"""),"10:30-12:00")</f>
        <v>10:30-12:00</v>
      </c>
      <c r="N2335" s="7"/>
    </row>
    <row r="2336">
      <c r="A2336" s="7" t="str">
        <f>IFERROR(__xludf.DUMMYFUNCTION("""COMPUTED_VALUE"""),"1807-MAIN")</f>
        <v>1807-MAIN</v>
      </c>
      <c r="B2336" s="7" t="str">
        <f>IFERROR(__xludf.DUMMYFUNCTION("""COMPUTED_VALUE"""),"EAGLE: Expert-Guided Self-Enhancement for Preference Alignment in Pathology Large Vision-Language Model")</f>
        <v>EAGLE: Expert-Guided Self-Enhancement for Preference Alignment in Pathology Large Vision-Language Model</v>
      </c>
      <c r="C2336" s="7" t="str">
        <f>IFERROR(__xludf.DUMMYFUNCTION("""COMPUTED_VALUE"""),"Recent advancements in Large Vision Language Models (LVLMs) show promise for pathological diagnosis, yet their application in clinical settings faces critical challenges of multimodal hallucination and biased responses. While preference alignment methods "&amp;"have proven effective in general domains, acquiring high-quality preference data for pathology remains challenging due to limited expert resources and domain complexity. In this paper, we propose EAGLE (Expert-guided self-enhancement for preference Alignm"&amp;"ent in patholoGy Large vision-languagE model), a novel framework that systematically integrates medical expertise into preference alignment. EAGLE consists of three key stages: initialization through supervised fine-tuning, self-preference creation levera"&amp;"ging expert prompting and medical entity recognition, and iterative preference following-tuning. The self-preference creation stage uniquely combines expert-verified chosen sampling with expert-guided rejected sampling to generate high-quality preference "&amp;"data, while the iterative tuning process continuously refines both data quality and model performance. Extensive experiments demonstrate that EAGLE significantly outperforms existing pathological LVLMs, effectively reducing hallucination and bias while ma"&amp;"intaining pathological accuracy. The source code is available at https://github.com/meidandz/EAGLE.")</f>
        <v>Recent advancements in Large Vision Language Models (LVLMs) show promise for pathological diagnosis, yet their application in clinical settings faces critical challenges of multimodal hallucination and biased responses. While preference alignment methods have proven effective in general domains, acquiring high-quality preference data for pathology remains challenging due to limited expert resources and domain complexity. In this paper, we propose EAGLE (Expert-guided self-enhancement for preference Alignment in patholoGy Large vision-languagE model), a novel framework that systematically integrates medical expertise into preference alignment. EAGLE consists of three key stages: initialization through supervised fine-tuning, self-preference creation leveraging expert prompting and medical entity recognition, and iterative preference following-tuning. The self-preference creation stage uniquely combines expert-verified chosen sampling with expert-guided rejected sampling to generate high-quality preference data, while the iterative tuning process continuously refines both data quality and model performance. Extensive experiments demonstrate that EAGLE significantly outperforms existing pathological LVLMs, effectively reducing hallucination and bias while maintaining pathological accuracy. The source code is available at https://github.com/meidandz/EAGLE.</v>
      </c>
      <c r="D2336" s="7" t="str">
        <f>IFERROR(__xludf.DUMMYFUNCTION("""COMPUTED_VALUE"""),"Meidan Ding and Linlin Shen")</f>
        <v>Meidan Ding and Linlin Shen</v>
      </c>
      <c r="E2336" s="7" t="str">
        <f>IFERROR(__xludf.DUMMYFUNCTION("""COMPUTED_VALUE"""),"Yes")</f>
        <v>Yes</v>
      </c>
      <c r="F2336" s="7" t="str">
        <f>IFERROR(__xludf.DUMMYFUNCTION("""COMPUTED_VALUE"""),"IP-Poster")</f>
        <v>IP-Poster</v>
      </c>
      <c r="G2336" s="7" t="str">
        <f>IFERROR(__xludf.DUMMYFUNCTION("""COMPUTED_VALUE"""),"In-Person")</f>
        <v>In-Person</v>
      </c>
      <c r="H2336" s="7" t="str">
        <f>IFERROR(__xludf.DUMMYFUNCTION("""COMPUTED_VALUE"""),"Hall 4/5")</f>
        <v>Hall 4/5</v>
      </c>
      <c r="I2336" s="7" t="str">
        <f>IFERROR(__xludf.DUMMYFUNCTION("""COMPUTED_VALUE"""),"Session 10: IP-Posters")</f>
        <v>Session 10: IP-Posters</v>
      </c>
      <c r="J2336" s="7" t="str">
        <f>IFERROR(__xludf.DUMMYFUNCTION("""COMPUTED_VALUE"""),"Poster Session 3")</f>
        <v>Poster Session 3</v>
      </c>
      <c r="K2336" s="7"/>
      <c r="L2336" s="8">
        <f>IFERROR(__xludf.DUMMYFUNCTION("""COMPUTED_VALUE"""),45867.0)</f>
        <v>45867</v>
      </c>
      <c r="M2336" s="7" t="str">
        <f>IFERROR(__xludf.DUMMYFUNCTION("""COMPUTED_VALUE"""),"16:00-17:30")</f>
        <v>16:00-17:30</v>
      </c>
      <c r="N2336" s="7"/>
    </row>
    <row r="2337">
      <c r="A2337" s="7" t="str">
        <f>IFERROR(__xludf.DUMMYFUNCTION("""COMPUTED_VALUE"""),"1809-MAIN")</f>
        <v>1809-MAIN</v>
      </c>
      <c r="B2337" s="7" t="str">
        <f>IFERROR(__xludf.DUMMYFUNCTION("""COMPUTED_VALUE"""),"CoT-ICL Lab: A Petri Dish for Studying Chain-of-Thought Learning from In-Context Demonstrations")</f>
        <v>CoT-ICL Lab: A Petri Dish for Studying Chain-of-Thought Learning from In-Context Demonstrations</v>
      </c>
      <c r="C2337" s="7" t="str">
        <f>IFERROR(__xludf.DUMMYFUNCTION("""COMPUTED_VALUE"""),"We introduce CoT-ICL Lab, a framework and methodology to generate synthetic tokenized datasets and systematically study chain-of thought (CoT) in-context learning (ICL) in language models. CoT-ICL Lab allows fine grained control over the complexity of in-"&amp;"context examples by decoupling (1) the causal structure involved in chain token generation from (2) the underlying token processing functions. We train decoder-only transformers (up to 700M parameters) on these datasets and show that CoT accelerates the a"&amp;"ccuracy transition to higher values across model sizes. In particular, we find that model depth is crucial for leveraging CoT with limited in-context examples, while more examples help shallow models match deeper model performance. Additionally, limiting "&amp;"the diversity of token processing functions throughout training improves causal structure learning via ICL. We also interpret these transitions by analyzing transformer embeddings and attention maps. Overall, CoT-ICL Lab serves as a simple yet powerful te"&amp;"stbed for theoretical and empirical insights into ICL and CoT in language models.")</f>
        <v>We introduce CoT-ICL Lab, a framework and methodology to generate synthetic tokenized datasets and systematically study chain-of thought (CoT) in-context learning (ICL) in language models. CoT-ICL Lab allows fine grained control over the complexity of in-context examples by decoupling (1) the causal structure involved in chain token generation from (2) the underlying token processing functions. We train decoder-only transformers (up to 700M parameters) on these datasets and show that CoT accelerates the accuracy transition to higher values across model sizes. In particular, we find that model depth is crucial for leveraging CoT with limited in-context examples, while more examples help shallow models match deeper model performance. Additionally, limiting the diversity of token processing functions throughout training improves causal structure learning via ICL. We also interpret these transitions by analyzing transformer embeddings and attention maps. Overall, CoT-ICL Lab serves as a simple yet powerful testbed for theoretical and empirical insights into ICL and CoT in language models.</v>
      </c>
      <c r="D2337" s="7" t="str">
        <f>IFERROR(__xludf.DUMMYFUNCTION("""COMPUTED_VALUE"""),"Maziar Sanjabi")</f>
        <v>Maziar Sanjabi</v>
      </c>
      <c r="E2337" s="7" t="str">
        <f>IFERROR(__xludf.DUMMYFUNCTION("""COMPUTED_VALUE"""),"Yes")</f>
        <v>Yes</v>
      </c>
      <c r="F2337" s="7" t="str">
        <f>IFERROR(__xludf.DUMMYFUNCTION("""COMPUTED_VALUE"""),"IP-Poster")</f>
        <v>IP-Poster</v>
      </c>
      <c r="G2337" s="7" t="str">
        <f>IFERROR(__xludf.DUMMYFUNCTION("""COMPUTED_VALUE"""),"In-Person")</f>
        <v>In-Person</v>
      </c>
      <c r="H2337" s="7" t="str">
        <f>IFERROR(__xludf.DUMMYFUNCTION("""COMPUTED_VALUE"""),"Hall 4/5")</f>
        <v>Hall 4/5</v>
      </c>
      <c r="I2337" s="7" t="str">
        <f>IFERROR(__xludf.DUMMYFUNCTION("""COMPUTED_VALUE"""),"Session 7: IP-Posters")</f>
        <v>Session 7: IP-Posters</v>
      </c>
      <c r="J2337" s="7" t="str">
        <f>IFERROR(__xludf.DUMMYFUNCTION("""COMPUTED_VALUE"""),"Poster Session 2")</f>
        <v>Poster Session 2</v>
      </c>
      <c r="K2337" s="7"/>
      <c r="L2337" s="8">
        <f>IFERROR(__xludf.DUMMYFUNCTION("""COMPUTED_VALUE"""),45867.0)</f>
        <v>45867</v>
      </c>
      <c r="M2337" s="7" t="str">
        <f>IFERROR(__xludf.DUMMYFUNCTION("""COMPUTED_VALUE"""),"10:30-12:00")</f>
        <v>10:30-12:00</v>
      </c>
      <c r="N2337" s="7"/>
    </row>
    <row r="2338">
      <c r="A2338" s="7" t="str">
        <f>IFERROR(__xludf.DUMMYFUNCTION("""COMPUTED_VALUE"""),"1816-MAIN")</f>
        <v>1816-MAIN</v>
      </c>
      <c r="B2338" s="7" t="str">
        <f>IFERROR(__xludf.DUMMYFUNCTION("""COMPUTED_VALUE"""),"Flexora: Flexible Low-Rank Adaptation for Large Language Models")</f>
        <v>Flexora: Flexible Low-Rank Adaptation for Large Language Models</v>
      </c>
      <c r="C2338" s="7" t="str">
        <f>IFERROR(__xludf.DUMMYFUNCTION("""COMPUTED_VALUE"""),"Large language models (LLMs) have revolutionized artificial intelligence, but their performance on specific tasks is often limited by knowledge boundaries. While fine-tuning techniques like low-rank adaptation (LoRA) aim to address this, they can suffer f"&amp;"rom overfitting. We propose flexible low-rank adaptation (Flexora), a novel method that automatically selects the most critical layers for fine-tuning to optimize performance across diverse downstream tasks. Flexora formulates layer selection as a hyperpa"&amp;"rameter optimization problem, employs unrolled differentiation for efficient solving, and identifies the most impactful layers based on optimized hyperparameters. Extensive experiments across various pre-trained models and natural language tasks demonstra"&amp;"te that Flexora consistently outperforms existing baselines. We provide theoretical insights and comprehensive ablation studies to elucidate the effectiveness of Flexora. Therefore, Flexora offers a robust solution to enhance LoRA fine-tuning for LLMs, po"&amp;"tentially advancing the field of adaptive language model optimization.")</f>
        <v>Large language models (LLMs) have revolutionized artificial intelligence, but their performance on specific tasks is often limited by knowledge boundaries. While fine-tuning techniques like low-rank adaptation (LoRA) aim to address this, they can suffer from overfitting. We propose flexible low-rank adaptation (Flexora), a novel method that automatically selects the most critical layers for fine-tuning to optimize performance across diverse downstream tasks. Flexora formulates layer selection as a hyperparameter optimization problem, employs unrolled differentiation for efficient solving, and identifies the most impactful layers based on optimized hyperparameters. Extensive experiments across various pre-trained models and natural language tasks demonstrate that Flexora consistently outperforms existing baselines. We provide theoretical insights and comprehensive ablation studies to elucidate the effectiveness of Flexora. Therefore, Flexora offers a robust solution to enhance LoRA fine-tuning for LLMs, potentially advancing the field of adaptive language model optimization.</v>
      </c>
      <c r="D2338" s="7" t="str">
        <f>IFERROR(__xludf.DUMMYFUNCTION("""COMPUTED_VALUE"""),"Chenxing Wei")</f>
        <v>Chenxing Wei</v>
      </c>
      <c r="E2338" s="7" t="str">
        <f>IFERROR(__xludf.DUMMYFUNCTION("""COMPUTED_VALUE"""),"Yes")</f>
        <v>Yes</v>
      </c>
      <c r="F2338" s="7" t="str">
        <f>IFERROR(__xludf.DUMMYFUNCTION("""COMPUTED_VALUE"""),"IP-Poster")</f>
        <v>IP-Poster</v>
      </c>
      <c r="G2338" s="7" t="str">
        <f>IFERROR(__xludf.DUMMYFUNCTION("""COMPUTED_VALUE"""),"In-Person")</f>
        <v>In-Person</v>
      </c>
      <c r="H2338" s="7" t="str">
        <f>IFERROR(__xludf.DUMMYFUNCTION("""COMPUTED_VALUE"""),"Hall 4/5")</f>
        <v>Hall 4/5</v>
      </c>
      <c r="I2338" s="7" t="str">
        <f>IFERROR(__xludf.DUMMYFUNCTION("""COMPUTED_VALUE"""),"Session 7: IP-Posters")</f>
        <v>Session 7: IP-Posters</v>
      </c>
      <c r="J2338" s="7" t="str">
        <f>IFERROR(__xludf.DUMMYFUNCTION("""COMPUTED_VALUE"""),"Poster Session 2")</f>
        <v>Poster Session 2</v>
      </c>
      <c r="K2338" s="7"/>
      <c r="L2338" s="8">
        <f>IFERROR(__xludf.DUMMYFUNCTION("""COMPUTED_VALUE"""),45867.0)</f>
        <v>45867</v>
      </c>
      <c r="M2338" s="7" t="str">
        <f>IFERROR(__xludf.DUMMYFUNCTION("""COMPUTED_VALUE"""),"10:30-12:00")</f>
        <v>10:30-12:00</v>
      </c>
      <c r="N2338" s="7"/>
    </row>
    <row r="2339">
      <c r="A2339" s="7" t="str">
        <f>IFERROR(__xludf.DUMMYFUNCTION("""COMPUTED_VALUE"""),"1817-MAIN")</f>
        <v>1817-MAIN</v>
      </c>
      <c r="B2339" s="7" t="str">
        <f>IFERROR(__xludf.DUMMYFUNCTION("""COMPUTED_VALUE"""),"QDTSynth: Quality-Driven Formal Theorem Synthesis for Enhancing Proving Performance of LLMs")</f>
        <v>QDTSynth: Quality-Driven Formal Theorem Synthesis for Enhancing Proving Performance of LLMs</v>
      </c>
      <c r="C2339" s="7" t="str">
        <f>IFERROR(__xludf.DUMMYFUNCTION("""COMPUTED_VALUE"""),"Automated Theorem Proving is an important and challenging task. Although large language models (LLMs) have demonstrated remarkable potential in mathematical reasoning, their performance in formal theorem proving remains constrained by the scarcity of high"&amp;"-quality supervised fine-tuning (SFT) data. To address this limitation, we propose a **Q**uality-**D**riven **T**heorem **S**ynthesis method (QDTSynth) in Lean4. During the statement synthesis, we enhance Monte Carlo Tree Search (MCTS) with an adaptive ad"&amp;"justment mechanism that dynamically optimizes the search strategy based on the synthesis of statements. In addition, we propose diversity screening and the self-assessment method to select theorems that exhibit both diversity and high quality from the ini"&amp;"tially synthetic statements, enabling the synthesis of a high-quality Lean4 theorem dataset. After fine-tuning three open-source large language models on our synthetic dataset, experiments on the miniF2F benchmark demonstrate that QDTSynth significantly i"&amp;"mproves the performance of various open-source LLMs in theorem proving tasks. Our work offers a promising new direction for the future synthesis of high-quality formal mathematical theorems.")</f>
        <v>Automated Theorem Proving is an important and challenging task. Although large language models (LLMs) have demonstrated remarkable potential in mathematical reasoning, their performance in formal theorem proving remains constrained by the scarcity of high-quality supervised fine-tuning (SFT) data. To address this limitation, we propose a **Q**uality-**D**riven **T**heorem **S**ynthesis method (QDTSynth) in Lean4. During the statement synthesis, we enhance Monte Carlo Tree Search (MCTS) with an adaptive adjustment mechanism that dynamically optimizes the search strategy based on the synthesis of statements. In addition, we propose diversity screening and the self-assessment method to select theorems that exhibit both diversity and high quality from the initially synthetic statements, enabling the synthesis of a high-quality Lean4 theorem dataset. After fine-tuning three open-source large language models on our synthetic dataset, experiments on the miniF2F benchmark demonstrate that QDTSynth significantly improves the performance of various open-source LLMs in theorem proving tasks. Our work offers a promising new direction for the future synthesis of high-quality formal mathematical theorems.</v>
      </c>
      <c r="D2339" s="7" t="str">
        <f>IFERROR(__xludf.DUMMYFUNCTION("""COMPUTED_VALUE"""),"Lei Wang")</f>
        <v>Lei Wang</v>
      </c>
      <c r="E2339" s="7" t="str">
        <f>IFERROR(__xludf.DUMMYFUNCTION("""COMPUTED_VALUE"""),"Yes")</f>
        <v>Yes</v>
      </c>
      <c r="F2339" s="7" t="str">
        <f>IFERROR(__xludf.DUMMYFUNCTION("""COMPUTED_VALUE"""),"V-Presentation")</f>
        <v>V-Presentation</v>
      </c>
      <c r="G2339" s="7" t="str">
        <f>IFERROR(__xludf.DUMMYFUNCTION("""COMPUTED_VALUE"""),"Virtual/Gather")</f>
        <v>Virtual/Gather</v>
      </c>
      <c r="H2339" s="7" t="str">
        <f>IFERROR(__xludf.DUMMYFUNCTION("""COMPUTED_VALUE"""),"Zoom")</f>
        <v>Zoom</v>
      </c>
      <c r="I2339" s="7" t="str">
        <f>IFERROR(__xludf.DUMMYFUNCTION("""COMPUTED_VALUE"""),"Session 7: V--Presentations ")</f>
        <v>Session 7: V--Presentations </v>
      </c>
      <c r="J2339" s="7" t="str">
        <f>IFERROR(__xludf.DUMMYFUNCTION("""COMPUTED_VALUE"""),"Virtual Presentations 2")</f>
        <v>Virtual Presentations 2</v>
      </c>
      <c r="K2339" s="7"/>
      <c r="L2339" s="8"/>
      <c r="M2339" s="7" t="str">
        <f>IFERROR(__xludf.DUMMYFUNCTION("""COMPUTED_VALUE"""),"10:30-12:00")</f>
        <v>10:30-12:00</v>
      </c>
      <c r="N2339" s="7"/>
    </row>
    <row r="2340">
      <c r="A2340" s="7" t="str">
        <f>IFERROR(__xludf.DUMMYFUNCTION("""COMPUTED_VALUE"""),"1821-MAIN")</f>
        <v>1821-MAIN</v>
      </c>
      <c r="B2340" s="7" t="str">
        <f>IFERROR(__xludf.DUMMYFUNCTION("""COMPUTED_VALUE"""),"RSVP: Reasoning Segmentation via Visual Prompting and Multi-modal Chain-of-Thought")</f>
        <v>RSVP: Reasoning Segmentation via Visual Prompting and Multi-modal Chain-of-Thought</v>
      </c>
      <c r="C2340" s="7" t="str">
        <f>IFERROR(__xludf.DUMMYFUNCTION("""COMPUTED_VALUE"""),"Multi-modal Large Language Models (MLLMs) have demonstrated remarkable reasoning capability while lack explicit mechanisms for visual grounding and segmentation, creating a gap between cognitive reasoning and visual perception. To bridge this gap, we intr"&amp;"oduce Reasoning Segmentation via Visual Prompting (RSVP), a novel framework that unifies multi-step multimodal reasoning with grounded visual understanding. RSVP is a two-stage structuralized framework that integrates reasoning-driven localization with se"&amp;"gmentation refinement. In the reasoning stage, RSVP employs multimodal chain-of-thought visual prompts to help MLLMs understand queries and infer targets, generating interpretable region proposals that enhance visual grounding. In segmentation stage, RSVP"&amp;" refines these proposals with a Vision-Language Segmentation Module (VLSM), seamlessly integrates textual and visual cues to produce precise segmentation masks. By explicitly modelling the interaction between multimodal reasoning and segmentation, RSVP in"&amp;"troduces a new paradigm for interpretable reasoning segmentation. It exploits MLLMs' inherent localization capabilities, enabling the models to not only reason about objects but also generate structured visual representations. Our extensive experiments de"&amp;"monstrate that RSVP achieves state-of-the-art performance, surpasses state-of-the-art methods by up to +6.5 gIoU and +9.2 cIoU on ReasonSeg, and achieves 49.7 mAP on SegInW under zero-shot settings. These results validate RSVP as an effective and scalable"&amp;" framework for integrating cognitive reasoning with structured visual understanding.")</f>
        <v>Multi-modal Large Language Models (MLLMs) have demonstrated remarkable reasoning capability while lack explicit mechanisms for visual grounding and segmentation, creating a gap between cognitive reasoning and visual perception. To bridge this gap, we introduce Reasoning Segmentation via Visual Prompting (RSVP), a novel framework that unifies multi-step multimodal reasoning with grounded visual understanding. RSVP is a two-stage structuralized framework that integrates reasoning-driven localization with segmentation refinement. In the reasoning stage, RSVP employs multimodal chain-of-thought visual prompts to help MLLMs understand queries and infer targets, generating interpretable region proposals that enhance visual grounding. In segmentation stage, RSVP refines these proposals with a Vision-Language Segmentation Module (VLSM), seamlessly integrates textual and visual cues to produce precise segmentation masks. By explicitly modelling the interaction between multimodal reasoning and segmentation, RSVP introduces a new paradigm for interpretable reasoning segmentation. It exploits MLLMs' inherent localization capabilities, enabling the models to not only reason about objects but also generate structured visual representations. Our extensive experiments demonstrate that RSVP achieves state-of-the-art performance, surpasses state-of-the-art methods by up to +6.5 gIoU and +9.2 cIoU on ReasonSeg, and achieves 49.7 mAP on SegInW under zero-shot settings. These results validate RSVP as an effective and scalable framework for integrating cognitive reasoning with structured visual understanding.</v>
      </c>
      <c r="D2340" s="7" t="str">
        <f>IFERROR(__xludf.DUMMYFUNCTION("""COMPUTED_VALUE"""),"Yi Lu")</f>
        <v>Yi Lu</v>
      </c>
      <c r="E2340" s="7" t="str">
        <f>IFERROR(__xludf.DUMMYFUNCTION("""COMPUTED_VALUE"""),"Yes")</f>
        <v>Yes</v>
      </c>
      <c r="F2340" s="7" t="str">
        <f>IFERROR(__xludf.DUMMYFUNCTION("""COMPUTED_VALUE"""),"IP-Poster")</f>
        <v>IP-Poster</v>
      </c>
      <c r="G2340" s="7" t="str">
        <f>IFERROR(__xludf.DUMMYFUNCTION("""COMPUTED_VALUE"""),"In-Person")</f>
        <v>In-Person</v>
      </c>
      <c r="H2340" s="7" t="str">
        <f>IFERROR(__xludf.DUMMYFUNCTION("""COMPUTED_VALUE"""),"Hall 4/5")</f>
        <v>Hall 4/5</v>
      </c>
      <c r="I2340" s="7" t="str">
        <f>IFERROR(__xludf.DUMMYFUNCTION("""COMPUTED_VALUE"""),"Session 2: IP-Posters ")</f>
        <v>Session 2: IP-Posters </v>
      </c>
      <c r="J2340" s="7" t="str">
        <f>IFERROR(__xludf.DUMMYFUNCTION("""COMPUTED_VALUE"""),"Poster Session 1")</f>
        <v>Poster Session 1</v>
      </c>
      <c r="K2340" s="7"/>
      <c r="L2340" s="8">
        <f>IFERROR(__xludf.DUMMYFUNCTION("""COMPUTED_VALUE"""),45866.0)</f>
        <v>45866</v>
      </c>
      <c r="M2340" s="7" t="str">
        <f>IFERROR(__xludf.DUMMYFUNCTION("""COMPUTED_VALUE"""),"11:00-12:30")</f>
        <v>11:00-12:30</v>
      </c>
      <c r="N2340" s="7"/>
    </row>
    <row r="2341">
      <c r="A2341" s="7" t="str">
        <f>IFERROR(__xludf.DUMMYFUNCTION("""COMPUTED_VALUE"""),"1825-MAIN")</f>
        <v>1825-MAIN</v>
      </c>
      <c r="B2341" s="7" t="str">
        <f>IFERROR(__xludf.DUMMYFUNCTION("""COMPUTED_VALUE"""),"QAEval: Mixture of Evaluators for Question-Answering Task Evaluation")</f>
        <v>QAEval: Mixture of Evaluators for Question-Answering Task Evaluation</v>
      </c>
      <c r="C2341" s="7" t="str">
        <f>IFERROR(__xludf.DUMMYFUNCTION("""COMPUTED_VALUE"""),"Question answering (QA) tasks serve as a key benchmark for evaluating generation systems. Traditional rule-based metrics, such as accuracy and relaxed-accuracy, struggle with open-ended and unstructured responses. LLM-based evaluation methods offer greate"&amp;"r flexibility but suffer from sensitivity to instructions, robustness issues, and high computational costs. To overcome these challenges, we introduce QAEval, a hybrid framework combining rule-based reliability with LLM-based adaptability. QAEval utilizes"&amp;" two high-quality datasets: QAExtract for short-answer extraction and QAScore for scoring model training. By integrating a Mixture of Evaluators model with Dynamic Load Balancing Optimization, QAEval enables accurate, cost-effective QA evaluation. Experim"&amp;"ental results show it outperforms models like GPT-4o and Claude-3, achieving 92.3% accuracy with only 0.6B parameters.")</f>
        <v>Question answering (QA) tasks serve as a key benchmark for evaluating generation systems. Traditional rule-based metrics, such as accuracy and relaxed-accuracy, struggle with open-ended and unstructured responses. LLM-based evaluation methods offer greater flexibility but suffer from sensitivity to instructions, robustness issues, and high computational costs. To overcome these challenges, we introduce QAEval, a hybrid framework combining rule-based reliability with LLM-based adaptability. QAEval utilizes two high-quality datasets: QAExtract for short-answer extraction and QAScore for scoring model training. By integrating a Mixture of Evaluators model with Dynamic Load Balancing Optimization, QAEval enables accurate, cost-effective QA evaluation. Experimental results show it outperforms models like GPT-4o and Claude-3, achieving 92.3% accuracy with only 0.6B parameters.</v>
      </c>
      <c r="D2341" s="7" t="str">
        <f>IFERROR(__xludf.DUMMYFUNCTION("""COMPUTED_VALUE"""),"Tan Yue")</f>
        <v>Tan Yue</v>
      </c>
      <c r="E2341" s="7" t="str">
        <f>IFERROR(__xludf.DUMMYFUNCTION("""COMPUTED_VALUE"""),"Yes")</f>
        <v>Yes</v>
      </c>
      <c r="F2341" s="7" t="str">
        <f>IFERROR(__xludf.DUMMYFUNCTION("""COMPUTED_VALUE"""),"IP-Poster")</f>
        <v>IP-Poster</v>
      </c>
      <c r="G2341" s="7" t="str">
        <f>IFERROR(__xludf.DUMMYFUNCTION("""COMPUTED_VALUE"""),"In-Person")</f>
        <v>In-Person</v>
      </c>
      <c r="H2341" s="7" t="str">
        <f>IFERROR(__xludf.DUMMYFUNCTION("""COMPUTED_VALUE"""),"Hall 4/5")</f>
        <v>Hall 4/5</v>
      </c>
      <c r="I2341" s="7" t="str">
        <f>IFERROR(__xludf.DUMMYFUNCTION("""COMPUTED_VALUE"""),"Session 7: IP-Posters")</f>
        <v>Session 7: IP-Posters</v>
      </c>
      <c r="J2341" s="7" t="str">
        <f>IFERROR(__xludf.DUMMYFUNCTION("""COMPUTED_VALUE"""),"Poster Session 2")</f>
        <v>Poster Session 2</v>
      </c>
      <c r="K2341" s="7"/>
      <c r="L2341" s="8">
        <f>IFERROR(__xludf.DUMMYFUNCTION("""COMPUTED_VALUE"""),45867.0)</f>
        <v>45867</v>
      </c>
      <c r="M2341" s="7" t="str">
        <f>IFERROR(__xludf.DUMMYFUNCTION("""COMPUTED_VALUE"""),"10:30-12:00")</f>
        <v>10:30-12:00</v>
      </c>
      <c r="N2341" s="7"/>
    </row>
    <row r="2342">
      <c r="A2342" s="7" t="str">
        <f>IFERROR(__xludf.DUMMYFUNCTION("""COMPUTED_VALUE"""),"1828-MAIN")</f>
        <v>1828-MAIN</v>
      </c>
      <c r="B2342" s="7" t="str">
        <f>IFERROR(__xludf.DUMMYFUNCTION("""COMPUTED_VALUE"""),"Debiasing the Fine-Grained Classification Task in LLMs with Bias-Aware PEFT")</f>
        <v>Debiasing the Fine-Grained Classification Task in LLMs with Bias-Aware PEFT</v>
      </c>
      <c r="C2342" s="7" t="str">
        <f>IFERROR(__xludf.DUMMYFUNCTION("""COMPUTED_VALUE"""),"Fine-grained classification via LLMs is susceptible to more complex label biases compared to traditional classification tasks. Existing bias mitigation strategies, such as retraining, post-hoc adjustment, and parameter-efficient fine-tuning (PEFT) are pri"&amp;"marily effective for simple classification biases, such as stereotypes, but fail to adequately address prediction propensity and discriminative ability biases. In this paper, we analyze these two bias phenomena and observe their progressive accumulation f"&amp;"rom intermediate to deeper layers within LLMs. To mitigate this issue, we propose a bias-aware optimization framework that incorporates two distinct label balance constraints with a PEFT strategy targeting an intermediate layer. Our approach adjusts less "&amp;"than 1% of the model's parameters while effectively curbing bias amplification in deeper layers. Extensive experiments conducted across 12 datasets and 5 LLMs demonstrate that our method consistently outperforms or matches the performance of full-paramete"&amp;"r fine-tuning and LoRA, achieving superior results with lower perplexity.")</f>
        <v>Fine-grained classification via LLMs is susceptible to more complex label biases compared to traditional classification tasks. Existing bias mitigation strategies, such as retraining, post-hoc adjustment, and parameter-efficient fine-tuning (PEFT) are primarily effective for simple classification biases, such as stereotypes, but fail to adequately address prediction propensity and discriminative ability biases. In this paper, we analyze these two bias phenomena and observe their progressive accumulation from intermediate to deeper layers within LLMs. To mitigate this issue, we propose a bias-aware optimization framework that incorporates two distinct label balance constraints with a PEFT strategy targeting an intermediate layer. Our approach adjusts less than 1% of the model's parameters while effectively curbing bias amplification in deeper layers. Extensive experiments conducted across 12 datasets and 5 LLMs demonstrate that our method consistently outperforms or matches the performance of full-parameter fine-tuning and LoRA, achieving superior results with lower perplexity.</v>
      </c>
      <c r="D2342" s="7" t="str">
        <f>IFERROR(__xludf.DUMMYFUNCTION("""COMPUTED_VALUE"""),"Hang Chen")</f>
        <v>Hang Chen</v>
      </c>
      <c r="E2342" s="7" t="str">
        <f>IFERROR(__xludf.DUMMYFUNCTION("""COMPUTED_VALUE"""),"Yes")</f>
        <v>Yes</v>
      </c>
      <c r="F2342" s="7" t="str">
        <f>IFERROR(__xludf.DUMMYFUNCTION("""COMPUTED_VALUE"""),"V-Presentation")</f>
        <v>V-Presentation</v>
      </c>
      <c r="G2342" s="7" t="str">
        <f>IFERROR(__xludf.DUMMYFUNCTION("""COMPUTED_VALUE"""),"Virtual/Gather")</f>
        <v>Virtual/Gather</v>
      </c>
      <c r="H2342" s="7" t="str">
        <f>IFERROR(__xludf.DUMMYFUNCTION("""COMPUTED_VALUE"""),"Zoom")</f>
        <v>Zoom</v>
      </c>
      <c r="I2342" s="7" t="str">
        <f>IFERROR(__xludf.DUMMYFUNCTION("""COMPUTED_VALUE"""),"Session 7: V--Presentations ")</f>
        <v>Session 7: V--Presentations </v>
      </c>
      <c r="J2342" s="7" t="str">
        <f>IFERROR(__xludf.DUMMYFUNCTION("""COMPUTED_VALUE"""),"Virtual Presentations 2")</f>
        <v>Virtual Presentations 2</v>
      </c>
      <c r="K2342" s="7"/>
      <c r="L2342" s="8"/>
      <c r="M2342" s="7" t="str">
        <f>IFERROR(__xludf.DUMMYFUNCTION("""COMPUTED_VALUE"""),"10:30-12:00")</f>
        <v>10:30-12:00</v>
      </c>
      <c r="N2342" s="7"/>
    </row>
    <row r="2343">
      <c r="A2343" s="7" t="str">
        <f>IFERROR(__xludf.DUMMYFUNCTION("""COMPUTED_VALUE"""),"1830-MAIN")</f>
        <v>1830-MAIN</v>
      </c>
      <c r="B2343" s="7" t="str">
        <f>IFERROR(__xludf.DUMMYFUNCTION("""COMPUTED_VALUE"""),"Demystifying Small Language Models for Edge Deployment")</f>
        <v>Demystifying Small Language Models for Edge Deployment</v>
      </c>
      <c r="C2343" s="7" t="str">
        <f>IFERROR(__xludf.DUMMYFUNCTION("""COMPUTED_VALUE"""),"Small language models (SLMs) have emerged as a promising solution for deploying resource-constrained devices, such as smartphones and Web of Things. This work presents the first comprehensive study of over 60 SLMs such as Microsoft Phi and Google Gemma th"&amp;"at are publicly accessible. Our findings show that state-of-the-art SLMs outperform 7B models in general tasks, proving their practical viability. However, SLMs' in-context learning capabilities remain limited, and their efficiency has significant optimiz"&amp;"ation potential. We identify key SLM optimization opportunities, including dynamic task-specific routing, model-hardware co-design, and vocabulary/KV cache compression. Overall, we expect the work to reveal an all-sided landscape of SLMs, benefiting the r"&amp;"esearch community across algorithm, model, system, and hardware levels.")</f>
        <v>Small language models (SLMs) have emerged as a promising solution for deploying resource-constrained devices, such as smartphones and Web of Things. This work presents the first comprehensive study of over 60 SLMs such as Microsoft Phi and Google Gemma that are publicly accessible. Our findings show that state-of-the-art SLMs outperform 7B models in general tasks, proving their practical viability. However, SLMs' in-context learning capabilities remain limited, and their efficiency has significant optimization potential. We identify key SLM optimization opportunities, including dynamic task-specific routing, model-hardware co-design, and vocabulary/KV cache compression. Overall, we expect the work to reveal an all-sided landscape of SLMs, benefiting the research community across algorithm, model, system, and hardware levels.</v>
      </c>
      <c r="D2343" s="7" t="str">
        <f>IFERROR(__xludf.DUMMYFUNCTION("""COMPUTED_VALUE"""),"Zhenyan Lu")</f>
        <v>Zhenyan Lu</v>
      </c>
      <c r="E2343" s="7" t="str">
        <f>IFERROR(__xludf.DUMMYFUNCTION("""COMPUTED_VALUE"""),"Yes")</f>
        <v>Yes</v>
      </c>
      <c r="F2343" s="7" t="str">
        <f>IFERROR(__xludf.DUMMYFUNCTION("""COMPUTED_VALUE"""),"IP-Poster")</f>
        <v>IP-Poster</v>
      </c>
      <c r="G2343" s="7" t="str">
        <f>IFERROR(__xludf.DUMMYFUNCTION("""COMPUTED_VALUE"""),"In-Person")</f>
        <v>In-Person</v>
      </c>
      <c r="H2343" s="7" t="str">
        <f>IFERROR(__xludf.DUMMYFUNCTION("""COMPUTED_VALUE"""),"Hall 4/5")</f>
        <v>Hall 4/5</v>
      </c>
      <c r="I2343" s="7" t="str">
        <f>IFERROR(__xludf.DUMMYFUNCTION("""COMPUTED_VALUE"""),"Session 12: IP-Posters")</f>
        <v>Session 12: IP-Posters</v>
      </c>
      <c r="J2343" s="7" t="str">
        <f>IFERROR(__xludf.DUMMYFUNCTION("""COMPUTED_VALUE"""),"Poster Session 4")</f>
        <v>Poster Session 4</v>
      </c>
      <c r="K2343" s="7"/>
      <c r="L2343" s="8">
        <f>IFERROR(__xludf.DUMMYFUNCTION("""COMPUTED_VALUE"""),45868.0)</f>
        <v>45868</v>
      </c>
      <c r="M2343" s="7" t="str">
        <f>IFERROR(__xludf.DUMMYFUNCTION("""COMPUTED_VALUE"""),"11:00-12:30")</f>
        <v>11:00-12:30</v>
      </c>
      <c r="N2343" s="7"/>
    </row>
    <row r="2344">
      <c r="A2344" s="7" t="str">
        <f>IFERROR(__xludf.DUMMYFUNCTION("""COMPUTED_VALUE"""),"1832-MAIN")</f>
        <v>1832-MAIN</v>
      </c>
      <c r="B2344" s="7" t="str">
        <f>IFERROR(__xludf.DUMMYFUNCTION("""COMPUTED_VALUE"""),"Adapt Once, Thrive with Updates: Transferable Parameter-Efficient Fine-Tuning on Evolving Base Models")</f>
        <v>Adapt Once, Thrive with Updates: Transferable Parameter-Efficient Fine-Tuning on Evolving Base Models</v>
      </c>
      <c r="C2344" s="7" t="str">
        <f>IFERROR(__xludf.DUMMYFUNCTION("""COMPUTED_VALUE"""),"Parameter-efficient fine-tuning (PEFT) has become a common method for fine-tuning large language models, where a base model can serve multiple users through PEFT module switching. To enhance user experience, base models require periodic updates. However, "&amp;"once updated, PEFT modules fine-tuned on previous versions often suffer substantial performance degradation on newer versions. Re-tuning these numerous modules to restore performance would incur significant computational costs. Through a comprehensive ana"&amp;"lysis of the changes that occur during base model updates, we uncover an interesting phenomenon: continual training primarily affects task-specific knowledge stored in Feed-Forward Networks (FFN), while having less impact on the task-specific pattern in t"&amp;"he Attention mechanism. Based on these findings, we introduce Trans-PEFT, a novel approach that enhances the PEFT module by focusing on the task-specific pattern while reducing its dependence on certain knowledge in the base model. Further theoretical ana"&amp;"lysis supports our approach. Extensive experiments across 7 base models and 12 datasets demonstrate that Trans-PEFT trained modules can maintain performance on updated base models without re-tuning, significantly reducing maintenance overhead in real-worl"&amp;"d applications.")</f>
        <v>Parameter-efficient fine-tuning (PEFT) has become a common method for fine-tuning large language models, where a base model can serve multiple users through PEFT module switching. To enhance user experience, base models require periodic updates. However, once updated, PEFT modules fine-tuned on previous versions often suffer substantial performance degradation on newer versions. Re-tuning these numerous modules to restore performance would incur significant computational costs. Through a comprehensive analysis of the changes that occur during base model updates, we uncover an interesting phenomenon: continual training primarily affects task-specific knowledge stored in Feed-Forward Networks (FFN), while having less impact on the task-specific pattern in the Attention mechanism. Based on these findings, we introduce Trans-PEFT, a novel approach that enhances the PEFT module by focusing on the task-specific pattern while reducing its dependence on certain knowledge in the base model. Further theoretical analysis supports our approach. Extensive experiments across 7 base models and 12 datasets demonstrate that Trans-PEFT trained modules can maintain performance on updated base models without re-tuning, significantly reducing maintenance overhead in real-world applications.</v>
      </c>
      <c r="D2344" s="7" t="str">
        <f>IFERROR(__xludf.DUMMYFUNCTION("""COMPUTED_VALUE"""),"Naibin Gu")</f>
        <v>Naibin Gu</v>
      </c>
      <c r="E2344" s="7" t="str">
        <f>IFERROR(__xludf.DUMMYFUNCTION("""COMPUTED_VALUE"""),"Yes")</f>
        <v>Yes</v>
      </c>
      <c r="F2344" s="7" t="str">
        <f>IFERROR(__xludf.DUMMYFUNCTION("""COMPUTED_VALUE"""),"IP-Oral")</f>
        <v>IP-Oral</v>
      </c>
      <c r="G2344" s="7" t="str">
        <f>IFERROR(__xludf.DUMMYFUNCTION("""COMPUTED_VALUE"""),"In-Person")</f>
        <v>In-Person</v>
      </c>
      <c r="H2344" s="7" t="str">
        <f>IFERROR(__xludf.DUMMYFUNCTION("""COMPUTED_VALUE"""),"Room 1.62")</f>
        <v>Room 1.62</v>
      </c>
      <c r="I2344" s="7" t="str">
        <f>IFERROR(__xludf.DUMMYFUNCTION("""COMPUTED_VALUE"""),"Session 11: IP-Orals ")</f>
        <v>Session 11: IP-Orals </v>
      </c>
      <c r="J2344" s="7" t="str">
        <f>IFERROR(__xludf.DUMMYFUNCTION("""COMPUTED_VALUE"""),"Efficient Methods for NLP 2")</f>
        <v>Efficient Methods for NLP 2</v>
      </c>
      <c r="K2344" s="7"/>
      <c r="L2344" s="8">
        <f>IFERROR(__xludf.DUMMYFUNCTION("""COMPUTED_VALUE"""),45868.0)</f>
        <v>45868</v>
      </c>
      <c r="M2344" s="7" t="str">
        <f>IFERROR(__xludf.DUMMYFUNCTION("""COMPUTED_VALUE"""),"09:00-10:30")</f>
        <v>09:00-10:30</v>
      </c>
      <c r="N2344" s="7">
        <f>IFERROR(__xludf.DUMMYFUNCTION("""COMPUTED_VALUE"""),5.0)</f>
        <v>5</v>
      </c>
    </row>
    <row r="2345">
      <c r="A2345" s="7" t="str">
        <f>IFERROR(__xludf.DUMMYFUNCTION("""COMPUTED_VALUE"""),"1833-MAIN")</f>
        <v>1833-MAIN</v>
      </c>
      <c r="B2345" s="7" t="str">
        <f>IFERROR(__xludf.DUMMYFUNCTION("""COMPUTED_VALUE"""),"Can Vision-Language Models Evaluate Handwritten Math?")</f>
        <v>Can Vision-Language Models Evaluate Handwritten Math?</v>
      </c>
      <c r="C2345" s="7" t="str">
        <f>IFERROR(__xludf.DUMMYFUNCTION("""COMPUTED_VALUE"""),"Recent advancements in Vision-Language Models (VLMs) have opened new possibilities in automatic grading of handwritten student responses, particularly in mathematics. However, a comprehensive study to test the ability of VLMs to evaluate and reason over h"&amp;"andwritten content remains absent. To address this gap, we introduce FERMAT, a benchmark designed to assess VLMs' ability to detect, localize and correct errors in handwritten mathematical content. FERMAT spans four key error dimensions - computational, c"&amp;"onceptual, notational, and presentation - and comprises over 2,200 handwritten math solutions derived from 609 manually curated problems from grades 7-12 with intentionally introduced perturbations. Using FERMAT we benchmark nine VLMs across three tasks: "&amp;"error detection, localization, and correction. Our results reveal significant shortcomings in current VLMs in reasoning over handwritten text, with Gemini-1.5-Pro achieving the highest error correction rate (77%). We also observed that some models struggl"&amp;"e with processing handwritten content, as their accuracy improves when handwritten inputs are replaced with printed text or images. These findings highlight the limitations of current VLMs and reveal new avenues for improvement. We will release FERMAT and"&amp;" all the associated resources in the open-source to drive further research.")</f>
        <v>Recent advancements in Vision-Language Models (VLMs) have opened new possibilities in automatic grading of handwritten student responses, particularly in mathematics. However, a comprehensive study to test the ability of VLMs to evaluate and reason over handwritten content remains absent. To address this gap, we introduce FERMAT, a benchmark designed to assess VLMs' ability to detect, localize and correct errors in handwritten mathematical content. FERMAT spans four key error dimensions - computational, conceptual, notational, and presentation - and comprises over 2,200 handwritten math solutions derived from 609 manually curated problems from grades 7-12 with intentionally introduced perturbations. Using FERMAT we benchmark nine VLMs across three tasks: error detection, localization, and correction. Our results reveal significant shortcomings in current VLMs in reasoning over handwritten text, with Gemini-1.5-Pro achieving the highest error correction rate (77%). We also observed that some models struggle with processing handwritten content, as their accuracy improves when handwritten inputs are replaced with printed text or images. These findings highlight the limitations of current VLMs and reveal new avenues for improvement. We will release FERMAT and all the associated resources in the open-source to drive further research.</v>
      </c>
      <c r="D2345" s="7" t="str">
        <f>IFERROR(__xludf.DUMMYFUNCTION("""COMPUTED_VALUE"""),"Oikantik Nath")</f>
        <v>Oikantik Nath</v>
      </c>
      <c r="E2345" s="7" t="str">
        <f>IFERROR(__xludf.DUMMYFUNCTION("""COMPUTED_VALUE"""),"Yes")</f>
        <v>Yes</v>
      </c>
      <c r="F2345" s="7" t="str">
        <f>IFERROR(__xludf.DUMMYFUNCTION("""COMPUTED_VALUE"""),"IP-Poster")</f>
        <v>IP-Poster</v>
      </c>
      <c r="G2345" s="7" t="str">
        <f>IFERROR(__xludf.DUMMYFUNCTION("""COMPUTED_VALUE"""),"In-Person")</f>
        <v>In-Person</v>
      </c>
      <c r="H2345" s="7" t="str">
        <f>IFERROR(__xludf.DUMMYFUNCTION("""COMPUTED_VALUE"""),"Hall 4/5")</f>
        <v>Hall 4/5</v>
      </c>
      <c r="I2345" s="7" t="str">
        <f>IFERROR(__xludf.DUMMYFUNCTION("""COMPUTED_VALUE"""),"Session 2: IP-Posters ")</f>
        <v>Session 2: IP-Posters </v>
      </c>
      <c r="J2345" s="7" t="str">
        <f>IFERROR(__xludf.DUMMYFUNCTION("""COMPUTED_VALUE"""),"Poster Session 1")</f>
        <v>Poster Session 1</v>
      </c>
      <c r="K2345" s="7"/>
      <c r="L2345" s="8">
        <f>IFERROR(__xludf.DUMMYFUNCTION("""COMPUTED_VALUE"""),45866.0)</f>
        <v>45866</v>
      </c>
      <c r="M2345" s="7" t="str">
        <f>IFERROR(__xludf.DUMMYFUNCTION("""COMPUTED_VALUE"""),"11:00-12:30")</f>
        <v>11:00-12:30</v>
      </c>
      <c r="N2345" s="7"/>
    </row>
    <row r="2346">
      <c r="A2346" s="7" t="str">
        <f>IFERROR(__xludf.DUMMYFUNCTION("""COMPUTED_VALUE"""),"1838-MAIN")</f>
        <v>1838-MAIN</v>
      </c>
      <c r="B2346" s="7" t="str">
        <f>IFERROR(__xludf.DUMMYFUNCTION("""COMPUTED_VALUE"""),"Continual Gradient Low-Rank Projection Fine-Tuning for LLMs")</f>
        <v>Continual Gradient Low-Rank Projection Fine-Tuning for LLMs</v>
      </c>
      <c r="C2346" s="7" t="str">
        <f>IFERROR(__xludf.DUMMYFUNCTION("""COMPUTED_VALUE"""),"Continual fine-tuning of Large Language Models (LLMs) is hampered by the trade-off between efficiency and expressiveness. Low-Rank Adaptation (LoRA) offers efficiency but constrains the model's ability to learn new tasks and transfer knowledge due to its "&amp;"low-rank nature and reliance on explicit parameter constraints. 
We propose GORP ($\underline{\textbf{G}}$radient L$\underline{\textbf{O}}$w $\underline{\textbf{R}}$ank $\underline{\textbf{P}}$rojection) for Continual Learning, a novel training strategy t"&amp;"hat overcomes these limitations by synergistically combining full and low-rank parameters and jointly updating within a unified low-rank gradient subspace. GORP expands the optimization space while preserving efficiency and mitigating catastrophic forgett"&amp;"ing. 
Extensive experiments on continual learning benchmarks demonstrate GORP's superior performance compared to existing state-of-the-art approaches. Code is available at https://github.com/Wcxwcxw/GORP.")</f>
        <v>Continual fine-tuning of Large Language Models (LLMs) is hampered by the trade-off between efficiency and expressiveness. Low-Rank Adaptation (LoRA) offers efficiency but constrains the model's ability to learn new tasks and transfer knowledge due to its low-rank nature and reliance on explicit parameter constraints. 
We propose GORP ($\underline{\textbf{G}}$radient L$\underline{\textbf{O}}$w $\underline{\textbf{R}}$ank $\underline{\textbf{P}}$rojection) for Continual Learning, a novel training strategy that overcomes these limitations by synergistically combining full and low-rank parameters and jointly updating within a unified low-rank gradient subspace. GORP expands the optimization space while preserving efficiency and mitigating catastrophic forgetting. 
Extensive experiments on continual learning benchmarks demonstrate GORP's superior performance compared to existing state-of-the-art approaches. Code is available at https://github.com/Wcxwcxw/GORP.</v>
      </c>
      <c r="D2346" s="7" t="str">
        <f>IFERROR(__xludf.DUMMYFUNCTION("""COMPUTED_VALUE"""),"Chenxu Wang")</f>
        <v>Chenxu Wang</v>
      </c>
      <c r="E2346" s="7" t="str">
        <f>IFERROR(__xludf.DUMMYFUNCTION("""COMPUTED_VALUE"""),"Yes")</f>
        <v>Yes</v>
      </c>
      <c r="F2346" s="7" t="str">
        <f>IFERROR(__xludf.DUMMYFUNCTION("""COMPUTED_VALUE"""),"IP-Poster")</f>
        <v>IP-Poster</v>
      </c>
      <c r="G2346" s="7" t="str">
        <f>IFERROR(__xludf.DUMMYFUNCTION("""COMPUTED_VALUE"""),"In-Person")</f>
        <v>In-Person</v>
      </c>
      <c r="H2346" s="7" t="str">
        <f>IFERROR(__xludf.DUMMYFUNCTION("""COMPUTED_VALUE"""),"Hall 4/5")</f>
        <v>Hall 4/5</v>
      </c>
      <c r="I2346" s="7" t="str">
        <f>IFERROR(__xludf.DUMMYFUNCTION("""COMPUTED_VALUE"""),"Session 7: IP-Posters")</f>
        <v>Session 7: IP-Posters</v>
      </c>
      <c r="J2346" s="7" t="str">
        <f>IFERROR(__xludf.DUMMYFUNCTION("""COMPUTED_VALUE"""),"Poster Session 2")</f>
        <v>Poster Session 2</v>
      </c>
      <c r="K2346" s="7"/>
      <c r="L2346" s="8">
        <f>IFERROR(__xludf.DUMMYFUNCTION("""COMPUTED_VALUE"""),45867.0)</f>
        <v>45867</v>
      </c>
      <c r="M2346" s="7" t="str">
        <f>IFERROR(__xludf.DUMMYFUNCTION("""COMPUTED_VALUE"""),"10:30-12:00")</f>
        <v>10:30-12:00</v>
      </c>
      <c r="N2346" s="7"/>
    </row>
    <row r="2347">
      <c r="A2347" s="7" t="str">
        <f>IFERROR(__xludf.DUMMYFUNCTION("""COMPUTED_VALUE"""),"1845-MAIN")</f>
        <v>1845-MAIN</v>
      </c>
      <c r="B2347" s="7" t="str">
        <f>IFERROR(__xludf.DUMMYFUNCTION("""COMPUTED_VALUE"""),"Towards Objective Fine-tuning: How LLMs' Prior Knowledge Causes Potential Poor Calibration?")</f>
        <v>Towards Objective Fine-tuning: How LLMs' Prior Knowledge Causes Potential Poor Calibration?</v>
      </c>
      <c r="C2347" s="7" t="str">
        <f>IFERROR(__xludf.DUMMYFUNCTION("""COMPUTED_VALUE"""),"Fine-tuned Large Language Models (LLMs) often demonstrate poor calibration, with their confidence scores misaligned with actual performance. While calibration has been extensively studied in models trained from scratch, the impact of LLMs' prior knowledge"&amp;" on calibration during fine-tuning remains understudied. Our research reveals that LLMs' prior knowledge causes potential poor calibration due to the ubiquitous presence of known data in real-world fine-tuning, which appears harmful for calibration. Speci"&amp;"fically, data aligned with LLMs' prior knowledge would induce overconfidence, while new knowledge improves calibration. Our findings expose a tension: LLMs’ encyclopedic knowledge, while enabling task versatility, undermines calibration through unavoidabl"&amp;"e knowledge overlaps. To address this, we propose CogCalib, a cognition-aware framework that applies targeted learning strategies according to the model’s prior knowledge. Experiments across 7 tasks using 3 LLM families prove that CogCalib significantly i"&amp;"mproves calibration while maintaining performance, achieving an average 57% reduction in ECE compared to standard fine-tuning in Llama3-8B. These improvements generalize well to out-of-domain tasks, enhancing the objectivity and reliability of domain-spec"&amp;"ific LLMs, and making them more trustworthy for critical human-AI interaction applications.")</f>
        <v>Fine-tuned Large Language Models (LLMs) often demonstrate poor calibration, with their confidence scores misaligned with actual performance. While calibration has been extensively studied in models trained from scratch, the impact of LLMs' prior knowledge on calibration during fine-tuning remains understudied. Our research reveals that LLMs' prior knowledge causes potential poor calibration due to the ubiquitous presence of known data in real-world fine-tuning, which appears harmful for calibration. Specifically, data aligned with LLMs' prior knowledge would induce overconfidence, while new knowledge improves calibration. Our findings expose a tension: LLMs’ encyclopedic knowledge, while enabling task versatility, undermines calibration through unavoidable knowledge overlaps. To address this, we propose CogCalib, a cognition-aware framework that applies targeted learning strategies according to the model’s prior knowledge. Experiments across 7 tasks using 3 LLM families prove that CogCalib significantly improves calibration while maintaining performance, achieving an average 57% reduction in ECE compared to standard fine-tuning in Llama3-8B. These improvements generalize well to out-of-domain tasks, enhancing the objectivity and reliability of domain-specific LLMs, and making them more trustworthy for critical human-AI interaction applications.</v>
      </c>
      <c r="D2347" s="7" t="str">
        <f>IFERROR(__xludf.DUMMYFUNCTION("""COMPUTED_VALUE"""),"Ziming Wang, 
Haoyi Zhou")</f>
        <v>Ziming Wang, 
Haoyi Zhou</v>
      </c>
      <c r="E2347" s="7" t="str">
        <f>IFERROR(__xludf.DUMMYFUNCTION("""COMPUTED_VALUE"""),"Yes")</f>
        <v>Yes</v>
      </c>
      <c r="F2347" s="7" t="str">
        <f>IFERROR(__xludf.DUMMYFUNCTION("""COMPUTED_VALUE"""),"IP-Poster")</f>
        <v>IP-Poster</v>
      </c>
      <c r="G2347" s="7" t="str">
        <f>IFERROR(__xludf.DUMMYFUNCTION("""COMPUTED_VALUE"""),"In-Person")</f>
        <v>In-Person</v>
      </c>
      <c r="H2347" s="7" t="str">
        <f>IFERROR(__xludf.DUMMYFUNCTION("""COMPUTED_VALUE"""),"Hall 4/5")</f>
        <v>Hall 4/5</v>
      </c>
      <c r="I2347" s="7" t="str">
        <f>IFERROR(__xludf.DUMMYFUNCTION("""COMPUTED_VALUE"""),"Session 7: IP-Posters")</f>
        <v>Session 7: IP-Posters</v>
      </c>
      <c r="J2347" s="7" t="str">
        <f>IFERROR(__xludf.DUMMYFUNCTION("""COMPUTED_VALUE"""),"Poster Session 2")</f>
        <v>Poster Session 2</v>
      </c>
      <c r="K2347" s="7"/>
      <c r="L2347" s="8">
        <f>IFERROR(__xludf.DUMMYFUNCTION("""COMPUTED_VALUE"""),45867.0)</f>
        <v>45867</v>
      </c>
      <c r="M2347" s="7" t="str">
        <f>IFERROR(__xludf.DUMMYFUNCTION("""COMPUTED_VALUE"""),"10:30-12:00")</f>
        <v>10:30-12:00</v>
      </c>
      <c r="N2347" s="7"/>
    </row>
    <row r="2348">
      <c r="A2348" s="7" t="str">
        <f>IFERROR(__xludf.DUMMYFUNCTION("""COMPUTED_VALUE"""),"1846-MAIN")</f>
        <v>1846-MAIN</v>
      </c>
      <c r="B2348" s="7" t="str">
        <f>IFERROR(__xludf.DUMMYFUNCTION("""COMPUTED_VALUE"""),"Can Community Notes Replace Professional Fact-Checkers?")</f>
        <v>Can Community Notes Replace Professional Fact-Checkers?</v>
      </c>
      <c r="C2348" s="7" t="str">
        <f>IFERROR(__xludf.DUMMYFUNCTION("""COMPUTED_VALUE"""),"Two commonly employed strategies to combat the rise of misinformation on social media are (i) fact-checking by professional organisations and (ii) community moderation by platform users. Policy changes by Twitter/X and, more recently, Meta, signal a shift"&amp;" away from partnerships with fact-checking organisations and towards an increased reliance on crowdsourced community notes. However, the extent and nature of dependencies between fact-checking and *helpful* community notes remain unclear. To address these"&amp;" questions, we use language models to annotate a large corpus of Twitter/X community notes with attributes such as topic, cited sources, and whether they refute claims tied to broader misinformation narratives. Our analysis reveals that community notes ci"&amp;"te fact-checking sources up to five times more than previously reported. Fact-checking is especially crucial for notes on posts linked to broader narratives, which are *twice* as likely to reference fact-checking sources compared to other sources. Our res"&amp;"ults show that successful community moderation relies on professional fact-checking and highlight how citizen and professional fact-checking are deeply intertwined.")</f>
        <v>Two commonly employed strategies to combat the rise of misinformation on social media are (i) fact-checking by professional organisations and (ii) community moderation by platform users. Policy changes by Twitter/X and, more recently, Meta, signal a shift away from partnerships with fact-checking organisations and towards an increased reliance on crowdsourced community notes. However, the extent and nature of dependencies between fact-checking and *helpful* community notes remain unclear. To address these questions, we use language models to annotate a large corpus of Twitter/X community notes with attributes such as topic, cited sources, and whether they refute claims tied to broader misinformation narratives. Our analysis reveals that community notes cite fact-checking sources up to five times more than previously reported. Fact-checking is especially crucial for notes on posts linked to broader narratives, which are *twice* as likely to reference fact-checking sources compared to other sources. Our results show that successful community moderation relies on professional fact-checking and highlight how citizen and professional fact-checking are deeply intertwined.</v>
      </c>
      <c r="D2348" s="7" t="str">
        <f>IFERROR(__xludf.DUMMYFUNCTION("""COMPUTED_VALUE"""),"Nadav Borenstein")</f>
        <v>Nadav Borenstein</v>
      </c>
      <c r="E2348" s="7" t="str">
        <f>IFERROR(__xludf.DUMMYFUNCTION("""COMPUTED_VALUE"""),"Yes")</f>
        <v>Yes</v>
      </c>
      <c r="F2348" s="7" t="str">
        <f>IFERROR(__xludf.DUMMYFUNCTION("""COMPUTED_VALUE"""),"IP-Poster")</f>
        <v>IP-Poster</v>
      </c>
      <c r="G2348" s="7" t="str">
        <f>IFERROR(__xludf.DUMMYFUNCTION("""COMPUTED_VALUE"""),"In-Person")</f>
        <v>In-Person</v>
      </c>
      <c r="H2348" s="7" t="str">
        <f>IFERROR(__xludf.DUMMYFUNCTION("""COMPUTED_VALUE"""),"Hall 4/5")</f>
        <v>Hall 4/5</v>
      </c>
      <c r="I2348" s="7" t="str">
        <f>IFERROR(__xludf.DUMMYFUNCTION("""COMPUTED_VALUE"""),"Session 12: IP-Posters")</f>
        <v>Session 12: IP-Posters</v>
      </c>
      <c r="J2348" s="7" t="str">
        <f>IFERROR(__xludf.DUMMYFUNCTION("""COMPUTED_VALUE"""),"Poster Session 4")</f>
        <v>Poster Session 4</v>
      </c>
      <c r="K2348" s="7"/>
      <c r="L2348" s="8">
        <f>IFERROR(__xludf.DUMMYFUNCTION("""COMPUTED_VALUE"""),45868.0)</f>
        <v>45868</v>
      </c>
      <c r="M2348" s="7" t="str">
        <f>IFERROR(__xludf.DUMMYFUNCTION("""COMPUTED_VALUE"""),"11:00-12:30")</f>
        <v>11:00-12:30</v>
      </c>
      <c r="N2348" s="7"/>
    </row>
    <row r="2349">
      <c r="A2349" s="7" t="str">
        <f>IFERROR(__xludf.DUMMYFUNCTION("""COMPUTED_VALUE"""),"1847-MAIN")</f>
        <v>1847-MAIN</v>
      </c>
      <c r="B2349" s="7" t="str">
        <f>IFERROR(__xludf.DUMMYFUNCTION("""COMPUTED_VALUE"""),"Towards Robust ESG Analysis Against Greenwashing Risks: Aspect-Action Analysis with Cross-Category Generalization")</f>
        <v>Towards Robust ESG Analysis Against Greenwashing Risks: Aspect-Action Analysis with Cross-Category Generalization</v>
      </c>
      <c r="C2349" s="7" t="str">
        <f>IFERROR(__xludf.DUMMYFUNCTION("""COMPUTED_VALUE"""),"Sustainability reports are key for evaluating companies’ environmental, social and governance (ESG) performance. To analyze these reports, NLP approaches can efficiently extract ESG insights at scale. However, even the most advanced NLP methods lack robus"&amp;"tness against ESG content that is greenwashed – i.e. sustainability claims that are misleading, exaggerated, and fabricated. Accordingly, existing NLP approaches often extract insights that reflect misleading or exaggerated sustainability claims rather th"&amp;"an objective ESG performance. To tackle this issue, we introduce A3CG - **A**spect-**A**ction **A**nalysis with Cross-**C**ategory **G**eneralization, as a novel dataset to improve the robustness of ESG analysis amid the prevalence of greenwashing. By exp"&amp;"licitly linking sustainability aspects with their associated actions, A3CG facilitates a more fine-grained and transparent evaluation of sustainability claims, ensuring that insights are grounded in verifiable actions rather than vague or misleading rheto"&amp;"ric. Additionally, A3CG emphasizes cross-category generalization. This ensures robust model performance in aspect-action analysis even when companies change their reports to selectively favor certain sustainability areas. Through experiments on A3CG, we a"&amp;"nalyze state-of-the-art supervised models and LLMs, uncovering their limitations and outlining key directions for future research.")</f>
        <v>Sustainability reports are key for evaluating companies’ environmental, social and governance (ESG) performance. To analyze these reports, NLP approaches can efficiently extract ESG insights at scale. However, even the most advanced NLP methods lack robustness against ESG content that is greenwashed – i.e. sustainability claims that are misleading, exaggerated, and fabricated. Accordingly, existing NLP approaches often extract insights that reflect misleading or exaggerated sustainability claims rather than objective ESG performance. To tackle this issue, we introduce A3CG - **A**spect-**A**ction **A**nalysis with Cross-**C**ategory **G**eneralization, as a novel dataset to improve the robustness of ESG analysis amid the prevalence of greenwashing. By explicitly linking sustainability aspects with their associated actions, A3CG facilitates a more fine-grained and transparent evaluation of sustainability claims, ensuring that insights are grounded in verifiable actions rather than vague or misleading rhetoric. Additionally, A3CG emphasizes cross-category generalization. This ensures robust model performance in aspect-action analysis even when companies change their reports to selectively favor certain sustainability areas. Through experiments on A3CG, we analyze state-of-the-art supervised models and LLMs, uncovering their limitations and outlining key directions for future research.</v>
      </c>
      <c r="D2349" s="7" t="str">
        <f>IFERROR(__xludf.DUMMYFUNCTION("""COMPUTED_VALUE"""),"Keane Ong")</f>
        <v>Keane Ong</v>
      </c>
      <c r="E2349" s="7" t="str">
        <f>IFERROR(__xludf.DUMMYFUNCTION("""COMPUTED_VALUE"""),"Yes")</f>
        <v>Yes</v>
      </c>
      <c r="F2349" s="7" t="str">
        <f>IFERROR(__xludf.DUMMYFUNCTION("""COMPUTED_VALUE"""),"IP-Poster")</f>
        <v>IP-Poster</v>
      </c>
      <c r="G2349" s="7" t="str">
        <f>IFERROR(__xludf.DUMMYFUNCTION("""COMPUTED_VALUE"""),"In-Person")</f>
        <v>In-Person</v>
      </c>
      <c r="H2349" s="7" t="str">
        <f>IFERROR(__xludf.DUMMYFUNCTION("""COMPUTED_VALUE"""),"Hall 4/5")</f>
        <v>Hall 4/5</v>
      </c>
      <c r="I2349" s="7" t="str">
        <f>IFERROR(__xludf.DUMMYFUNCTION("""COMPUTED_VALUE"""),"Session 10: IP-Posters")</f>
        <v>Session 10: IP-Posters</v>
      </c>
      <c r="J2349" s="7" t="str">
        <f>IFERROR(__xludf.DUMMYFUNCTION("""COMPUTED_VALUE"""),"Poster Session 3")</f>
        <v>Poster Session 3</v>
      </c>
      <c r="K2349" s="7"/>
      <c r="L2349" s="8">
        <f>IFERROR(__xludf.DUMMYFUNCTION("""COMPUTED_VALUE"""),45867.0)</f>
        <v>45867</v>
      </c>
      <c r="M2349" s="7" t="str">
        <f>IFERROR(__xludf.DUMMYFUNCTION("""COMPUTED_VALUE"""),"16:00-17:30")</f>
        <v>16:00-17:30</v>
      </c>
      <c r="N2349" s="7"/>
    </row>
    <row r="2350">
      <c r="A2350" s="7" t="str">
        <f>IFERROR(__xludf.DUMMYFUNCTION("""COMPUTED_VALUE"""),"1850-MAIN")</f>
        <v>1850-MAIN</v>
      </c>
      <c r="B2350" s="7" t="str">
        <f>IFERROR(__xludf.DUMMYFUNCTION("""COMPUTED_VALUE"""),"HiddenDetect: Detecting Jailbreak Attacks against Multimodal Large Language Models via Monitoring Hidden States")</f>
        <v>HiddenDetect: Detecting Jailbreak Attacks against Multimodal Large Language Models via Monitoring Hidden States</v>
      </c>
      <c r="C2350" s="7" t="str">
        <f>IFERROR(__xludf.DUMMYFUNCTION("""COMPUTED_VALUE"""),"The integration of additional modalities increases the susceptibility of large vision-language models (LVLMs) to safety risks, such as jailbreak attacks, compared to their language-only counterparts. While existing research primarily focuses on post-hoc a"&amp;"lignment techniques, the underlying safety mechanisms within LVLMs remain largely unexplored. In this work , we investigate whether LVLMs inherently encode safety-relevant signals within their internal activations during inference. Our findings reveal tha"&amp;"t LVLMs exhibit distinct activation patterns when processing unsafe prompts, which can be leveraged to detect and mitigate adversarial inputs without requiring extensive fine-tuning. Building on this insight, we introduce HiddenDetect, a novel tuning-free"&amp;" framework that harnesses internal model activations to enhance safety. Experimental results show that {HiddenDetect} surpasses state-of-the-art methods in detecting jailbreak attacks against LVLMs. By utilizing intrinsic safety-aware patterns, our method"&amp;" provides an efficient and scalable solution for strengthening LVLM robustness against multimodal threats. Our code and data will be released publicly.")</f>
        <v>The integration of additional modalities increases the susceptibility of large vision-language models (LVLMs) to safety risks, such as jailbreak attacks, compared to their language-only counterparts. While existing research primarily focuses on post-hoc alignment techniques, the underlying safety mechanisms within LVLMs remain largely unexplored. In this work , we investigate whether LVLMs inherently encode safety-relevant signals within their internal activations during inference. Our findings reveal that LVLMs exhibit distinct activation patterns when processing unsafe prompts, which can be leveraged to detect and mitigate adversarial inputs without requiring extensive fine-tuning. Building on this insight, we introduce HiddenDetect, a novel tuning-free framework that harnesses internal model activations to enhance safety. Experimental results show that {HiddenDetect} surpasses state-of-the-art methods in detecting jailbreak attacks against LVLMs. By utilizing intrinsic safety-aware patterns, our method provides an efficient and scalable solution for strengthening LVLM robustness against multimodal threats. Our code and data will be released publicly.</v>
      </c>
      <c r="D2350" s="7" t="str">
        <f>IFERROR(__xludf.DUMMYFUNCTION("""COMPUTED_VALUE"""),"Yilei Jiang")</f>
        <v>Yilei Jiang</v>
      </c>
      <c r="E2350" s="7" t="str">
        <f>IFERROR(__xludf.DUMMYFUNCTION("""COMPUTED_VALUE"""),"Yes")</f>
        <v>Yes</v>
      </c>
      <c r="F2350" s="7" t="str">
        <f>IFERROR(__xludf.DUMMYFUNCTION("""COMPUTED_VALUE"""),"V-Presentation")</f>
        <v>V-Presentation</v>
      </c>
      <c r="G2350" s="7" t="str">
        <f>IFERROR(__xludf.DUMMYFUNCTION("""COMPUTED_VALUE"""),"Virtual/Gather")</f>
        <v>Virtual/Gather</v>
      </c>
      <c r="H2350" s="7" t="str">
        <f>IFERROR(__xludf.DUMMYFUNCTION("""COMPUTED_VALUE"""),"Zoom")</f>
        <v>Zoom</v>
      </c>
      <c r="I2350" s="7" t="str">
        <f>IFERROR(__xludf.DUMMYFUNCTION("""COMPUTED_VALUE"""),"Session 2: V-Presentations")</f>
        <v>Session 2: V-Presentations</v>
      </c>
      <c r="J2350" s="7" t="str">
        <f>IFERROR(__xludf.DUMMYFUNCTION("""COMPUTED_VALUE"""),"Virtual Presentations 1")</f>
        <v>Virtual Presentations 1</v>
      </c>
      <c r="K2350" s="7"/>
      <c r="L2350" s="8">
        <f>IFERROR(__xludf.DUMMYFUNCTION("""COMPUTED_VALUE"""),45866.0)</f>
        <v>45866</v>
      </c>
      <c r="M2350" s="7" t="str">
        <f>IFERROR(__xludf.DUMMYFUNCTION("""COMPUTED_VALUE"""),"11:00-12:30")</f>
        <v>11:00-12:30</v>
      </c>
      <c r="N2350" s="7"/>
    </row>
    <row r="2351">
      <c r="A2351" s="7" t="str">
        <f>IFERROR(__xludf.DUMMYFUNCTION("""COMPUTED_VALUE"""),"1854-MAIN")</f>
        <v>1854-MAIN</v>
      </c>
      <c r="B2351" s="7" t="str">
        <f>IFERROR(__xludf.DUMMYFUNCTION("""COMPUTED_VALUE"""),"SwiLTra-Bench: The Swiss Legal Translation Benchmark")</f>
        <v>SwiLTra-Bench: The Swiss Legal Translation Benchmark</v>
      </c>
      <c r="C2351" s="7" t="str">
        <f>IFERROR(__xludf.DUMMYFUNCTION("""COMPUTED_VALUE"""),"In Switzerland legal translation is uniquely important due to the country's four official languages and requirements for multilingual legal documentation. However, this process traditionally relies on professionals who must be both legal experts and skill"&amp;"ed translators---creating bottlenecks and impacting effective access to justice. To address this challenge, we introduce SwiLTra-Bench, a comprehensive multilingual benchmark of over 180K aligned Swiss legal translation pairs comprising laws, headnotes, a"&amp;"nd press releases across all Swiss languages along with English, designed to evaluate LLM-based translation systems. Our systematic evaluation reveals that frontier models achieve superior translation performance across all document types, while specializ"&amp;"ed translation systems excel specifically in laws but under-perform in headnotes. Through rigorous testing and human expert validation, we demonstrate that while fine-tuning open SLMs significantly improves their translation quality, they still lag behind"&amp;" the best zero-shot prompted frontier models such as Claude-3.5-Sonnet. Additionally, we present SwiLTra-Judge, a specialized LLM evaluation system that aligns best with human expert assessments.")</f>
        <v>In Switzerland legal translation is uniquely important due to the country's four official languages and requirements for multilingual legal documentation. However, this process traditionally relies on professionals who must be both legal experts and skilled translators---creating bottlenecks and impacting effective access to justice. To address this challenge, we introduce SwiLTra-Bench, a comprehensive multilingual benchmark of over 180K aligned Swiss legal translation pairs comprising laws, headnotes, and press releases across all Swiss languages along with English, designed to evaluate LLM-based translation systems. Our systematic evaluation reveals that frontier models achieve superior translation performance across all document types, while specialized translation systems excel specifically in laws but under-perform in headnotes. Through rigorous testing and human expert validation, we demonstrate that while fine-tuning open SLMs significantly improves their translation quality, they still lag behind the best zero-shot prompted frontier models such as Claude-3.5-Sonnet. Additionally, we present SwiLTra-Judge, a specialized LLM evaluation system that aligns best with human expert assessments.</v>
      </c>
      <c r="D2351" s="7" t="str">
        <f>IFERROR(__xludf.DUMMYFUNCTION("""COMPUTED_VALUE"""),"Sina Ahmadi")</f>
        <v>Sina Ahmadi</v>
      </c>
      <c r="E2351" s="7" t="str">
        <f>IFERROR(__xludf.DUMMYFUNCTION("""COMPUTED_VALUE"""),"Yes")</f>
        <v>Yes</v>
      </c>
      <c r="F2351" s="7" t="str">
        <f>IFERROR(__xludf.DUMMYFUNCTION("""COMPUTED_VALUE"""),"IP-Poster")</f>
        <v>IP-Poster</v>
      </c>
      <c r="G2351" s="7" t="str">
        <f>IFERROR(__xludf.DUMMYFUNCTION("""COMPUTED_VALUE"""),"In-Person")</f>
        <v>In-Person</v>
      </c>
      <c r="H2351" s="7" t="str">
        <f>IFERROR(__xludf.DUMMYFUNCTION("""COMPUTED_VALUE"""),"Hall 4/5")</f>
        <v>Hall 4/5</v>
      </c>
      <c r="I2351" s="7" t="str">
        <f>IFERROR(__xludf.DUMMYFUNCTION("""COMPUTED_VALUE"""),"Session 12: IP-Posters")</f>
        <v>Session 12: IP-Posters</v>
      </c>
      <c r="J2351" s="7" t="str">
        <f>IFERROR(__xludf.DUMMYFUNCTION("""COMPUTED_VALUE"""),"Poster Session 4")</f>
        <v>Poster Session 4</v>
      </c>
      <c r="K2351" s="7"/>
      <c r="L2351" s="8">
        <f>IFERROR(__xludf.DUMMYFUNCTION("""COMPUTED_VALUE"""),45868.0)</f>
        <v>45868</v>
      </c>
      <c r="M2351" s="7" t="str">
        <f>IFERROR(__xludf.DUMMYFUNCTION("""COMPUTED_VALUE"""),"11:00-12:30")</f>
        <v>11:00-12:30</v>
      </c>
      <c r="N2351" s="7"/>
    </row>
    <row r="2352">
      <c r="A2352" s="7" t="str">
        <f>IFERROR(__xludf.DUMMYFUNCTION("""COMPUTED_VALUE"""),"1855-MAIN")</f>
        <v>1855-MAIN</v>
      </c>
      <c r="B2352" s="7" t="str">
        <f>IFERROR(__xludf.DUMMYFUNCTION("""COMPUTED_VALUE"""),"Two Intermediate Translations Are Better Than One: Fine-tuning LLMs for Document-level Translation Refinement")</f>
        <v>Two Intermediate Translations Are Better Than One: Fine-tuning LLMs for Document-level Translation Refinement</v>
      </c>
      <c r="C2352" s="7" t="str">
        <f>IFERROR(__xludf.DUMMYFUNCTION("""COMPUTED_VALUE"""),"Recent research has shown that large language models (LLMs) can enhance translation quality through self-refinement. In this paper, we build on this idea by extending the refinement from sentence-level to document-level translation, specifically focusing "&amp;"on document-to-document (Doc2Doc) translation refinement. Since sentence-to-sentence (Sent2Sent) and Doc2Doc translation address different aspects of the translation process, we propose fine-tuning LLMs for translation refinement using two intermediate tr"&amp;"anslations, combining the strengths of both Sent2Sent and Doc2Doc. Additionally, recognizing that the quality of intermediate translations varies, we introduce an enhanced fine-tuning method with quality awareness that assigns lower weights to easier tran"&amp;"slations and higher weights to more difficult ones, enabling the model to focus on challenging translation cases. Experimental results across ten translation tasks with LLaMA-3-8B-Instruct and Mistral-Nemo-Instruct demonstrate the effectiveness of our app"&amp;"roach. We will release our code on GitHub.")</f>
        <v>Recent research has shown that large language models (LLMs) can enhance translation quality through self-refinement. In this paper, we build on this idea by extending the refinement from sentence-level to document-level translation, specifically focusing on document-to-document (Doc2Doc) translation refinement. Since sentence-to-sentence (Sent2Sent) and Doc2Doc translation address different aspects of the translation process, we propose fine-tuning LLMs for translation refinement using two intermediate translations, combining the strengths of both Sent2Sent and Doc2Doc. Additionally, recognizing that the quality of intermediate translations varies, we introduce an enhanced fine-tuning method with quality awareness that assigns lower weights to easier translations and higher weights to more difficult ones, enabling the model to focus on challenging translation cases. Experimental results across ten translation tasks with LLaMA-3-8B-Instruct and Mistral-Nemo-Instruct demonstrate the effectiveness of our approach. We will release our code on GitHub.</v>
      </c>
      <c r="D2352" s="7" t="str">
        <f>IFERROR(__xludf.DUMMYFUNCTION("""COMPUTED_VALUE"""),"Yichen Dong")</f>
        <v>Yichen Dong</v>
      </c>
      <c r="E2352" s="7" t="str">
        <f>IFERROR(__xludf.DUMMYFUNCTION("""COMPUTED_VALUE"""),"Yes")</f>
        <v>Yes</v>
      </c>
      <c r="F2352" s="7" t="str">
        <f>IFERROR(__xludf.DUMMYFUNCTION("""COMPUTED_VALUE"""),"IP-Poster")</f>
        <v>IP-Poster</v>
      </c>
      <c r="G2352" s="7" t="str">
        <f>IFERROR(__xludf.DUMMYFUNCTION("""COMPUTED_VALUE"""),"In-Person")</f>
        <v>In-Person</v>
      </c>
      <c r="H2352" s="7" t="str">
        <f>IFERROR(__xludf.DUMMYFUNCTION("""COMPUTED_VALUE"""),"Hall 4/5")</f>
        <v>Hall 4/5</v>
      </c>
      <c r="I2352" s="7" t="str">
        <f>IFERROR(__xludf.DUMMYFUNCTION("""COMPUTED_VALUE"""),"Session 10: IP-Posters")</f>
        <v>Session 10: IP-Posters</v>
      </c>
      <c r="J2352" s="7" t="str">
        <f>IFERROR(__xludf.DUMMYFUNCTION("""COMPUTED_VALUE"""),"Poster Session 3")</f>
        <v>Poster Session 3</v>
      </c>
      <c r="K2352" s="7"/>
      <c r="L2352" s="8">
        <f>IFERROR(__xludf.DUMMYFUNCTION("""COMPUTED_VALUE"""),45867.0)</f>
        <v>45867</v>
      </c>
      <c r="M2352" s="7" t="str">
        <f>IFERROR(__xludf.DUMMYFUNCTION("""COMPUTED_VALUE"""),"16:00-17:30")</f>
        <v>16:00-17:30</v>
      </c>
      <c r="N2352" s="7"/>
    </row>
    <row r="2353">
      <c r="A2353" s="7" t="str">
        <f>IFERROR(__xludf.DUMMYFUNCTION("""COMPUTED_VALUE"""),"1857-MAIN")</f>
        <v>1857-MAIN</v>
      </c>
      <c r="B2353" s="7" t="str">
        <f>IFERROR(__xludf.DUMMYFUNCTION("""COMPUTED_VALUE"""),"Circuit Compositions: Exploring Modular Structures in Transformer-Based Language Models")</f>
        <v>Circuit Compositions: Exploring Modular Structures in Transformer-Based Language Models</v>
      </c>
      <c r="C2353" s="7" t="str">
        <f>IFERROR(__xludf.DUMMYFUNCTION("""COMPUTED_VALUE"""),"A fundamental question in interpretability research is to what extent neural networks, particularly language models, implement reusable functions through subnetworks that can be composed to perform more complex tasks. Recent advances in mechanistic interp"&amp;"retability have made progress in identifying circuits, the minimal computational subgraphs responsible for a model’s behavior on specific tasks. However, most studies focus on identifying circuits for individual tasks without investigating how functionall"&amp;"y similar circuits relate to each other. To address this gap, we study the modularity of neural networks by analyzing circuits for highly compositional subtasks within a transformer-based language model. Specifically, given a probabilistic context-free gr"&amp;"ammar, we identify and compare circuits responsible for ten modular string-edit operations. Our results indicate that functionally similar circuits exhibit both notable node overlap and cross-task faithfulness. Moreover, we demonstrate that the circuits i"&amp;"dentified can be reused and combined through set operations to represent more complex functional model capabilities.")</f>
        <v>A fundamental question in interpretability research is to what extent neural networks, particularly language models, implement reusable functions through subnetworks that can be composed to perform more complex tasks. Recent advances in mechanistic interpretability have made progress in identifying circuits, the minimal computational subgraphs responsible for a model’s behavior on specific tasks. However, most studies focus on identifying circuits for individual tasks without investigating how functionally similar circuits relate to each other. To address this gap, we study the modularity of neural networks by analyzing circuits for highly compositional subtasks within a transformer-based language model. Specifically, given a probabilistic context-free grammar, we identify and compare circuits responsible for ten modular string-edit operations. Our results indicate that functionally similar circuits exhibit both notable node overlap and cross-task faithfulness. Moreover, we demonstrate that the circuits identified can be reused and combined through set operations to represent more complex functional model capabilities.</v>
      </c>
      <c r="D2353" s="7" t="str">
        <f>IFERROR(__xludf.DUMMYFUNCTION("""COMPUTED_VALUE"""),"Sondre Wold")</f>
        <v>Sondre Wold</v>
      </c>
      <c r="E2353" s="7" t="str">
        <f>IFERROR(__xludf.DUMMYFUNCTION("""COMPUTED_VALUE"""),"Yes")</f>
        <v>Yes</v>
      </c>
      <c r="F2353" s="7" t="str">
        <f>IFERROR(__xludf.DUMMYFUNCTION("""COMPUTED_VALUE"""),"IP-Poster")</f>
        <v>IP-Poster</v>
      </c>
      <c r="G2353" s="7" t="str">
        <f>IFERROR(__xludf.DUMMYFUNCTION("""COMPUTED_VALUE"""),"In-Person")</f>
        <v>In-Person</v>
      </c>
      <c r="H2353" s="7" t="str">
        <f>IFERROR(__xludf.DUMMYFUNCTION("""COMPUTED_VALUE"""),"Hall 4/5")</f>
        <v>Hall 4/5</v>
      </c>
      <c r="I2353" s="7" t="str">
        <f>IFERROR(__xludf.DUMMYFUNCTION("""COMPUTED_VALUE"""),"Session 7: IP-Posters")</f>
        <v>Session 7: IP-Posters</v>
      </c>
      <c r="J2353" s="7" t="str">
        <f>IFERROR(__xludf.DUMMYFUNCTION("""COMPUTED_VALUE"""),"Poster Session 2")</f>
        <v>Poster Session 2</v>
      </c>
      <c r="K2353" s="7"/>
      <c r="L2353" s="8">
        <f>IFERROR(__xludf.DUMMYFUNCTION("""COMPUTED_VALUE"""),45867.0)</f>
        <v>45867</v>
      </c>
      <c r="M2353" s="7" t="str">
        <f>IFERROR(__xludf.DUMMYFUNCTION("""COMPUTED_VALUE"""),"10:30-12:00")</f>
        <v>10:30-12:00</v>
      </c>
      <c r="N2353" s="7"/>
    </row>
    <row r="2354">
      <c r="A2354" s="7" t="str">
        <f>IFERROR(__xludf.DUMMYFUNCTION("""COMPUTED_VALUE"""),"1860-MAIN")</f>
        <v>1860-MAIN</v>
      </c>
      <c r="B2354" s="7" t="str">
        <f>IFERROR(__xludf.DUMMYFUNCTION("""COMPUTED_VALUE"""),"Can LLMs Ground when they (Don't) Know: A Study on Direct and Loaded Political Questions")</f>
        <v>Can LLMs Ground when they (Don't) Know: A Study on Direct and Loaded Political Questions</v>
      </c>
      <c r="C2354" s="7" t="str">
        <f>IFERROR(__xludf.DUMMYFUNCTION("""COMPUTED_VALUE"""),"Communication among humans relies on conversational grounding, allowing interlocutors to reach mutual understanding even when they do not have perfect knowledge and must resolve discrepancies in each other's beliefs. 
This paper investigates how large lan"&amp;"guage models (LLMs) manage common ground in cases where they (don't) possess knowledge, focusing on facts in the political domain where the risk of misinformation and grounding failure is high. 
We examine LLMs' ability to answer direct knowledge question"&amp;"s and loaded questions that presuppose misinformation.
We evaluate whether loaded questions lead LLMs to engage in active grounding and correct false user beliefs, in connection to their level of knowledge and their political bias.
Our findings highlight "&amp;"significant challenges in LLMs’ ability to engage in grounding and reject false user beliefs, 
raising concerns about their role in mitigating misinformation in political discourse.")</f>
        <v>Communication among humans relies on conversational grounding, allowing interlocutors to reach mutual understanding even when they do not have perfect knowledge and must resolve discrepancies in each other's beliefs. 
This paper investigates how large language models (LLMs) manage common ground in cases where they (don't) possess knowledge, focusing on facts in the political domain where the risk of misinformation and grounding failure is high. 
We examine LLMs' ability to answer direct knowledge questions and loaded questions that presuppose misinformation.
We evaluate whether loaded questions lead LLMs to engage in active grounding and correct false user beliefs, in connection to their level of knowledge and their political bias.
Our findings highlight significant challenges in LLMs’ ability to engage in grounding and reject false user beliefs, 
raising concerns about their role in mitigating misinformation in political discourse.</v>
      </c>
      <c r="D2354" s="7" t="str">
        <f>IFERROR(__xludf.DUMMYFUNCTION("""COMPUTED_VALUE"""),"Clara Lachenmaier and Judith Daphne Sieker")</f>
        <v>Clara Lachenmaier and Judith Daphne Sieker</v>
      </c>
      <c r="E2354" s="7" t="str">
        <f>IFERROR(__xludf.DUMMYFUNCTION("""COMPUTED_VALUE"""),"Yes")</f>
        <v>Yes</v>
      </c>
      <c r="F2354" s="7" t="str">
        <f>IFERROR(__xludf.DUMMYFUNCTION("""COMPUTED_VALUE"""),"IP-Poster")</f>
        <v>IP-Poster</v>
      </c>
      <c r="G2354" s="7" t="str">
        <f>IFERROR(__xludf.DUMMYFUNCTION("""COMPUTED_VALUE"""),"In-Person")</f>
        <v>In-Person</v>
      </c>
      <c r="H2354" s="7" t="str">
        <f>IFERROR(__xludf.DUMMYFUNCTION("""COMPUTED_VALUE"""),"Hall 4/5")</f>
        <v>Hall 4/5</v>
      </c>
      <c r="I2354" s="7" t="str">
        <f>IFERROR(__xludf.DUMMYFUNCTION("""COMPUTED_VALUE"""),"Session 2: IP-Posters ")</f>
        <v>Session 2: IP-Posters </v>
      </c>
      <c r="J2354" s="7" t="str">
        <f>IFERROR(__xludf.DUMMYFUNCTION("""COMPUTED_VALUE"""),"Poster Session 1")</f>
        <v>Poster Session 1</v>
      </c>
      <c r="K2354" s="7"/>
      <c r="L2354" s="8">
        <f>IFERROR(__xludf.DUMMYFUNCTION("""COMPUTED_VALUE"""),45866.0)</f>
        <v>45866</v>
      </c>
      <c r="M2354" s="7" t="str">
        <f>IFERROR(__xludf.DUMMYFUNCTION("""COMPUTED_VALUE"""),"11:00-12:30")</f>
        <v>11:00-12:30</v>
      </c>
      <c r="N2354" s="7"/>
    </row>
    <row r="2355">
      <c r="A2355" s="7" t="str">
        <f>IFERROR(__xludf.DUMMYFUNCTION("""COMPUTED_VALUE"""),"1861-MAIN")</f>
        <v>1861-MAIN</v>
      </c>
      <c r="B2355" s="7" t="str">
        <f>IFERROR(__xludf.DUMMYFUNCTION("""COMPUTED_VALUE"""),"GraphCheck: Breaking Long-Term Text Barriers with Extracted Knowledge Graph-Powered Fact-Checking")</f>
        <v>GraphCheck: Breaking Long-Term Text Barriers with Extracted Knowledge Graph-Powered Fact-Checking</v>
      </c>
      <c r="C2355" s="7" t="str">
        <f>IFERROR(__xludf.DUMMYFUNCTION("""COMPUTED_VALUE"""),"Large language models (LLMs) are widely used, but they often generate subtle factual errors, especially in long-form text. These errors are fatal in some specialized domains such as medicine. Existing fact-checking with grounding documents methods face tw"&amp;"o main challenges: (1) they struggle to understand complex multihop relations in long documents, often overlooking subtle factual errors; (2) most specialized methods rely on pairwise comparisons, requiring multiple model calls, leading to high resource a"&amp;"nd computational costs. To address these challenges, we propose GraphCheck, a fact-checking framework that uses extracted knowledge graphs to enhance text representation. Graph Neural Networks further process these graphs as a soft prompt, enabling LLMs t"&amp;"o incorporate structured knowledge more effectively. Enhanced with graph-based reasoning, GraphCheck captures multihop reasoning chains that are often overlooked by existing methods, enabling precise and efficient fact-checking in a single inference call."&amp;" Experimental results on seven benchmarks spanning both general and medical domains demonstrate up to a 7.1\% overall improvement over baseline models. Notably, GraphCheck outperforms existing specialized fact-checkers and achieves comparable performance "&amp;"with state-of-the-art LLMs, such as DeepSeek-V3 and OpenAI-o1, with significantly fewer parameters.")</f>
        <v>Large language models (LLMs) are widely used, but they often generate subtle factual errors, especially in long-form text. These errors are fatal in some specialized domains such as medicine. Existing fact-checking with grounding documents methods face two main challenges: (1) they struggle to understand complex multihop relations in long documents, often overlooking subtle factual errors; (2) most specialized methods rely on pairwise comparisons, requiring multiple model calls, leading to high resource and computational costs. To address these challenges, we propose GraphCheck, a fact-checking framework that uses extracted knowledge graphs to enhance text representation. Graph Neural Networks further process these graphs as a soft prompt, enabling LLMs to incorporate structured knowledge more effectively. Enhanced with graph-based reasoning, GraphCheck captures multihop reasoning chains that are often overlooked by existing methods, enabling precise and efficient fact-checking in a single inference call. Experimental results on seven benchmarks spanning both general and medical domains demonstrate up to a 7.1\% overall improvement over baseline models. Notably, GraphCheck outperforms existing specialized fact-checkers and achieves comparable performance with state-of-the-art LLMs, such as DeepSeek-V3 and OpenAI-o1, with significantly fewer parameters.</v>
      </c>
      <c r="D2355" s="7" t="str">
        <f>IFERROR(__xludf.DUMMYFUNCTION("""COMPUTED_VALUE"""),"Yingjian Chen")</f>
        <v>Yingjian Chen</v>
      </c>
      <c r="E2355" s="7" t="str">
        <f>IFERROR(__xludf.DUMMYFUNCTION("""COMPUTED_VALUE"""),"Yes")</f>
        <v>Yes</v>
      </c>
      <c r="F2355" s="7" t="str">
        <f>IFERROR(__xludf.DUMMYFUNCTION("""COMPUTED_VALUE"""),"IP-Poster")</f>
        <v>IP-Poster</v>
      </c>
      <c r="G2355" s="7" t="str">
        <f>IFERROR(__xludf.DUMMYFUNCTION("""COMPUTED_VALUE"""),"In-Person")</f>
        <v>In-Person</v>
      </c>
      <c r="H2355" s="7" t="str">
        <f>IFERROR(__xludf.DUMMYFUNCTION("""COMPUTED_VALUE"""),"Hall 4/5")</f>
        <v>Hall 4/5</v>
      </c>
      <c r="I2355" s="7" t="str">
        <f>IFERROR(__xludf.DUMMYFUNCTION("""COMPUTED_VALUE"""),"Session 7: IP-Posters")</f>
        <v>Session 7: IP-Posters</v>
      </c>
      <c r="J2355" s="7" t="str">
        <f>IFERROR(__xludf.DUMMYFUNCTION("""COMPUTED_VALUE"""),"Poster Session 2")</f>
        <v>Poster Session 2</v>
      </c>
      <c r="K2355" s="7"/>
      <c r="L2355" s="8">
        <f>IFERROR(__xludf.DUMMYFUNCTION("""COMPUTED_VALUE"""),45867.0)</f>
        <v>45867</v>
      </c>
      <c r="M2355" s="7" t="str">
        <f>IFERROR(__xludf.DUMMYFUNCTION("""COMPUTED_VALUE"""),"10:30-12:00")</f>
        <v>10:30-12:00</v>
      </c>
      <c r="N2355" s="7"/>
    </row>
    <row r="2356">
      <c r="A2356" s="7" t="str">
        <f>IFERROR(__xludf.DUMMYFUNCTION("""COMPUTED_VALUE"""),"1866-MAIN")</f>
        <v>1866-MAIN</v>
      </c>
      <c r="B2356" s="7" t="str">
        <f>IFERROR(__xludf.DUMMYFUNCTION("""COMPUTED_VALUE"""),"SCULPT: Systematic Tuning of Long Prompts")</f>
        <v>SCULPT: Systematic Tuning of Long Prompts</v>
      </c>
      <c r="C2356" s="7" t="str">
        <f>IFERROR(__xludf.DUMMYFUNCTION("""COMPUTED_VALUE"""),"Prompt optimization is essential for effective utilization of large language models (LLMs) across diverse tasks. While existing optimization methods are effective in optimizing short prompts, they struggle with longer, more complex ones, often risking inf"&amp;"ormation loss and being sensitive to small perturbations. To address these challenges, we propose SCULPT (Systematic Tuning of Long Prompts), a framework that treats prompt optimization as a hierarchical tree refinement problem. SCULPT represents prompts "&amp;"as tree structures, enabling targeted modifications while preserving contextual integrity. It employs a Critic-Actor framework that generates reflections and applies actions to refine the prompt. Evaluations demonstrate SCULPT’s effectiveness on long prom"&amp;"pts, its robustness to adversarial perturbations, and its ability to generate high-performing prompts even without any initial human-written prompt. Compared to existing state of the art methods, SCULPT consistently improves LLM performance by preserving "&amp;"essential task information while applying structured refinements. Both qualitative and quantitative analyses show that SCULPT produces more stable and interpretable prompt modifications, ensuring better generalization across tasks.")</f>
        <v>Prompt optimization is essential for effective utilization of large language models (LLMs) across diverse tasks. While existing optimization methods are effective in optimizing short prompts, they struggle with longer, more complex ones, often risking information loss and being sensitive to small perturbations. To address these challenges, we propose SCULPT (Systematic Tuning of Long Prompts), a framework that treats prompt optimization as a hierarchical tree refinement problem. SCULPT represents prompts as tree structures, enabling targeted modifications while preserving contextual integrity. It employs a Critic-Actor framework that generates reflections and applies actions to refine the prompt. Evaluations demonstrate SCULPT’s effectiveness on long prompts, its robustness to adversarial perturbations, and its ability to generate high-performing prompts even without any initial human-written prompt. Compared to existing state of the art methods, SCULPT consistently improves LLM performance by preserving essential task information while applying structured refinements. Both qualitative and quantitative analyses show that SCULPT produces more stable and interpretable prompt modifications, ensuring better generalization across tasks.</v>
      </c>
      <c r="D2356" s="7" t="str">
        <f>IFERROR(__xludf.DUMMYFUNCTION("""COMPUTED_VALUE"""),"Shanu Kumar")</f>
        <v>Shanu Kumar</v>
      </c>
      <c r="E2356" s="7" t="str">
        <f>IFERROR(__xludf.DUMMYFUNCTION("""COMPUTED_VALUE"""),"Yes")</f>
        <v>Yes</v>
      </c>
      <c r="F2356" s="7" t="str">
        <f>IFERROR(__xludf.DUMMYFUNCTION("""COMPUTED_VALUE"""),"IP-Poster")</f>
        <v>IP-Poster</v>
      </c>
      <c r="G2356" s="7" t="str">
        <f>IFERROR(__xludf.DUMMYFUNCTION("""COMPUTED_VALUE"""),"In-Person")</f>
        <v>In-Person</v>
      </c>
      <c r="H2356" s="7" t="str">
        <f>IFERROR(__xludf.DUMMYFUNCTION("""COMPUTED_VALUE"""),"Hall 4/5")</f>
        <v>Hall 4/5</v>
      </c>
      <c r="I2356" s="7" t="str">
        <f>IFERROR(__xludf.DUMMYFUNCTION("""COMPUTED_VALUE"""),"Session 10: IP-Posters")</f>
        <v>Session 10: IP-Posters</v>
      </c>
      <c r="J2356" s="7" t="str">
        <f>IFERROR(__xludf.DUMMYFUNCTION("""COMPUTED_VALUE"""),"Poster Session 3")</f>
        <v>Poster Session 3</v>
      </c>
      <c r="K2356" s="7"/>
      <c r="L2356" s="8">
        <f>IFERROR(__xludf.DUMMYFUNCTION("""COMPUTED_VALUE"""),45867.0)</f>
        <v>45867</v>
      </c>
      <c r="M2356" s="7" t="str">
        <f>IFERROR(__xludf.DUMMYFUNCTION("""COMPUTED_VALUE"""),"16:00-17:30")</f>
        <v>16:00-17:30</v>
      </c>
      <c r="N2356" s="7"/>
    </row>
    <row r="2357">
      <c r="A2357" s="7" t="str">
        <f>IFERROR(__xludf.DUMMYFUNCTION("""COMPUTED_VALUE"""),"1867-MAIN")</f>
        <v>1867-MAIN</v>
      </c>
      <c r="B2357" s="7" t="str">
        <f>IFERROR(__xludf.DUMMYFUNCTION("""COMPUTED_VALUE"""),"Crab: A Novel Configurable Role-Playing LLM with Assessing Benchmark")</f>
        <v>Crab: A Novel Configurable Role-Playing LLM with Assessing Benchmark</v>
      </c>
      <c r="C2357" s="7" t="str">
        <f>IFERROR(__xludf.DUMMYFUNCTION("""COMPUTED_VALUE"""),"This study introduces Crab, a novel Configurable Role-Playing (RP) LLM with Assessing Benchmark, which consists of Role-Centric Dataset Curation, Persona-Embodying LLM Construction, and Comprehensive Benchmark Creation for RP dialogue generation. Distinct"&amp;" from traditional RP models that employ only several preset roles, Crab enables dynamic configuration of desired roles, thereby enhancing related flexibility and adaptability. To effectively train RP-LLMs, we curated the largest RP training dataset. The d"&amp;"ataset provides a detailed role overview for each dialogue, including character profile, conversation scenario, and tagged topic, capturing a broad range of role-based behaviors, emotions, and interactions. We also noticed that current benchmarks lack bot"&amp;"h proper evaluation standards and methods. Thus, to validate RP-LLMs' effectiveness, we introduced a new benchmark containing an evaluation standard, a test dataset with manual annotations, and a reward model RoleRM designed to automatically assess specif"&amp;"ic aspects of RP while aligning with human perception. Sufficient experiments reveal that RoleRM significantly outperforms ChatGPT and other evaluation methods in conducting fine-grained evaluations of RP. Also, RP-LLMs powered by Crab demonstrate superio"&amp;"r performance across various fine-grained aspects.")</f>
        <v>This study introduces Crab, a novel Configurable Role-Playing (RP) LLM with Assessing Benchmark, which consists of Role-Centric Dataset Curation, Persona-Embodying LLM Construction, and Comprehensive Benchmark Creation for RP dialogue generation. Distinct from traditional RP models that employ only several preset roles, Crab enables dynamic configuration of desired roles, thereby enhancing related flexibility and adaptability. To effectively train RP-LLMs, we curated the largest RP training dataset. The dataset provides a detailed role overview for each dialogue, including character profile, conversation scenario, and tagged topic, capturing a broad range of role-based behaviors, emotions, and interactions. We also noticed that current benchmarks lack both proper evaluation standards and methods. Thus, to validate RP-LLMs' effectiveness, we introduced a new benchmark containing an evaluation standard, a test dataset with manual annotations, and a reward model RoleRM designed to automatically assess specific aspects of RP while aligning with human perception. Sufficient experiments reveal that RoleRM significantly outperforms ChatGPT and other evaluation methods in conducting fine-grained evaluations of RP. Also, RP-LLMs powered by Crab demonstrate superior performance across various fine-grained aspects.</v>
      </c>
      <c r="D2357" s="7" t="str">
        <f>IFERROR(__xludf.DUMMYFUNCTION("""COMPUTED_VALUE"""),"KAI HE")</f>
        <v>KAI HE</v>
      </c>
      <c r="E2357" s="7" t="str">
        <f>IFERROR(__xludf.DUMMYFUNCTION("""COMPUTED_VALUE"""),"Yes")</f>
        <v>Yes</v>
      </c>
      <c r="F2357" s="7" t="str">
        <f>IFERROR(__xludf.DUMMYFUNCTION("""COMPUTED_VALUE"""),"IP-Poster")</f>
        <v>IP-Poster</v>
      </c>
      <c r="G2357" s="7" t="str">
        <f>IFERROR(__xludf.DUMMYFUNCTION("""COMPUTED_VALUE"""),"In-Person")</f>
        <v>In-Person</v>
      </c>
      <c r="H2357" s="7" t="str">
        <f>IFERROR(__xludf.DUMMYFUNCTION("""COMPUTED_VALUE"""),"Hall 4/5")</f>
        <v>Hall 4/5</v>
      </c>
      <c r="I2357" s="7" t="str">
        <f>IFERROR(__xludf.DUMMYFUNCTION("""COMPUTED_VALUE"""),"Session 2: IP-Posters ")</f>
        <v>Session 2: IP-Posters </v>
      </c>
      <c r="J2357" s="7" t="str">
        <f>IFERROR(__xludf.DUMMYFUNCTION("""COMPUTED_VALUE"""),"Poster Session 1")</f>
        <v>Poster Session 1</v>
      </c>
      <c r="K2357" s="7"/>
      <c r="L2357" s="8">
        <f>IFERROR(__xludf.DUMMYFUNCTION("""COMPUTED_VALUE"""),45866.0)</f>
        <v>45866</v>
      </c>
      <c r="M2357" s="7" t="str">
        <f>IFERROR(__xludf.DUMMYFUNCTION("""COMPUTED_VALUE"""),"11:00-12:30")</f>
        <v>11:00-12:30</v>
      </c>
      <c r="N2357" s="7"/>
    </row>
    <row r="2358">
      <c r="A2358" s="7" t="str">
        <f>IFERROR(__xludf.DUMMYFUNCTION("""COMPUTED_VALUE"""),"1869-MAIN")</f>
        <v>1869-MAIN</v>
      </c>
      <c r="B2358" s="7" t="str">
        <f>IFERROR(__xludf.DUMMYFUNCTION("""COMPUTED_VALUE"""),"Chinese SafetyQA: A Safety Short-form Factuality Benchmark for Large Language Models")</f>
        <v>Chinese SafetyQA: A Safety Short-form Factuality Benchmark for Large Language Models</v>
      </c>
      <c r="C2358" s="7" t="str">
        <f>IFERROR(__xludf.DUMMYFUNCTION("""COMPUTED_VALUE"""),"With the rapid advancement of Large Language Models (LLMs), significant safety concerns have emerged. Fundamentally, the safety of large language models is closely linked to the accuracy, comprehensiveness, and clarity of their understanding of safety kno"&amp;"wledge, particularly in domains such as law, policy and ethics. This factuality ability is crucial in determining whether these models can be deployed and applied safely and compliantly within specific regions. To address these challenges and better evalu"&amp;"ate the factuality ability of LLMs to answer short question, we introduce the Chinese SafetyQA benchmark. Chinese SafetyQA has several properties (i.e., Chinese, Diverse, High-quality, Static, Easy-to-evaluate, safety-related, harmless). Based on Chinese "&amp;"SafetyQA, we perform a comprehensive evaluation on the factuality abilities of existing LLMs and analyze how these capabilities relate to LLM abilities, e.g., RAG ability and robustness against attacks.")</f>
        <v>With the rapid advancement of Large Language Models (LLMs), significant safety concerns have emerged. Fundamentally, the safety of large language models is closely linked to the accuracy, comprehensiveness, and clarity of their understanding of safety knowledge, particularly in domains such as law, policy and ethics. This factuality ability is crucial in determining whether these models can be deployed and applied safely and compliantly within specific regions. To address these challenges and better evaluate the factuality ability of LLMs to answer short question, we introduce the Chinese SafetyQA benchmark. Chinese SafetyQA has several properties (i.e., Chinese, Diverse, High-quality, Static, Easy-to-evaluate, safety-related, harmless). Based on Chinese SafetyQA, we perform a comprehensive evaluation on the factuality abilities of existing LLMs and analyze how these capabilities relate to LLM abilities, e.g., RAG ability and robustness against attacks.</v>
      </c>
      <c r="D2358" s="7" t="str">
        <f>IFERROR(__xludf.DUMMYFUNCTION("""COMPUTED_VALUE"""),"Yingshui Tan")</f>
        <v>Yingshui Tan</v>
      </c>
      <c r="E2358" s="7" t="str">
        <f>IFERROR(__xludf.DUMMYFUNCTION("""COMPUTED_VALUE"""),"Yes")</f>
        <v>Yes</v>
      </c>
      <c r="F2358" s="7" t="str">
        <f>IFERROR(__xludf.DUMMYFUNCTION("""COMPUTED_VALUE"""),"V-Presentation")</f>
        <v>V-Presentation</v>
      </c>
      <c r="G2358" s="7" t="str">
        <f>IFERROR(__xludf.DUMMYFUNCTION("""COMPUTED_VALUE"""),"Virtual/Gather")</f>
        <v>Virtual/Gather</v>
      </c>
      <c r="H2358" s="7" t="str">
        <f>IFERROR(__xludf.DUMMYFUNCTION("""COMPUTED_VALUE"""),"Zoom")</f>
        <v>Zoom</v>
      </c>
      <c r="I2358" s="7" t="str">
        <f>IFERROR(__xludf.DUMMYFUNCTION("""COMPUTED_VALUE"""),"Session 7: V--Presentations ")</f>
        <v>Session 7: V--Presentations </v>
      </c>
      <c r="J2358" s="7" t="str">
        <f>IFERROR(__xludf.DUMMYFUNCTION("""COMPUTED_VALUE"""),"Virtual Presentations 2")</f>
        <v>Virtual Presentations 2</v>
      </c>
      <c r="K2358" s="7"/>
      <c r="L2358" s="8"/>
      <c r="M2358" s="7" t="str">
        <f>IFERROR(__xludf.DUMMYFUNCTION("""COMPUTED_VALUE"""),"10:30-12:00")</f>
        <v>10:30-12:00</v>
      </c>
      <c r="N2358" s="7"/>
    </row>
    <row r="2359">
      <c r="A2359" s="7" t="str">
        <f>IFERROR(__xludf.DUMMYFUNCTION("""COMPUTED_VALUE"""),"1875-MAIN")</f>
        <v>1875-MAIN</v>
      </c>
      <c r="B2359" s="7" t="str">
        <f>IFERROR(__xludf.DUMMYFUNCTION("""COMPUTED_VALUE"""),"TRIDENT: Enhancing Large Language Model Safety with Tri-Dimensional Diversified Red-Teaming Data Synthesis")</f>
        <v>TRIDENT: Enhancing Large Language Model Safety with Tri-Dimensional Diversified Red-Teaming Data Synthesis</v>
      </c>
      <c r="C2359" s="7" t="str">
        <f>IFERROR(__xludf.DUMMYFUNCTION("""COMPUTED_VALUE"""),"Large Language Models (LLMs) excel in various natural language processing tasks but remain vulnerable to generating harmful content or being exploited for malicious purposes. Although safety alignment datasets have been introduced to mitigate such risks t"&amp;"hrough supervised fine-tuning (SFT), these datasets often lack comprehensive risk coverage. Most existing datasets focus primarily on lexical diversity while neglecting other critical dimensions. To address this limitation, we propose a novel analysis fra"&amp;"mework to systematically measure the risk coverage of alignment datasets across three essential dimensions: Lexical Diversity, Malicious Intent, and Jailbreak Tactics. We further introduce TRIDENT, an automated pipeline that leverages persona-based, zero-"&amp;"shot LLM generation to produce diverse and comprehensive instructions spanning these dimensions. Each harmful instruction is paired with an ethically aligned response, resulting in two datasets: TRIDENT-Core, comprising 26,311 examples, and TRIDENT-Edge, "&amp;"with 18,773 examples. Fine-tuning Llama 3.1-8B on TRIDENT-Edge demonstrates substantial improvements, achieving an average 14.29% reduction in Harm Score, and a 20% decrease in Attack Success Rate compared to the best-performing baseline model fine-tuned "&amp;"on the WildBreak dataset.")</f>
        <v>Large Language Models (LLMs) excel in various natural language processing tasks but remain vulnerable to generating harmful content or being exploited for malicious purposes. Although safety alignment datasets have been introduced to mitigate such risks through supervised fine-tuning (SFT), these datasets often lack comprehensive risk coverage. Most existing datasets focus primarily on lexical diversity while neglecting other critical dimensions. To address this limitation, we propose a novel analysis framework to systematically measure the risk coverage of alignment datasets across three essential dimensions: Lexical Diversity, Malicious Intent, and Jailbreak Tactics. We further introduce TRIDENT, an automated pipeline that leverages persona-based, zero-shot LLM generation to produce diverse and comprehensive instructions spanning these dimensions. Each harmful instruction is paired with an ethically aligned response, resulting in two datasets: TRIDENT-Core, comprising 26,311 examples, and TRIDENT-Edge, with 18,773 examples. Fine-tuning Llama 3.1-8B on TRIDENT-Edge demonstrates substantial improvements, achieving an average 14.29% reduction in Harm Score, and a 20% decrease in Attack Success Rate compared to the best-performing baseline model fine-tuned on the WildBreak dataset.</v>
      </c>
      <c r="D2359" s="7" t="str">
        <f>IFERROR(__xludf.DUMMYFUNCTION("""COMPUTED_VALUE"""),"Zhuang Li")</f>
        <v>Zhuang Li</v>
      </c>
      <c r="E2359" s="7" t="str">
        <f>IFERROR(__xludf.DUMMYFUNCTION("""COMPUTED_VALUE"""),"Yes")</f>
        <v>Yes</v>
      </c>
      <c r="F2359" s="7" t="str">
        <f>IFERROR(__xludf.DUMMYFUNCTION("""COMPUTED_VALUE"""),"IP-Poster")</f>
        <v>IP-Poster</v>
      </c>
      <c r="G2359" s="7" t="str">
        <f>IFERROR(__xludf.DUMMYFUNCTION("""COMPUTED_VALUE"""),"In-Person")</f>
        <v>In-Person</v>
      </c>
      <c r="H2359" s="7" t="str">
        <f>IFERROR(__xludf.DUMMYFUNCTION("""COMPUTED_VALUE"""),"Hall 4/5")</f>
        <v>Hall 4/5</v>
      </c>
      <c r="I2359" s="7" t="str">
        <f>IFERROR(__xludf.DUMMYFUNCTION("""COMPUTED_VALUE"""),"Session 10: IP-Posters")</f>
        <v>Session 10: IP-Posters</v>
      </c>
      <c r="J2359" s="7" t="str">
        <f>IFERROR(__xludf.DUMMYFUNCTION("""COMPUTED_VALUE"""),"Poster Session 3")</f>
        <v>Poster Session 3</v>
      </c>
      <c r="K2359" s="7"/>
      <c r="L2359" s="8">
        <f>IFERROR(__xludf.DUMMYFUNCTION("""COMPUTED_VALUE"""),45867.0)</f>
        <v>45867</v>
      </c>
      <c r="M2359" s="7" t="str">
        <f>IFERROR(__xludf.DUMMYFUNCTION("""COMPUTED_VALUE"""),"16:00-17:30")</f>
        <v>16:00-17:30</v>
      </c>
      <c r="N2359" s="7"/>
    </row>
    <row r="2360">
      <c r="A2360" s="7" t="str">
        <f>IFERROR(__xludf.DUMMYFUNCTION("""COMPUTED_VALUE"""),"1876-MAIN")</f>
        <v>1876-MAIN</v>
      </c>
      <c r="B2360" s="7" t="str">
        <f>IFERROR(__xludf.DUMMYFUNCTION("""COMPUTED_VALUE"""),"Cross-Lingual Optimization for Language Transfer in Large Language Models")</f>
        <v>Cross-Lingual Optimization for Language Transfer in Large Language Models</v>
      </c>
      <c r="C2360" s="7" t="str">
        <f>IFERROR(__xludf.DUMMYFUNCTION("""COMPUTED_VALUE"""),"Adapting large language models to other languages typically employs supervised fine-tuning (SFT) as a standard approach. However, it often suffers from an overemphasis on English performance, a phenomenon that is especially pronounced in data-constrained "&amp;"environments. To overcome these challenges, we propose Cross-Lingual Optimization (CLO) that efficiently transfers an English-centric LLM to a target language while preserving its English capabilities. CLO utilizes publicly available English SFT data and "&amp;"a translation model to enable cross-lingual transfer. We conduct experiments using five models on six languages, each possessing varying levels of resource. Our results show that CLO consistently outperforms SFT in both acquiring target language proficien"&amp;"cy and maintaining English performance. Remarkably, in low-resource languages, CLO with only 3,200 samples surpasses SFT with 6,400 samples, demonstrating that CLO can achieve better performance with less data. Furthermore, we find that SFT is particularl"&amp;"y sensitive to data quantity in medium and low-resource languages, whereas CLO remains robust. Our comprehensive analysis emphasizes the limitations of SFT and incorporates additional training strategies in CLO to enhance efficiency.")</f>
        <v>Adapting large language models to other languages typically employs supervised fine-tuning (SFT) as a standard approach. However, it often suffers from an overemphasis on English performance, a phenomenon that is especially pronounced in data-constrained environments. To overcome these challenges, we propose Cross-Lingual Optimization (CLO) that efficiently transfers an English-centric LLM to a target language while preserving its English capabilities. CLO utilizes publicly available English SFT data and a translation model to enable cross-lingual transfer. We conduct experiments using five models on six languages, each possessing varying levels of resource. Our results show that CLO consistently outperforms SFT in both acquiring target language proficiency and maintaining English performance. Remarkably, in low-resource languages, CLO with only 3,200 samples surpasses SFT with 6,400 samples, demonstrating that CLO can achieve better performance with less data. Furthermore, we find that SFT is particularly sensitive to data quantity in medium and low-resource languages, whereas CLO remains robust. Our comprehensive analysis emphasizes the limitations of SFT and incorporates additional training strategies in CLO to enhance efficiency.</v>
      </c>
      <c r="D2360" s="7" t="str">
        <f>IFERROR(__xludf.DUMMYFUNCTION("""COMPUTED_VALUE"""),"Jungseob Lee")</f>
        <v>Jungseob Lee</v>
      </c>
      <c r="E2360" s="7" t="str">
        <f>IFERROR(__xludf.DUMMYFUNCTION("""COMPUTED_VALUE"""),"Yes")</f>
        <v>Yes</v>
      </c>
      <c r="F2360" s="7" t="str">
        <f>IFERROR(__xludf.DUMMYFUNCTION("""COMPUTED_VALUE"""),"IP-Oral")</f>
        <v>IP-Oral</v>
      </c>
      <c r="G2360" s="7" t="str">
        <f>IFERROR(__xludf.DUMMYFUNCTION("""COMPUTED_VALUE"""),"In-Person")</f>
        <v>In-Person</v>
      </c>
      <c r="H2360" s="7" t="str">
        <f>IFERROR(__xludf.DUMMYFUNCTION("""COMPUTED_VALUE"""),"Room 1.15-16")</f>
        <v>Room 1.15-16</v>
      </c>
      <c r="I2360" s="7" t="str">
        <f>IFERROR(__xludf.DUMMYFUNCTION("""COMPUTED_VALUE"""),"Session 9: IP-Orals")</f>
        <v>Session 9: IP-Orals</v>
      </c>
      <c r="J2360" s="7" t="str">
        <f>IFERROR(__xludf.DUMMYFUNCTION("""COMPUTED_VALUE"""),"Multilingualism and Cross-Lingual NLP")</f>
        <v>Multilingualism and Cross-Lingual NLP</v>
      </c>
      <c r="K2360" s="7"/>
      <c r="L2360" s="8">
        <f>IFERROR(__xludf.DUMMYFUNCTION("""COMPUTED_VALUE"""),45867.0)</f>
        <v>45867</v>
      </c>
      <c r="M2360" s="7" t="str">
        <f>IFERROR(__xludf.DUMMYFUNCTION("""COMPUTED_VALUE"""),"14:00-15:30")</f>
        <v>14:00-15:30</v>
      </c>
      <c r="N2360" s="7">
        <f>IFERROR(__xludf.DUMMYFUNCTION("""COMPUTED_VALUE"""),4.0)</f>
        <v>4</v>
      </c>
    </row>
    <row r="2361">
      <c r="A2361" s="7" t="str">
        <f>IFERROR(__xludf.DUMMYFUNCTION("""COMPUTED_VALUE"""),"1877-MAIN")</f>
        <v>1877-MAIN</v>
      </c>
      <c r="B2361" s="7" t="str">
        <f>IFERROR(__xludf.DUMMYFUNCTION("""COMPUTED_VALUE"""),"ACE: A Generative Cross-Modal Retrieval Framework With Coarse-To-Fine Semantic Modeling")</f>
        <v>ACE: A Generative Cross-Modal Retrieval Framework With Coarse-To-Fine Semantic Modeling</v>
      </c>
      <c r="C2361" s="7" t="str">
        <f>IFERROR(__xludf.DUMMYFUNCTION("""COMPUTED_VALUE"""),"Cross-modal retrieval aims to search for instances, which are semantically related to the query through the interaction of different modal data. Traditional solutions utilize a single-tower or dual-tower framework to explicitly compute the score between q"&amp;"ueries and candidates, which is challenged by training cost and inference latency with large-scale data. Inspired by the remarkable performance and efficiency of generative models, we propose a generative cross-modal retrieval framework (CART) based on co"&amp;"arse-to-fine semantic modeling, which assigns identifiers to each candidate and treats the generating identifier as the retrieval target. Specifically, we explore an effective coarse-to-fine scheme, combining K-Means and RQ-VAE to discretize multimodal da"&amp;"ta into token sequences that support autoregressive generation. Further, considering the lack of explicit interaction between queries and candidates, we propose a feature fusion strategy to align their semantics. Extensive experiments demonstrate the effe"&amp;"ctiveness of the strategies in the CART, achieving excellent results in both retrieval performance and efficiency.")</f>
        <v>Cross-modal retrieval aims to search for instances, which are semantically related to the query through the interaction of different modal data. Traditional solutions utilize a single-tower or dual-tower framework to explicitly compute the score between queries and candidates, which is challenged by training cost and inference latency with large-scale data. Inspired by the remarkable performance and efficiency of generative models, we propose a generative cross-modal retrieval framework (CART) based on coarse-to-fine semantic modeling, which assigns identifiers to each candidate and treats the generating identifier as the retrieval target. Specifically, we explore an effective coarse-to-fine scheme, combining K-Means and RQ-VAE to discretize multimodal data into token sequences that support autoregressive generation. Further, considering the lack of explicit interaction between queries and candidates, we propose a feature fusion strategy to align their semantics. Extensive experiments demonstrate the effectiveness of the strategies in the CART, achieving excellent results in both retrieval performance and efficiency.</v>
      </c>
      <c r="D2361" s="7" t="str">
        <f>IFERROR(__xludf.DUMMYFUNCTION("""COMPUTED_VALUE"""),"Minghui Fang")</f>
        <v>Minghui Fang</v>
      </c>
      <c r="E2361" s="7" t="str">
        <f>IFERROR(__xludf.DUMMYFUNCTION("""COMPUTED_VALUE"""),"Yes")</f>
        <v>Yes</v>
      </c>
      <c r="F2361" s="7" t="str">
        <f>IFERROR(__xludf.DUMMYFUNCTION("""COMPUTED_VALUE"""),"V-Presentation")</f>
        <v>V-Presentation</v>
      </c>
      <c r="G2361" s="7" t="str">
        <f>IFERROR(__xludf.DUMMYFUNCTION("""COMPUTED_VALUE"""),"Virtual/Gather")</f>
        <v>Virtual/Gather</v>
      </c>
      <c r="H2361" s="7" t="str">
        <f>IFERROR(__xludf.DUMMYFUNCTION("""COMPUTED_VALUE"""),"Zoom")</f>
        <v>Zoom</v>
      </c>
      <c r="I2361" s="7" t="str">
        <f>IFERROR(__xludf.DUMMYFUNCTION("""COMPUTED_VALUE"""),"Session 7: V--Presentations ")</f>
        <v>Session 7: V--Presentations </v>
      </c>
      <c r="J2361" s="7" t="str">
        <f>IFERROR(__xludf.DUMMYFUNCTION("""COMPUTED_VALUE"""),"Virtual Presentations 2")</f>
        <v>Virtual Presentations 2</v>
      </c>
      <c r="K2361" s="7"/>
      <c r="L2361" s="8"/>
      <c r="M2361" s="7" t="str">
        <f>IFERROR(__xludf.DUMMYFUNCTION("""COMPUTED_VALUE"""),"10:30-12:00")</f>
        <v>10:30-12:00</v>
      </c>
      <c r="N2361" s="7"/>
    </row>
    <row r="2362">
      <c r="A2362" s="7" t="str">
        <f>IFERROR(__xludf.DUMMYFUNCTION("""COMPUTED_VALUE"""),"1878-MAIN")</f>
        <v>1878-MAIN</v>
      </c>
      <c r="B2362" s="7" t="str">
        <f>IFERROR(__xludf.DUMMYFUNCTION("""COMPUTED_VALUE"""),"MMMU-Pro: A More Robust Multi-discipline Multimodal Understanding Benchmark")</f>
        <v>MMMU-Pro: A More Robust Multi-discipline Multimodal Understanding Benchmark</v>
      </c>
      <c r="C2362" s="7" t="str">
        <f>IFERROR(__xludf.DUMMYFUNCTION("""COMPUTED_VALUE"""),"This paper introduces MMMU-Pro, a robust version of the Massive Multi-discipline Multimodal Understanding and Reasoning (MMMU) benchmark. MMMU-Pro rigorously assesses multimodal models' true understanding and reasoning capabilities through a three-step pr"&amp;"ocess based on MMMU: (1) filtering out questions answerable by text-only models, (2) augmenting candidate options, and (3) introducing a vision-only input setting where questions are embedded within images. This setting challenges AI to truly ""see"" and "&amp;"""read"" simultaneously, testing \textit{a core human cognitive skill of seamlessly integrating visual and textual information}. Results show that model performance is substantially lower on MMMU-Pro than on MMMU, ranging from 16.8% to 26.9% across models"&amp;". We explore the impact of OCR prompts and Chain of Thought (CoT) reasoning, finding that OCR prompts have minimal effect while CoT generally improves performance. MMMU-Pro provides a more rigorous evaluation tool, closely mimicking real-world scenarios a"&amp;"nd offering valuable directions for future multimodal research.")</f>
        <v>This paper introduces MMMU-Pro, a robust version of the Massive Multi-discipline Multimodal Understanding and Reasoning (MMMU) benchmark. MMMU-Pro rigorously assesses multimodal models' true understanding and reasoning capabilities through a three-step process based on MMMU: (1) filtering out questions answerable by text-only models, (2) augmenting candidate options, and (3) introducing a vision-only input setting where questions are embedded within images. This setting challenges AI to truly "see" and "read" simultaneously, testing \textit{a core human cognitive skill of seamlessly integrating visual and textual information}. Results show that model performance is substantially lower on MMMU-Pro than on MMMU, ranging from 16.8% to 26.9% across models. We explore the impact of OCR prompts and Chain of Thought (CoT) reasoning, finding that OCR prompts have minimal effect while CoT generally improves performance. MMMU-Pro provides a more rigorous evaluation tool, closely mimicking real-world scenarios and offering valuable directions for future multimodal research.</v>
      </c>
      <c r="D2362" s="7" t="str">
        <f>IFERROR(__xludf.DUMMYFUNCTION("""COMPUTED_VALUE"""),"Xiang Yue")</f>
        <v>Xiang Yue</v>
      </c>
      <c r="E2362" s="7" t="str">
        <f>IFERROR(__xludf.DUMMYFUNCTION("""COMPUTED_VALUE"""),"Yes")</f>
        <v>Yes</v>
      </c>
      <c r="F2362" s="7" t="str">
        <f>IFERROR(__xludf.DUMMYFUNCTION("""COMPUTED_VALUE"""),"IP-Poster")</f>
        <v>IP-Poster</v>
      </c>
      <c r="G2362" s="7" t="str">
        <f>IFERROR(__xludf.DUMMYFUNCTION("""COMPUTED_VALUE"""),"In-Person")</f>
        <v>In-Person</v>
      </c>
      <c r="H2362" s="7" t="str">
        <f>IFERROR(__xludf.DUMMYFUNCTION("""COMPUTED_VALUE"""),"Hall 4/5")</f>
        <v>Hall 4/5</v>
      </c>
      <c r="I2362" s="7" t="str">
        <f>IFERROR(__xludf.DUMMYFUNCTION("""COMPUTED_VALUE"""),"Session 7: IP-Posters")</f>
        <v>Session 7: IP-Posters</v>
      </c>
      <c r="J2362" s="7" t="str">
        <f>IFERROR(__xludf.DUMMYFUNCTION("""COMPUTED_VALUE"""),"Poster Session 2")</f>
        <v>Poster Session 2</v>
      </c>
      <c r="K2362" s="7"/>
      <c r="L2362" s="8">
        <f>IFERROR(__xludf.DUMMYFUNCTION("""COMPUTED_VALUE"""),45867.0)</f>
        <v>45867</v>
      </c>
      <c r="M2362" s="7" t="str">
        <f>IFERROR(__xludf.DUMMYFUNCTION("""COMPUTED_VALUE"""),"10:30-12:00")</f>
        <v>10:30-12:00</v>
      </c>
      <c r="N2362" s="7"/>
    </row>
    <row r="2363">
      <c r="A2363" s="7" t="str">
        <f>IFERROR(__xludf.DUMMYFUNCTION("""COMPUTED_VALUE"""),"1882-MAIN")</f>
        <v>1882-MAIN</v>
      </c>
      <c r="B2363" s="7" t="str">
        <f>IFERROR(__xludf.DUMMYFUNCTION("""COMPUTED_VALUE"""),"Cheems: A Practical Guidance for Building and Evaluating Chinese Reward Models from Scratch")</f>
        <v>Cheems: A Practical Guidance for Building and Evaluating Chinese Reward Models from Scratch</v>
      </c>
      <c r="C2363" s="7" t="str">
        <f>IFERROR(__xludf.DUMMYFUNCTION("""COMPUTED_VALUE"""),"Reward models (RMs) are crucial for aligning large language models (LLMs) with human preferences. However, most RM research is centered on English and relies heavily on synthetic resources, which leads to limited and less reliable datasets and benchmarks "&amp;"for Chinese. To address this gap, we introduce CheemsBench, a fully human-annotated RM evaluation benchmark within Chinese contexts, and CheemsPreference, a large-scale and diverse preference dataset annotated through human-machine collaboration to suppor"&amp;"t Chinese RM training. We systematically evaluate open-source discriminative and generative RMs on CheemsBench and observe significant limitations in their ability to capture human preferences in Chinese scenarios. Additionally, based on CheemsPreference,"&amp;" we construct an RM that achieves state-of-the-art performance on CheemsBench, demonstrating the necessity of human supervision in RM training. Our findings reveal that scaled AI-generated data struggles to fully capture human preferences, emphasizing the"&amp;" importance of high-quality human supervision in RM development.")</f>
        <v>Reward models (RMs) are crucial for aligning large language models (LLMs) with human preferences. However, most RM research is centered on English and relies heavily on synthetic resources, which leads to limited and less reliable datasets and benchmarks for Chinese. To address this gap, we introduce CheemsBench, a fully human-annotated RM evaluation benchmark within Chinese contexts, and CheemsPreference, a large-scale and diverse preference dataset annotated through human-machine collaboration to support Chinese RM training. We systematically evaluate open-source discriminative and generative RMs on CheemsBench and observe significant limitations in their ability to capture human preferences in Chinese scenarios. Additionally, based on CheemsPreference, we construct an RM that achieves state-of-the-art performance on CheemsBench, demonstrating the necessity of human supervision in RM training. Our findings reveal that scaled AI-generated data struggles to fully capture human preferences, emphasizing the importance of high-quality human supervision in RM development.</v>
      </c>
      <c r="D2363" s="7" t="str">
        <f>IFERROR(__xludf.DUMMYFUNCTION("""COMPUTED_VALUE"""),"Xueru Wen")</f>
        <v>Xueru Wen</v>
      </c>
      <c r="E2363" s="7" t="str">
        <f>IFERROR(__xludf.DUMMYFUNCTION("""COMPUTED_VALUE"""),"Yes")</f>
        <v>Yes</v>
      </c>
      <c r="F2363" s="7" t="str">
        <f>IFERROR(__xludf.DUMMYFUNCTION("""COMPUTED_VALUE"""),"IP-Poster")</f>
        <v>IP-Poster</v>
      </c>
      <c r="G2363" s="7" t="str">
        <f>IFERROR(__xludf.DUMMYFUNCTION("""COMPUTED_VALUE"""),"In-Person")</f>
        <v>In-Person</v>
      </c>
      <c r="H2363" s="7" t="str">
        <f>IFERROR(__xludf.DUMMYFUNCTION("""COMPUTED_VALUE"""),"Hall 4/5")</f>
        <v>Hall 4/5</v>
      </c>
      <c r="I2363" s="7" t="str">
        <f>IFERROR(__xludf.DUMMYFUNCTION("""COMPUTED_VALUE"""),"Session 7: IP-Posters")</f>
        <v>Session 7: IP-Posters</v>
      </c>
      <c r="J2363" s="7" t="str">
        <f>IFERROR(__xludf.DUMMYFUNCTION("""COMPUTED_VALUE"""),"Poster Session 2")</f>
        <v>Poster Session 2</v>
      </c>
      <c r="K2363" s="7"/>
      <c r="L2363" s="8">
        <f>IFERROR(__xludf.DUMMYFUNCTION("""COMPUTED_VALUE"""),45867.0)</f>
        <v>45867</v>
      </c>
      <c r="M2363" s="7" t="str">
        <f>IFERROR(__xludf.DUMMYFUNCTION("""COMPUTED_VALUE"""),"10:30-12:00")</f>
        <v>10:30-12:00</v>
      </c>
      <c r="N2363" s="7"/>
    </row>
    <row r="2364">
      <c r="A2364" s="7" t="str">
        <f>IFERROR(__xludf.DUMMYFUNCTION("""COMPUTED_VALUE"""),"1883-MAIN")</f>
        <v>1883-MAIN</v>
      </c>
      <c r="B2364" s="7" t="str">
        <f>IFERROR(__xludf.DUMMYFUNCTION("""COMPUTED_VALUE"""),"Why Safeguarded Ships Run Aground? Aligned Large Language Models' Safety Mechanisms Tend to Be Anchored in The Template Region")</f>
        <v>Why Safeguarded Ships Run Aground? Aligned Large Language Models' Safety Mechanisms Tend to Be Anchored in The Template Region</v>
      </c>
      <c r="C2364" s="7" t="str">
        <f>IFERROR(__xludf.DUMMYFUNCTION("""COMPUTED_VALUE"""),"The safety alignment of large language models (LLMs) remains vulnerable, as their initial behavior can be easily jailbroken by even relatively simple attacks. Since infilling a fixed template between the input instruction and initial model output is a com"&amp;"mon practice for existing LLMs, we hypothesize that this template is a key factor behind their vulnerabilities: LLMs' safety-related decision-making overly relies on the aggregated information from the template region, which largely influences these model"&amp;"s' safety behavior. We refer to this issue as \textit{template-anchored safety alignment}. In this paper, we conduct extensive experiments and verify that template-anchored safety alignment is widespread across various aligned LLMs. Our mechanistic analys"&amp;"es demonstrate how it leads to models' susceptibility when encountering inference-time jailbreak attacks. Furthermore, we show that detaching safety mechanisms from the template region is promising in mitigating vulnerabilities to jailbreak attacks. We en"&amp;"courage future research to develop more robust safety alignment techniques that reduce reliance on the template region.")</f>
        <v>The safety alignment of large language models (LLMs) remains vulnerable, as their initial behavior can be easily jailbroken by even relatively simple attacks. Since infilling a fixed template between the input instruction and initial model output is a common practice for existing LLMs, we hypothesize that this template is a key factor behind their vulnerabilities: LLMs' safety-related decision-making overly relies on the aggregated information from the template region, which largely influences these models' safety behavior. We refer to this issue as \textit{template-anchored safety alignment}. In this paper, we conduct extensive experiments and verify that template-anchored safety alignment is widespread across various aligned LLMs. Our mechanistic analyses demonstrate how it leads to models' susceptibility when encountering inference-time jailbreak attacks. Furthermore, we show that detaching safety mechanisms from the template region is promising in mitigating vulnerabilities to jailbreak attacks. We encourage future research to develop more robust safety alignment techniques that reduce reliance on the template region.</v>
      </c>
      <c r="D2364" s="7" t="str">
        <f>IFERROR(__xludf.DUMMYFUNCTION("""COMPUTED_VALUE"""),"Chak Tou Leong")</f>
        <v>Chak Tou Leong</v>
      </c>
      <c r="E2364" s="7" t="str">
        <f>IFERROR(__xludf.DUMMYFUNCTION("""COMPUTED_VALUE"""),"Yes")</f>
        <v>Yes</v>
      </c>
      <c r="F2364" s="7" t="str">
        <f>IFERROR(__xludf.DUMMYFUNCTION("""COMPUTED_VALUE"""),"IP-Oral")</f>
        <v>IP-Oral</v>
      </c>
      <c r="G2364" s="7" t="str">
        <f>IFERROR(__xludf.DUMMYFUNCTION("""COMPUTED_VALUE"""),"In-Person")</f>
        <v>In-Person</v>
      </c>
      <c r="H2364" s="7" t="str">
        <f>IFERROR(__xludf.DUMMYFUNCTION("""COMPUTED_VALUE"""),"Room 1.85")</f>
        <v>Room 1.85</v>
      </c>
      <c r="I2364" s="7" t="str">
        <f>IFERROR(__xludf.DUMMYFUNCTION("""COMPUTED_VALUE"""),"Session 11: IP-Orals ")</f>
        <v>Session 11: IP-Orals </v>
      </c>
      <c r="J2364" s="7" t="str">
        <f>IFERROR(__xludf.DUMMYFUNCTION("""COMPUTED_VALUE"""),"Interpretability and Model Analysis 2")</f>
        <v>Interpretability and Model Analysis 2</v>
      </c>
      <c r="K2364" s="7"/>
      <c r="L2364" s="8">
        <f>IFERROR(__xludf.DUMMYFUNCTION("""COMPUTED_VALUE"""),45868.0)</f>
        <v>45868</v>
      </c>
      <c r="M2364" s="7" t="str">
        <f>IFERROR(__xludf.DUMMYFUNCTION("""COMPUTED_VALUE"""),"09:00-10:30")</f>
        <v>09:00-10:30</v>
      </c>
      <c r="N2364" s="7">
        <f>IFERROR(__xludf.DUMMYFUNCTION("""COMPUTED_VALUE"""),5.0)</f>
        <v>5</v>
      </c>
    </row>
    <row r="2365">
      <c r="A2365" s="7" t="str">
        <f>IFERROR(__xludf.DUMMYFUNCTION("""COMPUTED_VALUE"""),"1890-MAIN")</f>
        <v>1890-MAIN</v>
      </c>
      <c r="B2365" s="7" t="str">
        <f>IFERROR(__xludf.DUMMYFUNCTION("""COMPUTED_VALUE"""),"LLaVA Steering: Visual Instruction Tuning with 500x Fewer Parameters through Modality Linear Representation-Steering")</f>
        <v>LLaVA Steering: Visual Instruction Tuning with 500x Fewer Parameters through Modality Linear Representation-Steering</v>
      </c>
      <c r="C2365" s="7" t="str">
        <f>IFERROR(__xludf.DUMMYFUNCTION("""COMPUTED_VALUE"""),"Multimodal Large Language Models (MLLMs) enhance visual tasks by integrating visual representations into large language models (LLMs). The textual modality, inherited from LLMs, enables instruction following and in-context learning, while the visual modal"&amp;"ity boosts downstream task performance through rich semantic content, spatial information, and grounding capabilities. These modalities work synergistically across various visual tasks. Our research reveals a persistent imbalance between these modalities,"&amp;" with text often dominating output generation during visual instruction tuning, regardless of using full or parameter-efficient fine-tuning (PEFT). We found that re-balancing these modalities can significantly reduce trainable parameters, inspiring furthe"&amp;"r optimization of visual instruction tuning. To this end, we introduce Modality Linear Representation-Steering (MoReS), which re-balances intrinsic modalities by steering visual representations through linear transformations in the visual subspace across "&amp;"each model layer. We validated our approach by developing LLaVA Steering, a suite of models using MoReS. Results show that LLaVA Steering requires, on average, 500 times fewer trainable parameters than LoRA while maintaining comparable performance across "&amp;"three visual benchmarks and eight visual question-answering tasks. Finally, we introduce the LLaVA Steering Factory, a platform that enables rapid customization of MLLMs with a component-based architecture, seamlessly integrating state-of-the-art models a"&amp;"nd evaluating intrinsic modality imbalance. This open-source project facilitates a deeper understanding of MLLMs within the research community.")</f>
        <v>Multimodal Large Language Models (MLLMs) enhance visual tasks by integrating visual representations into large language models (LLMs). The textual modality, inherited from LLMs, enables instruction following and in-context learning, while the visual modality boosts downstream task performance through rich semantic content, spatial information, and grounding capabilities. These modalities work synergistically across various visual tasks. Our research reveals a persistent imbalance between these modalities, with text often dominating output generation during visual instruction tuning, regardless of using full or parameter-efficient fine-tuning (PEFT). We found that re-balancing these modalities can significantly reduce trainable parameters, inspiring further optimization of visual instruction tuning. To this end, we introduce Modality Linear Representation-Steering (MoReS), which re-balances intrinsic modalities by steering visual representations through linear transformations in the visual subspace across each model layer. We validated our approach by developing LLaVA Steering, a suite of models using MoReS. Results show that LLaVA Steering requires, on average, 500 times fewer trainable parameters than LoRA while maintaining comparable performance across three visual benchmarks and eight visual question-answering tasks. Finally, we introduce the LLaVA Steering Factory, a platform that enables rapid customization of MLLMs with a component-based architecture, seamlessly integrating state-of-the-art models and evaluating intrinsic modality imbalance. This open-source project facilitates a deeper understanding of MLLMs within the research community.</v>
      </c>
      <c r="D2365" s="7" t="str">
        <f>IFERROR(__xludf.DUMMYFUNCTION("""COMPUTED_VALUE"""),"Jinhe Bi, Yujun Wang, Yunpu Ma, Volker Tresp")</f>
        <v>Jinhe Bi, Yujun Wang, Yunpu Ma, Volker Tresp</v>
      </c>
      <c r="E2365" s="7" t="str">
        <f>IFERROR(__xludf.DUMMYFUNCTION("""COMPUTED_VALUE"""),"Yes")</f>
        <v>Yes</v>
      </c>
      <c r="F2365" s="7" t="str">
        <f>IFERROR(__xludf.DUMMYFUNCTION("""COMPUTED_VALUE"""),"IP-Poster")</f>
        <v>IP-Poster</v>
      </c>
      <c r="G2365" s="7" t="str">
        <f>IFERROR(__xludf.DUMMYFUNCTION("""COMPUTED_VALUE"""),"In-Person")</f>
        <v>In-Person</v>
      </c>
      <c r="H2365" s="7" t="str">
        <f>IFERROR(__xludf.DUMMYFUNCTION("""COMPUTED_VALUE"""),"Hall 4/5")</f>
        <v>Hall 4/5</v>
      </c>
      <c r="I2365" s="7" t="str">
        <f>IFERROR(__xludf.DUMMYFUNCTION("""COMPUTED_VALUE"""),"Session 2: IP-Posters ")</f>
        <v>Session 2: IP-Posters </v>
      </c>
      <c r="J2365" s="7" t="str">
        <f>IFERROR(__xludf.DUMMYFUNCTION("""COMPUTED_VALUE"""),"Poster Session 1")</f>
        <v>Poster Session 1</v>
      </c>
      <c r="K2365" s="7"/>
      <c r="L2365" s="8">
        <f>IFERROR(__xludf.DUMMYFUNCTION("""COMPUTED_VALUE"""),45866.0)</f>
        <v>45866</v>
      </c>
      <c r="M2365" s="7" t="str">
        <f>IFERROR(__xludf.DUMMYFUNCTION("""COMPUTED_VALUE"""),"11:00-12:30")</f>
        <v>11:00-12:30</v>
      </c>
      <c r="N2365" s="7"/>
    </row>
    <row r="2366">
      <c r="A2366" s="7" t="str">
        <f>IFERROR(__xludf.DUMMYFUNCTION("""COMPUTED_VALUE"""),"1891-MAIN")</f>
        <v>1891-MAIN</v>
      </c>
      <c r="B2366" s="7" t="str">
        <f>IFERROR(__xludf.DUMMYFUNCTION("""COMPUTED_VALUE"""),"Efficient Long Context Language Model Retrieval with Compression")</f>
        <v>Efficient Long Context Language Model Retrieval with Compression</v>
      </c>
      <c r="C2366" s="7" t="str">
        <f>IFERROR(__xludf.DUMMYFUNCTION("""COMPUTED_VALUE"""),"Long Context Language Models (LCLMs) have emerged as a new paradigm to perform Information Retrieval (IR), which enables the direct ingestion and retrieval of information by processing an entire corpus in their single context, showcasing the potential to "&amp;"surpass traditional sparse and dense retrieval methods. However, processing a large number of passages within in-context for retrieval is computationally expensive, and handling their representations during inference further exacerbates the processing tim"&amp;"e; thus, we aim to make LCLM retrieval more efficient and potentially more effective with passage compression. Specifically, we propose a new compression approach tailored for LCLM retrieval, which is trained to maximize the retrieval performance while mi"&amp;"nimizing the length of the compressed passages. To accomplish this, we generate the synthetic data, where compressed passages are automatically created and labeled as chosen or rejected according to their retrieval success for a given query, and we train "&amp;"the proposed Compression model for Long context Retrieval (CoLoR) with this data via preference optimization while adding the length regularization loss on top of it to enforce brevity. Through extensive experiments on 9 datasets, we show that CoLoR impro"&amp;"ves the retrieval performance by 6% while compressing the in-context size by a factor of 1.91. Our code is available at: https://github.com/going-doer/CoLoR.")</f>
        <v>Long Context Language Models (LCLMs) have emerged as a new paradigm to perform Information Retrieval (IR), which enables the direct ingestion and retrieval of information by processing an entire corpus in their single context, showcasing the potential to surpass traditional sparse and dense retrieval methods. However, processing a large number of passages within in-context for retrieval is computationally expensive, and handling their representations during inference further exacerbates the processing time; thus, we aim to make LCLM retrieval more efficient and potentially more effective with passage compression. Specifically, we propose a new compression approach tailored for LCLM retrieval, which is trained to maximize the retrieval performance while minimizing the length of the compressed passages. To accomplish this, we generate the synthetic data, where compressed passages are automatically created and labeled as chosen or rejected according to their retrieval success for a given query, and we train the proposed Compression model for Long context Retrieval (CoLoR) with this data via preference optimization while adding the length regularization loss on top of it to enforce brevity. Through extensive experiments on 9 datasets, we show that CoLoR improves the retrieval performance by 6% while compressing the in-context size by a factor of 1.91. Our code is available at: https://github.com/going-doer/CoLoR.</v>
      </c>
      <c r="D2366" s="7" t="str">
        <f>IFERROR(__xludf.DUMMYFUNCTION("""COMPUTED_VALUE"""),"Minju Seo")</f>
        <v>Minju Seo</v>
      </c>
      <c r="E2366" s="7" t="str">
        <f>IFERROR(__xludf.DUMMYFUNCTION("""COMPUTED_VALUE"""),"Yes")</f>
        <v>Yes</v>
      </c>
      <c r="F2366" s="7" t="str">
        <f>IFERROR(__xludf.DUMMYFUNCTION("""COMPUTED_VALUE"""),"IP-Poster")</f>
        <v>IP-Poster</v>
      </c>
      <c r="G2366" s="7" t="str">
        <f>IFERROR(__xludf.DUMMYFUNCTION("""COMPUTED_VALUE"""),"In-Person")</f>
        <v>In-Person</v>
      </c>
      <c r="H2366" s="7" t="str">
        <f>IFERROR(__xludf.DUMMYFUNCTION("""COMPUTED_VALUE"""),"Hall 4/5")</f>
        <v>Hall 4/5</v>
      </c>
      <c r="I2366" s="7" t="str">
        <f>IFERROR(__xludf.DUMMYFUNCTION("""COMPUTED_VALUE"""),"Session 2: IP-Posters ")</f>
        <v>Session 2: IP-Posters </v>
      </c>
      <c r="J2366" s="7" t="str">
        <f>IFERROR(__xludf.DUMMYFUNCTION("""COMPUTED_VALUE"""),"Poster Session 1")</f>
        <v>Poster Session 1</v>
      </c>
      <c r="K2366" s="7"/>
      <c r="L2366" s="8">
        <f>IFERROR(__xludf.DUMMYFUNCTION("""COMPUTED_VALUE"""),45866.0)</f>
        <v>45866</v>
      </c>
      <c r="M2366" s="7" t="str">
        <f>IFERROR(__xludf.DUMMYFUNCTION("""COMPUTED_VALUE"""),"11:00-12:30")</f>
        <v>11:00-12:30</v>
      </c>
      <c r="N2366" s="7"/>
    </row>
    <row r="2367">
      <c r="A2367" s="7" t="str">
        <f>IFERROR(__xludf.DUMMYFUNCTION("""COMPUTED_VALUE"""),"1893-MAIN")</f>
        <v>1893-MAIN</v>
      </c>
      <c r="B2367" s="7" t="str">
        <f>IFERROR(__xludf.DUMMYFUNCTION("""COMPUTED_VALUE"""),"Ontology-Guided Reverse Thinking Makes Large Language Models Stronger on Knowledge Graph Question Answering")</f>
        <v>Ontology-Guided Reverse Thinking Makes Large Language Models Stronger on Knowledge Graph Question Answering</v>
      </c>
      <c r="C2367" s="7" t="str">
        <f>IFERROR(__xludf.DUMMYFUNCTION("""COMPUTED_VALUE"""),"Large language models (LLMs) have shown remarkable capabilities in natural language processing. However, in knowledge graph question answering tasks (KGQA), there remains the issue of answering questions that require multi-hop reasoning. Existing methods "&amp;"rely on entity vector matching, but the purpose of the question is abstract and difficult to match with specific entities. As a result, it is difficult to establish reasoning paths to the purpose, which leads to information loss and redundancy. To address"&amp;" this issue, inspired by human reverse thinking, we propose Ontology-Guided Reverse Thinking (ORT), a novel framework that constructs reasoning paths from purposes back to conditions. ORT operates in three key phases: (1) using LLM to extract purpose labe"&amp;"ls and condition labels, (2) constructing label reasoning paths based on the KG ontology, and (3) using the label reasoning paths to guide knowledge retrieval. Experiments on the WebQSP and CWQ datasets show that ORT achieves state-of-the-art performance "&amp;"and significantly enhances the capability of LLMs for KGQA.")</f>
        <v>Large language models (LLMs) have shown remarkable capabilities in natural language processing. However, in knowledge graph question answering tasks (KGQA), there remains the issue of answering questions that require multi-hop reasoning. Existing methods rely on entity vector matching, but the purpose of the question is abstract and difficult to match with specific entities. As a result, it is difficult to establish reasoning paths to the purpose, which leads to information loss and redundancy. To address this issue, inspired by human reverse thinking, we propose Ontology-Guided Reverse Thinking (ORT), a novel framework that constructs reasoning paths from purposes back to conditions. ORT operates in three key phases: (1) using LLM to extract purpose labels and condition labels, (2) constructing label reasoning paths based on the KG ontology, and (3) using the label reasoning paths to guide knowledge retrieval. Experiments on the WebQSP and CWQ datasets show that ORT achieves state-of-the-art performance and significantly enhances the capability of LLMs for KGQA.</v>
      </c>
      <c r="D2367" s="7" t="str">
        <f>IFERROR(__xludf.DUMMYFUNCTION("""COMPUTED_VALUE"""),"Runxuan Liu")</f>
        <v>Runxuan Liu</v>
      </c>
      <c r="E2367" s="7" t="str">
        <f>IFERROR(__xludf.DUMMYFUNCTION("""COMPUTED_VALUE"""),"Yes")</f>
        <v>Yes</v>
      </c>
      <c r="F2367" s="7" t="str">
        <f>IFERROR(__xludf.DUMMYFUNCTION("""COMPUTED_VALUE"""),"IP-Poster")</f>
        <v>IP-Poster</v>
      </c>
      <c r="G2367" s="7" t="str">
        <f>IFERROR(__xludf.DUMMYFUNCTION("""COMPUTED_VALUE"""),"In-Person")</f>
        <v>In-Person</v>
      </c>
      <c r="H2367" s="7" t="str">
        <f>IFERROR(__xludf.DUMMYFUNCTION("""COMPUTED_VALUE"""),"Hall 4/5")</f>
        <v>Hall 4/5</v>
      </c>
      <c r="I2367" s="7" t="str">
        <f>IFERROR(__xludf.DUMMYFUNCTION("""COMPUTED_VALUE"""),"Session 12: IP-Posters")</f>
        <v>Session 12: IP-Posters</v>
      </c>
      <c r="J2367" s="7" t="str">
        <f>IFERROR(__xludf.DUMMYFUNCTION("""COMPUTED_VALUE"""),"Poster Session 4")</f>
        <v>Poster Session 4</v>
      </c>
      <c r="K2367" s="7"/>
      <c r="L2367" s="8">
        <f>IFERROR(__xludf.DUMMYFUNCTION("""COMPUTED_VALUE"""),45868.0)</f>
        <v>45868</v>
      </c>
      <c r="M2367" s="7" t="str">
        <f>IFERROR(__xludf.DUMMYFUNCTION("""COMPUTED_VALUE"""),"11:00-12:30")</f>
        <v>11:00-12:30</v>
      </c>
      <c r="N2367" s="7"/>
    </row>
    <row r="2368">
      <c r="A2368" s="7" t="str">
        <f>IFERROR(__xludf.DUMMYFUNCTION("""COMPUTED_VALUE"""),"1894-MAIN")</f>
        <v>1894-MAIN</v>
      </c>
      <c r="B2368" s="7" t="str">
        <f>IFERROR(__xludf.DUMMYFUNCTION("""COMPUTED_VALUE"""),"Towards Omni-RAG: Comprehensive Retrieval-Augmented Generation for Large Language Models in Medical Applications")</f>
        <v>Towards Omni-RAG: Comprehensive Retrieval-Augmented Generation for Large Language Models in Medical Applications</v>
      </c>
      <c r="C2368" s="7" t="str">
        <f>IFERROR(__xludf.DUMMYFUNCTION("""COMPUTED_VALUE"""),"Large language models hold promise for addressing medical challenges, such as medical diagnosis reasoning, research knowledge acquisition, clinical decision-making, and consumer health inquiry support. However, they often generate hallucinations due to li"&amp;"mited medical knowledge. Incorporating external knowledge is therefore critical, which necessitates multi-source knowledge acquisition. We address this challenge by framing it as a source planning problem, which is to formulate context-appropriate queries"&amp;" tailored to the attributes of diverse sources. Existing approaches either overlook source planning or fail to achieve it effectively due to misalignment between the model's expectation of the sources and their actual content. To bridge this gap, we prese"&amp;"nt MedOmniKB, a repository comprising multigenre and multi-structured medical knowledge sources. Leveraging these sources, we propose the Source Planning Optimisation method, which enhances multi-source utilisation. Our approach involves enabling an exper"&amp;"t model to explore and evaluate potential plans while training a smaller model to learn source alignment. Experimental results demonstrate that our method substantially improves multi-source planning performance, enabling the optimised small model to achi"&amp;"eve state-of-the-art results in leveraging diverse medical knowledge sources.")</f>
        <v>Large language models hold promise for addressing medical challenges, such as medical diagnosis reasoning, research knowledge acquisition, clinical decision-making, and consumer health inquiry support. However, they often generate hallucinations due to limited medical knowledge. Incorporating external knowledge is therefore critical, which necessitates multi-source knowledge acquisition. We address this challenge by framing it as a source planning problem, which is to formulate context-appropriate queries tailored to the attributes of diverse sources. Existing approaches either overlook source planning or fail to achieve it effectively due to misalignment between the model's expectation of the sources and their actual content. To bridge this gap, we present MedOmniKB, a repository comprising multigenre and multi-structured medical knowledge sources. Leveraging these sources, we propose the Source Planning Optimisation method, which enhances multi-source utilisation. Our approach involves enabling an expert model to explore and evaluate potential plans while training a smaller model to learn source alignment. Experimental results demonstrate that our method substantially improves multi-source planning performance, enabling the optimised small model to achieve state-of-the-art results in leveraging diverse medical knowledge sources.</v>
      </c>
      <c r="D2368" s="7" t="str">
        <f>IFERROR(__xludf.DUMMYFUNCTION("""COMPUTED_VALUE"""),"Zhe Chen")</f>
        <v>Zhe Chen</v>
      </c>
      <c r="E2368" s="7" t="str">
        <f>IFERROR(__xludf.DUMMYFUNCTION("""COMPUTED_VALUE"""),"Yes")</f>
        <v>Yes</v>
      </c>
      <c r="F2368" s="7" t="str">
        <f>IFERROR(__xludf.DUMMYFUNCTION("""COMPUTED_VALUE"""),"V-Presentation")</f>
        <v>V-Presentation</v>
      </c>
      <c r="G2368" s="7" t="str">
        <f>IFERROR(__xludf.DUMMYFUNCTION("""COMPUTED_VALUE"""),"Virtual/Gather")</f>
        <v>Virtual/Gather</v>
      </c>
      <c r="H2368" s="7" t="str">
        <f>IFERROR(__xludf.DUMMYFUNCTION("""COMPUTED_VALUE"""),"Zoom")</f>
        <v>Zoom</v>
      </c>
      <c r="I2368" s="7" t="str">
        <f>IFERROR(__xludf.DUMMYFUNCTION("""COMPUTED_VALUE"""),"Session 10: V-Presenations")</f>
        <v>Session 10: V-Presenations</v>
      </c>
      <c r="J2368" s="7" t="str">
        <f>IFERROR(__xludf.DUMMYFUNCTION("""COMPUTED_VALUE"""),"Virtual Presentations 3")</f>
        <v>Virtual Presentations 3</v>
      </c>
      <c r="K2368" s="7"/>
      <c r="L2368" s="8">
        <f>IFERROR(__xludf.DUMMYFUNCTION("""COMPUTED_VALUE"""),45867.0)</f>
        <v>45867</v>
      </c>
      <c r="M2368" s="7" t="str">
        <f>IFERROR(__xludf.DUMMYFUNCTION("""COMPUTED_VALUE"""),"16:00-17:30")</f>
        <v>16:00-17:30</v>
      </c>
      <c r="N2368" s="7"/>
    </row>
    <row r="2369">
      <c r="A2369" s="7" t="str">
        <f>IFERROR(__xludf.DUMMYFUNCTION("""COMPUTED_VALUE"""),"1896-MAIN")</f>
        <v>1896-MAIN</v>
      </c>
      <c r="B2369" s="7" t="str">
        <f>IFERROR(__xludf.DUMMYFUNCTION("""COMPUTED_VALUE"""),"Predicting Turn-Taking and Backchannel in Human-Machine Conversations Using Linguistic, Acoustic, and Visual Signals")</f>
        <v>Predicting Turn-Taking and Backchannel in Human-Machine Conversations Using Linguistic, Acoustic, and Visual Signals</v>
      </c>
      <c r="C2369" s="7" t="str">
        <f>IFERROR(__xludf.DUMMYFUNCTION("""COMPUTED_VALUE"""),"This paper addresses the gap in predicting turn-taking and backchannel actions in human-machine conversations using multi-modal signals (linguistic, acoustic, and visual). To overcome the limitation of existing datasets, we propose an automatic data colle"&amp;"ction pipeline that allows us to collect and annotate over 210 hours of human conversation videos. From this, we construct a Multi-Modal Face-to-Face (MM-F2F) human conversation dataset, including over 1.5M words and corresponding turn-taking and backchan"&amp;"nel annotations from approximately 20M frames. Additionally, we present an end-to-end framework that predicts the probability of turn-taking and backchannel actions from multi-modal signals. The proposed model emphasizes the interrelation between modaliti"&amp;"es and supports any combination of text, audio, and video inputs, making it adaptable to a variety of realistic scenarios. Our experiments show that our approach achieves state-of-the-art performance on turn-taking and backchannel prediction tasks, achiev"&amp;"ing a 10% increase in F1-score on turn-taking and a 33% increase on backchannel prediction. Our dataset and code are publicly available online to ease of subsequent research.")</f>
        <v>This paper addresses the gap in predicting turn-taking and backchannel actions in human-machine conversations using multi-modal signals (linguistic, acoustic, and visual). To overcome the limitation of existing datasets, we propose an automatic data collection pipeline that allows us to collect and annotate over 210 hours of human conversation videos. From this, we construct a Multi-Modal Face-to-Face (MM-F2F) human conversation dataset, including over 1.5M words and corresponding turn-taking and backchannel annotations from approximately 20M frames. Additionally, we present an end-to-end framework that predicts the probability of turn-taking and backchannel actions from multi-modal signals. The proposed model emphasizes the interrelation between modalities and supports any combination of text, audio, and video inputs, making it adaptable to a variety of realistic scenarios. Our experiments show that our approach achieves state-of-the-art performance on turn-taking and backchannel prediction tasks, achieving a 10% increase in F1-score on turn-taking and a 33% increase on backchannel prediction. Our dataset and code are publicly available online to ease of subsequent research.</v>
      </c>
      <c r="D2369" s="7" t="str">
        <f>IFERROR(__xludf.DUMMYFUNCTION("""COMPUTED_VALUE"""),"Yuxin Lin")</f>
        <v>Yuxin Lin</v>
      </c>
      <c r="E2369" s="7" t="str">
        <f>IFERROR(__xludf.DUMMYFUNCTION("""COMPUTED_VALUE"""),"Yes")</f>
        <v>Yes</v>
      </c>
      <c r="F2369" s="7" t="str">
        <f>IFERROR(__xludf.DUMMYFUNCTION("""COMPUTED_VALUE"""),"V-Presentation")</f>
        <v>V-Presentation</v>
      </c>
      <c r="G2369" s="7" t="str">
        <f>IFERROR(__xludf.DUMMYFUNCTION("""COMPUTED_VALUE"""),"Virtual/Gather")</f>
        <v>Virtual/Gather</v>
      </c>
      <c r="H2369" s="7" t="str">
        <f>IFERROR(__xludf.DUMMYFUNCTION("""COMPUTED_VALUE"""),"Zoom")</f>
        <v>Zoom</v>
      </c>
      <c r="I2369" s="7" t="str">
        <f>IFERROR(__xludf.DUMMYFUNCTION("""COMPUTED_VALUE"""),"Session 10: V-Presenations")</f>
        <v>Session 10: V-Presenations</v>
      </c>
      <c r="J2369" s="7" t="str">
        <f>IFERROR(__xludf.DUMMYFUNCTION("""COMPUTED_VALUE"""),"Virtual Presentations 3")</f>
        <v>Virtual Presentations 3</v>
      </c>
      <c r="K2369" s="7"/>
      <c r="L2369" s="8">
        <f>IFERROR(__xludf.DUMMYFUNCTION("""COMPUTED_VALUE"""),45867.0)</f>
        <v>45867</v>
      </c>
      <c r="M2369" s="7" t="str">
        <f>IFERROR(__xludf.DUMMYFUNCTION("""COMPUTED_VALUE"""),"16:00-17:30")</f>
        <v>16:00-17:30</v>
      </c>
      <c r="N2369" s="7"/>
    </row>
    <row r="2370">
      <c r="A2370" s="7" t="str">
        <f>IFERROR(__xludf.DUMMYFUNCTION("""COMPUTED_VALUE"""),"1898-MAIN")</f>
        <v>1898-MAIN</v>
      </c>
      <c r="B2370" s="7" t="str">
        <f>IFERROR(__xludf.DUMMYFUNCTION("""COMPUTED_VALUE"""),"A New Formulation of Zipf’s Meaning-Frequency Law through Contextual Diversity")</f>
        <v>A New Formulation of Zipf’s Meaning-Frequency Law through Contextual Diversity</v>
      </c>
      <c r="C2370" s="7" t="str">
        <f>IFERROR(__xludf.DUMMYFUNCTION("""COMPUTED_VALUE"""),"This paper proposes formulating Zipf's meaning-frequency law, the power law between word frequency and the number of meanings, as a relationship between word frequency and contextual diversity. The proposed formulation quantifies meaning counts as context"&amp;"ual diversity, which is based on the directions of contextualized word vectors obtained from a Language Model (LM). This formulation gives a new interpretation to the law and also enables us to examine it for a wider variety of words and corpora than prev"&amp;"ious studies have explored. In addition, this paper shows that the law becomes unobservable when the size of the LM used is small and that autoregressive LMs require much more parameters than masked LMs to be able to observe the law.")</f>
        <v>This paper proposes formulating Zipf's meaning-frequency law, the power law between word frequency and the number of meanings, as a relationship between word frequency and contextual diversity. The proposed formulation quantifies meaning counts as contextual diversity, which is based on the directions of contextualized word vectors obtained from a Language Model (LM). This formulation gives a new interpretation to the law and also enables us to examine it for a wider variety of words and corpora than previous studies have explored. In addition, this paper shows that the law becomes unobservable when the size of the LM used is small and that autoregressive LMs require much more parameters than masked LMs to be able to observe the law.</v>
      </c>
      <c r="D2370" s="7" t="str">
        <f>IFERROR(__xludf.DUMMYFUNCTION("""COMPUTED_VALUE"""),"Ryo Nagata")</f>
        <v>Ryo Nagata</v>
      </c>
      <c r="E2370" s="7" t="str">
        <f>IFERROR(__xludf.DUMMYFUNCTION("""COMPUTED_VALUE"""),"Yes")</f>
        <v>Yes</v>
      </c>
      <c r="F2370" s="7" t="str">
        <f>IFERROR(__xludf.DUMMYFUNCTION("""COMPUTED_VALUE"""),"IP-Poster")</f>
        <v>IP-Poster</v>
      </c>
      <c r="G2370" s="7" t="str">
        <f>IFERROR(__xludf.DUMMYFUNCTION("""COMPUTED_VALUE"""),"In-Person")</f>
        <v>In-Person</v>
      </c>
      <c r="H2370" s="7" t="str">
        <f>IFERROR(__xludf.DUMMYFUNCTION("""COMPUTED_VALUE"""),"Hall 4/5")</f>
        <v>Hall 4/5</v>
      </c>
      <c r="I2370" s="7" t="str">
        <f>IFERROR(__xludf.DUMMYFUNCTION("""COMPUTED_VALUE"""),"Session 12: IP-Posters")</f>
        <v>Session 12: IP-Posters</v>
      </c>
      <c r="J2370" s="7" t="str">
        <f>IFERROR(__xludf.DUMMYFUNCTION("""COMPUTED_VALUE"""),"Poster Session 4")</f>
        <v>Poster Session 4</v>
      </c>
      <c r="K2370" s="7"/>
      <c r="L2370" s="8">
        <f>IFERROR(__xludf.DUMMYFUNCTION("""COMPUTED_VALUE"""),45868.0)</f>
        <v>45868</v>
      </c>
      <c r="M2370" s="7" t="str">
        <f>IFERROR(__xludf.DUMMYFUNCTION("""COMPUTED_VALUE"""),"11:00-12:30")</f>
        <v>11:00-12:30</v>
      </c>
      <c r="N2370" s="7"/>
    </row>
    <row r="2371">
      <c r="A2371" s="7" t="str">
        <f>IFERROR(__xludf.DUMMYFUNCTION("""COMPUTED_VALUE"""),"1899-MAIN")</f>
        <v>1899-MAIN</v>
      </c>
      <c r="B2371" s="7" t="str">
        <f>IFERROR(__xludf.DUMMYFUNCTION("""COMPUTED_VALUE"""),"The Mirage of Model Editing: Revisiting Evaluation in the Wild")</f>
        <v>The Mirage of Model Editing: Revisiting Evaluation in the Wild</v>
      </c>
      <c r="C2371" s="7" t="str">
        <f>IFERROR(__xludf.DUMMYFUNCTION("""COMPUTED_VALUE"""),"Despite near-perfect results reported in the literature, the effectiveness of model editing in real-world applications remains unclear. To bridge this gap, we introduce QAEdit, a new benchmark aligned with widely used question answering (QA) datasets, and"&amp;" WILD, a task-agnostic evaluation framework designed to better reflect real-world usage of model editing. Our single editing experiments show that current editing methods perform substantially worse than previously reported (38.5% vs. 96.8%). We demonstra"&amp;"te that it stems from issues in the synthetic evaluation practices of prior work. Among them, the most severe is the use of teacher forcing during testing, which leaks both content and length of the ground truth, leading to overestimated performance. Furt"&amp;"hermore, we simulate practical deployment by sequential editing, revealing that current approaches fail drastically with only 1000 edits. This work calls for a shift in model editing research toward rigorous evaluation and the development of robust, scala"&amp;"ble methods that can reliably update knowledge in LLMs for real-world use.")</f>
        <v>Despite near-perfect results reported in the literature, the effectiveness of model editing in real-world applications remains unclear. To bridge this gap, we introduce QAEdit, a new benchmark aligned with widely used question answering (QA) datasets, and WILD, a task-agnostic evaluation framework designed to better reflect real-world usage of model editing. Our single editing experiments show that current editing methods perform substantially worse than previously reported (38.5% vs. 96.8%). We demonstrate that it stems from issues in the synthetic evaluation practices of prior work. Among them, the most severe is the use of teacher forcing during testing, which leaks both content and length of the ground truth, leading to overestimated performance. Furthermore, we simulate practical deployment by sequential editing, revealing that current approaches fail drastically with only 1000 edits. This work calls for a shift in model editing research toward rigorous evaluation and the development of robust, scalable methods that can reliably update knowledge in LLMs for real-world use.</v>
      </c>
      <c r="D2371" s="7" t="str">
        <f>IFERROR(__xludf.DUMMYFUNCTION("""COMPUTED_VALUE"""),"Wanli Yang")</f>
        <v>Wanli Yang</v>
      </c>
      <c r="E2371" s="7" t="str">
        <f>IFERROR(__xludf.DUMMYFUNCTION("""COMPUTED_VALUE"""),"Yes")</f>
        <v>Yes</v>
      </c>
      <c r="F2371" s="7" t="str">
        <f>IFERROR(__xludf.DUMMYFUNCTION("""COMPUTED_VALUE"""),"IP-Poster")</f>
        <v>IP-Poster</v>
      </c>
      <c r="G2371" s="7" t="str">
        <f>IFERROR(__xludf.DUMMYFUNCTION("""COMPUTED_VALUE"""),"In-Person")</f>
        <v>In-Person</v>
      </c>
      <c r="H2371" s="7" t="str">
        <f>IFERROR(__xludf.DUMMYFUNCTION("""COMPUTED_VALUE"""),"Hall 4/5")</f>
        <v>Hall 4/5</v>
      </c>
      <c r="I2371" s="7" t="str">
        <f>IFERROR(__xludf.DUMMYFUNCTION("""COMPUTED_VALUE"""),"Session 12: IP-Posters")</f>
        <v>Session 12: IP-Posters</v>
      </c>
      <c r="J2371" s="7" t="str">
        <f>IFERROR(__xludf.DUMMYFUNCTION("""COMPUTED_VALUE"""),"Poster Session 4")</f>
        <v>Poster Session 4</v>
      </c>
      <c r="K2371" s="7"/>
      <c r="L2371" s="8">
        <f>IFERROR(__xludf.DUMMYFUNCTION("""COMPUTED_VALUE"""),45868.0)</f>
        <v>45868</v>
      </c>
      <c r="M2371" s="7" t="str">
        <f>IFERROR(__xludf.DUMMYFUNCTION("""COMPUTED_VALUE"""),"11:00-12:30")</f>
        <v>11:00-12:30</v>
      </c>
      <c r="N2371" s="7"/>
    </row>
    <row r="2372">
      <c r="A2372" s="7" t="str">
        <f>IFERROR(__xludf.DUMMYFUNCTION("""COMPUTED_VALUE"""),"1901-MAIN")</f>
        <v>1901-MAIN</v>
      </c>
      <c r="B2372" s="7" t="str">
        <f>IFERROR(__xludf.DUMMYFUNCTION("""COMPUTED_VALUE"""),"LAQuer: Localized Attribution Queries in Content-grounded Generation")</f>
        <v>LAQuer: Localized Attribution Queries in Content-grounded Generation</v>
      </c>
      <c r="C2372" s="7" t="str">
        <f>IFERROR(__xludf.DUMMYFUNCTION("""COMPUTED_VALUE"""),"Grounded text generation models often produce content that deviates from their source material, requiring user verification to ensure accuracy. Existing attribution methods associate entire sentences with source documents, which can be overwhelming for us"&amp;"ers seeking to fact-check specific claims. In contrast, existing sub-sentence attribution methods may be more precise but fail to align with users' interests. In light of these limitations, we introduce Localized Attribution Queries (LAQuer), a new task t"&amp;"hat localizes selected spans of generated output to their corresponding source spans, allowing fine-grained and user-directed attribution. We compare two approaches for the LAQuer task, including prompting large language models (LLMs) and leveraging LLM i"&amp;"nternal representations. We then explore a modeling framework that extends existing attributed text generation methods to LAQuer. We evaluate this framework across two grounded text generation tasks: Multi-document Summarization (MDS) and Long-form Questi"&amp;"on Answering (LFQA). Our findings show that LAQuer methods significantly reduce the length of the attributed text. Our contributions include: (1) proposing the LAQuer task to enhance attribution usability, (2) suggesting a modeling framework and benchmark"&amp;"ing multiple baselines, and (3) proposing a new evaluation setting to promote future research on localized attribution in content-grounded generation.")</f>
        <v>Grounded text generation models often produce content that deviates from their source material, requiring user verification to ensure accuracy. Existing attribution methods associate entire sentences with source documents, which can be overwhelming for users seeking to fact-check specific claims. In contrast, existing sub-sentence attribution methods may be more precise but fail to align with users' interests. In light of these limitations, we introduce Localized Attribution Queries (LAQuer), a new task that localizes selected spans of generated output to their corresponding source spans, allowing fine-grained and user-directed attribution. We compare two approaches for the LAQuer task, including prompting large language models (LLMs) and leveraging LLM internal representations. We then explore a modeling framework that extends existing attributed text generation methods to LAQuer. We evaluate this framework across two grounded text generation tasks: Multi-document Summarization (MDS) and Long-form Question Answering (LFQA). Our findings show that LAQuer methods significantly reduce the length of the attributed text. Our contributions include: (1) proposing the LAQuer task to enhance attribution usability, (2) suggesting a modeling framework and benchmarking multiple baselines, and (3) proposing a new evaluation setting to promote future research on localized attribution in content-grounded generation.</v>
      </c>
      <c r="D2372" s="7" t="str">
        <f>IFERROR(__xludf.DUMMYFUNCTION("""COMPUTED_VALUE"""),"Eran Hirsch")</f>
        <v>Eran Hirsch</v>
      </c>
      <c r="E2372" s="7" t="str">
        <f>IFERROR(__xludf.DUMMYFUNCTION("""COMPUTED_VALUE"""),"Yes")</f>
        <v>Yes</v>
      </c>
      <c r="F2372" s="7" t="str">
        <f>IFERROR(__xludf.DUMMYFUNCTION("""COMPUTED_VALUE"""),"IP-Poster")</f>
        <v>IP-Poster</v>
      </c>
      <c r="G2372" s="7" t="str">
        <f>IFERROR(__xludf.DUMMYFUNCTION("""COMPUTED_VALUE"""),"In-Person")</f>
        <v>In-Person</v>
      </c>
      <c r="H2372" s="7" t="str">
        <f>IFERROR(__xludf.DUMMYFUNCTION("""COMPUTED_VALUE"""),"Hall 4/5")</f>
        <v>Hall 4/5</v>
      </c>
      <c r="I2372" s="7" t="str">
        <f>IFERROR(__xludf.DUMMYFUNCTION("""COMPUTED_VALUE"""),"Session 2: IP-Posters ")</f>
        <v>Session 2: IP-Posters </v>
      </c>
      <c r="J2372" s="7" t="str">
        <f>IFERROR(__xludf.DUMMYFUNCTION("""COMPUTED_VALUE"""),"Poster Session 1")</f>
        <v>Poster Session 1</v>
      </c>
      <c r="K2372" s="7"/>
      <c r="L2372" s="8">
        <f>IFERROR(__xludf.DUMMYFUNCTION("""COMPUTED_VALUE"""),45866.0)</f>
        <v>45866</v>
      </c>
      <c r="M2372" s="7" t="str">
        <f>IFERROR(__xludf.DUMMYFUNCTION("""COMPUTED_VALUE"""),"11:00-12:30")</f>
        <v>11:00-12:30</v>
      </c>
      <c r="N2372" s="7"/>
    </row>
    <row r="2373">
      <c r="A2373" s="7" t="str">
        <f>IFERROR(__xludf.DUMMYFUNCTION("""COMPUTED_VALUE"""),"1902-MAIN")</f>
        <v>1902-MAIN</v>
      </c>
      <c r="B2373" s="7" t="str">
        <f>IFERROR(__xludf.DUMMYFUNCTION("""COMPUTED_VALUE"""),"EPO: Explicit Policy Optimization for Strategic Reasoning in LLMs via Reinforcement Learning")</f>
        <v>EPO: Explicit Policy Optimization for Strategic Reasoning in LLMs via Reinforcement Learning</v>
      </c>
      <c r="C2373" s="7" t="str">
        <f>IFERROR(__xludf.DUMMYFUNCTION("""COMPUTED_VALUE"""),"Large Language Models (LLMs) have shown impressive reasoning capabilities in well-defined problems with clear solutions, such as mathematics and coding. However, they still struggle with complex real-world scenarios like business negotiations, which requi"&amp;"re strategic reasoning—an ability to navigate dynamic environments and align long-term goals amidst uncertainty.
Existing methods for strategic reasoning face challenges in adaptability, scalability, and transferring strategies to new contexts.
To address"&amp;" these issues, we propose explicit policy optimization (*EPO*) for strategic reasoning, featuring an LLM that provides strategies in open-ended action space and can be plugged into arbitrary LLM agents to motivate goal-directed behavior.
To improve adapta"&amp;"bility and policy transferability, we train the strategic reasoning model via multi-turn reinforcement learning (RL), utilizing process rewards and iterative self-play.
Experiments across social and physical domains demonstrate *EPO*'s ability of long-ter"&amp;"m goal alignment through enhanced strategic reasoning, achieving state-of-the-art performance on social dialogue and web navigation tasks. Our findings reveal various collaborative reasoning mechanisms emergent in *EPO* and its effectiveness in generating"&amp;" novel strategies, underscoring its potential for strategic reasoning in real-world applications. Code and data are available at [https://github.com/lxqpku/EPO](https://github.com/lxqpku/EPO).")</f>
        <v>Large Language Models (LLMs) have shown impressive reasoning capabilities in well-defined problems with clear solutions, such as mathematics and coding. However, they still struggle with complex real-world scenarios like business negotiations, which require strategic reasoning—an ability to navigate dynamic environments and align long-term goals amidst uncertainty.
Existing methods for strategic reasoning face challenges in adaptability, scalability, and transferring strategies to new contexts.
To address these issues, we propose explicit policy optimization (*EPO*) for strategic reasoning, featuring an LLM that provides strategies in open-ended action space and can be plugged into arbitrary LLM agents to motivate goal-directed behavior.
To improve adaptability and policy transferability, we train the strategic reasoning model via multi-turn reinforcement learning (RL), utilizing process rewards and iterative self-play.
Experiments across social and physical domains demonstrate *EPO*'s ability of long-term goal alignment through enhanced strategic reasoning, achieving state-of-the-art performance on social dialogue and web navigation tasks. Our findings reveal various collaborative reasoning mechanisms emergent in *EPO* and its effectiveness in generating novel strategies, underscoring its potential for strategic reasoning in real-world applications. Code and data are available at [https://github.com/lxqpku/EPO](https://github.com/lxqpku/EPO).</v>
      </c>
      <c r="D2373" s="7" t="str">
        <f>IFERROR(__xludf.DUMMYFUNCTION("""COMPUTED_VALUE"""),"Xiaoqian Liu")</f>
        <v>Xiaoqian Liu</v>
      </c>
      <c r="E2373" s="7" t="str">
        <f>IFERROR(__xludf.DUMMYFUNCTION("""COMPUTED_VALUE"""),"Yes")</f>
        <v>Yes</v>
      </c>
      <c r="F2373" s="7" t="str">
        <f>IFERROR(__xludf.DUMMYFUNCTION("""COMPUTED_VALUE"""),"IP-Poster")</f>
        <v>IP-Poster</v>
      </c>
      <c r="G2373" s="7" t="str">
        <f>IFERROR(__xludf.DUMMYFUNCTION("""COMPUTED_VALUE"""),"In-Person")</f>
        <v>In-Person</v>
      </c>
      <c r="H2373" s="7" t="str">
        <f>IFERROR(__xludf.DUMMYFUNCTION("""COMPUTED_VALUE"""),"Hall 4/5")</f>
        <v>Hall 4/5</v>
      </c>
      <c r="I2373" s="7" t="str">
        <f>IFERROR(__xludf.DUMMYFUNCTION("""COMPUTED_VALUE"""),"Session 2: IP-Posters ")</f>
        <v>Session 2: IP-Posters </v>
      </c>
      <c r="J2373" s="7" t="str">
        <f>IFERROR(__xludf.DUMMYFUNCTION("""COMPUTED_VALUE"""),"Poster Session 1")</f>
        <v>Poster Session 1</v>
      </c>
      <c r="K2373" s="7"/>
      <c r="L2373" s="8">
        <f>IFERROR(__xludf.DUMMYFUNCTION("""COMPUTED_VALUE"""),45866.0)</f>
        <v>45866</v>
      </c>
      <c r="M2373" s="7" t="str">
        <f>IFERROR(__xludf.DUMMYFUNCTION("""COMPUTED_VALUE"""),"11:00-12:30")</f>
        <v>11:00-12:30</v>
      </c>
      <c r="N2373" s="7"/>
    </row>
    <row r="2374">
      <c r="A2374" s="7" t="str">
        <f>IFERROR(__xludf.DUMMYFUNCTION("""COMPUTED_VALUE"""),"1904-MAIN")</f>
        <v>1904-MAIN</v>
      </c>
      <c r="B2374" s="7" t="str">
        <f>IFERROR(__xludf.DUMMYFUNCTION("""COMPUTED_VALUE"""),"DCG-SQL: Enhancing In-Context Learning for Text-to-SQL with Deep Contextual Schema Link Graph")</f>
        <v>DCG-SQL: Enhancing In-Context Learning for Text-to-SQL with Deep Contextual Schema Link Graph</v>
      </c>
      <c r="C2374" s="7" t="str">
        <f>IFERROR(__xludf.DUMMYFUNCTION("""COMPUTED_VALUE"""),"Text-to-SQL, which translates a natural language question into an SQL query, has advanced with in-context learning of Large Language Models (LLMs). However, existing methods show little improvement in performance compared to randomly chosen demonstrations"&amp;", and significant performance drops when smaller LLMs (e.g., Llama 3.1-8B) are used. This indicates that these methods heavily rely on the intrinsic capabilities of hyper-scaled LLMs, rather than effectively retrieving useful demonstrations. In this paper"&amp;", we propose a novel approach for effectively retrieving demonstrations and generating SQL queries. We construct a Deep Contextual Schema Link Graph, which contains key information and semantic relationship between a question and its database schema items"&amp;". This graph-based structure enables effective representation of Text-to-SQL samples and retrieval of useful demonstrations for in-context learning. Experimental results on the Spider benchmark demonstrate the effectiveness of our approach, showing consis"&amp;"tent improvements in SQL generation performance and efficiency across both hyper-scaled LLMs and small LLMs. The code is available at https://github.com/jjklle/DCG-SQL.")</f>
        <v>Text-to-SQL, which translates a natural language question into an SQL query, has advanced with in-context learning of Large Language Models (LLMs). However, existing methods show little improvement in performance compared to randomly chosen demonstrations, and significant performance drops when smaller LLMs (e.g., Llama 3.1-8B) are used. This indicates that these methods heavily rely on the intrinsic capabilities of hyper-scaled LLMs, rather than effectively retrieving useful demonstrations. In this paper, we propose a novel approach for effectively retrieving demonstrations and generating SQL queries. We construct a Deep Contextual Schema Link Graph, which contains key information and semantic relationship between a question and its database schema items. This graph-based structure enables effective representation of Text-to-SQL samples and retrieval of useful demonstrations for in-context learning. Experimental results on the Spider benchmark demonstrate the effectiveness of our approach, showing consistent improvements in SQL generation performance and efficiency across both hyper-scaled LLMs and small LLMs. The code is available at https://github.com/jjklle/DCG-SQL.</v>
      </c>
      <c r="D2374" s="7" t="str">
        <f>IFERROR(__xludf.DUMMYFUNCTION("""COMPUTED_VALUE"""),"Jihyung Lee, Jin-Seop Lee")</f>
        <v>Jihyung Lee, Jin-Seop Lee</v>
      </c>
      <c r="E2374" s="7" t="str">
        <f>IFERROR(__xludf.DUMMYFUNCTION("""COMPUTED_VALUE"""),"Yes")</f>
        <v>Yes</v>
      </c>
      <c r="F2374" s="7" t="str">
        <f>IFERROR(__xludf.DUMMYFUNCTION("""COMPUTED_VALUE"""),"IP-Poster")</f>
        <v>IP-Poster</v>
      </c>
      <c r="G2374" s="7" t="str">
        <f>IFERROR(__xludf.DUMMYFUNCTION("""COMPUTED_VALUE"""),"In-Person")</f>
        <v>In-Person</v>
      </c>
      <c r="H2374" s="7" t="str">
        <f>IFERROR(__xludf.DUMMYFUNCTION("""COMPUTED_VALUE"""),"Hall 4/5")</f>
        <v>Hall 4/5</v>
      </c>
      <c r="I2374" s="7" t="str">
        <f>IFERROR(__xludf.DUMMYFUNCTION("""COMPUTED_VALUE"""),"Session 7: IP-Posters")</f>
        <v>Session 7: IP-Posters</v>
      </c>
      <c r="J2374" s="7" t="str">
        <f>IFERROR(__xludf.DUMMYFUNCTION("""COMPUTED_VALUE"""),"Poster Session 2")</f>
        <v>Poster Session 2</v>
      </c>
      <c r="K2374" s="7"/>
      <c r="L2374" s="8">
        <f>IFERROR(__xludf.DUMMYFUNCTION("""COMPUTED_VALUE"""),45867.0)</f>
        <v>45867</v>
      </c>
      <c r="M2374" s="7" t="str">
        <f>IFERROR(__xludf.DUMMYFUNCTION("""COMPUTED_VALUE"""),"10:30-12:00")</f>
        <v>10:30-12:00</v>
      </c>
      <c r="N2374" s="7"/>
    </row>
    <row r="2375">
      <c r="A2375" s="7" t="str">
        <f>IFERROR(__xludf.DUMMYFUNCTION("""COMPUTED_VALUE"""),"1905-MAIN")</f>
        <v>1905-MAIN</v>
      </c>
      <c r="B2375" s="7" t="str">
        <f>IFERROR(__xludf.DUMMYFUNCTION("""COMPUTED_VALUE"""),"Multilingual Gloss-free Sign Language Translation: Towards Building a Sign Language Foundation Model")</f>
        <v>Multilingual Gloss-free Sign Language Translation: Towards Building a Sign Language Foundation Model</v>
      </c>
      <c r="C2375" s="7" t="str">
        <f>IFERROR(__xludf.DUMMYFUNCTION("""COMPUTED_VALUE"""),"Sign Language Translation (SLT) aims to convert sign language (SL) videos into spoken language text, thereby bridging the communication gap between the sign and the spoken community. While most existing works focus on translating a single SL into a single"&amp;" spoken language (one-to-one SLT), leveraging multilingual resources could mitigate low-resource issues and enhance accessibility. However, multilingual SLT (MLSLT) remains unexplored due to language conflicts and alignment difficulties across SLs and spo"&amp;"ken languages. To address these challenges, we propose a multilingual gloss-free model with dual CTC objectives for token-level SL identification and spoken text generation. Our model supports 10 SLs and handles one-to-one, many-to-one, and many-to-many S"&amp;"LT tasks, achieving competitive performance compared to state-of-the-art methods on three widely adopted benchmarks: multilingual SP-10, PHOENIX14T, and CSL-Daily.")</f>
        <v>Sign Language Translation (SLT) aims to convert sign language (SL) videos into spoken language text, thereby bridging the communication gap between the sign and the spoken community. While most existing works focus on translating a single SL into a single spoken language (one-to-one SLT), leveraging multilingual resources could mitigate low-resource issues and enhance accessibility. However, multilingual SLT (MLSLT) remains unexplored due to language conflicts and alignment difficulties across SLs and spoken languages. To address these challenges, we propose a multilingual gloss-free model with dual CTC objectives for token-level SL identification and spoken text generation. Our model supports 10 SLs and handles one-to-one, many-to-one, and many-to-many SLT tasks, achieving competitive performance compared to state-of-the-art methods on three widely adopted benchmarks: multilingual SP-10, PHOENIX14T, and CSL-Daily.</v>
      </c>
      <c r="D2375" s="7" t="str">
        <f>IFERROR(__xludf.DUMMYFUNCTION("""COMPUTED_VALUE"""),"Sihan Tan")</f>
        <v>Sihan Tan</v>
      </c>
      <c r="E2375" s="7" t="str">
        <f>IFERROR(__xludf.DUMMYFUNCTION("""COMPUTED_VALUE"""),"Yes")</f>
        <v>Yes</v>
      </c>
      <c r="F2375" s="7" t="str">
        <f>IFERROR(__xludf.DUMMYFUNCTION("""COMPUTED_VALUE"""),"IP-Poster")</f>
        <v>IP-Poster</v>
      </c>
      <c r="G2375" s="7" t="str">
        <f>IFERROR(__xludf.DUMMYFUNCTION("""COMPUTED_VALUE"""),"In-Person")</f>
        <v>In-Person</v>
      </c>
      <c r="H2375" s="7" t="str">
        <f>IFERROR(__xludf.DUMMYFUNCTION("""COMPUTED_VALUE"""),"Hall 4/5")</f>
        <v>Hall 4/5</v>
      </c>
      <c r="I2375" s="7" t="str">
        <f>IFERROR(__xludf.DUMMYFUNCTION("""COMPUTED_VALUE"""),"Session 10: IP-Posters")</f>
        <v>Session 10: IP-Posters</v>
      </c>
      <c r="J2375" s="7" t="str">
        <f>IFERROR(__xludf.DUMMYFUNCTION("""COMPUTED_VALUE"""),"Poster Session 3")</f>
        <v>Poster Session 3</v>
      </c>
      <c r="K2375" s="7"/>
      <c r="L2375" s="8">
        <f>IFERROR(__xludf.DUMMYFUNCTION("""COMPUTED_VALUE"""),45867.0)</f>
        <v>45867</v>
      </c>
      <c r="M2375" s="7" t="str">
        <f>IFERROR(__xludf.DUMMYFUNCTION("""COMPUTED_VALUE"""),"16:00-17:30")</f>
        <v>16:00-17:30</v>
      </c>
      <c r="N2375" s="7"/>
    </row>
    <row r="2376">
      <c r="A2376" s="7" t="str">
        <f>IFERROR(__xludf.DUMMYFUNCTION("""COMPUTED_VALUE"""),"1907-MAIN")</f>
        <v>1907-MAIN</v>
      </c>
      <c r="B2376" s="7" t="str">
        <f>IFERROR(__xludf.DUMMYFUNCTION("""COMPUTED_VALUE"""),"PreP-OCR: A Complete Pipeline for Document Image Restoration and Enhanced OCR Accuracy")</f>
        <v>PreP-OCR: A Complete Pipeline for Document Image Restoration and Enhanced OCR Accuracy</v>
      </c>
      <c r="C2376" s="7" t="str">
        <f>IFERROR(__xludf.DUMMYFUNCTION("""COMPUTED_VALUE"""),"This paper introduces PreP-OCR, a two-stage pipeline that combines document image restoration with semantic-aware post-OCR correction to enhance both visual clarity and textual consistency, thereby improving text extraction from degraded historical docume"&amp;"nts.
First, we synthesize document-image pairs from plaintext, rendering them with diverse fonts and layouts and then applying a randomly ordered set of degradation operations. An image restoration model is trained on this synthetic data, using multi-dire"&amp;"ctional patch extraction and fusion to process large images. Second, a ByT5 post-OCR model, fine-tuned on synthetic historical text pairs, addresses remaining OCR errors.
Detailed experiments on 13,831 pages of real historical documents in English, French"&amp;", and Spanish show that the PreP-OCR pipeline reduces character error rates by 63.9-70.3\% compared to OCR on raw images. Our pipeline demonstrates the potential of integrating image restoration with linguistic error correction for digitizing historical a"&amp;"rchives.")</f>
        <v>This paper introduces PreP-OCR, a two-stage pipeline that combines document image restoration with semantic-aware post-OCR correction to enhance both visual clarity and textual consistency, thereby improving text extraction from degraded historical documents.
First, we synthesize document-image pairs from plaintext, rendering them with diverse fonts and layouts and then applying a randomly ordered set of degradation operations. An image restoration model is trained on this synthetic data, using multi-directional patch extraction and fusion to process large images. Second, a ByT5 post-OCR model, fine-tuned on synthetic historical text pairs, addresses remaining OCR errors.
Detailed experiments on 13,831 pages of real historical documents in English, French, and Spanish show that the PreP-OCR pipeline reduces character error rates by 63.9-70.3\% compared to OCR on raw images. Our pipeline demonstrates the potential of integrating image restoration with linguistic error correction for digitizing historical archives.</v>
      </c>
      <c r="D2376" s="7" t="str">
        <f>IFERROR(__xludf.DUMMYFUNCTION("""COMPUTED_VALUE"""),"Shuhao Guan")</f>
        <v>Shuhao Guan</v>
      </c>
      <c r="E2376" s="7" t="str">
        <f>IFERROR(__xludf.DUMMYFUNCTION("""COMPUTED_VALUE"""),"Yes")</f>
        <v>Yes</v>
      </c>
      <c r="F2376" s="7" t="str">
        <f>IFERROR(__xludf.DUMMYFUNCTION("""COMPUTED_VALUE"""),"IP-Poster")</f>
        <v>IP-Poster</v>
      </c>
      <c r="G2376" s="7" t="str">
        <f>IFERROR(__xludf.DUMMYFUNCTION("""COMPUTED_VALUE"""),"In-Person")</f>
        <v>In-Person</v>
      </c>
      <c r="H2376" s="7" t="str">
        <f>IFERROR(__xludf.DUMMYFUNCTION("""COMPUTED_VALUE"""),"Hall 4/5")</f>
        <v>Hall 4/5</v>
      </c>
      <c r="I2376" s="7" t="str">
        <f>IFERROR(__xludf.DUMMYFUNCTION("""COMPUTED_VALUE"""),"Session 7: IP-Posters")</f>
        <v>Session 7: IP-Posters</v>
      </c>
      <c r="J2376" s="7" t="str">
        <f>IFERROR(__xludf.DUMMYFUNCTION("""COMPUTED_VALUE"""),"Poster Session 2")</f>
        <v>Poster Session 2</v>
      </c>
      <c r="K2376" s="7"/>
      <c r="L2376" s="8">
        <f>IFERROR(__xludf.DUMMYFUNCTION("""COMPUTED_VALUE"""),45867.0)</f>
        <v>45867</v>
      </c>
      <c r="M2376" s="7" t="str">
        <f>IFERROR(__xludf.DUMMYFUNCTION("""COMPUTED_VALUE"""),"10:30-12:00")</f>
        <v>10:30-12:00</v>
      </c>
      <c r="N2376" s="7"/>
    </row>
    <row r="2377">
      <c r="A2377" s="7" t="str">
        <f>IFERROR(__xludf.DUMMYFUNCTION("""COMPUTED_VALUE"""),"1908-MAIN")</f>
        <v>1908-MAIN</v>
      </c>
      <c r="B2377" s="7" t="str">
        <f>IFERROR(__xludf.DUMMYFUNCTION("""COMPUTED_VALUE"""),"Digest the Knowledge: Large Language Models empowered Message Passing for Knowledge Graph Question Answering")</f>
        <v>Digest the Knowledge: Large Language Models empowered Message Passing for Knowledge Graph Question Answering</v>
      </c>
      <c r="C2377" s="7" t="str">
        <f>IFERROR(__xludf.DUMMYFUNCTION("""COMPUTED_VALUE"""),"Despite their success, large language models (LLMs) suffer from notorious hallucination issue. By introducing external knowledge stored in knowledge graphs (KGs), existing methods use paths as the medium to represent the graph information that send into L"&amp;"LMs. However, paths only contain limited graph structure information and are unorganized with redundant sequentially appeared keywords, which are difficult for LLMs to digest. We aim to find a suitable medium that captures the essence of structure knowled"&amp;"ge in KGs. Inspired by the Neural Message Passing in Graph Neural Networks, we propose Language Message Passing (LMP) that first learns a concise facts graph by iteratively aggregates neighbor entities and transforms them into semantic facts, and then we "&amp;"performs Topological Readout that encodes the graph structure information into multi-level lists of texts to augment LLMs. Our method serves as a brand-new innovative framework that brings a new perspective into KG-enhanced LLMs, and also offers human-lev"&amp;"el semantic explainability with significant performance improvements over existing methods on all 5 knowledge graph question answering datasets. Code is available at https://github.com/wanjunhong0/LMP.")</f>
        <v>Despite their success, large language models (LLMs) suffer from notorious hallucination issue. By introducing external knowledge stored in knowledge graphs (KGs), existing methods use paths as the medium to represent the graph information that send into LLMs. However, paths only contain limited graph structure information and are unorganized with redundant sequentially appeared keywords, which are difficult for LLMs to digest. We aim to find a suitable medium that captures the essence of structure knowledge in KGs. Inspired by the Neural Message Passing in Graph Neural Networks, we propose Language Message Passing (LMP) that first learns a concise facts graph by iteratively aggregates neighbor entities and transforms them into semantic facts, and then we performs Topological Readout that encodes the graph structure information into multi-level lists of texts to augment LLMs. Our method serves as a brand-new innovative framework that brings a new perspective into KG-enhanced LLMs, and also offers human-level semantic explainability with significant performance improvements over existing methods on all 5 knowledge graph question answering datasets. Code is available at https://github.com/wanjunhong0/LMP.</v>
      </c>
      <c r="D2377" s="7" t="str">
        <f>IFERROR(__xludf.DUMMYFUNCTION("""COMPUTED_VALUE"""),"Junhong Wan")</f>
        <v>Junhong Wan</v>
      </c>
      <c r="E2377" s="7" t="str">
        <f>IFERROR(__xludf.DUMMYFUNCTION("""COMPUTED_VALUE"""),"Yes")</f>
        <v>Yes</v>
      </c>
      <c r="F2377" s="7" t="str">
        <f>IFERROR(__xludf.DUMMYFUNCTION("""COMPUTED_VALUE"""),"IP-Poster")</f>
        <v>IP-Poster</v>
      </c>
      <c r="G2377" s="7" t="str">
        <f>IFERROR(__xludf.DUMMYFUNCTION("""COMPUTED_VALUE"""),"In-Person")</f>
        <v>In-Person</v>
      </c>
      <c r="H2377" s="7" t="str">
        <f>IFERROR(__xludf.DUMMYFUNCTION("""COMPUTED_VALUE"""),"Hall 4/5")</f>
        <v>Hall 4/5</v>
      </c>
      <c r="I2377" s="7" t="str">
        <f>IFERROR(__xludf.DUMMYFUNCTION("""COMPUTED_VALUE"""),"Session 12: IP-Posters")</f>
        <v>Session 12: IP-Posters</v>
      </c>
      <c r="J2377" s="7" t="str">
        <f>IFERROR(__xludf.DUMMYFUNCTION("""COMPUTED_VALUE"""),"Poster Session 4")</f>
        <v>Poster Session 4</v>
      </c>
      <c r="K2377" s="7"/>
      <c r="L2377" s="8">
        <f>IFERROR(__xludf.DUMMYFUNCTION("""COMPUTED_VALUE"""),45868.0)</f>
        <v>45868</v>
      </c>
      <c r="M2377" s="7" t="str">
        <f>IFERROR(__xludf.DUMMYFUNCTION("""COMPUTED_VALUE"""),"11:00-12:30")</f>
        <v>11:00-12:30</v>
      </c>
      <c r="N2377" s="7"/>
    </row>
    <row r="2378">
      <c r="A2378" s="7" t="str">
        <f>IFERROR(__xludf.DUMMYFUNCTION("""COMPUTED_VALUE"""),"1913-MAIN")</f>
        <v>1913-MAIN</v>
      </c>
      <c r="B2378" s="7" t="str">
        <f>IFERROR(__xludf.DUMMYFUNCTION("""COMPUTED_VALUE"""),"RecLM: Recommendation Instruction Tuning")</f>
        <v>RecLM: Recommendation Instruction Tuning</v>
      </c>
      <c r="C2378" s="7" t="str">
        <f>IFERROR(__xludf.DUMMYFUNCTION("""COMPUTED_VALUE"""),"Modern recommender systems aim to deeply understand users' complex preferences through their past interactions. While deep collaborative filtering approaches using Graph Neural Networks (GNNs) excel at capturing user-item relationships, their effectivenes"&amp;"s is limited when handling sparse data or zero-shot scenarios, primarily due to constraints in ID-based embedding functions. To address these challenges, we propose a model-agnostic recommendation instruction-tuning paradigm that seamlessly integrates lar"&amp;"ge language models with collaborative filtering. Our proposed Recommendation Language Model (RecLM) enhances the capture of user preference diversity through a carefully designed reinforcement learning reward function that facilitates self-augmentation of"&amp;" language models. Comprehensive evaluations demonstrate significant advantages of our approach across various settings, and its plug-and-play compatibility with state-of-the-art recommender systems results in notable performance enhancements.")</f>
        <v>Modern recommender systems aim to deeply understand users' complex preferences through their past interactions. While deep collaborative filtering approaches using Graph Neural Networks (GNNs) excel at capturing user-item relationships, their effectiveness is limited when handling sparse data or zero-shot scenarios, primarily due to constraints in ID-based embedding functions. To address these challenges, we propose a model-agnostic recommendation instruction-tuning paradigm that seamlessly integrates large language models with collaborative filtering. Our proposed Recommendation Language Model (RecLM) enhances the capture of user preference diversity through a carefully designed reinforcement learning reward function that facilitates self-augmentation of language models. Comprehensive evaluations demonstrate significant advantages of our approach across various settings, and its plug-and-play compatibility with state-of-the-art recommender systems results in notable performance enhancements.</v>
      </c>
      <c r="D2378" s="7" t="str">
        <f>IFERROR(__xludf.DUMMYFUNCTION("""COMPUTED_VALUE"""),"Yangqin Jiang")</f>
        <v>Yangqin Jiang</v>
      </c>
      <c r="E2378" s="7" t="str">
        <f>IFERROR(__xludf.DUMMYFUNCTION("""COMPUTED_VALUE"""),"Yes")</f>
        <v>Yes</v>
      </c>
      <c r="F2378" s="7" t="str">
        <f>IFERROR(__xludf.DUMMYFUNCTION("""COMPUTED_VALUE"""),"IP-Poster")</f>
        <v>IP-Poster</v>
      </c>
      <c r="G2378" s="7" t="str">
        <f>IFERROR(__xludf.DUMMYFUNCTION("""COMPUTED_VALUE"""),"In-Person")</f>
        <v>In-Person</v>
      </c>
      <c r="H2378" s="7" t="str">
        <f>IFERROR(__xludf.DUMMYFUNCTION("""COMPUTED_VALUE"""),"Hall 4/5")</f>
        <v>Hall 4/5</v>
      </c>
      <c r="I2378" s="7" t="str">
        <f>IFERROR(__xludf.DUMMYFUNCTION("""COMPUTED_VALUE"""),"Session 12: IP-Posters")</f>
        <v>Session 12: IP-Posters</v>
      </c>
      <c r="J2378" s="7" t="str">
        <f>IFERROR(__xludf.DUMMYFUNCTION("""COMPUTED_VALUE"""),"Poster Session 4")</f>
        <v>Poster Session 4</v>
      </c>
      <c r="K2378" s="7"/>
      <c r="L2378" s="8">
        <f>IFERROR(__xludf.DUMMYFUNCTION("""COMPUTED_VALUE"""),45868.0)</f>
        <v>45868</v>
      </c>
      <c r="M2378" s="7" t="str">
        <f>IFERROR(__xludf.DUMMYFUNCTION("""COMPUTED_VALUE"""),"11:00-12:30")</f>
        <v>11:00-12:30</v>
      </c>
      <c r="N2378" s="7"/>
    </row>
    <row r="2379">
      <c r="A2379" s="7" t="str">
        <f>IFERROR(__xludf.DUMMYFUNCTION("""COMPUTED_VALUE"""),"1916-MAIN")</f>
        <v>1916-MAIN</v>
      </c>
      <c r="B2379" s="7" t="str">
        <f>IFERROR(__xludf.DUMMYFUNCTION("""COMPUTED_VALUE"""),"DS2-ABSA: Dual-Stream Data Synthesis with Label Refinement for Few-Shot Aspect-Based Sentiment Analysis")</f>
        <v>DS2-ABSA: Dual-Stream Data Synthesis with Label Refinement for Few-Shot Aspect-Based Sentiment Analysis</v>
      </c>
      <c r="C2379" s="7" t="str">
        <f>IFERROR(__xludf.DUMMYFUNCTION("""COMPUTED_VALUE"""),"Recently developed large language models (LLMs) have presented promising new avenues to address data scarcity in low-resource scenarios. In few-shot aspect-based sentiment analysis (ABSA), previous efforts have explored data augmentation techniques, which"&amp;" prompt LLMs to generate new samples by modifying existing ones. However, these methods fail to produce adequately diverse data, impairing their effectiveness. Besides, some studies apply in-context learning for ABSA by using specific instructions and a f"&amp;"ew selected examples as prompts. Though promising, LLMs often yield labels that deviate from task requirements. To overcome these limitations, we propose DS$^2$-ABSA, a dual-stream data synthesis framework targeted for few-shot ABSA. It leverages LLMs to "&amp;"synthesize data from two complementary perspectives: \textit{key-point-driven} and \textit{instance-driven}, which effectively generate diverse and high-quality ABSA samples in low-resource settings. Furthermore, a \textit{label refinement} module is inte"&amp;"grated to improve the synthetic labels. Extensive experiments demonstrate that DS$^2$-ABSA significantly outperforms previous few-shot ABSA solutions and other LLM-oriented data generation methods.")</f>
        <v>Recently developed large language models (LLMs) have presented promising new avenues to address data scarcity in low-resource scenarios. In few-shot aspect-based sentiment analysis (ABSA), previous efforts have explored data augmentation techniques, which prompt LLMs to generate new samples by modifying existing ones. However, these methods fail to produce adequately diverse data, impairing their effectiveness. Besides, some studies apply in-context learning for ABSA by using specific instructions and a few selected examples as prompts. Though promising, LLMs often yield labels that deviate from task requirements. To overcome these limitations, we propose DS$^2$-ABSA, a dual-stream data synthesis framework targeted for few-shot ABSA. It leverages LLMs to synthesize data from two complementary perspectives: \textit{key-point-driven} and \textit{instance-driven}, which effectively generate diverse and high-quality ABSA samples in low-resource settings. Furthermore, a \textit{label refinement} module is integrated to improve the synthetic labels. Extensive experiments demonstrate that DS$^2$-ABSA significantly outperforms previous few-shot ABSA solutions and other LLM-oriented data generation methods.</v>
      </c>
      <c r="D2379" s="7" t="str">
        <f>IFERROR(__xludf.DUMMYFUNCTION("""COMPUTED_VALUE"""),"Hongling Xu")</f>
        <v>Hongling Xu</v>
      </c>
      <c r="E2379" s="7" t="str">
        <f>IFERROR(__xludf.DUMMYFUNCTION("""COMPUTED_VALUE"""),"Yes")</f>
        <v>Yes</v>
      </c>
      <c r="F2379" s="7" t="str">
        <f>IFERROR(__xludf.DUMMYFUNCTION("""COMPUTED_VALUE"""),"IP-Oral")</f>
        <v>IP-Oral</v>
      </c>
      <c r="G2379" s="7" t="str">
        <f>IFERROR(__xludf.DUMMYFUNCTION("""COMPUTED_VALUE"""),"In-Person")</f>
        <v>In-Person</v>
      </c>
      <c r="H2379" s="7" t="str">
        <f>IFERROR(__xludf.DUMMYFUNCTION("""COMPUTED_VALUE"""),"Room 1.62")</f>
        <v>Room 1.62</v>
      </c>
      <c r="I2379" s="7" t="str">
        <f>IFERROR(__xludf.DUMMYFUNCTION("""COMPUTED_VALUE"""),"Session 9: IP-Orals")</f>
        <v>Session 9: IP-Orals</v>
      </c>
      <c r="J2379" s="7" t="str">
        <f>IFERROR(__xludf.DUMMYFUNCTION("""COMPUTED_VALUE"""),"Sentiment, Style and Argumentation Analysis")</f>
        <v>Sentiment, Style and Argumentation Analysis</v>
      </c>
      <c r="K2379" s="7"/>
      <c r="L2379" s="8">
        <f>IFERROR(__xludf.DUMMYFUNCTION("""COMPUTED_VALUE"""),45867.0)</f>
        <v>45867</v>
      </c>
      <c r="M2379" s="7" t="str">
        <f>IFERROR(__xludf.DUMMYFUNCTION("""COMPUTED_VALUE"""),"14:00-15:30")</f>
        <v>14:00-15:30</v>
      </c>
      <c r="N2379" s="7">
        <f>IFERROR(__xludf.DUMMYFUNCTION("""COMPUTED_VALUE"""),4.0)</f>
        <v>4</v>
      </c>
    </row>
    <row r="2380">
      <c r="A2380" s="7" t="str">
        <f>IFERROR(__xludf.DUMMYFUNCTION("""COMPUTED_VALUE"""),"1917-MAIN")</f>
        <v>1917-MAIN</v>
      </c>
      <c r="B2380" s="7" t="str">
        <f>IFERROR(__xludf.DUMMYFUNCTION("""COMPUTED_VALUE"""),"MISP-Meeting: A Real-World Dataset with Multimodal Cues for Long-form Meeting Transcription and Summarization")</f>
        <v>MISP-Meeting: A Real-World Dataset with Multimodal Cues for Long-form Meeting Transcription and Summarization</v>
      </c>
      <c r="C2380" s="7" t="str">
        <f>IFERROR(__xludf.DUMMYFUNCTION("""COMPUTED_VALUE"""),"We introduce MISP-Meeting, a new real-world, multimodal dataset that covers subject-oriented long-form content. MISP-Meeting integrates information from speech, vision, and text modalities to facilitate automatic meeting transcription and summarization (A"&amp;"MTS). Challenging conditions in human meetings, including far-field speech recognition, audio-visual understanding, and long-term summarization, have been carefully evaluated. We benchmark state-of-the-art automatic speech recognition (ASR) and large lang"&amp;"uage models (LLMs) on this dataset, enhanced with multimodal cues. Experiments demonstrate that incorporating multimodal cues, such as lip movements and visual focus of attention, significantly enhances transcription accuracy, reducing the character error"&amp;" rate (CER) from 36.60% to 20.27% via guided source separation (GSS), fine-tuning, and audio-visual fusion. Furthermore, our summarization analysis reveals a direct correlation between ASR quality and summary coherence, underscoring the importance of robu"&amp;"st multimodal modeling. Our dataset and codebase will be released as open source.")</f>
        <v>We introduce MISP-Meeting, a new real-world, multimodal dataset that covers subject-oriented long-form content. MISP-Meeting integrates information from speech, vision, and text modalities to facilitate automatic meeting transcription and summarization (AMTS). Challenging conditions in human meetings, including far-field speech recognition, audio-visual understanding, and long-term summarization, have been carefully evaluated. We benchmark state-of-the-art automatic speech recognition (ASR) and large language models (LLMs) on this dataset, enhanced with multimodal cues. Experiments demonstrate that incorporating multimodal cues, such as lip movements and visual focus of attention, significantly enhances transcription accuracy, reducing the character error rate (CER) from 36.60% to 20.27% via guided source separation (GSS), fine-tuning, and audio-visual fusion. Furthermore, our summarization analysis reveals a direct correlation between ASR quality and summary coherence, underscoring the importance of robust multimodal modeling. Our dataset and codebase will be released as open source.</v>
      </c>
      <c r="D2380" s="7" t="str">
        <f>IFERROR(__xludf.DUMMYFUNCTION("""COMPUTED_VALUE"""),"Hang Chen, Huck Yang")</f>
        <v>Hang Chen, Huck Yang</v>
      </c>
      <c r="E2380" s="7" t="str">
        <f>IFERROR(__xludf.DUMMYFUNCTION("""COMPUTED_VALUE"""),"Yes")</f>
        <v>Yes</v>
      </c>
      <c r="F2380" s="7" t="str">
        <f>IFERROR(__xludf.DUMMYFUNCTION("""COMPUTED_VALUE"""),"IP-Poster")</f>
        <v>IP-Poster</v>
      </c>
      <c r="G2380" s="7" t="str">
        <f>IFERROR(__xludf.DUMMYFUNCTION("""COMPUTED_VALUE"""),"In-Person")</f>
        <v>In-Person</v>
      </c>
      <c r="H2380" s="7" t="str">
        <f>IFERROR(__xludf.DUMMYFUNCTION("""COMPUTED_VALUE"""),"Hall 4/5")</f>
        <v>Hall 4/5</v>
      </c>
      <c r="I2380" s="7" t="str">
        <f>IFERROR(__xludf.DUMMYFUNCTION("""COMPUTED_VALUE"""),"Session 10: IP-Posters")</f>
        <v>Session 10: IP-Posters</v>
      </c>
      <c r="J2380" s="7" t="str">
        <f>IFERROR(__xludf.DUMMYFUNCTION("""COMPUTED_VALUE"""),"Poster Session 3")</f>
        <v>Poster Session 3</v>
      </c>
      <c r="K2380" s="7"/>
      <c r="L2380" s="8">
        <f>IFERROR(__xludf.DUMMYFUNCTION("""COMPUTED_VALUE"""),45867.0)</f>
        <v>45867</v>
      </c>
      <c r="M2380" s="7" t="str">
        <f>IFERROR(__xludf.DUMMYFUNCTION("""COMPUTED_VALUE"""),"16:00-17:30")</f>
        <v>16:00-17:30</v>
      </c>
      <c r="N2380" s="7"/>
    </row>
    <row r="2381">
      <c r="A2381" s="7" t="str">
        <f>IFERROR(__xludf.DUMMYFUNCTION("""COMPUTED_VALUE"""),"1919-MAIN")</f>
        <v>1919-MAIN</v>
      </c>
      <c r="B2381" s="7" t="str">
        <f>IFERROR(__xludf.DUMMYFUNCTION("""COMPUTED_VALUE"""),"Learning Together to Perform Better: Teaching Small-Scale LLMs to Collaborate via Preferential Rationale Tuning")</f>
        <v>Learning Together to Perform Better: Teaching Small-Scale LLMs to Collaborate via Preferential Rationale Tuning</v>
      </c>
      <c r="C2381" s="7" t="str">
        <f>IFERROR(__xludf.DUMMYFUNCTION("""COMPUTED_VALUE"""),"LLMs such as GPT-4 have shown a remarkable ability to solve complex questions by generating step-by-step rationales. Prior works have utilized this capability to improve smaller and cheaper LMs (say, with 7B parameters). However, various practical constra"&amp;"ints, such as copyright and legal issues, owing to lack of transparency in the pre-training data of large (often closed) models, prevent their use in commercial settings. Little focus has been given to improving the innate reasoning ability of smaller mod"&amp;"els without distilling information from larger LLMs. To address this, we propose COLLATE, a trainable framework that tunes a (small) LLM to generate those outputs from a pool of diverse rationales that selectively improves the downstream task. COLLATE enf"&amp;"orces multiple instances of the same LLM to exhibit distinct behavior and employs them to generate rationales to obtain diverse outputs. The LLM is then tuned via preference optimization to choose the candidate rationale which maximizes the likelihood of "&amp;"ground-truth answer. COLLATE outperforms several trainable and prompting baselines on 5 datasets across 3 domains - maths problem solving, natural language inference, and commonsense reasoning. We show the efficacy of COLLATE on LLMs from different model "&amp;"families across varying parameter scales (1B to 8B) and demonstrate the benefit of multiple rationale providers guided by the end task through ablations. Code is released here (https://github.com/Sohanpatnaik106/collate).")</f>
        <v>LLMs such as GPT-4 have shown a remarkable ability to solve complex questions by generating step-by-step rationales. Prior works have utilized this capability to improve smaller and cheaper LMs (say, with 7B parameters). However, various practical constraints, such as copyright and legal issues, owing to lack of transparency in the pre-training data of large (often closed) models, prevent their use in commercial settings. Little focus has been given to improving the innate reasoning ability of smaller models without distilling information from larger LLMs. To address this, we propose COLLATE, a trainable framework that tunes a (small) LLM to generate those outputs from a pool of diverse rationales that selectively improves the downstream task. COLLATE enforces multiple instances of the same LLM to exhibit distinct behavior and employs them to generate rationales to obtain diverse outputs. The LLM is then tuned via preference optimization to choose the candidate rationale which maximizes the likelihood of ground-truth answer. COLLATE outperforms several trainable and prompting baselines on 5 datasets across 3 domains - maths problem solving, natural language inference, and commonsense reasoning. We show the efficacy of COLLATE on LLMs from different model families across varying parameter scales (1B to 8B) and demonstrate the benefit of multiple rationale providers guided by the end task through ablations. Code is released here (https://github.com/Sohanpatnaik106/collate).</v>
      </c>
      <c r="D2381" s="7" t="str">
        <f>IFERROR(__xludf.DUMMYFUNCTION("""COMPUTED_VALUE"""),"Sohan Patnaik")</f>
        <v>Sohan Patnaik</v>
      </c>
      <c r="E2381" s="7" t="str">
        <f>IFERROR(__xludf.DUMMYFUNCTION("""COMPUTED_VALUE"""),"Yes")</f>
        <v>Yes</v>
      </c>
      <c r="F2381" s="7" t="str">
        <f>IFERROR(__xludf.DUMMYFUNCTION("""COMPUTED_VALUE"""),"IP-Poster")</f>
        <v>IP-Poster</v>
      </c>
      <c r="G2381" s="7" t="str">
        <f>IFERROR(__xludf.DUMMYFUNCTION("""COMPUTED_VALUE"""),"In-Person")</f>
        <v>In-Person</v>
      </c>
      <c r="H2381" s="7" t="str">
        <f>IFERROR(__xludf.DUMMYFUNCTION("""COMPUTED_VALUE"""),"Hall 4/5")</f>
        <v>Hall 4/5</v>
      </c>
      <c r="I2381" s="7" t="str">
        <f>IFERROR(__xludf.DUMMYFUNCTION("""COMPUTED_VALUE"""),"Session 7: IP-Posters")</f>
        <v>Session 7: IP-Posters</v>
      </c>
      <c r="J2381" s="7" t="str">
        <f>IFERROR(__xludf.DUMMYFUNCTION("""COMPUTED_VALUE"""),"Poster Session 2")</f>
        <v>Poster Session 2</v>
      </c>
      <c r="K2381" s="7"/>
      <c r="L2381" s="8">
        <f>IFERROR(__xludf.DUMMYFUNCTION("""COMPUTED_VALUE"""),45867.0)</f>
        <v>45867</v>
      </c>
      <c r="M2381" s="7" t="str">
        <f>IFERROR(__xludf.DUMMYFUNCTION("""COMPUTED_VALUE"""),"10:30-12:00")</f>
        <v>10:30-12:00</v>
      </c>
      <c r="N2381" s="7"/>
    </row>
    <row r="2382">
      <c r="A2382" s="7" t="str">
        <f>IFERROR(__xludf.DUMMYFUNCTION("""COMPUTED_VALUE"""),"1920-MAIN")</f>
        <v>1920-MAIN</v>
      </c>
      <c r="B2382" s="7" t="str">
        <f>IFERROR(__xludf.DUMMYFUNCTION("""COMPUTED_VALUE"""),"MolRAG: Unlocking the Power of Large Language Models for Molecular Property Prediction")</f>
        <v>MolRAG: Unlocking the Power of Large Language Models for Molecular Property Prediction</v>
      </c>
      <c r="C2382" s="7" t="str">
        <f>IFERROR(__xludf.DUMMYFUNCTION("""COMPUTED_VALUE"""),"Recent LLMs exhibit limited effectiveness on molecular property prediction task due to the semantic gap between molecular representations and natural language, as well as the lack of domain-specific knowledge. To address these challenges, we propose MolRA"&amp;"G, a Retrieval-Augmented Generation framework integrating Chain-of-Thought reasoning for molecular property prediction. MolRAG operates by retrieving structurally analogous molecules as contextual references to guide stepwise knowledge reasoning through c"&amp;"hemical structure-property relationships. This dual mechanism synergizes molecular similarity analysis with structured inference, while generating human-interpretable rationales grounded in domain knowledge. Experimental results show MolRAG outperforms pr"&amp;"e-trained LLMs on four datasets, and even matches supervised methods, achieving performance gains of 1.1%–45.7% over direct prediction approaches, demonstrating versatile effectiveness. Our code is available at https://github.com/AcaciaSin/MolRAG.")</f>
        <v>Recent LLMs exhibit limited effectiveness on molecular property prediction task due to the semantic gap between molecular representations and natural language, as well as the lack of domain-specific knowledge. To address these challenges, we propose MolRAG, a Retrieval-Augmented Generation framework integrating Chain-of-Thought reasoning for molecular property prediction. MolRAG operates by retrieving structurally analogous molecules as contextual references to guide stepwise knowledge reasoning through chemical structure-property relationships. This dual mechanism synergizes molecular similarity analysis with structured inference, while generating human-interpretable rationales grounded in domain knowledge. Experimental results show MolRAG outperforms pre-trained LLMs on four datasets, and even matches supervised methods, achieving performance gains of 1.1%–45.7% over direct prediction approaches, demonstrating versatile effectiveness. Our code is available at https://github.com/AcaciaSin/MolRAG.</v>
      </c>
      <c r="D2382" s="7" t="str">
        <f>IFERROR(__xludf.DUMMYFUNCTION("""COMPUTED_VALUE"""),"Ziting Xian")</f>
        <v>Ziting Xian</v>
      </c>
      <c r="E2382" s="7" t="str">
        <f>IFERROR(__xludf.DUMMYFUNCTION("""COMPUTED_VALUE"""),"Yes")</f>
        <v>Yes</v>
      </c>
      <c r="F2382" s="7" t="str">
        <f>IFERROR(__xludf.DUMMYFUNCTION("""COMPUTED_VALUE"""),"IP-Poster")</f>
        <v>IP-Poster</v>
      </c>
      <c r="G2382" s="7" t="str">
        <f>IFERROR(__xludf.DUMMYFUNCTION("""COMPUTED_VALUE"""),"In-Person")</f>
        <v>In-Person</v>
      </c>
      <c r="H2382" s="7" t="str">
        <f>IFERROR(__xludf.DUMMYFUNCTION("""COMPUTED_VALUE"""),"Hall 4/5")</f>
        <v>Hall 4/5</v>
      </c>
      <c r="I2382" s="7" t="str">
        <f>IFERROR(__xludf.DUMMYFUNCTION("""COMPUTED_VALUE"""),"Session 10: IP-Posters")</f>
        <v>Session 10: IP-Posters</v>
      </c>
      <c r="J2382" s="7" t="str">
        <f>IFERROR(__xludf.DUMMYFUNCTION("""COMPUTED_VALUE"""),"Poster Session 3")</f>
        <v>Poster Session 3</v>
      </c>
      <c r="K2382" s="7"/>
      <c r="L2382" s="8">
        <f>IFERROR(__xludf.DUMMYFUNCTION("""COMPUTED_VALUE"""),45867.0)</f>
        <v>45867</v>
      </c>
      <c r="M2382" s="7" t="str">
        <f>IFERROR(__xludf.DUMMYFUNCTION("""COMPUTED_VALUE"""),"16:00-17:30")</f>
        <v>16:00-17:30</v>
      </c>
      <c r="N2382" s="7"/>
    </row>
    <row r="2383">
      <c r="A2383" s="7" t="str">
        <f>IFERROR(__xludf.DUMMYFUNCTION("""COMPUTED_VALUE"""),"1924-MAIN")</f>
        <v>1924-MAIN</v>
      </c>
      <c r="B2383" s="7" t="str">
        <f>IFERROR(__xludf.DUMMYFUNCTION("""COMPUTED_VALUE"""),"SkillAggregation: Reference-free LLM-Dependent Aggregation")</f>
        <v>SkillAggregation: Reference-free LLM-Dependent Aggregation</v>
      </c>
      <c r="C2383" s="7" t="str">
        <f>IFERROR(__xludf.DUMMYFUNCTION("""COMPUTED_VALUE"""),"Large Language Models (LLMs) are increasingly used to assess NLP tasks due to their ability to generate human-like judgments. Single LLMs were used initially, however, recent work suggests using multiple LLMs as judges yields improved performance. An impo"&amp;"rtant step in exploiting multiple judgements is the combination stage, aggregation. Existing methods in NLP either assign equal weight to all LLM judgments or are designed for specific tasks such as hallucination detection. This work focuses on aggregatin"&amp;"g predictions from multiple systems where no reference labels are available. A new method called SkillAggregation is proposed, which learns to combine estimates from LLM judges without needing additional data or ground truth. It extends the Crowdlayer agg"&amp;"regation method, developed for image classification, to exploit the judge estimates during inference. The approach is compared to a range of standard aggregation methods on HaluEval-Dialogue, TruthfulQA and Chatbot Arena tasks. SkillAggregation outperform"&amp;"s Crowdlayer on all tasks, and yields the best performance over all approaches on the majority of tasks.")</f>
        <v>Large Language Models (LLMs) are increasingly used to assess NLP tasks due to their ability to generate human-like judgments. Single LLMs were used initially, however, recent work suggests using multiple LLMs as judges yields improved performance. An important step in exploiting multiple judgements is the combination stage, aggregation. Existing methods in NLP either assign equal weight to all LLM judgments or are designed for specific tasks such as hallucination detection. This work focuses on aggregating predictions from multiple systems where no reference labels are available. A new method called SkillAggregation is proposed, which learns to combine estimates from LLM judges without needing additional data or ground truth. It extends the Crowdlayer aggregation method, developed for image classification, to exploit the judge estimates during inference. The approach is compared to a range of standard aggregation methods on HaluEval-Dialogue, TruthfulQA and Chatbot Arena tasks. SkillAggregation outperforms Crowdlayer on all tasks, and yields the best performance over all approaches on the majority of tasks.</v>
      </c>
      <c r="D2383" s="7" t="str">
        <f>IFERROR(__xludf.DUMMYFUNCTION("""COMPUTED_VALUE"""),"Guangzhi Sun")</f>
        <v>Guangzhi Sun</v>
      </c>
      <c r="E2383" s="7" t="str">
        <f>IFERROR(__xludf.DUMMYFUNCTION("""COMPUTED_VALUE"""),"Yes")</f>
        <v>Yes</v>
      </c>
      <c r="F2383" s="7" t="str">
        <f>IFERROR(__xludf.DUMMYFUNCTION("""COMPUTED_VALUE"""),"V-Presentation")</f>
        <v>V-Presentation</v>
      </c>
      <c r="G2383" s="7" t="str">
        <f>IFERROR(__xludf.DUMMYFUNCTION("""COMPUTED_VALUE"""),"Virtual/Gather")</f>
        <v>Virtual/Gather</v>
      </c>
      <c r="H2383" s="7" t="str">
        <f>IFERROR(__xludf.DUMMYFUNCTION("""COMPUTED_VALUE"""),"Zoom")</f>
        <v>Zoom</v>
      </c>
      <c r="I2383" s="7" t="str">
        <f>IFERROR(__xludf.DUMMYFUNCTION("""COMPUTED_VALUE"""),"Session 2: V-Presentations")</f>
        <v>Session 2: V-Presentations</v>
      </c>
      <c r="J2383" s="7" t="str">
        <f>IFERROR(__xludf.DUMMYFUNCTION("""COMPUTED_VALUE"""),"Virtual Presentations 1")</f>
        <v>Virtual Presentations 1</v>
      </c>
      <c r="K2383" s="7"/>
      <c r="L2383" s="8">
        <f>IFERROR(__xludf.DUMMYFUNCTION("""COMPUTED_VALUE"""),45866.0)</f>
        <v>45866</v>
      </c>
      <c r="M2383" s="7" t="str">
        <f>IFERROR(__xludf.DUMMYFUNCTION("""COMPUTED_VALUE"""),"11:00-12:30")</f>
        <v>11:00-12:30</v>
      </c>
      <c r="N2383" s="7"/>
    </row>
    <row r="2384">
      <c r="A2384" s="7" t="str">
        <f>IFERROR(__xludf.DUMMYFUNCTION("""COMPUTED_VALUE"""),"1930-MAIN")</f>
        <v>1930-MAIN</v>
      </c>
      <c r="B2384" s="7" t="str">
        <f>IFERROR(__xludf.DUMMYFUNCTION("""COMPUTED_VALUE"""),"MasRouter: Learning to Route LLMs for Multi-Agent Systems")</f>
        <v>MasRouter: Learning to Route LLMs for Multi-Agent Systems</v>
      </c>
      <c r="C2384" s="7" t="str">
        <f>IFERROR(__xludf.DUMMYFUNCTION("""COMPUTED_VALUE"""),"Multi-agent systems (MAS) powered by Large Language Models (LLMs) have been demonstrated to push the boundaries of LLM capabilities, yet they often incur significant costs and face challenges in dynamic LLM selection. Current LLM routing methods effective"&amp;"ly reduce overhead in single-agent scenarios by customizing LLM selection for each query, but they overlook the critical decisions regarding collaboration modes and agent roles in MAS. In response to this challenge, we first introduce the problem of \text"&amp;"bf{Multi-Agent System Routing (MASR)}, which integrates all components of MAS into a unified routing framework. Toward this goal, we propose MasRouter, the first high-performing, cost-effective, and inductive \textbf{MASR} solution. MasRouter employs coll"&amp;"aboration mode determination, role allocation, and LLM routing through a cascaded controller network, progressively constructing a MAS that balances effectiveness and efficiency. Extensive experiments demonstrate that MasRouter is \textbf{(1) high-perform"&amp;"ing}, achieving a $1.8$ improvement over the state-of-the-art method on MBPP; \textbf{(2) economical}, reducing overhead by up to $52.07$ compared to SOTA methods on HumanEval; and \textbf{(3) plug-and-play}, seamlessly integrating with mainstream MAS fra"&amp;"meworks, reducing overhead by $17.21$ via customized routing.")</f>
        <v>Multi-agent systems (MAS) powered by Large Language Models (LLMs) have been demonstrated to push the boundaries of LLM capabilities, yet they often incur significant costs and face challenges in dynamic LLM selection. Current LLM routing methods effectively reduce overhead in single-agent scenarios by customizing LLM selection for each query, but they overlook the critical decisions regarding collaboration modes and agent roles in MAS. In response to this challenge, we first introduce the problem of \textbf{Multi-Agent System Routing (MASR)}, which integrates all components of MAS into a unified routing framework. Toward this goal, we propose MasRouter, the first high-performing, cost-effective, and inductive \textbf{MASR} solution. MasRouter employs collaboration mode determination, role allocation, and LLM routing through a cascaded controller network, progressively constructing a MAS that balances effectiveness and efficiency. Extensive experiments demonstrate that MasRouter is \textbf{(1) high-performing}, achieving a $1.8$ improvement over the state-of-the-art method on MBPP; \textbf{(2) economical}, reducing overhead by up to $52.07$ compared to SOTA methods on HumanEval; and \textbf{(3) plug-and-play}, seamlessly integrating with mainstream MAS frameworks, reducing overhead by $17.21$ via customized routing.</v>
      </c>
      <c r="D2384" s="7" t="str">
        <f>IFERROR(__xludf.DUMMYFUNCTION("""COMPUTED_VALUE"""),"Yanwei Yue")</f>
        <v>Yanwei Yue</v>
      </c>
      <c r="E2384" s="7" t="str">
        <f>IFERROR(__xludf.DUMMYFUNCTION("""COMPUTED_VALUE"""),"Yes")</f>
        <v>Yes</v>
      </c>
      <c r="F2384" s="7" t="str">
        <f>IFERROR(__xludf.DUMMYFUNCTION("""COMPUTED_VALUE"""),"V-Presentation")</f>
        <v>V-Presentation</v>
      </c>
      <c r="G2384" s="7" t="str">
        <f>IFERROR(__xludf.DUMMYFUNCTION("""COMPUTED_VALUE"""),"Virtual/Gather")</f>
        <v>Virtual/Gather</v>
      </c>
      <c r="H2384" s="7" t="str">
        <f>IFERROR(__xludf.DUMMYFUNCTION("""COMPUTED_VALUE"""),"Zoom")</f>
        <v>Zoom</v>
      </c>
      <c r="I2384" s="7" t="str">
        <f>IFERROR(__xludf.DUMMYFUNCTION("""COMPUTED_VALUE"""),"Session 12: V-Presentations")</f>
        <v>Session 12: V-Presentations</v>
      </c>
      <c r="J2384" s="7" t="str">
        <f>IFERROR(__xludf.DUMMYFUNCTION("""COMPUTED_VALUE"""),"Virtual Presentations 4")</f>
        <v>Virtual Presentations 4</v>
      </c>
      <c r="K2384" s="7"/>
      <c r="L2384" s="8">
        <f>IFERROR(__xludf.DUMMYFUNCTION("""COMPUTED_VALUE"""),45868.0)</f>
        <v>45868</v>
      </c>
      <c r="M2384" s="7" t="str">
        <f>IFERROR(__xludf.DUMMYFUNCTION("""COMPUTED_VALUE"""),"11:00-12:30")</f>
        <v>11:00-12:30</v>
      </c>
      <c r="N2384" s="7"/>
    </row>
    <row r="2385">
      <c r="A2385" s="7" t="str">
        <f>IFERROR(__xludf.DUMMYFUNCTION("""COMPUTED_VALUE"""),"1933-MAIN")</f>
        <v>1933-MAIN</v>
      </c>
      <c r="B2385" s="7" t="str">
        <f>IFERROR(__xludf.DUMMYFUNCTION("""COMPUTED_VALUE"""),"Beyond Single Labels: Improving Conversational Recommendation through LLM-Powered Data Augmentation")</f>
        <v>Beyond Single Labels: Improving Conversational Recommendation through LLM-Powered Data Augmentation</v>
      </c>
      <c r="C2385" s="7" t="str">
        <f>IFERROR(__xludf.DUMMYFUNCTION("""COMPUTED_VALUE"""),"Conversational recommender systems (CRSs) enhance recommendation quality by engaging users in multi-turn dialogues, capturing nuanced preferences through natural language interactions. However, these systems often face the false negative issue, where item"&amp;"s that a user might like are incorrectly labeled as negative during training, leading to suboptimal recommendations. Expanding the label set through data augmentation presents an intuitive solution but faces the challenge of balancing two key aspects: ens"&amp;"uring semantic relevance and preserving the collaborative information inherent in CRS datasets. To address these issues, we propose a novel data augmentation framework that first leverages an LLM-based semantic retriever to identify diverse and semantical"&amp;"ly relevant items, which are then filtered by a relevance scorer to remove noisy candidates. Building on this, we introduce a two-stage training strategy balancing semantic relevance and collaborative information. Extensive experiments on two benchmark da"&amp;"tasets and user simulators demonstrate significant and consistent performance improvements across various recommenders, highlighting the effectiveness of our approach in advancing CRS performance.")</f>
        <v>Conversational recommender systems (CRSs) enhance recommendation quality by engaging users in multi-turn dialogues, capturing nuanced preferences through natural language interactions. However, these systems often face the false negative issue, where items that a user might like are incorrectly labeled as negative during training, leading to suboptimal recommendations. Expanding the label set through data augmentation presents an intuitive solution but faces the challenge of balancing two key aspects: ensuring semantic relevance and preserving the collaborative information inherent in CRS datasets. To address these issues, we propose a novel data augmentation framework that first leverages an LLM-based semantic retriever to identify diverse and semantically relevant items, which are then filtered by a relevance scorer to remove noisy candidates. Building on this, we introduce a two-stage training strategy balancing semantic relevance and collaborative information. Extensive experiments on two benchmark datasets and user simulators demonstrate significant and consistent performance improvements across various recommenders, highlighting the effectiveness of our approach in advancing CRS performance.</v>
      </c>
      <c r="D2385" s="7" t="str">
        <f>IFERROR(__xludf.DUMMYFUNCTION("""COMPUTED_VALUE"""),"Xiaoqing Zheng")</f>
        <v>Xiaoqing Zheng</v>
      </c>
      <c r="E2385" s="7" t="str">
        <f>IFERROR(__xludf.DUMMYFUNCTION("""COMPUTED_VALUE"""),"Yes")</f>
        <v>Yes</v>
      </c>
      <c r="F2385" s="7" t="str">
        <f>IFERROR(__xludf.DUMMYFUNCTION("""COMPUTED_VALUE"""),"IP-Poster")</f>
        <v>IP-Poster</v>
      </c>
      <c r="G2385" s="7" t="str">
        <f>IFERROR(__xludf.DUMMYFUNCTION("""COMPUTED_VALUE"""),"In-Person")</f>
        <v>In-Person</v>
      </c>
      <c r="H2385" s="7" t="str">
        <f>IFERROR(__xludf.DUMMYFUNCTION("""COMPUTED_VALUE"""),"Hall 4/5")</f>
        <v>Hall 4/5</v>
      </c>
      <c r="I2385" s="7" t="str">
        <f>IFERROR(__xludf.DUMMYFUNCTION("""COMPUTED_VALUE"""),"Session 2: IP-Posters ")</f>
        <v>Session 2: IP-Posters </v>
      </c>
      <c r="J2385" s="7" t="str">
        <f>IFERROR(__xludf.DUMMYFUNCTION("""COMPUTED_VALUE"""),"Poster Session 1")</f>
        <v>Poster Session 1</v>
      </c>
      <c r="K2385" s="7"/>
      <c r="L2385" s="8">
        <f>IFERROR(__xludf.DUMMYFUNCTION("""COMPUTED_VALUE"""),45866.0)</f>
        <v>45866</v>
      </c>
      <c r="M2385" s="7" t="str">
        <f>IFERROR(__xludf.DUMMYFUNCTION("""COMPUTED_VALUE"""),"11:00-12:30")</f>
        <v>11:00-12:30</v>
      </c>
      <c r="N2385" s="7"/>
    </row>
    <row r="2386">
      <c r="A2386" s="7" t="str">
        <f>IFERROR(__xludf.DUMMYFUNCTION("""COMPUTED_VALUE"""),"1935-MAIN")</f>
        <v>1935-MAIN</v>
      </c>
      <c r="B2386" s="7" t="str">
        <f>IFERROR(__xludf.DUMMYFUNCTION("""COMPUTED_VALUE"""),"Beyond One-Size-Fits-All: Tailored Benchmarks for Efficient Evaluation")</f>
        <v>Beyond One-Size-Fits-All: Tailored Benchmarks for Efficient Evaluation</v>
      </c>
      <c r="C2386" s="7" t="str">
        <f>IFERROR(__xludf.DUMMYFUNCTION("""COMPUTED_VALUE"""),"Evaluating models on large benchmarks can be very resource-intensive, especially during a period of rapid model evolution. Existing efficient evaluation methods estimate the performance of target models by testing them on a small, static coreset derived f"&amp;"rom the publicly available evaluation results of source models, which are separate from the target models. However, these approaches rely on the assumption that target models have high prediction consistency with source models, which doesn’t generalize we"&amp;"ll in practice. To fill this gap, we propose TailoredBench, a method that conducts customized evaluation tailored to each target model. Specifically, a Global-coreset is first constructed as a probe to identify the most consistent source models for each t"&amp;"arget model with an adaptive source model selection strategy. Afterwards, a scalable K-Medoids clustering algorithm is proposed to extend the Global-coreset to a tailored Native-coreset for each target model. According to the predictions on respective Nat"&amp;"ive-coreset, we estimate the overall performance of target models with a calibrated estimation strategy. Comprehensive experiments on five benchmarks across over 300 models demonstrate that compared to best performing baselines, TailoredBench achieves an "&amp;"average reduction of 31.4% in MAE of accuracy estimates under the same inference budgets, showcasing strong effectiveness and generalizability.")</f>
        <v>Evaluating models on large benchmarks can be very resource-intensive, especially during a period of rapid model evolution. Existing efficient evaluation methods estimate the performance of target models by testing them on a small, static coreset derived from the publicly available evaluation results of source models, which are separate from the target models. However, these approaches rely on the assumption that target models have high prediction consistency with source models, which doesn’t generalize well in practice. To fill this gap, we propose TailoredBench, a method that conducts customized evaluation tailored to each target model. Specifically, a Global-coreset is first constructed as a probe to identify the most consistent source models for each target model with an adaptive source model selection strategy. Afterwards, a scalable K-Medoids clustering algorithm is proposed to extend the Global-coreset to a tailored Native-coreset for each target model. According to the predictions on respective Native-coreset, we estimate the overall performance of target models with a calibrated estimation strategy. Comprehensive experiments on five benchmarks across over 300 models demonstrate that compared to best performing baselines, TailoredBench achieves an average reduction of 31.4% in MAE of accuracy estimates under the same inference budgets, showcasing strong effectiveness and generalizability.</v>
      </c>
      <c r="D2386" s="7" t="str">
        <f>IFERROR(__xludf.DUMMYFUNCTION("""COMPUTED_VALUE"""),"Peiwen Yuan")</f>
        <v>Peiwen Yuan</v>
      </c>
      <c r="E2386" s="7" t="str">
        <f>IFERROR(__xludf.DUMMYFUNCTION("""COMPUTED_VALUE"""),"Yes")</f>
        <v>Yes</v>
      </c>
      <c r="F2386" s="7" t="str">
        <f>IFERROR(__xludf.DUMMYFUNCTION("""COMPUTED_VALUE"""),"IP-Poster")</f>
        <v>IP-Poster</v>
      </c>
      <c r="G2386" s="7" t="str">
        <f>IFERROR(__xludf.DUMMYFUNCTION("""COMPUTED_VALUE"""),"In-Person")</f>
        <v>In-Person</v>
      </c>
      <c r="H2386" s="7" t="str">
        <f>IFERROR(__xludf.DUMMYFUNCTION("""COMPUTED_VALUE"""),"Hall 4/5")</f>
        <v>Hall 4/5</v>
      </c>
      <c r="I2386" s="7" t="str">
        <f>IFERROR(__xludf.DUMMYFUNCTION("""COMPUTED_VALUE"""),"Session 7: IP-Posters")</f>
        <v>Session 7: IP-Posters</v>
      </c>
      <c r="J2386" s="7" t="str">
        <f>IFERROR(__xludf.DUMMYFUNCTION("""COMPUTED_VALUE"""),"Poster Session 2")</f>
        <v>Poster Session 2</v>
      </c>
      <c r="K2386" s="7"/>
      <c r="L2386" s="8">
        <f>IFERROR(__xludf.DUMMYFUNCTION("""COMPUTED_VALUE"""),45867.0)</f>
        <v>45867</v>
      </c>
      <c r="M2386" s="7" t="str">
        <f>IFERROR(__xludf.DUMMYFUNCTION("""COMPUTED_VALUE"""),"10:30-12:00")</f>
        <v>10:30-12:00</v>
      </c>
      <c r="N2386" s="7"/>
    </row>
    <row r="2387">
      <c r="A2387" s="7" t="str">
        <f>IFERROR(__xludf.DUMMYFUNCTION("""COMPUTED_VALUE"""),"1936-MAIN")</f>
        <v>1936-MAIN</v>
      </c>
      <c r="B2387" s="7" t="str">
        <f>IFERROR(__xludf.DUMMYFUNCTION("""COMPUTED_VALUE"""),"Advancing Sequential Numerical Prediction in Autoregressive Models")</f>
        <v>Advancing Sequential Numerical Prediction in Autoregressive Models</v>
      </c>
      <c r="C2387" s="7" t="str">
        <f>IFERROR(__xludf.DUMMYFUNCTION("""COMPUTED_VALUE"""),"Autoregressive models have become the de facto choice for sequence generation tasks, but standard approaches treat digits as independent tokens and apply cross-entropy loss, overlooking the coherent structure of numerical sequences. This paper introduces "&amp;"$\textit{\textbf{N}umerical \textbf{T}oken \textbf{I}ntegrity \textbf{Loss} (NTIL)}$ to address this gap. NTIL operates at two levels: (1) token-level, where it extends the Earth Mover's Distance (EMD) to preserve ordinal relationships between numerical v"&amp;"alues, and (2) sequence-level, where it penalizes the overall discrepancy between the predicted and actual sequences. This dual approach improves numerical prediction and integrates effectively with LLMs/MLLMs. Extensive experiments show significant perfo"&amp;"rmance improvements with NTIL.")</f>
        <v>Autoregressive models have become the de facto choice for sequence generation tasks, but standard approaches treat digits as independent tokens and apply cross-entropy loss, overlooking the coherent structure of numerical sequences. This paper introduces $\textit{\textbf{N}umerical \textbf{T}oken \textbf{I}ntegrity \textbf{Loss} (NTIL)}$ to address this gap. NTIL operates at two levels: (1) token-level, where it extends the Earth Mover's Distance (EMD) to preserve ordinal relationships between numerical values, and (2) sequence-level, where it penalizes the overall discrepancy between the predicted and actual sequences. This dual approach improves numerical prediction and integrates effectively with LLMs/MLLMs. Extensive experiments show significant performance improvements with NTIL.</v>
      </c>
      <c r="D2387" s="7" t="str">
        <f>IFERROR(__xludf.DUMMYFUNCTION("""COMPUTED_VALUE"""),"Xiang Fei")</f>
        <v>Xiang Fei</v>
      </c>
      <c r="E2387" s="7" t="str">
        <f>IFERROR(__xludf.DUMMYFUNCTION("""COMPUTED_VALUE"""),"Yes")</f>
        <v>Yes</v>
      </c>
      <c r="F2387" s="7" t="str">
        <f>IFERROR(__xludf.DUMMYFUNCTION("""COMPUTED_VALUE"""),"IP-Poster")</f>
        <v>IP-Poster</v>
      </c>
      <c r="G2387" s="7" t="str">
        <f>IFERROR(__xludf.DUMMYFUNCTION("""COMPUTED_VALUE"""),"In-Person")</f>
        <v>In-Person</v>
      </c>
      <c r="H2387" s="7" t="str">
        <f>IFERROR(__xludf.DUMMYFUNCTION("""COMPUTED_VALUE"""),"Hall 4/5")</f>
        <v>Hall 4/5</v>
      </c>
      <c r="I2387" s="7" t="str">
        <f>IFERROR(__xludf.DUMMYFUNCTION("""COMPUTED_VALUE"""),"Session 2: IP-Posters ")</f>
        <v>Session 2: IP-Posters </v>
      </c>
      <c r="J2387" s="7" t="str">
        <f>IFERROR(__xludf.DUMMYFUNCTION("""COMPUTED_VALUE"""),"Poster Session 1")</f>
        <v>Poster Session 1</v>
      </c>
      <c r="K2387" s="7"/>
      <c r="L2387" s="8">
        <f>IFERROR(__xludf.DUMMYFUNCTION("""COMPUTED_VALUE"""),45866.0)</f>
        <v>45866</v>
      </c>
      <c r="M2387" s="7" t="str">
        <f>IFERROR(__xludf.DUMMYFUNCTION("""COMPUTED_VALUE"""),"11:00-12:30")</f>
        <v>11:00-12:30</v>
      </c>
      <c r="N2387" s="7"/>
    </row>
    <row r="2388">
      <c r="A2388" s="7" t="str">
        <f>IFERROR(__xludf.DUMMYFUNCTION("""COMPUTED_VALUE"""),"1939-MAIN")</f>
        <v>1939-MAIN</v>
      </c>
      <c r="B2388" s="7" t="str">
        <f>IFERROR(__xludf.DUMMYFUNCTION("""COMPUTED_VALUE"""),"iQUEST: An Iterative Question-Guided Framework for Knowledge Base Question Answering")</f>
        <v>iQUEST: An Iterative Question-Guided Framework for Knowledge Base Question Answering</v>
      </c>
      <c r="C2388" s="7" t="str">
        <f>IFERROR(__xludf.DUMMYFUNCTION("""COMPUTED_VALUE"""),"While Large Language Models (LLMs) excel at many natural language processing tasks, they often suffer from factual inaccuracies in knowledge-intensive scenarios. Integrating external knowledge resources, particularly knowledge graphs (KGs), provides a tra"&amp;"nsparent and updatable foundation for more reliable reasoning. Knowledge Base Question Answering (KBQA), which queries and reasons over KGs, is central to this effort, especially for complex, multi-hop queries. However, multi-hop reasoning poses two key c"&amp;"hallenges: (1) maintaining coherent reasoning paths, and (2) avoiding prematurely discarding critical multi-hop connections. To address these issues, we introduce iQUEST, a question-guided KBQA framework that iteratively decomposes complex queries into si"&amp;"mpler sub-questions, ensuring a structured and focused reasoning trajectory. Additionally, we integrate a Graph Neural Network (GNN) to look ahead and incorporate 2-hop neighbor information at each reasoning step. This dual approach strengthens the reason"&amp;"ing process, enabling the model to explore viable paths more effectively. Detailed experiments demonstrate the consistent improvement delivered by iQUEST across four benchmark datasets and four LLMs.")</f>
        <v>While Large Language Models (LLMs) excel at many natural language processing tasks, they often suffer from factual inaccuracies in knowledge-intensive scenarios. Integrating external knowledge resources, particularly knowledge graphs (KGs), provides a transparent and updatable foundation for more reliable reasoning. Knowledge Base Question Answering (KBQA), which queries and reasons over KGs, is central to this effort, especially for complex, multi-hop queries. However, multi-hop reasoning poses two key challenges: (1) maintaining coherent reasoning paths, and (2) avoiding prematurely discarding critical multi-hop connections. To address these issues, we introduce iQUEST, a question-guided KBQA framework that iteratively decomposes complex queries into simpler sub-questions, ensuring a structured and focused reasoning trajectory. Additionally, we integrate a Graph Neural Network (GNN) to look ahead and incorporate 2-hop neighbor information at each reasoning step. This dual approach strengthens the reasoning process, enabling the model to explore viable paths more effectively. Detailed experiments demonstrate the consistent improvement delivered by iQUEST across four benchmark datasets and four LLMs.</v>
      </c>
      <c r="D2388" s="7" t="str">
        <f>IFERROR(__xludf.DUMMYFUNCTION("""COMPUTED_VALUE"""),"Shuai Wang")</f>
        <v>Shuai Wang</v>
      </c>
      <c r="E2388" s="7" t="str">
        <f>IFERROR(__xludf.DUMMYFUNCTION("""COMPUTED_VALUE"""),"Yes")</f>
        <v>Yes</v>
      </c>
      <c r="F2388" s="7" t="str">
        <f>IFERROR(__xludf.DUMMYFUNCTION("""COMPUTED_VALUE"""),"IP-Poster")</f>
        <v>IP-Poster</v>
      </c>
      <c r="G2388" s="7" t="str">
        <f>IFERROR(__xludf.DUMMYFUNCTION("""COMPUTED_VALUE"""),"In-Person")</f>
        <v>In-Person</v>
      </c>
      <c r="H2388" s="7" t="str">
        <f>IFERROR(__xludf.DUMMYFUNCTION("""COMPUTED_VALUE"""),"Hall 4/5")</f>
        <v>Hall 4/5</v>
      </c>
      <c r="I2388" s="7" t="str">
        <f>IFERROR(__xludf.DUMMYFUNCTION("""COMPUTED_VALUE"""),"Session 12: IP-Posters")</f>
        <v>Session 12: IP-Posters</v>
      </c>
      <c r="J2388" s="7" t="str">
        <f>IFERROR(__xludf.DUMMYFUNCTION("""COMPUTED_VALUE"""),"Poster Session 4")</f>
        <v>Poster Session 4</v>
      </c>
      <c r="K2388" s="7"/>
      <c r="L2388" s="8">
        <f>IFERROR(__xludf.DUMMYFUNCTION("""COMPUTED_VALUE"""),45868.0)</f>
        <v>45868</v>
      </c>
      <c r="M2388" s="7" t="str">
        <f>IFERROR(__xludf.DUMMYFUNCTION("""COMPUTED_VALUE"""),"11:00-12:30")</f>
        <v>11:00-12:30</v>
      </c>
      <c r="N2388" s="7"/>
    </row>
    <row r="2389">
      <c r="A2389" s="7" t="str">
        <f>IFERROR(__xludf.DUMMYFUNCTION("""COMPUTED_VALUE"""),"1941-MAIN")</f>
        <v>1941-MAIN</v>
      </c>
      <c r="B2389" s="7" t="str">
        <f>IFERROR(__xludf.DUMMYFUNCTION("""COMPUTED_VALUE"""),"IRT-Router: Effective and Interpretable Multi-LLM Routing via Item Response Theory")</f>
        <v>IRT-Router: Effective and Interpretable Multi-LLM Routing via Item Response Theory</v>
      </c>
      <c r="C2389" s="7" t="str">
        <f>IFERROR(__xludf.DUMMYFUNCTION("""COMPUTED_VALUE"""),"Large language models (LLMs) have demonstrated exceptional performance across a wide range of natural language tasks. However, selecting the optimal LLM to respond to a user query often necessitates a delicate balance between performance and cost. While p"&amp;"owerful models deliver better results, they come at a high cost, whereas smaller models are more cost-effective but less capable. To address this trade-off, we propose IRT-Router, a multi-LLM routing framework that efficiently routes user queries to the m"&amp;"ost suitable LLM. Inspired by Item Response Theory (IRT), a psychological measurement methodology, IRT-Router explicitly models the relationship between LLM capabilities and user query attributes. This not only enables accurate prediction of response perf"&amp;"ormance but also provides interpretable insights, such as LLM abilities and query difficulty. Additionally, we design an online query warm-up technique based on semantic similarity, further enhancing the online generalization capability of IRT-Router. Ext"&amp;"ensive experiments on 20 LLMs and 12 datasets demonstrate that IRT-Router outperforms most baseline methods in terms of effectiveness and interpretability. Its superior performance in cold-start scenarios further confirms the reliability and practicality "&amp;"of IRT-Router in real-world applications. Code is available at \url{https://github.com/Mercidaiha/IRT-Router}.")</f>
        <v>Large language models (LLMs) have demonstrated exceptional performance across a wide range of natural language tasks. However, selecting the optimal LLM to respond to a user query often necessitates a delicate balance between performance and cost. While powerful models deliver better results, they come at a high cost, whereas smaller models are more cost-effective but less capable. To address this trade-off, we propose IRT-Router, a multi-LLM routing framework that efficiently routes user queries to the most suitable LLM. Inspired by Item Response Theory (IRT), a psychological measurement methodology, IRT-Router explicitly models the relationship between LLM capabilities and user query attributes. This not only enables accurate prediction of response performance but also provides interpretable insights, such as LLM abilities and query difficulty. Additionally, we design an online query warm-up technique based on semantic similarity, further enhancing the online generalization capability of IRT-Router. Extensive experiments on 20 LLMs and 12 datasets demonstrate that IRT-Router outperforms most baseline methods in terms of effectiveness and interpretability. Its superior performance in cold-start scenarios further confirms the reliability and practicality of IRT-Router in real-world applications. Code is available at \url{https://github.com/Mercidaiha/IRT-Router}.</v>
      </c>
      <c r="D2389" s="7" t="str">
        <f>IFERROR(__xludf.DUMMYFUNCTION("""COMPUTED_VALUE"""),"Wei Song")</f>
        <v>Wei Song</v>
      </c>
      <c r="E2389" s="7" t="str">
        <f>IFERROR(__xludf.DUMMYFUNCTION("""COMPUTED_VALUE"""),"Yes")</f>
        <v>Yes</v>
      </c>
      <c r="F2389" s="7" t="str">
        <f>IFERROR(__xludf.DUMMYFUNCTION("""COMPUTED_VALUE"""),"IP-Poster")</f>
        <v>IP-Poster</v>
      </c>
      <c r="G2389" s="7" t="str">
        <f>IFERROR(__xludf.DUMMYFUNCTION("""COMPUTED_VALUE"""),"In-Person")</f>
        <v>In-Person</v>
      </c>
      <c r="H2389" s="7" t="str">
        <f>IFERROR(__xludf.DUMMYFUNCTION("""COMPUTED_VALUE"""),"Hall 4/5")</f>
        <v>Hall 4/5</v>
      </c>
      <c r="I2389" s="7" t="str">
        <f>IFERROR(__xludf.DUMMYFUNCTION("""COMPUTED_VALUE"""),"Session 7: IP-Posters")</f>
        <v>Session 7: IP-Posters</v>
      </c>
      <c r="J2389" s="7" t="str">
        <f>IFERROR(__xludf.DUMMYFUNCTION("""COMPUTED_VALUE"""),"Poster Session 2")</f>
        <v>Poster Session 2</v>
      </c>
      <c r="K2389" s="7"/>
      <c r="L2389" s="8">
        <f>IFERROR(__xludf.DUMMYFUNCTION("""COMPUTED_VALUE"""),45867.0)</f>
        <v>45867</v>
      </c>
      <c r="M2389" s="7" t="str">
        <f>IFERROR(__xludf.DUMMYFUNCTION("""COMPUTED_VALUE"""),"10:30-12:00")</f>
        <v>10:30-12:00</v>
      </c>
      <c r="N2389" s="7"/>
    </row>
    <row r="2390">
      <c r="A2390" s="7" t="str">
        <f>IFERROR(__xludf.DUMMYFUNCTION("""COMPUTED_VALUE"""),"1951-MAIN")</f>
        <v>1951-MAIN</v>
      </c>
      <c r="B2390" s="7" t="str">
        <f>IFERROR(__xludf.DUMMYFUNCTION("""COMPUTED_VALUE"""),"MLAS-LoRA: Language-Aware Parameters Detection and LoRA-Based Knowledge Transfer for Multilingual Machine Translation")</f>
        <v>MLAS-LoRA: Language-Aware Parameters Detection and LoRA-Based Knowledge Transfer for Multilingual Machine Translation</v>
      </c>
      <c r="C2390" s="7" t="str">
        <f>IFERROR(__xludf.DUMMYFUNCTION("""COMPUTED_VALUE"""),"Large language models (LLMs) have achieved remarkable progress in multilingual machine translation (MT), demonstrating strong performance even with limited parallel data. 
However, effectively fine-tuning LLMs for MT is challenging due to parameter interf"&amp;"erence, which arises from the conflicting demands of different language pairs and the risk of overwriting pre-trained knowledge. 
To address this issue, we propose \textbf{MLAS-LoRA}, a novel multiple language-aware LoRA knowledge transfer framework. 
MLA"&amp;"S-LoRA efficiently adapts LLMs to MT by selectively transferring knowledge from a large teacher to a small student model. 
Our approach first evaluates the awareness of neurons and extracts linguistic knowledge in the teacher model to both the general MT "&amp;"task and specific language pairs.
We then propose a multiple language-specific LoRA architecture to inject the extracted knowledge into the student model. 
During fine-tuning, only the parameters of the relevant language-general and language-specific LoRA"&amp;" modules are updated. 
Experimental results on diverse multilingual language pairs demonstrate that MLAS-LoRA significantly outperforms strong baselines by +1.7 BLEU on average, including standard fine-tuning and other parameter-efficient methods.")</f>
        <v>Large language models (LLMs) have achieved remarkable progress in multilingual machine translation (MT), demonstrating strong performance even with limited parallel data. 
However, effectively fine-tuning LLMs for MT is challenging due to parameter interference, which arises from the conflicting demands of different language pairs and the risk of overwriting pre-trained knowledge. 
To address this issue, we propose \textbf{MLAS-LoRA}, a novel multiple language-aware LoRA knowledge transfer framework. 
MLAS-LoRA efficiently adapts LLMs to MT by selectively transferring knowledge from a large teacher to a small student model. 
Our approach first evaluates the awareness of neurons and extracts linguistic knowledge in the teacher model to both the general MT task and specific language pairs.
We then propose a multiple language-specific LoRA architecture to inject the extracted knowledge into the student model. 
During fine-tuning, only the parameters of the relevant language-general and language-specific LoRA modules are updated. 
Experimental results on diverse multilingual language pairs demonstrate that MLAS-LoRA significantly outperforms strong baselines by +1.7 BLEU on average, including standard fine-tuning and other parameter-efficient methods.</v>
      </c>
      <c r="D2390" s="7" t="str">
        <f>IFERROR(__xludf.DUMMYFUNCTION("""COMPUTED_VALUE"""),"Tianyu Dong")</f>
        <v>Tianyu Dong</v>
      </c>
      <c r="E2390" s="7" t="str">
        <f>IFERROR(__xludf.DUMMYFUNCTION("""COMPUTED_VALUE"""),"Yes")</f>
        <v>Yes</v>
      </c>
      <c r="F2390" s="7" t="str">
        <f>IFERROR(__xludf.DUMMYFUNCTION("""COMPUTED_VALUE"""),"IP-Oral")</f>
        <v>IP-Oral</v>
      </c>
      <c r="G2390" s="7" t="str">
        <f>IFERROR(__xludf.DUMMYFUNCTION("""COMPUTED_VALUE"""),"In-Person")</f>
        <v>In-Person</v>
      </c>
      <c r="H2390" s="7" t="str">
        <f>IFERROR(__xludf.DUMMYFUNCTION("""COMPUTED_VALUE"""),"Room 1.85")</f>
        <v>Room 1.85</v>
      </c>
      <c r="I2390" s="7" t="str">
        <f>IFERROR(__xludf.DUMMYFUNCTION("""COMPUTED_VALUE"""),"Session 3: IP-Orals")</f>
        <v>Session 3: IP-Orals</v>
      </c>
      <c r="J2390" s="7" t="str">
        <f>IFERROR(__xludf.DUMMYFUNCTION("""COMPUTED_VALUE"""),"Machine Translation")</f>
        <v>Machine Translation</v>
      </c>
      <c r="K2390" s="7"/>
      <c r="L2390" s="8">
        <f>IFERROR(__xludf.DUMMYFUNCTION("""COMPUTED_VALUE"""),45866.0)</f>
        <v>45866</v>
      </c>
      <c r="M2390" s="7" t="str">
        <f>IFERROR(__xludf.DUMMYFUNCTION("""COMPUTED_VALUE"""),"14:00-15:30")</f>
        <v>14:00-15:30</v>
      </c>
      <c r="N2390" s="7">
        <f>IFERROR(__xludf.DUMMYFUNCTION("""COMPUTED_VALUE"""),3.0)</f>
        <v>3</v>
      </c>
    </row>
    <row r="2391">
      <c r="A2391" s="7" t="str">
        <f>IFERROR(__xludf.DUMMYFUNCTION("""COMPUTED_VALUE"""),"1952-MAIN")</f>
        <v>1952-MAIN</v>
      </c>
      <c r="B2391" s="7" t="str">
        <f>IFERROR(__xludf.DUMMYFUNCTION("""COMPUTED_VALUE"""),"M2RC-EVAL: Massively Multilingual Repository-level Code Completion Evaluation")</f>
        <v>M2RC-EVAL: Massively Multilingual Repository-level Code Completion Evaluation</v>
      </c>
      <c r="C2391" s="7" t="str">
        <f>IFERROR(__xludf.DUMMYFUNCTION("""COMPUTED_VALUE"""),"Repository-level code completion has drawn great attention in software engineering, and several benchmarks have been introduced. However, existing repository-level code completion benchmarks usually focus on a limited number of languages (&lt;5), which canno"&amp;"t evaluate the general code intelligence abilities across different languages for existing code Large Language Models (LLMs). Besides, the existing benchmarks usually report overall average scores of different languages, where the fine-grained abilities i"&amp;"n different completion scenarios are ignored. Therefore, to facilitate the research of code LLMs in multilingual scenarios, we propose a massively multilingual repository-level code completion benchmark covering 18 programming languages (called M2RC-EVAL)"&amp;", and two types of fine-grained annotations (i.e., bucket-level and semantic-level) on different completion scenarios are provided, where we obtain these annotations based on the parsed abstract syntax tree. Moreover, we also curate a massively multilingu"&amp;"al instruction corpora M2RC-INSTRUCT dataset to improve the repository-level code completion abilities of existing code LLMs. Comprehensive experimental results demonstrate the effectiveness of our M2RC-EVAL and M2RC-INSTRUCT.")</f>
        <v>Repository-level code completion has drawn great attention in software engineering, and several benchmarks have been introduced. However, existing repository-level code completion benchmarks usually focus on a limited number of languages (&lt;5), which cannot evaluate the general code intelligence abilities across different languages for existing code Large Language Models (LLMs). Besides, the existing benchmarks usually report overall average scores of different languages, where the fine-grained abilities in different completion scenarios are ignored. Therefore, to facilitate the research of code LLMs in multilingual scenarios, we propose a massively multilingual repository-level code completion benchmark covering 18 programming languages (called M2RC-EVAL), and two types of fine-grained annotations (i.e., bucket-level and semantic-level) on different completion scenarios are provided, where we obtain these annotations based on the parsed abstract syntax tree. Moreover, we also curate a massively multilingual instruction corpora M2RC-INSTRUCT dataset to improve the repository-level code completion abilities of existing code LLMs. Comprehensive experimental results demonstrate the effectiveness of our M2RC-EVAL and M2RC-INSTRUCT.</v>
      </c>
      <c r="D2391" s="7" t="str">
        <f>IFERROR(__xludf.DUMMYFUNCTION("""COMPUTED_VALUE"""),"Jiaheng Liu")</f>
        <v>Jiaheng Liu</v>
      </c>
      <c r="E2391" s="7" t="str">
        <f>IFERROR(__xludf.DUMMYFUNCTION("""COMPUTED_VALUE"""),"Yes")</f>
        <v>Yes</v>
      </c>
      <c r="F2391" s="7" t="str">
        <f>IFERROR(__xludf.DUMMYFUNCTION("""COMPUTED_VALUE"""),"IP-Poster")</f>
        <v>IP-Poster</v>
      </c>
      <c r="G2391" s="7" t="str">
        <f>IFERROR(__xludf.DUMMYFUNCTION("""COMPUTED_VALUE"""),"In-Person")</f>
        <v>In-Person</v>
      </c>
      <c r="H2391" s="7" t="str">
        <f>IFERROR(__xludf.DUMMYFUNCTION("""COMPUTED_VALUE"""),"Hall 4/5")</f>
        <v>Hall 4/5</v>
      </c>
      <c r="I2391" s="7" t="str">
        <f>IFERROR(__xludf.DUMMYFUNCTION("""COMPUTED_VALUE"""),"Session 12: IP-Posters")</f>
        <v>Session 12: IP-Posters</v>
      </c>
      <c r="J2391" s="7" t="str">
        <f>IFERROR(__xludf.DUMMYFUNCTION("""COMPUTED_VALUE"""),"Poster Session 4")</f>
        <v>Poster Session 4</v>
      </c>
      <c r="K2391" s="7"/>
      <c r="L2391" s="8">
        <f>IFERROR(__xludf.DUMMYFUNCTION("""COMPUTED_VALUE"""),45868.0)</f>
        <v>45868</v>
      </c>
      <c r="M2391" s="7" t="str">
        <f>IFERROR(__xludf.DUMMYFUNCTION("""COMPUTED_VALUE"""),"11:00-12:30")</f>
        <v>11:00-12:30</v>
      </c>
      <c r="N2391" s="7"/>
    </row>
    <row r="2392">
      <c r="A2392" s="7" t="str">
        <f>IFERROR(__xludf.DUMMYFUNCTION("""COMPUTED_VALUE"""),"1953-MAIN")</f>
        <v>1953-MAIN</v>
      </c>
      <c r="B2392" s="7" t="str">
        <f>IFERROR(__xludf.DUMMYFUNCTION("""COMPUTED_VALUE"""),"Evaluating Design Decisions for Dual Encoder-based Entity Disambiguation")</f>
        <v>Evaluating Design Decisions for Dual Encoder-based Entity Disambiguation</v>
      </c>
      <c r="C2392" s="7" t="str">
        <f>IFERROR(__xludf.DUMMYFUNCTION("""COMPUTED_VALUE"""),"Entity disambiguation (ED) is the task of linking mentions in text to corresponding entries in a knowledge base. Dual Encoders address this by embedding mentions and label candidates in a shared embedding space and applying a similarity metric to predict "&amp;"the correct label. In this work, we focus on evaluating key design decisions for Dual Encoder-based ED, such as its loss function, similarity metric, label verbalization format, and negative sampling strategy. We present the resulting model VerbalizED, a "&amp;"document-level Dual Encoder model that includes contextual label verbalizations and efficient hard negative sampling. Additionally, we explore an iterative prediction variant that aims to improve the disambiguation of challenging data points. To support o"&amp;"ur analysis, we first conduct comprehensive ablation experiments on specific design decisions using AIDA-Yago, followed by large-scale, multi-domain evaluation on the ZELDA benchmark.")</f>
        <v>Entity disambiguation (ED) is the task of linking mentions in text to corresponding entries in a knowledge base. Dual Encoders address this by embedding mentions and label candidates in a shared embedding space and applying a similarity metric to predict the correct label. In this work, we focus on evaluating key design decisions for Dual Encoder-based ED, such as its loss function, similarity metric, label verbalization format, and negative sampling strategy. We present the resulting model VerbalizED, a document-level Dual Encoder model that includes contextual label verbalizations and efficient hard negative sampling. Additionally, we explore an iterative prediction variant that aims to improve the disambiguation of challenging data points. To support our analysis, we first conduct comprehensive ablation experiments on specific design decisions using AIDA-Yago, followed by large-scale, multi-domain evaluation on the ZELDA benchmark.</v>
      </c>
      <c r="D2392" s="7" t="str">
        <f>IFERROR(__xludf.DUMMYFUNCTION("""COMPUTED_VALUE"""),"Susanna Rücker")</f>
        <v>Susanna Rücker</v>
      </c>
      <c r="E2392" s="7" t="str">
        <f>IFERROR(__xludf.DUMMYFUNCTION("""COMPUTED_VALUE"""),"Yes")</f>
        <v>Yes</v>
      </c>
      <c r="F2392" s="7" t="str">
        <f>IFERROR(__xludf.DUMMYFUNCTION("""COMPUTED_VALUE"""),"IP-Oral")</f>
        <v>IP-Oral</v>
      </c>
      <c r="G2392" s="7" t="str">
        <f>IFERROR(__xludf.DUMMYFUNCTION("""COMPUTED_VALUE"""),"In-Person")</f>
        <v>In-Person</v>
      </c>
      <c r="H2392" s="7" t="str">
        <f>IFERROR(__xludf.DUMMYFUNCTION("""COMPUTED_VALUE"""),"Hall N.2")</f>
        <v>Hall N.2</v>
      </c>
      <c r="I2392" s="7" t="str">
        <f>IFERROR(__xludf.DUMMYFUNCTION("""COMPUTED_VALUE"""),"Session 9: IP-Orals")</f>
        <v>Session 9: IP-Orals</v>
      </c>
      <c r="J2392" s="7" t="str">
        <f>IFERROR(__xludf.DUMMYFUNCTION("""COMPUTED_VALUE"""),"Summarization and Information Extraction ")</f>
        <v>Summarization and Information Extraction </v>
      </c>
      <c r="K2392" s="7"/>
      <c r="L2392" s="8">
        <f>IFERROR(__xludf.DUMMYFUNCTION("""COMPUTED_VALUE"""),45867.0)</f>
        <v>45867</v>
      </c>
      <c r="M2392" s="7" t="str">
        <f>IFERROR(__xludf.DUMMYFUNCTION("""COMPUTED_VALUE"""),"14:00-15:30")</f>
        <v>14:00-15:30</v>
      </c>
      <c r="N2392" s="7">
        <f>IFERROR(__xludf.DUMMYFUNCTION("""COMPUTED_VALUE"""),5.0)</f>
        <v>5</v>
      </c>
    </row>
    <row r="2393">
      <c r="A2393" s="7" t="str">
        <f>IFERROR(__xludf.DUMMYFUNCTION("""COMPUTED_VALUE"""),"1955-MAIN")</f>
        <v>1955-MAIN</v>
      </c>
      <c r="B2393" s="7" t="str">
        <f>IFERROR(__xludf.DUMMYFUNCTION("""COMPUTED_VALUE"""),"How to Compare Things Properly? A Study on Answering Comparative Questions using Argument Summarization")</f>
        <v>How to Compare Things Properly? A Study on Answering Comparative Questions using Argument Summarization</v>
      </c>
      <c r="C2393" s="7" t="str">
        <f>IFERROR(__xludf.DUMMYFUNCTION("""COMPUTED_VALUE"""),"Comparative Question Answering (CQA) lies at the intersection of Question Answering, Argument Mining, and Summarization. It poses unique challenges due to the inherently subjective nature of many questions and the need to integrate diverse perspectives. A"&amp;"lthough the CQA task can be addressed using recently emerged instruction-following Large Language Models (LLMs), challenges such as hallucinations in their outputs and the lack of transparent argument provenance remain significant limitations.
To address "&amp;"these challenges, we construct a manually curated dataset comprising arguments annotated with their relevance. These arguments are further used to answer comparative questions, enabling precise traceability and faithfulness. Furthermore, we define explici"&amp;"t criteria for an ``ideal'' comparison and introduce a benchmark for evaluating the outputs of various Retrieval-Augmented Generation (RAG) models with respect to argument relevance. All code and data are publicly released to support further research.")</f>
        <v>Comparative Question Answering (CQA) lies at the intersection of Question Answering, Argument Mining, and Summarization. It poses unique challenges due to the inherently subjective nature of many questions and the need to integrate diverse perspectives. Although the CQA task can be addressed using recently emerged instruction-following Large Language Models (LLMs), challenges such as hallucinations in their outputs and the lack of transparent argument provenance remain significant limitations.
To address these challenges, we construct a manually curated dataset comprising arguments annotated with their relevance. These arguments are further used to answer comparative questions, enabling precise traceability and faithfulness. Furthermore, we define explicit criteria for an ``ideal'' comparison and introduce a benchmark for evaluating the outputs of various Retrieval-Augmented Generation (RAG) models with respect to argument relevance. All code and data are publicly released to support further research.</v>
      </c>
      <c r="D2393" s="7" t="str">
        <f>IFERROR(__xludf.DUMMYFUNCTION("""COMPUTED_VALUE"""),"Irina Nikishina")</f>
        <v>Irina Nikishina</v>
      </c>
      <c r="E2393" s="7" t="str">
        <f>IFERROR(__xludf.DUMMYFUNCTION("""COMPUTED_VALUE"""),"Yes")</f>
        <v>Yes</v>
      </c>
      <c r="F2393" s="7" t="str">
        <f>IFERROR(__xludf.DUMMYFUNCTION("""COMPUTED_VALUE"""),"IP-Poster")</f>
        <v>IP-Poster</v>
      </c>
      <c r="G2393" s="7" t="str">
        <f>IFERROR(__xludf.DUMMYFUNCTION("""COMPUTED_VALUE"""),"In-Person")</f>
        <v>In-Person</v>
      </c>
      <c r="H2393" s="7" t="str">
        <f>IFERROR(__xludf.DUMMYFUNCTION("""COMPUTED_VALUE"""),"Hall 4/5")</f>
        <v>Hall 4/5</v>
      </c>
      <c r="I2393" s="7" t="str">
        <f>IFERROR(__xludf.DUMMYFUNCTION("""COMPUTED_VALUE"""),"Session 2: IP-Posters ")</f>
        <v>Session 2: IP-Posters </v>
      </c>
      <c r="J2393" s="7" t="str">
        <f>IFERROR(__xludf.DUMMYFUNCTION("""COMPUTED_VALUE"""),"Poster Session 1")</f>
        <v>Poster Session 1</v>
      </c>
      <c r="K2393" s="7"/>
      <c r="L2393" s="8">
        <f>IFERROR(__xludf.DUMMYFUNCTION("""COMPUTED_VALUE"""),45866.0)</f>
        <v>45866</v>
      </c>
      <c r="M2393" s="7" t="str">
        <f>IFERROR(__xludf.DUMMYFUNCTION("""COMPUTED_VALUE"""),"11:00-12:30")</f>
        <v>11:00-12:30</v>
      </c>
      <c r="N2393" s="7"/>
    </row>
    <row r="2394">
      <c r="A2394" s="7" t="str">
        <f>IFERROR(__xludf.DUMMYFUNCTION("""COMPUTED_VALUE"""),"1956-MAIN")</f>
        <v>1956-MAIN</v>
      </c>
      <c r="B2394" s="7" t="str">
        <f>IFERROR(__xludf.DUMMYFUNCTION("""COMPUTED_VALUE"""),"FinanceReasoning: Benchmarking Financial Numerical Reasoning More Credible, Comprehensive and Challenging")</f>
        <v>FinanceReasoning: Benchmarking Financial Numerical Reasoning More Credible, Comprehensive and Challenging</v>
      </c>
      <c r="C2394" s="7" t="str">
        <f>IFERROR(__xludf.DUMMYFUNCTION("""COMPUTED_VALUE"""),"We introduce **FinanceReasoning**, a novel benchmark designed to evaluate the reasoning capabilities of large reasoning models (LRMs) in financial numerical reasoning problems. Compared to existing benchmarks, our work provides three key advancements. (1)"&amp;" **Credibility**: We update 15.6\% of the questions from four public datasets, annotating 908 new questions with detailed Python solutions and rigorously refining evaluation standards. This enables an accurate assessment of the reasoning improvements of L"&amp;"RMs. (2) **Comprehensiveness**: FinanceReasoning covers 67.8\% of financial concepts and formulas, significantly surpassing existing datasets. Additionally, we construct 3,133 Python-formatted functions, which enhances LRMs' financial reasoning capabiliti"&amp;"es through refined knowledge (*e.g.*, 83.2\% $\rightarrow$ 91.6\% for GPT-4o). (3) **Challenge**: Models are required to apply multiple financial formulas for precise numerical reasoning on 238 *Hard* problems. The best-performing model (*i.e.*, OpenAI o1"&amp;" with PoT) achieves 89.1\% accuracy, yet LRMs still face challenges in numerical precision. We demonstrate that combining Reasoner and Programmer models can effectively enhance LRMs' performance (*e.g.*, 83.2\% $\rightarrow$ 87.8\% for DeepSeek-R1). Our w"&amp;"ork paves the way for future research on evaluating and improving LRMs in domain-specific complex reasoning tasks.")</f>
        <v>We introduce **FinanceReasoning**, a novel benchmark designed to evaluate the reasoning capabilities of large reasoning models (LRMs) in financial numerical reasoning problems. Compared to existing benchmarks, our work provides three key advancements. (1) **Credibility**: We update 15.6\% of the questions from four public datasets, annotating 908 new questions with detailed Python solutions and rigorously refining evaluation standards. This enables an accurate assessment of the reasoning improvements of LRMs. (2) **Comprehensiveness**: FinanceReasoning covers 67.8\% of financial concepts and formulas, significantly surpassing existing datasets. Additionally, we construct 3,133 Python-formatted functions, which enhances LRMs' financial reasoning capabilities through refined knowledge (*e.g.*, 83.2\% $\rightarrow$ 91.6\% for GPT-4o). (3) **Challenge**: Models are required to apply multiple financial formulas for precise numerical reasoning on 238 *Hard* problems. The best-performing model (*i.e.*, OpenAI o1 with PoT) achieves 89.1\% accuracy, yet LRMs still face challenges in numerical precision. We demonstrate that combining Reasoner and Programmer models can effectively enhance LRMs' performance (*e.g.*, 83.2\% $\rightarrow$ 87.8\% for DeepSeek-R1). Our work paves the way for future research on evaluating and improving LRMs in domain-specific complex reasoning tasks.</v>
      </c>
      <c r="D2394" s="7" t="str">
        <f>IFERROR(__xludf.DUMMYFUNCTION("""COMPUTED_VALUE"""),"Zichen Tang, Haihong E")</f>
        <v>Zichen Tang, Haihong E</v>
      </c>
      <c r="E2394" s="7" t="str">
        <f>IFERROR(__xludf.DUMMYFUNCTION("""COMPUTED_VALUE"""),"Yes")</f>
        <v>Yes</v>
      </c>
      <c r="F2394" s="7" t="str">
        <f>IFERROR(__xludf.DUMMYFUNCTION("""COMPUTED_VALUE"""),"IP-Poster")</f>
        <v>IP-Poster</v>
      </c>
      <c r="G2394" s="7" t="str">
        <f>IFERROR(__xludf.DUMMYFUNCTION("""COMPUTED_VALUE"""),"In-Person")</f>
        <v>In-Person</v>
      </c>
      <c r="H2394" s="7" t="str">
        <f>IFERROR(__xludf.DUMMYFUNCTION("""COMPUTED_VALUE"""),"Hall 4/5")</f>
        <v>Hall 4/5</v>
      </c>
      <c r="I2394" s="7" t="str">
        <f>IFERROR(__xludf.DUMMYFUNCTION("""COMPUTED_VALUE"""),"Session 7: IP-Posters")</f>
        <v>Session 7: IP-Posters</v>
      </c>
      <c r="J2394" s="7" t="str">
        <f>IFERROR(__xludf.DUMMYFUNCTION("""COMPUTED_VALUE"""),"Poster Session 2")</f>
        <v>Poster Session 2</v>
      </c>
      <c r="K2394" s="7"/>
      <c r="L2394" s="8">
        <f>IFERROR(__xludf.DUMMYFUNCTION("""COMPUTED_VALUE"""),45867.0)</f>
        <v>45867</v>
      </c>
      <c r="M2394" s="7" t="str">
        <f>IFERROR(__xludf.DUMMYFUNCTION("""COMPUTED_VALUE"""),"10:30-12:00")</f>
        <v>10:30-12:00</v>
      </c>
      <c r="N2394" s="7"/>
    </row>
    <row r="2395">
      <c r="A2395" s="7" t="str">
        <f>IFERROR(__xludf.DUMMYFUNCTION("""COMPUTED_VALUE"""),"1960-MAIN")</f>
        <v>1960-MAIN</v>
      </c>
      <c r="B2395" s="7" t="str">
        <f>IFERROR(__xludf.DUMMYFUNCTION("""COMPUTED_VALUE"""),"Controllable Style Arithmetic with Language Models")</f>
        <v>Controllable Style Arithmetic with Language Models</v>
      </c>
      <c r="C2395" s="7" t="str">
        <f>IFERROR(__xludf.DUMMYFUNCTION("""COMPUTED_VALUE"""),"Language models have shown remarkable capabilities in text generation, but precisely controlling their linguistic style remains challenging. Existing methods either lack fine-grained control, require extensive computation, or introduce significant latency"&amp;". We propose Style Arithmetic (SA), a novel parameter-space approach that first extracts style-specific representations by analyzing parameter differences between models trained on contrasting styles, then incorporates these representations into a base mo"&amp;"del with precise control over style intensity. Our experiments show that SA achieves three key capabilities: controllability for precise adjustment of styles, transferability for effective style transfer across tasks, and composability for simultaneous co"&amp;"ntrol of multiple style dimensions. Compared to alternative methods, SA offers superior effectiveness while achieving optimal computational efficiency. Our approach opens new possibilities for flexible and efficient style control in language models.")</f>
        <v>Language models have shown remarkable capabilities in text generation, but precisely controlling their linguistic style remains challenging. Existing methods either lack fine-grained control, require extensive computation, or introduce significant latency. We propose Style Arithmetic (SA), a novel parameter-space approach that first extracts style-specific representations by analyzing parameter differences between models trained on contrasting styles, then incorporates these representations into a base model with precise control over style intensity. Our experiments show that SA achieves three key capabilities: controllability for precise adjustment of styles, transferability for effective style transfer across tasks, and composability for simultaneous control of multiple style dimensions. Compared to alternative methods, SA offers superior effectiveness while achieving optimal computational efficiency. Our approach opens new possibilities for flexible and efficient style control in language models.</v>
      </c>
      <c r="D2395" s="7" t="str">
        <f>IFERROR(__xludf.DUMMYFUNCTION("""COMPUTED_VALUE"""),"Weiqi Wang")</f>
        <v>Weiqi Wang</v>
      </c>
      <c r="E2395" s="7" t="str">
        <f>IFERROR(__xludf.DUMMYFUNCTION("""COMPUTED_VALUE"""),"Yes")</f>
        <v>Yes</v>
      </c>
      <c r="F2395" s="7" t="str">
        <f>IFERROR(__xludf.DUMMYFUNCTION("""COMPUTED_VALUE"""),"IP-Poster")</f>
        <v>IP-Poster</v>
      </c>
      <c r="G2395" s="7" t="str">
        <f>IFERROR(__xludf.DUMMYFUNCTION("""COMPUTED_VALUE"""),"In-Person")</f>
        <v>In-Person</v>
      </c>
      <c r="H2395" s="7" t="str">
        <f>IFERROR(__xludf.DUMMYFUNCTION("""COMPUTED_VALUE"""),"Hall 4/5")</f>
        <v>Hall 4/5</v>
      </c>
      <c r="I2395" s="7" t="str">
        <f>IFERROR(__xludf.DUMMYFUNCTION("""COMPUTED_VALUE"""),"Session 2: IP-Posters ")</f>
        <v>Session 2: IP-Posters </v>
      </c>
      <c r="J2395" s="7" t="str">
        <f>IFERROR(__xludf.DUMMYFUNCTION("""COMPUTED_VALUE"""),"Poster Session 1")</f>
        <v>Poster Session 1</v>
      </c>
      <c r="K2395" s="7"/>
      <c r="L2395" s="8">
        <f>IFERROR(__xludf.DUMMYFUNCTION("""COMPUTED_VALUE"""),45866.0)</f>
        <v>45866</v>
      </c>
      <c r="M2395" s="7" t="str">
        <f>IFERROR(__xludf.DUMMYFUNCTION("""COMPUTED_VALUE"""),"11:00-12:30")</f>
        <v>11:00-12:30</v>
      </c>
      <c r="N2395" s="7"/>
    </row>
    <row r="2396">
      <c r="A2396" s="7" t="str">
        <f>IFERROR(__xludf.DUMMYFUNCTION("""COMPUTED_VALUE"""),"1962-MAIN")</f>
        <v>1962-MAIN</v>
      </c>
      <c r="B2396" s="7" t="str">
        <f>IFERROR(__xludf.DUMMYFUNCTION("""COMPUTED_VALUE"""),"Masks Can be Learned As An Alternative of Experts")</f>
        <v>Masks Can be Learned As An Alternative of Experts</v>
      </c>
      <c r="C2396" s="7" t="str">
        <f>IFERROR(__xludf.DUMMYFUNCTION("""COMPUTED_VALUE"""),"In this work, we investigate how to sparsify a pre-trained dense large language model into a mixture-of-experts (MoE) architecture for faster inference. Our approach applies mask matrix to the activations for each expert, constrained by $L_0$ regularizati"&amp;"on to minimize the number of activated parameters. Starting with all parameters active, the model is progressively sparsified during training, ensuring minimal performance loss. This approach proves more efficient than one-shot sparsification techniques, "&amp;"which typically require significant resources for performance recovery. Moreover, our approach automatically identifies shared, token-specific, and inactive experts, allowing for more efficient allocation of computational resources. Through extensive expe"&amp;"riments, we achieve up to 97% performance retention on downstream tasks with only 50% of the feed-forward parameters activated in dense models. Beyond enhancing inference efficiency, this strategy of sharing computational units among experts presents a va"&amp;"luable framework for designing more generalized and efficient MoE architectures, opening avenues for future advancements in expert-based models.")</f>
        <v>In this work, we investigate how to sparsify a pre-trained dense large language model into a mixture-of-experts (MoE) architecture for faster inference. Our approach applies mask matrix to the activations for each expert, constrained by $L_0$ regularization to minimize the number of activated parameters. Starting with all parameters active, the model is progressively sparsified during training, ensuring minimal performance loss. This approach proves more efficient than one-shot sparsification techniques, which typically require significant resources for performance recovery. Moreover, our approach automatically identifies shared, token-specific, and inactive experts, allowing for more efficient allocation of computational resources. Through extensive experiments, we achieve up to 97% performance retention on downstream tasks with only 50% of the feed-forward parameters activated in dense models. Beyond enhancing inference efficiency, this strategy of sharing computational units among experts presents a valuable framework for designing more generalized and efficient MoE architectures, opening avenues for future advancements in expert-based models.</v>
      </c>
      <c r="D2396" s="7" t="str">
        <f>IFERROR(__xludf.DUMMYFUNCTION("""COMPUTED_VALUE"""),"Peiyu Liu")</f>
        <v>Peiyu Liu</v>
      </c>
      <c r="E2396" s="7" t="str">
        <f>IFERROR(__xludf.DUMMYFUNCTION("""COMPUTED_VALUE"""),"Yes")</f>
        <v>Yes</v>
      </c>
      <c r="F2396" s="7" t="str">
        <f>IFERROR(__xludf.DUMMYFUNCTION("""COMPUTED_VALUE"""),"V-Presentation")</f>
        <v>V-Presentation</v>
      </c>
      <c r="G2396" s="7" t="str">
        <f>IFERROR(__xludf.DUMMYFUNCTION("""COMPUTED_VALUE"""),"Virtual/Gather")</f>
        <v>Virtual/Gather</v>
      </c>
      <c r="H2396" s="7" t="str">
        <f>IFERROR(__xludf.DUMMYFUNCTION("""COMPUTED_VALUE"""),"Zoom")</f>
        <v>Zoom</v>
      </c>
      <c r="I2396" s="7" t="str">
        <f>IFERROR(__xludf.DUMMYFUNCTION("""COMPUTED_VALUE"""),"Session 2: V-Presentations")</f>
        <v>Session 2: V-Presentations</v>
      </c>
      <c r="J2396" s="7" t="str">
        <f>IFERROR(__xludf.DUMMYFUNCTION("""COMPUTED_VALUE"""),"Virtual Presentations 1")</f>
        <v>Virtual Presentations 1</v>
      </c>
      <c r="K2396" s="7"/>
      <c r="L2396" s="8">
        <f>IFERROR(__xludf.DUMMYFUNCTION("""COMPUTED_VALUE"""),45866.0)</f>
        <v>45866</v>
      </c>
      <c r="M2396" s="7" t="str">
        <f>IFERROR(__xludf.DUMMYFUNCTION("""COMPUTED_VALUE"""),"11:00-12:30")</f>
        <v>11:00-12:30</v>
      </c>
      <c r="N2396" s="7"/>
    </row>
    <row r="2397">
      <c r="A2397" s="7" t="str">
        <f>IFERROR(__xludf.DUMMYFUNCTION("""COMPUTED_VALUE"""),"1964-MAIN")</f>
        <v>1964-MAIN</v>
      </c>
      <c r="B2397" s="7" t="str">
        <f>IFERROR(__xludf.DUMMYFUNCTION("""COMPUTED_VALUE"""),"Program Synthesis Benchmark for Visual Programming in XLogoOnline Environment")</f>
        <v>Program Synthesis Benchmark for Visual Programming in XLogoOnline Environment</v>
      </c>
      <c r="C2397" s="7" t="str">
        <f>IFERROR(__xludf.DUMMYFUNCTION("""COMPUTED_VALUE"""),"Large language and multimodal models have shown remarkable success on various benchmarks focused on specific skills such as general-purpose programming, math word problem-solving, and visual question answering. However, it is unclear how well these models"&amp;" perform on tasks that require a combination of these skills. In this paper, we curate a novel program synthesis benchmark based on the real-world tasks in the XLogoOnline visual programming environment. Each task requires a combination of different skill"&amp;"s such as spatial planning, basic programming, and logical reasoning. Our evaluation shows that current state-of-the-art models like GPT-4V and Llama3-70B struggle to solve these tasks, achieving only 20% and 2.35% success rates, respectively. Next, we de"&amp;"velop a fine-tuning pipeline to boost the performance of models by leveraging a large-scale synthetic training dataset with over 80,000 tasks. Moreover, we showcase how emulator-driven feedback can be used to design a curriculum over training data distrib"&amp;"ution, through which a fine-tuned Llama3-8B drastically outperforms GPT-4V and Llama3-70B models. Finally, we provide an in-depth failure analysis to understand the limitations of different models. We will publicly release the benchmark for future researc"&amp;"h on program synthesis in visual programming.")</f>
        <v>Large language and multimodal models have shown remarkable success on various benchmarks focused on specific skills such as general-purpose programming, math word problem-solving, and visual question answering. However, it is unclear how well these models perform on tasks that require a combination of these skills. In this paper, we curate a novel program synthesis benchmark based on the real-world tasks in the XLogoOnline visual programming environment. Each task requires a combination of different skills such as spatial planning, basic programming, and logical reasoning. Our evaluation shows that current state-of-the-art models like GPT-4V and Llama3-70B struggle to solve these tasks, achieving only 20% and 2.35% success rates, respectively. Next, we develop a fine-tuning pipeline to boost the performance of models by leveraging a large-scale synthetic training dataset with over 80,000 tasks. Moreover, we showcase how emulator-driven feedback can be used to design a curriculum over training data distribution, through which a fine-tuned Llama3-8B drastically outperforms GPT-4V and Llama3-70B models. Finally, we provide an in-depth failure analysis to understand the limitations of different models. We will publicly release the benchmark for future research on program synthesis in visual programming.</v>
      </c>
      <c r="D2397" s="7" t="str">
        <f>IFERROR(__xludf.DUMMYFUNCTION("""COMPUTED_VALUE"""),"Chao Wen")</f>
        <v>Chao Wen</v>
      </c>
      <c r="E2397" s="7" t="str">
        <f>IFERROR(__xludf.DUMMYFUNCTION("""COMPUTED_VALUE"""),"Yes")</f>
        <v>Yes</v>
      </c>
      <c r="F2397" s="7" t="str">
        <f>IFERROR(__xludf.DUMMYFUNCTION("""COMPUTED_VALUE"""),"IP-Poster")</f>
        <v>IP-Poster</v>
      </c>
      <c r="G2397" s="7" t="str">
        <f>IFERROR(__xludf.DUMMYFUNCTION("""COMPUTED_VALUE"""),"In-Person")</f>
        <v>In-Person</v>
      </c>
      <c r="H2397" s="7" t="str">
        <f>IFERROR(__xludf.DUMMYFUNCTION("""COMPUTED_VALUE"""),"Hall 4/5")</f>
        <v>Hall 4/5</v>
      </c>
      <c r="I2397" s="7" t="str">
        <f>IFERROR(__xludf.DUMMYFUNCTION("""COMPUTED_VALUE"""),"Session 7: IP-Posters")</f>
        <v>Session 7: IP-Posters</v>
      </c>
      <c r="J2397" s="7" t="str">
        <f>IFERROR(__xludf.DUMMYFUNCTION("""COMPUTED_VALUE"""),"Poster Session 2")</f>
        <v>Poster Session 2</v>
      </c>
      <c r="K2397" s="7"/>
      <c r="L2397" s="8">
        <f>IFERROR(__xludf.DUMMYFUNCTION("""COMPUTED_VALUE"""),45867.0)</f>
        <v>45867</v>
      </c>
      <c r="M2397" s="7" t="str">
        <f>IFERROR(__xludf.DUMMYFUNCTION("""COMPUTED_VALUE"""),"10:30-12:00")</f>
        <v>10:30-12:00</v>
      </c>
      <c r="N2397" s="7"/>
    </row>
    <row r="2398">
      <c r="A2398" s="7" t="str">
        <f>IFERROR(__xludf.DUMMYFUNCTION("""COMPUTED_VALUE"""),"1965-MAIN")</f>
        <v>1965-MAIN</v>
      </c>
      <c r="B2398" s="7" t="str">
        <f>IFERROR(__xludf.DUMMYFUNCTION("""COMPUTED_VALUE"""),"Removal of Hallucination on Hallucination: Debate-Augmented RAG")</f>
        <v>Removal of Hallucination on Hallucination: Debate-Augmented RAG</v>
      </c>
      <c r="C2398" s="7" t="str">
        <f>IFERROR(__xludf.DUMMYFUNCTION("""COMPUTED_VALUE"""),"Retrieval-Augmented Generation (RAG) enhances factual accuracy by integrating external knowledge, yet it introduces a critical issue: erroneous or biased retrieval can mislead generation, compounding hallucinations, a phenomenon we term Hallucination on H"&amp;"allucination. To address this, we propose Debate-Augmented RAG (DRAG), a training-free framework that integrates Multi-Agent Debate (MAD) mechanisms into both retrieval and generation stages. In retrieval, DRAG employs structured debates among proponents,"&amp;" opponents, and judges to refine retrieval quality and ensure factual reliability. In generation, DRAG introduces asymmetric information roles and adversarial debates, enhancing reasoning robustness and mitigating factual inconsistencies. Evaluations acro"&amp;"ss multiple tasks demonstrate that DRAG improves retrieval reliability, reduces RAG-induced hallucinations, and significantly enhances overall factual accuracy. Our code is available at https://github.com/Huenao/Debate-Augmented-RAG.")</f>
        <v>Retrieval-Augmented Generation (RAG) enhances factual accuracy by integrating external knowledge, yet it introduces a critical issue: erroneous or biased retrieval can mislead generation, compounding hallucinations, a phenomenon we term Hallucination on Hallucination. To address this, we propose Debate-Augmented RAG (DRAG), a training-free framework that integrates Multi-Agent Debate (MAD) mechanisms into both retrieval and generation stages. In retrieval, DRAG employs structured debates among proponents, opponents, and judges to refine retrieval quality and ensure factual reliability. In generation, DRAG introduces asymmetric information roles and adversarial debates, enhancing reasoning robustness and mitigating factual inconsistencies. Evaluations across multiple tasks demonstrate that DRAG improves retrieval reliability, reduces RAG-induced hallucinations, and significantly enhances overall factual accuracy. Our code is available at https://github.com/Huenao/Debate-Augmented-RAG.</v>
      </c>
      <c r="D2398" s="7" t="str">
        <f>IFERROR(__xludf.DUMMYFUNCTION("""COMPUTED_VALUE"""),"Wentao Hu")</f>
        <v>Wentao Hu</v>
      </c>
      <c r="E2398" s="7" t="str">
        <f>IFERROR(__xludf.DUMMYFUNCTION("""COMPUTED_VALUE"""),"Yes")</f>
        <v>Yes</v>
      </c>
      <c r="F2398" s="7" t="str">
        <f>IFERROR(__xludf.DUMMYFUNCTION("""COMPUTED_VALUE"""),"IP-Poster")</f>
        <v>IP-Poster</v>
      </c>
      <c r="G2398" s="7" t="str">
        <f>IFERROR(__xludf.DUMMYFUNCTION("""COMPUTED_VALUE"""),"In-Person")</f>
        <v>In-Person</v>
      </c>
      <c r="H2398" s="7" t="str">
        <f>IFERROR(__xludf.DUMMYFUNCTION("""COMPUTED_VALUE"""),"Hall 4/5")</f>
        <v>Hall 4/5</v>
      </c>
      <c r="I2398" s="7" t="str">
        <f>IFERROR(__xludf.DUMMYFUNCTION("""COMPUTED_VALUE"""),"Session 7: IP-Posters")</f>
        <v>Session 7: IP-Posters</v>
      </c>
      <c r="J2398" s="7" t="str">
        <f>IFERROR(__xludf.DUMMYFUNCTION("""COMPUTED_VALUE"""),"Poster Session 2")</f>
        <v>Poster Session 2</v>
      </c>
      <c r="K2398" s="7"/>
      <c r="L2398" s="8">
        <f>IFERROR(__xludf.DUMMYFUNCTION("""COMPUTED_VALUE"""),45867.0)</f>
        <v>45867</v>
      </c>
      <c r="M2398" s="7" t="str">
        <f>IFERROR(__xludf.DUMMYFUNCTION("""COMPUTED_VALUE"""),"10:30-12:00")</f>
        <v>10:30-12:00</v>
      </c>
      <c r="N2398" s="7"/>
    </row>
    <row r="2399">
      <c r="A2399" s="7" t="str">
        <f>IFERROR(__xludf.DUMMYFUNCTION("""COMPUTED_VALUE"""),"1967-MAIN")</f>
        <v>1967-MAIN</v>
      </c>
      <c r="B2399" s="7" t="str">
        <f>IFERROR(__xludf.DUMMYFUNCTION("""COMPUTED_VALUE"""),"CodeDPO: Aligning Code Models with Self Generated and Verified Source Code")</f>
        <v>CodeDPO: Aligning Code Models with Self Generated and Verified Source Code</v>
      </c>
      <c r="C2399" s="7" t="str">
        <f>IFERROR(__xludf.DUMMYFUNCTION("""COMPUTED_VALUE"""),"Code generation models have shown significant potential for programming tasks. However, existing training methods like supervised fine-tuning face key limitations: they do not effectively teach models to prioritize correct over incorrect solutions in ambi"&amp;"guous situations, nor do they effectively optimize the runtime efficiency of the generated code. To address these challenges, we propose CodeDPO, a framework that integrates preference learning into code generation to improve two key code preference facto"&amp;"rs: code correctness and efficiency. CodeDPO employs a novel dataset construction method, utilizing a self-generation-and-validation mechanism that simultaneously generates and evaluates code and test cases. The underlying assumption is that test cases ex"&amp;"ecutable by multiple code snippets provide more reliable validation, and code that passes more tests is more likely to be correct. Through this self-validation process, our PageRank-inspired algorithm iteratively updates the ranking score of each code sni"&amp;"ppet, ultimately creating a code preference optimization dataset based on correctness and efficiency. CodeDPO is flexible and scalable, generating diverse preference optimization data without depending on powerful models such as GPT-4. Through comprehensi"&amp;"ve evaluations of five widely used benchmarks, CodeDPO demonstrates significant improvements in correctness and efficiency compared to existing methods. Our experiments prove that CodeDPO enhances the capabilities of LLMs in code generation and provides a"&amp;" robust foundation for conducting code preference optimization in more complex and challenging real-world scenarios.")</f>
        <v>Code generation models have shown significant potential for programming tasks. However, existing training methods like supervised fine-tuning face key limitations: they do not effectively teach models to prioritize correct over incorrect solutions in ambiguous situations, nor do they effectively optimize the runtime efficiency of the generated code. To address these challenges, we propose CodeDPO, a framework that integrates preference learning into code generation to improve two key code preference factors: code correctness and efficiency. CodeDPO employs a novel dataset construction method, utilizing a self-generation-and-validation mechanism that simultaneously generates and evaluates code and test cases. The underlying assumption is that test cases executable by multiple code snippets provide more reliable validation, and code that passes more tests is more likely to be correct. Through this self-validation process, our PageRank-inspired algorithm iteratively updates the ranking score of each code snippet, ultimately creating a code preference optimization dataset based on correctness and efficiency. CodeDPO is flexible and scalable, generating diverse preference optimization data without depending on powerful models such as GPT-4. Through comprehensive evaluations of five widely used benchmarks, CodeDPO demonstrates significant improvements in correctness and efficiency compared to existing methods. Our experiments prove that CodeDPO enhances the capabilities of LLMs in code generation and provides a robust foundation for conducting code preference optimization in more complex and challenging real-world scenarios.</v>
      </c>
      <c r="D2399" s="7" t="str">
        <f>IFERROR(__xludf.DUMMYFUNCTION("""COMPUTED_VALUE"""),"Kechi Zhang")</f>
        <v>Kechi Zhang</v>
      </c>
      <c r="E2399" s="7" t="str">
        <f>IFERROR(__xludf.DUMMYFUNCTION("""COMPUTED_VALUE"""),"Yes")</f>
        <v>Yes</v>
      </c>
      <c r="F2399" s="7" t="str">
        <f>IFERROR(__xludf.DUMMYFUNCTION("""COMPUTED_VALUE"""),"IP-Poster")</f>
        <v>IP-Poster</v>
      </c>
      <c r="G2399" s="7" t="str">
        <f>IFERROR(__xludf.DUMMYFUNCTION("""COMPUTED_VALUE"""),"In-Person")</f>
        <v>In-Person</v>
      </c>
      <c r="H2399" s="7" t="str">
        <f>IFERROR(__xludf.DUMMYFUNCTION("""COMPUTED_VALUE"""),"Hall 4/5")</f>
        <v>Hall 4/5</v>
      </c>
      <c r="I2399" s="7" t="str">
        <f>IFERROR(__xludf.DUMMYFUNCTION("""COMPUTED_VALUE"""),"Session 7: IP-Posters")</f>
        <v>Session 7: IP-Posters</v>
      </c>
      <c r="J2399" s="7" t="str">
        <f>IFERROR(__xludf.DUMMYFUNCTION("""COMPUTED_VALUE"""),"Poster Session 2")</f>
        <v>Poster Session 2</v>
      </c>
      <c r="K2399" s="7"/>
      <c r="L2399" s="8">
        <f>IFERROR(__xludf.DUMMYFUNCTION("""COMPUTED_VALUE"""),45867.0)</f>
        <v>45867</v>
      </c>
      <c r="M2399" s="7" t="str">
        <f>IFERROR(__xludf.DUMMYFUNCTION("""COMPUTED_VALUE"""),"10:30-12:00")</f>
        <v>10:30-12:00</v>
      </c>
      <c r="N2399" s="7"/>
    </row>
    <row r="2400">
      <c r="A2400" s="7" t="str">
        <f>IFERROR(__xludf.DUMMYFUNCTION("""COMPUTED_VALUE"""),"1969-MAIN")</f>
        <v>1969-MAIN</v>
      </c>
      <c r="B2400" s="7" t="str">
        <f>IFERROR(__xludf.DUMMYFUNCTION("""COMPUTED_VALUE"""),"ProxAnn: Use-Oriented Evaluations of Topic Models and Document Clustering")</f>
        <v>ProxAnn: Use-Oriented Evaluations of Topic Models and Document Clustering</v>
      </c>
      <c r="C2400" s="7" t="str">
        <f>IFERROR(__xludf.DUMMYFUNCTION("""COMPUTED_VALUE"""),"Topic models and document-clustering evaluations either use automated metrics that align poorly with human preferences, or require expert labels that are intractable to scale. We design a scalable human evaluation protocol and a corresponding automated ap"&amp;"proximation that reflect practitioners' real-world usage of models. Annotators---or an LLM-based proxy---review text items assigned to a topic or cluster, infer a category for the group, then apply that category to other documents. Using this protocol, we"&amp;" collect extensive crowdworker annotations of outputs from a diverse set of topic models on two datasets. We then use these annotations to validate automated proxies, finding that the best LLM proxy is statistically indistinguishable from a human annotato"&amp;"r and can therefore serve as a reasonable substitute in automated evaluations.")</f>
        <v>Topic models and document-clustering evaluations either use automated metrics that align poorly with human preferences, or require expert labels that are intractable to scale. We design a scalable human evaluation protocol and a corresponding automated approximation that reflect practitioners' real-world usage of models. Annotators---or an LLM-based proxy---review text items assigned to a topic or cluster, infer a category for the group, then apply that category to other documents. Using this protocol, we collect extensive crowdworker annotations of outputs from a diverse set of topic models on two datasets. We then use these annotations to validate automated proxies, finding that the best LLM proxy is statistically indistinguishable from a human annotator and can therefore serve as a reasonable substitute in automated evaluations.</v>
      </c>
      <c r="D2400" s="7" t="str">
        <f>IFERROR(__xludf.DUMMYFUNCTION("""COMPUTED_VALUE"""),"Alexander Hoyle
Lorena Calvo-Bartolomé")</f>
        <v>Alexander Hoyle
Lorena Calvo-Bartolomé</v>
      </c>
      <c r="E2400" s="7" t="str">
        <f>IFERROR(__xludf.DUMMYFUNCTION("""COMPUTED_VALUE"""),"Yes")</f>
        <v>Yes</v>
      </c>
      <c r="F2400" s="7" t="str">
        <f>IFERROR(__xludf.DUMMYFUNCTION("""COMPUTED_VALUE"""),"IP-Poster")</f>
        <v>IP-Poster</v>
      </c>
      <c r="G2400" s="7" t="str">
        <f>IFERROR(__xludf.DUMMYFUNCTION("""COMPUTED_VALUE"""),"In-Person")</f>
        <v>In-Person</v>
      </c>
      <c r="H2400" s="7" t="str">
        <f>IFERROR(__xludf.DUMMYFUNCTION("""COMPUTED_VALUE"""),"Hall 4/5")</f>
        <v>Hall 4/5</v>
      </c>
      <c r="I2400" s="7" t="str">
        <f>IFERROR(__xludf.DUMMYFUNCTION("""COMPUTED_VALUE"""),"Session 12: IP-Posters")</f>
        <v>Session 12: IP-Posters</v>
      </c>
      <c r="J2400" s="7" t="str">
        <f>IFERROR(__xludf.DUMMYFUNCTION("""COMPUTED_VALUE"""),"Poster Session 4")</f>
        <v>Poster Session 4</v>
      </c>
      <c r="K2400" s="7"/>
      <c r="L2400" s="8">
        <f>IFERROR(__xludf.DUMMYFUNCTION("""COMPUTED_VALUE"""),45868.0)</f>
        <v>45868</v>
      </c>
      <c r="M2400" s="7" t="str">
        <f>IFERROR(__xludf.DUMMYFUNCTION("""COMPUTED_VALUE"""),"11:00-12:30")</f>
        <v>11:00-12:30</v>
      </c>
      <c r="N2400" s="7"/>
    </row>
    <row r="2401">
      <c r="A2401" s="7" t="str">
        <f>IFERROR(__xludf.DUMMYFUNCTION("""COMPUTED_VALUE"""),"1973-MAIN")</f>
        <v>1973-MAIN</v>
      </c>
      <c r="B2401" s="7" t="str">
        <f>IFERROR(__xludf.DUMMYFUNCTION("""COMPUTED_VALUE"""),"BOOKWORLD: From Novels to Interactive Agent Societies for Story Creation")</f>
        <v>BOOKWORLD: From Novels to Interactive Agent Societies for Story Creation</v>
      </c>
      <c r="C2401" s="7" t="str">
        <f>IFERROR(__xludf.DUMMYFUNCTION("""COMPUTED_VALUE"""),"Recent advances in large language models (LLMs) have enabled social simulation through multi-agent systems. Prior efforts focus on agent societies created from scratch, assigning agents with newly defined personas. However, simulating established fictiona"&amp;"l worlds and characters remain largely underexplored, despite its significant practical value. In this paper, we introduce BookWorld, a comprehensive system for constructing and simulating book-based multi-agent societies. BookWorld's design covers compre"&amp;"hensive real-world intricacies, including diverse and dynamic characters, fictional worldviews, geographical constraints and changes, e.t.c. BookWorld enables diverse applications including story generation, interactive games and social simulation, offeri"&amp;"ng novel ways to extend and explore beloved fictional works. Through extensive experiments, we demonstrate that BookWorld generates creative, high-quality stories while maintaining fidelity to the source books, surpassing previous methods with a win rate "&amp;"of 75.36%. The code and demo of this paper can be found at the project page: https://bookworld2025.github.io/.")</f>
        <v>Recent advances in large language models (LLMs) have enabled social simulation through multi-agent systems. Prior efforts focus on agent societies created from scratch, assigning agents with newly defined personas. However, simulating established fictional worlds and characters remain largely underexplored, despite its significant practical value. In this paper, we introduce BookWorld, a comprehensive system for constructing and simulating book-based multi-agent societies. BookWorld's design covers comprehensive real-world intricacies, including diverse and dynamic characters, fictional worldviews, geographical constraints and changes, e.t.c. BookWorld enables diverse applications including story generation, interactive games and social simulation, offering novel ways to extend and explore beloved fictional works. Through extensive experiments, we demonstrate that BookWorld generates creative, high-quality stories while maintaining fidelity to the source books, surpassing previous methods with a win rate of 75.36%. The code and demo of this paper can be found at the project page: https://bookworld2025.github.io/.</v>
      </c>
      <c r="D2401" s="7" t="str">
        <f>IFERROR(__xludf.DUMMYFUNCTION("""COMPUTED_VALUE"""),"Yiting Ran")</f>
        <v>Yiting Ran</v>
      </c>
      <c r="E2401" s="7" t="str">
        <f>IFERROR(__xludf.DUMMYFUNCTION("""COMPUTED_VALUE"""),"Yes")</f>
        <v>Yes</v>
      </c>
      <c r="F2401" s="7" t="str">
        <f>IFERROR(__xludf.DUMMYFUNCTION("""COMPUTED_VALUE"""),"IP-Oral")</f>
        <v>IP-Oral</v>
      </c>
      <c r="G2401" s="7" t="str">
        <f>IFERROR(__xludf.DUMMYFUNCTION("""COMPUTED_VALUE"""),"In-Person")</f>
        <v>In-Person</v>
      </c>
      <c r="H2401" s="7" t="str">
        <f>IFERROR(__xludf.DUMMYFUNCTION("""COMPUTED_VALUE"""),"Hall N.1")</f>
        <v>Hall N.1</v>
      </c>
      <c r="I2401" s="7" t="str">
        <f>IFERROR(__xludf.DUMMYFUNCTION("""COMPUTED_VALUE"""),"Session 9: IP-Orals")</f>
        <v>Session 9: IP-Orals</v>
      </c>
      <c r="J2401" s="7" t="str">
        <f>IFERROR(__xludf.DUMMYFUNCTION("""COMPUTED_VALUE"""),"Dialogue and Interactive Systems")</f>
        <v>Dialogue and Interactive Systems</v>
      </c>
      <c r="K2401" s="7"/>
      <c r="L2401" s="8">
        <f>IFERROR(__xludf.DUMMYFUNCTION("""COMPUTED_VALUE"""),45867.0)</f>
        <v>45867</v>
      </c>
      <c r="M2401" s="7" t="str">
        <f>IFERROR(__xludf.DUMMYFUNCTION("""COMPUTED_VALUE"""),"14:00-15:30")</f>
        <v>14:00-15:30</v>
      </c>
      <c r="N2401" s="7">
        <f>IFERROR(__xludf.DUMMYFUNCTION("""COMPUTED_VALUE"""),5.0)</f>
        <v>5</v>
      </c>
    </row>
    <row r="2402">
      <c r="A2402" s="7" t="str">
        <f>IFERROR(__xludf.DUMMYFUNCTION("""COMPUTED_VALUE"""),"1974-MAIN")</f>
        <v>1974-MAIN</v>
      </c>
      <c r="B2402" s="7" t="str">
        <f>IFERROR(__xludf.DUMMYFUNCTION("""COMPUTED_VALUE"""),"Quantifying Lexical Semantic Shift via Unbalanced Optimal Transport")</f>
        <v>Quantifying Lexical Semantic Shift via Unbalanced Optimal Transport</v>
      </c>
      <c r="C2402" s="7" t="str">
        <f>IFERROR(__xludf.DUMMYFUNCTION("""COMPUTED_VALUE"""),"Lexical semantic change detection aims to identify shifts in word meanings over time. While existing methods using embeddings from a diachronic corpus pair estimate the degree of change for target words, they offer limited insight into changes at the leve"&amp;"l of individual usage instances. To address this, we apply Unbalanced Optimal Transport (UOT) to sets of contextualized word embeddings, capturing semantic change through the excess and deficit in the alignment between usage instances. In particular, we p"&amp;"ropose Sense Usage Shift (SUS), a measure that quantifies changes in the usage frequency of a word sense at each usage instance. By leveraging SUS, we demonstrate that several challenges in semantic change detection can be addressed in a unified manner, i"&amp;"ncluding quantifying instance-level semantic change and word-level tasks such as measuring the magnitude of semantic change and the broadening or narrowing of meaning.")</f>
        <v>Lexical semantic change detection aims to identify shifts in word meanings over time. While existing methods using embeddings from a diachronic corpus pair estimate the degree of change for target words, they offer limited insight into changes at the level of individual usage instances. To address this, we apply Unbalanced Optimal Transport (UOT) to sets of contextualized word embeddings, capturing semantic change through the excess and deficit in the alignment between usage instances. In particular, we propose Sense Usage Shift (SUS), a measure that quantifies changes in the usage frequency of a word sense at each usage instance. By leveraging SUS, we demonstrate that several challenges in semantic change detection can be addressed in a unified manner, including quantifying instance-level semantic change and word-level tasks such as measuring the magnitude of semantic change and the broadening or narrowing of meaning.</v>
      </c>
      <c r="D2402" s="7" t="str">
        <f>IFERROR(__xludf.DUMMYFUNCTION("""COMPUTED_VALUE"""),"Ryo Kishino")</f>
        <v>Ryo Kishino</v>
      </c>
      <c r="E2402" s="7" t="str">
        <f>IFERROR(__xludf.DUMMYFUNCTION("""COMPUTED_VALUE"""),"Yes")</f>
        <v>Yes</v>
      </c>
      <c r="F2402" s="7" t="str">
        <f>IFERROR(__xludf.DUMMYFUNCTION("""COMPUTED_VALUE"""),"IP-Poster")</f>
        <v>IP-Poster</v>
      </c>
      <c r="G2402" s="7" t="str">
        <f>IFERROR(__xludf.DUMMYFUNCTION("""COMPUTED_VALUE"""),"In-Person")</f>
        <v>In-Person</v>
      </c>
      <c r="H2402" s="7" t="str">
        <f>IFERROR(__xludf.DUMMYFUNCTION("""COMPUTED_VALUE"""),"Hall 4/5")</f>
        <v>Hall 4/5</v>
      </c>
      <c r="I2402" s="7" t="str">
        <f>IFERROR(__xludf.DUMMYFUNCTION("""COMPUTED_VALUE"""),"Session 2: IP-Posters ")</f>
        <v>Session 2: IP-Posters </v>
      </c>
      <c r="J2402" s="7" t="str">
        <f>IFERROR(__xludf.DUMMYFUNCTION("""COMPUTED_VALUE"""),"Poster Session 1")</f>
        <v>Poster Session 1</v>
      </c>
      <c r="K2402" s="7"/>
      <c r="L2402" s="8">
        <f>IFERROR(__xludf.DUMMYFUNCTION("""COMPUTED_VALUE"""),45866.0)</f>
        <v>45866</v>
      </c>
      <c r="M2402" s="7" t="str">
        <f>IFERROR(__xludf.DUMMYFUNCTION("""COMPUTED_VALUE"""),"11:00-12:30")</f>
        <v>11:00-12:30</v>
      </c>
      <c r="N2402" s="7"/>
    </row>
    <row r="2403">
      <c r="A2403" s="7" t="str">
        <f>IFERROR(__xludf.DUMMYFUNCTION("""COMPUTED_VALUE"""),"1975-MAIN")</f>
        <v>1975-MAIN</v>
      </c>
      <c r="B2403" s="7" t="str">
        <f>IFERROR(__xludf.DUMMYFUNCTION("""COMPUTED_VALUE"""),"Agentic Reward Modeling: Integrating Human Preferences with Verifiable Correctness Signals for Reliable Reward Systems")</f>
        <v>Agentic Reward Modeling: Integrating Human Preferences with Verifiable Correctness Signals for Reliable Reward Systems</v>
      </c>
      <c r="C2403" s="7" t="str">
        <f>IFERROR(__xludf.DUMMYFUNCTION("""COMPUTED_VALUE"""),"Reward models (RMs) are crucial for the training and inference-time scaling up of large language models (LLMs). However, existing reward models primarily focus on human preferences, neglecting verifiable correctness signals which have shown strong potenti"&amp;"al in training LLMs. In this paper, we propose agentic reward modeling, a reward system that combines reward models with verifiable correctness signals from different aspects to provide reliable rewards. We empirically implement a reward agent, named Rewa"&amp;"rdAgent, that combines human preference rewards with two verifiable signals: factuality and instruction following, to provide more reliable rewards. We conduct comprehensive experiments on existing reward model benchmarks and inference-time best-of-n sear"&amp;"ches on real-world downstream tasks. RewardAgent significantly outperforms vanilla reward models, demonstrating its effectiveness. We further construct training preference pairs using RewardAgent and train an LLM with the DPO objective, achieving superior"&amp;" performance on various NLP benchmarks compared to conventional reward models. Our codes are publicly released to facilitate further research.")</f>
        <v>Reward models (RMs) are crucial for the training and inference-time scaling up of large language models (LLMs). However, existing reward models primarily focus on human preferences, neglecting verifiable correctness signals which have shown strong potential in training LLMs. In this paper, we propose agentic reward modeling, a reward system that combines reward models with verifiable correctness signals from different aspects to provide reliable rewards. We empirically implement a reward agent, named RewardAgent, that combines human preference rewards with two verifiable signals: factuality and instruction following, to provide more reliable rewards. We conduct comprehensive experiments on existing reward model benchmarks and inference-time best-of-n searches on real-world downstream tasks. RewardAgent significantly outperforms vanilla reward models, demonstrating its effectiveness. We further construct training preference pairs using RewardAgent and train an LLM with the DPO objective, achieving superior performance on various NLP benchmarks compared to conventional reward models. Our codes are publicly released to facilitate further research.</v>
      </c>
      <c r="D2403" s="7" t="str">
        <f>IFERROR(__xludf.DUMMYFUNCTION("""COMPUTED_VALUE"""),"Hao Peng, Yunjia Qi")</f>
        <v>Hao Peng, Yunjia Qi</v>
      </c>
      <c r="E2403" s="7" t="str">
        <f>IFERROR(__xludf.DUMMYFUNCTION("""COMPUTED_VALUE"""),"Yes")</f>
        <v>Yes</v>
      </c>
      <c r="F2403" s="7" t="str">
        <f>IFERROR(__xludf.DUMMYFUNCTION("""COMPUTED_VALUE"""),"IP-Poster")</f>
        <v>IP-Poster</v>
      </c>
      <c r="G2403" s="7" t="str">
        <f>IFERROR(__xludf.DUMMYFUNCTION("""COMPUTED_VALUE"""),"In-Person")</f>
        <v>In-Person</v>
      </c>
      <c r="H2403" s="7" t="str">
        <f>IFERROR(__xludf.DUMMYFUNCTION("""COMPUTED_VALUE"""),"Hall 4/5")</f>
        <v>Hall 4/5</v>
      </c>
      <c r="I2403" s="7" t="str">
        <f>IFERROR(__xludf.DUMMYFUNCTION("""COMPUTED_VALUE"""),"Session 7: IP-Posters")</f>
        <v>Session 7: IP-Posters</v>
      </c>
      <c r="J2403" s="7" t="str">
        <f>IFERROR(__xludf.DUMMYFUNCTION("""COMPUTED_VALUE"""),"Poster Session 2")</f>
        <v>Poster Session 2</v>
      </c>
      <c r="K2403" s="7"/>
      <c r="L2403" s="8">
        <f>IFERROR(__xludf.DUMMYFUNCTION("""COMPUTED_VALUE"""),45867.0)</f>
        <v>45867</v>
      </c>
      <c r="M2403" s="7" t="str">
        <f>IFERROR(__xludf.DUMMYFUNCTION("""COMPUTED_VALUE"""),"10:30-12:00")</f>
        <v>10:30-12:00</v>
      </c>
      <c r="N2403" s="7"/>
    </row>
    <row r="2404">
      <c r="A2404" s="7" t="str">
        <f>IFERROR(__xludf.DUMMYFUNCTION("""COMPUTED_VALUE"""),"1976-MAIN")</f>
        <v>1976-MAIN</v>
      </c>
      <c r="B2404" s="7" t="str">
        <f>IFERROR(__xludf.DUMMYFUNCTION("""COMPUTED_VALUE"""),"Adaptive and Robust Translation from Natural Language to Multi-model Query Languages")</f>
        <v>Adaptive and Robust Translation from Natural Language to Multi-model Query Languages</v>
      </c>
      <c r="C2404" s="7" t="str">
        <f>IFERROR(__xludf.DUMMYFUNCTION("""COMPUTED_VALUE"""),"Multi-model databases and polystore systems are increasingly studied for managing multi-model data holistically. As their primary interface, multi-model query languages (MMQLs) often exhibit complex grammars, highlighting the need for effective Text-to-MM"&amp;"QL translation methods. Despite advances in natural language translation, no effective solutions for Text-to-MMQL exist. To address this gap, we formally define the Text-to-MMQL task and present the first Text-to-MMQL dataset involving three representativ"&amp;"e MMQLs. We propose an adaptive Text-to-MMQL framework that includes both a schema embedding module for capturing multi-model schema information and an MMQL representation strategy to generate concise intermediate query formats with error correction in ge"&amp;"nerated queries. Experimental results show that the proposed framework achieves over a 9% accuracy improvement over our adapted baseline methods.")</f>
        <v>Multi-model databases and polystore systems are increasingly studied for managing multi-model data holistically. As their primary interface, multi-model query languages (MMQLs) often exhibit complex grammars, highlighting the need for effective Text-to-MMQL translation methods. Despite advances in natural language translation, no effective solutions for Text-to-MMQL exist. To address this gap, we formally define the Text-to-MMQL task and present the first Text-to-MMQL dataset involving three representative MMQLs. We propose an adaptive Text-to-MMQL framework that includes both a schema embedding module for capturing multi-model schema information and an MMQL representation strategy to generate concise intermediate query formats with error correction in generated queries. Experimental results show that the proposed framework achieves over a 9% accuracy improvement over our adapted baseline methods.</v>
      </c>
      <c r="D2404" s="7" t="str">
        <f>IFERROR(__xludf.DUMMYFUNCTION("""COMPUTED_VALUE"""),"Gengyuan Shi")</f>
        <v>Gengyuan Shi</v>
      </c>
      <c r="E2404" s="7" t="str">
        <f>IFERROR(__xludf.DUMMYFUNCTION("""COMPUTED_VALUE"""),"Yes")</f>
        <v>Yes</v>
      </c>
      <c r="F2404" s="7" t="str">
        <f>IFERROR(__xludf.DUMMYFUNCTION("""COMPUTED_VALUE"""),"IP-Poster")</f>
        <v>IP-Poster</v>
      </c>
      <c r="G2404" s="7" t="str">
        <f>IFERROR(__xludf.DUMMYFUNCTION("""COMPUTED_VALUE"""),"In-Person")</f>
        <v>In-Person</v>
      </c>
      <c r="H2404" s="7" t="str">
        <f>IFERROR(__xludf.DUMMYFUNCTION("""COMPUTED_VALUE"""),"Hall 4/5")</f>
        <v>Hall 4/5</v>
      </c>
      <c r="I2404" s="7" t="str">
        <f>IFERROR(__xludf.DUMMYFUNCTION("""COMPUTED_VALUE"""),"Session 7: IP-Posters")</f>
        <v>Session 7: IP-Posters</v>
      </c>
      <c r="J2404" s="7" t="str">
        <f>IFERROR(__xludf.DUMMYFUNCTION("""COMPUTED_VALUE"""),"Poster Session 2")</f>
        <v>Poster Session 2</v>
      </c>
      <c r="K2404" s="7"/>
      <c r="L2404" s="8">
        <f>IFERROR(__xludf.DUMMYFUNCTION("""COMPUTED_VALUE"""),45867.0)</f>
        <v>45867</v>
      </c>
      <c r="M2404" s="7" t="str">
        <f>IFERROR(__xludf.DUMMYFUNCTION("""COMPUTED_VALUE"""),"10:30-12:00")</f>
        <v>10:30-12:00</v>
      </c>
      <c r="N2404" s="7"/>
    </row>
    <row r="2405">
      <c r="A2405" s="7" t="str">
        <f>IFERROR(__xludf.DUMMYFUNCTION("""COMPUTED_VALUE"""),"1977-MAIN")</f>
        <v>1977-MAIN</v>
      </c>
      <c r="B2405" s="7" t="str">
        <f>IFERROR(__xludf.DUMMYFUNCTION("""COMPUTED_VALUE"""),"SAKE: Steering Activations for Knowledge Editing")</f>
        <v>SAKE: Steering Activations for Knowledge Editing</v>
      </c>
      <c r="C2405" s="7" t="str">
        <f>IFERROR(__xludf.DUMMYFUNCTION("""COMPUTED_VALUE"""),"As Large Langue Models have been shown to memorize real-world facts, the need to update this knowledge in a controlled and efficient manner arises. Designed with these constraints in mind, Knowledge Editing (KE) approaches propose to alter specific facts "&amp;"in pretrained models. However, they have been shown to suffer from several limitations, including their lack of contextual robustness and their failure to generalize to logical implications related to the fact. To overcome these issues, we propose SAKE, a"&amp;" steering activation method that models a fact to be edited as a distribution rather than a single prompt. Leveraging Optimal Transport, SAKE alters the LLM behavior over a whole fact-related distribution, defined as paraphrases and logical implications. "&amp;"Several numerical experiments demonstrate the effectiveness of this method: SAKE is thus able to perform more robust edits than its existing counterparts.")</f>
        <v>As Large Langue Models have been shown to memorize real-world facts, the need to update this knowledge in a controlled and efficient manner arises. Designed with these constraints in mind, Knowledge Editing (KE) approaches propose to alter specific facts in pretrained models. However, they have been shown to suffer from several limitations, including their lack of contextual robustness and their failure to generalize to logical implications related to the fact. To overcome these issues, we propose SAKE, a steering activation method that models a fact to be edited as a distribution rather than a single prompt. Leveraging Optimal Transport, SAKE alters the LLM behavior over a whole fact-related distribution, defined as paraphrases and logical implications. Several numerical experiments demonstrate the effectiveness of this method: SAKE is thus able to perform more robust edits than its existing counterparts.</v>
      </c>
      <c r="D2405" s="7" t="str">
        <f>IFERROR(__xludf.DUMMYFUNCTION("""COMPUTED_VALUE"""),"Thibault Laugel")</f>
        <v>Thibault Laugel</v>
      </c>
      <c r="E2405" s="7" t="str">
        <f>IFERROR(__xludf.DUMMYFUNCTION("""COMPUTED_VALUE"""),"Yes")</f>
        <v>Yes</v>
      </c>
      <c r="F2405" s="7" t="str">
        <f>IFERROR(__xludf.DUMMYFUNCTION("""COMPUTED_VALUE"""),"IP-Poster")</f>
        <v>IP-Poster</v>
      </c>
      <c r="G2405" s="7" t="str">
        <f>IFERROR(__xludf.DUMMYFUNCTION("""COMPUTED_VALUE"""),"In-Person")</f>
        <v>In-Person</v>
      </c>
      <c r="H2405" s="7" t="str">
        <f>IFERROR(__xludf.DUMMYFUNCTION("""COMPUTED_VALUE"""),"Hall 4/5")</f>
        <v>Hall 4/5</v>
      </c>
      <c r="I2405" s="7" t="str">
        <f>IFERROR(__xludf.DUMMYFUNCTION("""COMPUTED_VALUE"""),"Session 7: IP-Posters")</f>
        <v>Session 7: IP-Posters</v>
      </c>
      <c r="J2405" s="7" t="str">
        <f>IFERROR(__xludf.DUMMYFUNCTION("""COMPUTED_VALUE"""),"Poster Session 2")</f>
        <v>Poster Session 2</v>
      </c>
      <c r="K2405" s="7"/>
      <c r="L2405" s="8">
        <f>IFERROR(__xludf.DUMMYFUNCTION("""COMPUTED_VALUE"""),45867.0)</f>
        <v>45867</v>
      </c>
      <c r="M2405" s="7" t="str">
        <f>IFERROR(__xludf.DUMMYFUNCTION("""COMPUTED_VALUE"""),"10:30-12:00")</f>
        <v>10:30-12:00</v>
      </c>
      <c r="N2405" s="7"/>
    </row>
    <row r="2406">
      <c r="A2406" s="7" t="str">
        <f>IFERROR(__xludf.DUMMYFUNCTION("""COMPUTED_VALUE"""),"1978-MAIN")</f>
        <v>1978-MAIN</v>
      </c>
      <c r="B2406" s="7" t="str">
        <f>IFERROR(__xludf.DUMMYFUNCTION("""COMPUTED_VALUE"""),"Middle-Layer Representation Alignment for Cross-Lingual Transfer in Fine-Tuned LLMs")</f>
        <v>Middle-Layer Representation Alignment for Cross-Lingual Transfer in Fine-Tuned LLMs</v>
      </c>
      <c r="C2406" s="7" t="str">
        <f>IFERROR(__xludf.DUMMYFUNCTION("""COMPUTED_VALUE"""),"While large language models demonstrate remarkable capabilities at task-specific applications through fine-tuning, extending these benefits across diverse languages is essential for broad accessibility. However, effective cross-lingual transfer is hindere"&amp;"d by LLM performance gaps across languages and the scarcity of fine-tuning data in many languages. Through analysis of LLM internal representations from over 1,000+ language pairs, we discover that middle layers exhibit the strongest potential for cross-l"&amp;"ingual alignment. Building on this finding, we propose a middle-layer alignment objective integrated into task-specific training. Our experiments on slot filling, machine translation, and structured text generation show consistent improvements in cross-li"&amp;"ngual transfer, especially to lower-resource languages. The method is robust to the choice of alignment languages and generalizes to languages unseen during alignment. Furthermore, we show that separately trained alignment modules can be merged with exist"&amp;"ing task-specific modules, improving cross-lingual capabilities without full re-training. The code is provided in the supplementary materials.")</f>
        <v>While large language models demonstrate remarkable capabilities at task-specific applications through fine-tuning, extending these benefits across diverse languages is essential for broad accessibility. However, effective cross-lingual transfer is hindered by LLM performance gaps across languages and the scarcity of fine-tuning data in many languages. Through analysis of LLM internal representations from over 1,000+ language pairs, we discover that middle layers exhibit the strongest potential for cross-lingual alignment. Building on this finding, we propose a middle-layer alignment objective integrated into task-specific training. Our experiments on slot filling, machine translation, and structured text generation show consistent improvements in cross-lingual transfer, especially to lower-resource languages. The method is robust to the choice of alignment languages and generalizes to languages unseen during alignment. Furthermore, we show that separately trained alignment modules can be merged with existing task-specific modules, improving cross-lingual capabilities without full re-training. The code is provided in the supplementary materials.</v>
      </c>
      <c r="D2406" s="7" t="str">
        <f>IFERROR(__xludf.DUMMYFUNCTION("""COMPUTED_VALUE"""),"Danni Liu")</f>
        <v>Danni Liu</v>
      </c>
      <c r="E2406" s="7" t="str">
        <f>IFERROR(__xludf.DUMMYFUNCTION("""COMPUTED_VALUE"""),"Yes")</f>
        <v>Yes</v>
      </c>
      <c r="F2406" s="7" t="str">
        <f>IFERROR(__xludf.DUMMYFUNCTION("""COMPUTED_VALUE"""),"IP-Poster")</f>
        <v>IP-Poster</v>
      </c>
      <c r="G2406" s="7" t="str">
        <f>IFERROR(__xludf.DUMMYFUNCTION("""COMPUTED_VALUE"""),"In-Person")</f>
        <v>In-Person</v>
      </c>
      <c r="H2406" s="7" t="str">
        <f>IFERROR(__xludf.DUMMYFUNCTION("""COMPUTED_VALUE"""),"Hall 4/5")</f>
        <v>Hall 4/5</v>
      </c>
      <c r="I2406" s="7" t="str">
        <f>IFERROR(__xludf.DUMMYFUNCTION("""COMPUTED_VALUE"""),"Session 7: IP-Posters")</f>
        <v>Session 7: IP-Posters</v>
      </c>
      <c r="J2406" s="7" t="str">
        <f>IFERROR(__xludf.DUMMYFUNCTION("""COMPUTED_VALUE"""),"Poster Session 2")</f>
        <v>Poster Session 2</v>
      </c>
      <c r="K2406" s="7"/>
      <c r="L2406" s="8">
        <f>IFERROR(__xludf.DUMMYFUNCTION("""COMPUTED_VALUE"""),45867.0)</f>
        <v>45867</v>
      </c>
      <c r="M2406" s="7" t="str">
        <f>IFERROR(__xludf.DUMMYFUNCTION("""COMPUTED_VALUE"""),"10:30-12:00")</f>
        <v>10:30-12:00</v>
      </c>
      <c r="N2406" s="7"/>
    </row>
    <row r="2407">
      <c r="A2407" s="7" t="str">
        <f>IFERROR(__xludf.DUMMYFUNCTION("""COMPUTED_VALUE"""),"1979-MAIN")</f>
        <v>1979-MAIN</v>
      </c>
      <c r="B2407" s="7" t="str">
        <f>IFERROR(__xludf.DUMMYFUNCTION("""COMPUTED_VALUE"""),"Can external validation tools improve annotation quality for LLM-as-a-Judge?")</f>
        <v>Can external validation tools improve annotation quality for LLM-as-a-Judge?</v>
      </c>
      <c r="C2407" s="7" t="str">
        <f>IFERROR(__xludf.DUMMYFUNCTION("""COMPUTED_VALUE"""),"Pairwise preferences over model responses are widely collected to evaluate and provide feedback to large language models (LLMs). Given two alternative model responses to the same input, a human or AI annotator selects the “better” response. This approach "&amp;"can provide feedback for domains where other hard-coded metrics are difficult to obtain (e.g., chat response quality), thereby helping model evaluation or training. However, for some domains high-quality pairwise comparisons can be tricky to obtain - from"&amp;" AI and humans. For example, for responses with many factual statements, annotators may disproportionately weigh writing quality rather than underlying facts. In this work, we explore augmenting standard AI annotator systems with additional tools to impro"&amp;"ve performance on three challenging response domains: long-form factual, math and code tasks. We propose a tool-using agentic system to provide higher quality feedback on these domains. Our system uses web-search and code execution to ground itself based "&amp;"on external validation, independent of the LLM’s internal knowledge and biases. We provide extensive experimental results evaluating our method across the three targeted response domains as well as general annotation tasks, using RewardBench (incl. Alpaca"&amp;"Eval and LLMBar), RewardMath, as well as three new datasets for domains with saturated pre-existing datasets. Our results indicate that external tools can indeed improve performance in many, but not all, cases. More generally, our experiments highlight th"&amp;"e sensitivity of performance to simple parameters (e.g., prompt) and the need for improved (non-saturated) annotator benchmarks. We share our code at https://github.com/apple/ml-agent-evaluator.")</f>
        <v>Pairwise preferences over model responses are widely collected to evaluate and provide feedback to large language models (LLMs). Given two alternative model responses to the same input, a human or AI annotator selects the “better” response. This approach can provide feedback for domains where other hard-coded metrics are difficult to obtain (e.g., chat response quality), thereby helping model evaluation or training. However, for some domains high-quality pairwise comparisons can be tricky to obtain - from AI and humans. For example, for responses with many factual statements, annotators may disproportionately weigh writing quality rather than underlying facts. In this work, we explore augmenting standard AI annotator systems with additional tools to improve performance on three challenging response domains: long-form factual, math and code tasks. We propose a tool-using agentic system to provide higher quality feedback on these domains. Our system uses web-search and code execution to ground itself based on external validation, independent of the LLM’s internal knowledge and biases. We provide extensive experimental results evaluating our method across the three targeted response domains as well as general annotation tasks, using RewardBench (incl. AlpacaEval and LLMBar), RewardMath, as well as three new datasets for domains with saturated pre-existing datasets. Our results indicate that external tools can indeed improve performance in many, but not all, cases. More generally, our experiments highlight the sensitivity of performance to simple parameters (e.g., prompt) and the need for improved (non-saturated) annotator benchmarks. We share our code at https://github.com/apple/ml-agent-evaluator.</v>
      </c>
      <c r="D2407" s="7" t="str">
        <f>IFERROR(__xludf.DUMMYFUNCTION("""COMPUTED_VALUE"""),"Arduin Findeis")</f>
        <v>Arduin Findeis</v>
      </c>
      <c r="E2407" s="7" t="str">
        <f>IFERROR(__xludf.DUMMYFUNCTION("""COMPUTED_VALUE"""),"Yes")</f>
        <v>Yes</v>
      </c>
      <c r="F2407" s="7" t="str">
        <f>IFERROR(__xludf.DUMMYFUNCTION("""COMPUTED_VALUE"""),"IP-Poster")</f>
        <v>IP-Poster</v>
      </c>
      <c r="G2407" s="7" t="str">
        <f>IFERROR(__xludf.DUMMYFUNCTION("""COMPUTED_VALUE"""),"In-Person")</f>
        <v>In-Person</v>
      </c>
      <c r="H2407" s="7" t="str">
        <f>IFERROR(__xludf.DUMMYFUNCTION("""COMPUTED_VALUE"""),"Hall 4/5")</f>
        <v>Hall 4/5</v>
      </c>
      <c r="I2407" s="7" t="str">
        <f>IFERROR(__xludf.DUMMYFUNCTION("""COMPUTED_VALUE"""),"Session 7: IP-Posters")</f>
        <v>Session 7: IP-Posters</v>
      </c>
      <c r="J2407" s="7" t="str">
        <f>IFERROR(__xludf.DUMMYFUNCTION("""COMPUTED_VALUE"""),"Poster Session 2")</f>
        <v>Poster Session 2</v>
      </c>
      <c r="K2407" s="7"/>
      <c r="L2407" s="8">
        <f>IFERROR(__xludf.DUMMYFUNCTION("""COMPUTED_VALUE"""),45867.0)</f>
        <v>45867</v>
      </c>
      <c r="M2407" s="7" t="str">
        <f>IFERROR(__xludf.DUMMYFUNCTION("""COMPUTED_VALUE"""),"10:30-12:00")</f>
        <v>10:30-12:00</v>
      </c>
      <c r="N2407" s="7"/>
    </row>
    <row r="2408">
      <c r="A2408" s="7" t="str">
        <f>IFERROR(__xludf.DUMMYFUNCTION("""COMPUTED_VALUE"""),"1986-MAIN")</f>
        <v>1986-MAIN</v>
      </c>
      <c r="B2408" s="7" t="str">
        <f>IFERROR(__xludf.DUMMYFUNCTION("""COMPUTED_VALUE"""),"One for All: Update Parameterized Knowledge Across Multiple Models with Once Edit")</f>
        <v>One for All: Update Parameterized Knowledge Across Multiple Models with Once Edit</v>
      </c>
      <c r="C2408" s="7" t="str">
        <f>IFERROR(__xludf.DUMMYFUNCTION("""COMPUTED_VALUE"""),"Large language models (LLMs) encode vast world knowledge but struggle to stay up-to-date, often leading to errors and hallucinations. Knowledge editing offers an efficient alternative to retraining, enabling targeted modifications by updating specific mod"&amp;"el parameters. However, existing methods primarily focus on individual models, posing challenges in efficiently updating multiple models and adapting to new models. To address this, we propose OnceEdit, a novel ensemble-based approach that employs a plug-"&amp;"in model as the editing module, enabling stable knowledge updates across multiple models. Building on the model ensemble, OnceEdit introduces two key mechanisms to enhance its effectiveness. First, we introduce a dynamic weight mechanism through a weight "&amp;"token for distinguishing between edit-related and non-edit-related instances, ensuring the appropriate utilization of knowledge from integrated models. Second, we incorporate an ensemble enhancement mechanism to mitigate the excessive reliance on the cent"&amp;"ral model inherent in the model ensemble technique, making it more suitable for knowledge editing. Extensive experiments on diverse LLMs demonstrate that OnceEdit consistently outperforms existing methods while achieving superior editing efficiency. Furth"&amp;"er analysis confirms its adaptability and stability in multi-model editing scenarios.")</f>
        <v>Large language models (LLMs) encode vast world knowledge but struggle to stay up-to-date, often leading to errors and hallucinations. Knowledge editing offers an efficient alternative to retraining, enabling targeted modifications by updating specific model parameters. However, existing methods primarily focus on individual models, posing challenges in efficiently updating multiple models and adapting to new models. To address this, we propose OnceEdit, a novel ensemble-based approach that employs a plug-in model as the editing module, enabling stable knowledge updates across multiple models. Building on the model ensemble, OnceEdit introduces two key mechanisms to enhance its effectiveness. First, we introduce a dynamic weight mechanism through a weight token for distinguishing between edit-related and non-edit-related instances, ensuring the appropriate utilization of knowledge from integrated models. Second, we incorporate an ensemble enhancement mechanism to mitigate the excessive reliance on the central model inherent in the model ensemble technique, making it more suitable for knowledge editing. Extensive experiments on diverse LLMs demonstrate that OnceEdit consistently outperforms existing methods while achieving superior editing efficiency. Further analysis confirms its adaptability and stability in multi-model editing scenarios.</v>
      </c>
      <c r="D2408" s="7" t="str">
        <f>IFERROR(__xludf.DUMMYFUNCTION("""COMPUTED_VALUE"""),"Weitao Ma")</f>
        <v>Weitao Ma</v>
      </c>
      <c r="E2408" s="7" t="str">
        <f>IFERROR(__xludf.DUMMYFUNCTION("""COMPUTED_VALUE"""),"Yes")</f>
        <v>Yes</v>
      </c>
      <c r="F2408" s="7" t="str">
        <f>IFERROR(__xludf.DUMMYFUNCTION("""COMPUTED_VALUE"""),"IP-Poster")</f>
        <v>IP-Poster</v>
      </c>
      <c r="G2408" s="7" t="str">
        <f>IFERROR(__xludf.DUMMYFUNCTION("""COMPUTED_VALUE"""),"In-Person")</f>
        <v>In-Person</v>
      </c>
      <c r="H2408" s="7" t="str">
        <f>IFERROR(__xludf.DUMMYFUNCTION("""COMPUTED_VALUE"""),"Hall 4/5")</f>
        <v>Hall 4/5</v>
      </c>
      <c r="I2408" s="7" t="str">
        <f>IFERROR(__xludf.DUMMYFUNCTION("""COMPUTED_VALUE"""),"Session 12: IP-Posters")</f>
        <v>Session 12: IP-Posters</v>
      </c>
      <c r="J2408" s="7" t="str">
        <f>IFERROR(__xludf.DUMMYFUNCTION("""COMPUTED_VALUE"""),"Poster Session 4")</f>
        <v>Poster Session 4</v>
      </c>
      <c r="K2408" s="7"/>
      <c r="L2408" s="8">
        <f>IFERROR(__xludf.DUMMYFUNCTION("""COMPUTED_VALUE"""),45868.0)</f>
        <v>45868</v>
      </c>
      <c r="M2408" s="7" t="str">
        <f>IFERROR(__xludf.DUMMYFUNCTION("""COMPUTED_VALUE"""),"11:00-12:30")</f>
        <v>11:00-12:30</v>
      </c>
      <c r="N2408" s="7"/>
    </row>
    <row r="2409">
      <c r="A2409" s="7" t="str">
        <f>IFERROR(__xludf.DUMMYFUNCTION("""COMPUTED_VALUE"""),"1988-MAIN")</f>
        <v>1988-MAIN</v>
      </c>
      <c r="B2409" s="7" t="str">
        <f>IFERROR(__xludf.DUMMYFUNCTION("""COMPUTED_VALUE"""),"VLMInferSlow: Evaluating the Efficiency Robustness of Large Vision-Language Models as a Service")</f>
        <v>VLMInferSlow: Evaluating the Efficiency Robustness of Large Vision-Language Models as a Service</v>
      </c>
      <c r="C2409" s="7" t="str">
        <f>IFERROR(__xludf.DUMMYFUNCTION("""COMPUTED_VALUE"""),"Vision-Language Models (VLMs) have demonstrated great potential in real-world applications. While existing research primarily focuses on improving their accuracy, the efficiency remains underexplored. Given the real-time demands of many applications and t"&amp;"he high inference overhead of VLMs, efficiency robustness is a critical issue. However, previous studies evaluate efficiency robustness under unrealistic assumptions, requiring access to the model architecture and parameters---an impractical scenario in M"&amp;"L-as-a-service settings, where VLMs are deployed via inference APIs. To address this gap, we propose VLMInferSlow, a novel approach for evaluating VLM efficiency robustness in a realistic black-box setting. VLMInferSlow incorporates fine-grained efficienc"&amp;"y modeling tailored to VLM inference and leverages zero-order optimization to search for adversarial examples. Experimental results show that VLMInferSlow generates adversarial images with imperceptible perturbations, increasing the computational cost by "&amp;"up to 128.47%. We hope this research raises the community's awareness about the efficiency robustness of VLMs.")</f>
        <v>Vision-Language Models (VLMs) have demonstrated great potential in real-world applications. While existing research primarily focuses on improving their accuracy, the efficiency remains underexplored. Given the real-time demands of many applications and the high inference overhead of VLMs, efficiency robustness is a critical issue. However, previous studies evaluate efficiency robustness under unrealistic assumptions, requiring access to the model architecture and parameters---an impractical scenario in ML-as-a-service settings, where VLMs are deployed via inference APIs. To address this gap, we propose VLMInferSlow, a novel approach for evaluating VLM efficiency robustness in a realistic black-box setting. VLMInferSlow incorporates fine-grained efficiency modeling tailored to VLM inference and leverages zero-order optimization to search for adversarial examples. Experimental results show that VLMInferSlow generates adversarial images with imperceptible perturbations, increasing the computational cost by up to 128.47%. We hope this research raises the community's awareness about the efficiency robustness of VLMs.</v>
      </c>
      <c r="D2409" s="7" t="str">
        <f>IFERROR(__xludf.DUMMYFUNCTION("""COMPUTED_VALUE"""),"Xiasi Wang")</f>
        <v>Xiasi Wang</v>
      </c>
      <c r="E2409" s="7" t="str">
        <f>IFERROR(__xludf.DUMMYFUNCTION("""COMPUTED_VALUE"""),"Yes")</f>
        <v>Yes</v>
      </c>
      <c r="F2409" s="7" t="str">
        <f>IFERROR(__xludf.DUMMYFUNCTION("""COMPUTED_VALUE"""),"V-Presentation")</f>
        <v>V-Presentation</v>
      </c>
      <c r="G2409" s="7" t="str">
        <f>IFERROR(__xludf.DUMMYFUNCTION("""COMPUTED_VALUE"""),"Virtual/Gather")</f>
        <v>Virtual/Gather</v>
      </c>
      <c r="H2409" s="7" t="str">
        <f>IFERROR(__xludf.DUMMYFUNCTION("""COMPUTED_VALUE"""),"Zoom")</f>
        <v>Zoom</v>
      </c>
      <c r="I2409" s="7" t="str">
        <f>IFERROR(__xludf.DUMMYFUNCTION("""COMPUTED_VALUE"""),"Session 12: V-Presentations")</f>
        <v>Session 12: V-Presentations</v>
      </c>
      <c r="J2409" s="7" t="str">
        <f>IFERROR(__xludf.DUMMYFUNCTION("""COMPUTED_VALUE"""),"Virtual Presentations 4")</f>
        <v>Virtual Presentations 4</v>
      </c>
      <c r="K2409" s="7"/>
      <c r="L2409" s="8">
        <f>IFERROR(__xludf.DUMMYFUNCTION("""COMPUTED_VALUE"""),45868.0)</f>
        <v>45868</v>
      </c>
      <c r="M2409" s="7" t="str">
        <f>IFERROR(__xludf.DUMMYFUNCTION("""COMPUTED_VALUE"""),"11:00-12:30")</f>
        <v>11:00-12:30</v>
      </c>
      <c r="N2409" s="7"/>
    </row>
    <row r="2410">
      <c r="A2410" s="7" t="str">
        <f>IFERROR(__xludf.DUMMYFUNCTION("""COMPUTED_VALUE"""),"1990-MAIN")</f>
        <v>1990-MAIN</v>
      </c>
      <c r="B2410" s="7" t="str">
        <f>IFERROR(__xludf.DUMMYFUNCTION("""COMPUTED_VALUE"""),"The Alternative Annotator Test for LLM-as-a-Judge: How to Statistically Justify Replacing Human Annotators with LLMs")</f>
        <v>The Alternative Annotator Test for LLM-as-a-Judge: How to Statistically Justify Replacing Human Annotators with LLMs</v>
      </c>
      <c r="C2410" s="7" t="str">
        <f>IFERROR(__xludf.DUMMYFUNCTION("""COMPUTED_VALUE"""),"The ""LLM-as-an-annotator"" and ""LLM-as-a-judge"" paradigms employ Large Language Models (LLMs) as annotators, judges, and evaluators in tasks traditionally performed by humans. LLM annotations are widely used, not only in NLP research but also in fields"&amp;" like medicine, psychology, and social science. Despite their role in shaping study results and insights, there is no standard or rigorous procedure to determine whether LLMs can replace human annotators. In this paper, we propose a novel statistical proc"&amp;"edure, the Alternative Annotator Test (alt-test), that requires only a modest subset of annotated examples to justify using LLM annotations. Additionally, we introduce a versatile and interpretable measure for comparing LLM annotators and judges. To demon"&amp;"strate our procedure, we curated a diverse collection of ten datasets, consisting of language and vision-language tasks, and conducted experiments with six LLMs and four prompting techniques. Our results show that LLMs can sometimes replace humans with cl"&amp;"osed-source LLMs (such as GPT-4o), outperforming the open-source LLMs we examine, and that prompting techniques yield judges of varying quality. We hope this study encourages more rigorous and reliable practices.")</f>
        <v>The "LLM-as-an-annotator" and "LLM-as-a-judge" paradigms employ Large Language Models (LLMs) as annotators, judges, and evaluators in tasks traditionally performed by humans. LLM annotations are widely used, not only in NLP research but also in fields like medicine, psychology, and social science. Despite their role in shaping study results and insights, there is no standard or rigorous procedure to determine whether LLMs can replace human annotators. In this paper, we propose a novel statistical procedure, the Alternative Annotator Test (alt-test), that requires only a modest subset of annotated examples to justify using LLM annotations. Additionally, we introduce a versatile and interpretable measure for comparing LLM annotators and judges. To demonstrate our procedure, we curated a diverse collection of ten datasets, consisting of language and vision-language tasks, and conducted experiments with six LLMs and four prompting techniques. Our results show that LLMs can sometimes replace humans with closed-source LLMs (such as GPT-4o), outperforming the open-source LLMs we examine, and that prompting techniques yield judges of varying quality. We hope this study encourages more rigorous and reliable practices.</v>
      </c>
      <c r="D2410" s="7" t="str">
        <f>IFERROR(__xludf.DUMMYFUNCTION("""COMPUTED_VALUE"""),"Nitay Calderon")</f>
        <v>Nitay Calderon</v>
      </c>
      <c r="E2410" s="7" t="str">
        <f>IFERROR(__xludf.DUMMYFUNCTION("""COMPUTED_VALUE"""),"Yes")</f>
        <v>Yes</v>
      </c>
      <c r="F2410" s="7" t="str">
        <f>IFERROR(__xludf.DUMMYFUNCTION("""COMPUTED_VALUE"""),"IP-Oral")</f>
        <v>IP-Oral</v>
      </c>
      <c r="G2410" s="7" t="str">
        <f>IFERROR(__xludf.DUMMYFUNCTION("""COMPUTED_VALUE"""),"In-Person")</f>
        <v>In-Person</v>
      </c>
      <c r="H2410" s="7" t="str">
        <f>IFERROR(__xludf.DUMMYFUNCTION("""COMPUTED_VALUE"""),"Hall B")</f>
        <v>Hall B</v>
      </c>
      <c r="I2410" s="7" t="str">
        <f>IFERROR(__xludf.DUMMYFUNCTION("""COMPUTED_VALUE"""),"Session 9: IP-Orals")</f>
        <v>Session 9: IP-Orals</v>
      </c>
      <c r="J2410" s="7" t="str">
        <f>IFERROR(__xludf.DUMMYFUNCTION("""COMPUTED_VALUE"""),"Resources and Evaluation 2")</f>
        <v>Resources and Evaluation 2</v>
      </c>
      <c r="K2410" s="7"/>
      <c r="L2410" s="8">
        <f>IFERROR(__xludf.DUMMYFUNCTION("""COMPUTED_VALUE"""),45867.0)</f>
        <v>45867</v>
      </c>
      <c r="M2410" s="7" t="str">
        <f>IFERROR(__xludf.DUMMYFUNCTION("""COMPUTED_VALUE"""),"14:00-15:30")</f>
        <v>14:00-15:30</v>
      </c>
      <c r="N2410" s="7">
        <f>IFERROR(__xludf.DUMMYFUNCTION("""COMPUTED_VALUE"""),2.0)</f>
        <v>2</v>
      </c>
    </row>
    <row r="2411">
      <c r="A2411" s="7" t="str">
        <f>IFERROR(__xludf.DUMMYFUNCTION("""COMPUTED_VALUE"""),"1991-MAIN")</f>
        <v>1991-MAIN</v>
      </c>
      <c r="B2411" s="7" t="str">
        <f>IFERROR(__xludf.DUMMYFUNCTION("""COMPUTED_VALUE"""),"CrisisTS: Coupling Social Media Textual Data and Meteorological Time Series for Urgency Classification")</f>
        <v>CrisisTS: Coupling Social Media Textual Data and Meteorological Time Series for Urgency Classification</v>
      </c>
      <c r="C2411" s="7" t="str">
        <f>IFERROR(__xludf.DUMMYFUNCTION("""COMPUTED_VALUE"""),"This paper proposes CrisisTS, the first multimodal and multilingual dataset for urgency classification composed of benchmark crisis datasets from French and English social media about various expected (e.g., flood, storm) and sudden (e.g., earthquakes, ex"&amp;"plosions) crises that have been mapped with open source geocoded meteorological time series data. This mapping is based on a simple and effective strategy that allows for temporal and location alignment even in the absence of location mention in the text."&amp;" A set of multimodal experiments have been conducted relying on transformers and LLMs to improve overall performances while ensuring model generalizability. Our results show that modality fusion outperforms text-only models.")</f>
        <v>This paper proposes CrisisTS, the first multimodal and multilingual dataset for urgency classification composed of benchmark crisis datasets from French and English social media about various expected (e.g., flood, storm) and sudden (e.g., earthquakes, explosions) crises that have been mapped with open source geocoded meteorological time series data. This mapping is based on a simple and effective strategy that allows for temporal and location alignment even in the absence of location mention in the text. A set of multimodal experiments have been conducted relying on transformers and LLMs to improve overall performances while ensuring model generalizability. Our results show that modality fusion outperforms text-only models.</v>
      </c>
      <c r="D2411" s="7" t="str">
        <f>IFERROR(__xludf.DUMMYFUNCTION("""COMPUTED_VALUE"""),"Romain Meunier")</f>
        <v>Romain Meunier</v>
      </c>
      <c r="E2411" s="7" t="str">
        <f>IFERROR(__xludf.DUMMYFUNCTION("""COMPUTED_VALUE"""),"Yes")</f>
        <v>Yes</v>
      </c>
      <c r="F2411" s="7" t="str">
        <f>IFERROR(__xludf.DUMMYFUNCTION("""COMPUTED_VALUE"""),"IP-Poster")</f>
        <v>IP-Poster</v>
      </c>
      <c r="G2411" s="7" t="str">
        <f>IFERROR(__xludf.DUMMYFUNCTION("""COMPUTED_VALUE"""),"In-Person")</f>
        <v>In-Person</v>
      </c>
      <c r="H2411" s="7" t="str">
        <f>IFERROR(__xludf.DUMMYFUNCTION("""COMPUTED_VALUE"""),"Hall 4/5")</f>
        <v>Hall 4/5</v>
      </c>
      <c r="I2411" s="7" t="str">
        <f>IFERROR(__xludf.DUMMYFUNCTION("""COMPUTED_VALUE"""),"Session 12: IP-Posters")</f>
        <v>Session 12: IP-Posters</v>
      </c>
      <c r="J2411" s="7" t="str">
        <f>IFERROR(__xludf.DUMMYFUNCTION("""COMPUTED_VALUE"""),"Poster Session 4")</f>
        <v>Poster Session 4</v>
      </c>
      <c r="K2411" s="7"/>
      <c r="L2411" s="8">
        <f>IFERROR(__xludf.DUMMYFUNCTION("""COMPUTED_VALUE"""),45868.0)</f>
        <v>45868</v>
      </c>
      <c r="M2411" s="7" t="str">
        <f>IFERROR(__xludf.DUMMYFUNCTION("""COMPUTED_VALUE"""),"11:00-12:30")</f>
        <v>11:00-12:30</v>
      </c>
      <c r="N2411" s="7"/>
    </row>
    <row r="2412">
      <c r="A2412" s="7" t="str">
        <f>IFERROR(__xludf.DUMMYFUNCTION("""COMPUTED_VALUE"""),"1994-MAIN")</f>
        <v>1994-MAIN</v>
      </c>
      <c r="B2412" s="7" t="str">
        <f>IFERROR(__xludf.DUMMYFUNCTION("""COMPUTED_VALUE"""),"How to Mitigate Overfitting in Weak-to-strong Generalization?")</f>
        <v>How to Mitigate Overfitting in Weak-to-strong Generalization?</v>
      </c>
      <c r="C2412" s="7" t="str">
        <f>IFERROR(__xludf.DUMMYFUNCTION("""COMPUTED_VALUE"""),"Aligning powerful AI models on tasks that surpass human evaluation capabilities is the central problem of **superalignment**. To address this problem, weak-to-strong generalization aims to elicit the capabilities of strong models through weak supervisors "&amp;"and ensure that the behavior of strong models aligns with the intentions of weak supervisors without unsafe behaviors such as deception. Although weak-to-strong generalization exhibiting certain generalization capabilities, strong models exhibit significa"&amp;"nt overfitting in weak-to-strong generalization: Due to the strong fit ability of strong models, erroneous labels from weak supervisors may lead to overfitting in strong models. In addition, simply filtering out incorrect labels may lead to a degeneration"&amp;" in question quality, resulting in a weak generalization ability of strong models on hard questions. To mitigate overfitting in weak-to-strong generalization, we propose a two-stage framework that simultaneously improves the quality of supervision signals"&amp;" and the quality of input questions. Experimental results in three series of large language models and two mathematical benchmarks demonstrate that our framework significantly improves PGR (Performance Gap Recovered) compared to naive weak-to-strong gener"&amp;"alization, even achieving up to 100% PGR on some models.")</f>
        <v>Aligning powerful AI models on tasks that surpass human evaluation capabilities is the central problem of **superalignment**. To address this problem, weak-to-strong generalization aims to elicit the capabilities of strong models through weak supervisors and ensure that the behavior of strong models aligns with the intentions of weak supervisors without unsafe behaviors such as deception. Although weak-to-strong generalization exhibiting certain generalization capabilities, strong models exhibit significant overfitting in weak-to-strong generalization: Due to the strong fit ability of strong models, erroneous labels from weak supervisors may lead to overfitting in strong models. In addition, simply filtering out incorrect labels may lead to a degeneration in question quality, resulting in a weak generalization ability of strong models on hard questions. To mitigate overfitting in weak-to-strong generalization, we propose a two-stage framework that simultaneously improves the quality of supervision signals and the quality of input questions. Experimental results in three series of large language models and two mathematical benchmarks demonstrate that our framework significantly improves PGR (Performance Gap Recovered) compared to naive weak-to-strong generalization, even achieving up to 100% PGR on some models.</v>
      </c>
      <c r="D2412" s="7" t="str">
        <f>IFERROR(__xludf.DUMMYFUNCTION("""COMPUTED_VALUE"""),"Junhao Shi")</f>
        <v>Junhao Shi</v>
      </c>
      <c r="E2412" s="7" t="str">
        <f>IFERROR(__xludf.DUMMYFUNCTION("""COMPUTED_VALUE"""),"Yes")</f>
        <v>Yes</v>
      </c>
      <c r="F2412" s="7" t="str">
        <f>IFERROR(__xludf.DUMMYFUNCTION("""COMPUTED_VALUE"""),"IP-Poster")</f>
        <v>IP-Poster</v>
      </c>
      <c r="G2412" s="7" t="str">
        <f>IFERROR(__xludf.DUMMYFUNCTION("""COMPUTED_VALUE"""),"In-Person")</f>
        <v>In-Person</v>
      </c>
      <c r="H2412" s="7" t="str">
        <f>IFERROR(__xludf.DUMMYFUNCTION("""COMPUTED_VALUE"""),"Hall 4/5")</f>
        <v>Hall 4/5</v>
      </c>
      <c r="I2412" s="7" t="str">
        <f>IFERROR(__xludf.DUMMYFUNCTION("""COMPUTED_VALUE"""),"Session 10: IP-Posters")</f>
        <v>Session 10: IP-Posters</v>
      </c>
      <c r="J2412" s="7" t="str">
        <f>IFERROR(__xludf.DUMMYFUNCTION("""COMPUTED_VALUE"""),"Poster Session 3")</f>
        <v>Poster Session 3</v>
      </c>
      <c r="K2412" s="7"/>
      <c r="L2412" s="8">
        <f>IFERROR(__xludf.DUMMYFUNCTION("""COMPUTED_VALUE"""),45867.0)</f>
        <v>45867</v>
      </c>
      <c r="M2412" s="7" t="str">
        <f>IFERROR(__xludf.DUMMYFUNCTION("""COMPUTED_VALUE"""),"16:00-17:30")</f>
        <v>16:00-17:30</v>
      </c>
      <c r="N2412" s="7"/>
    </row>
    <row r="2413">
      <c r="A2413" s="7" t="str">
        <f>IFERROR(__xludf.DUMMYFUNCTION("""COMPUTED_VALUE"""),"1995-MAIN")</f>
        <v>1995-MAIN</v>
      </c>
      <c r="B2413" s="7" t="str">
        <f>IFERROR(__xludf.DUMMYFUNCTION("""COMPUTED_VALUE"""),"Com2 : A Causal-Guided Benchmark for Exploring Complex Commonsense Reasoning in Large Language Models")</f>
        <v>Com2 : A Causal-Guided Benchmark for Exploring Complex Commonsense Reasoning in Large Language Models</v>
      </c>
      <c r="C2413" s="7" t="str">
        <f>IFERROR(__xludf.DUMMYFUNCTION("""COMPUTED_VALUE"""),"Large language models (LLMs) have mastered abundant simple and explicit commonsense knowledge through pre-training, enabling them to achieve human-like performance in simple commonsense reasoning. Nevertheless, LLMs struggle to reason with complex and imp"&amp;"licit commonsense knowledge that is derived from simple ones (such as understanding the long-term effects of certain events), an aspect humans tend to focus on more. Existing works focus on complex tasks like math and code, while complex commonsense reaso"&amp;"ning remains underexplored due to its uncertainty and lack of structure. To fill this gap and align with real-world concerns, we propose a benchmark Com$^2$ focusing on complex commonsense reasoning. We first incorporate causal event graphs to serve as st"&amp;"ructured complex commonsense. Then we adopt causal theory (e.g., intervention) to modify the causal event graphs and obtain different scenarios that meet human concerns. Finally, an LLM is employed to synthesize examples with slow thinking, which is guide"&amp;"d by the logical relationships in the modified causal graphs. Furthermore, we use detective stories to construct a more challenging subset. Experiments show that LLMs struggle in reasoning depth and breadth, while post-training and slow thinking can allev"&amp;"iate this. The code and data are available at https://github.com/Waste-Wood/Com2}.")</f>
        <v>Large language models (LLMs) have mastered abundant simple and explicit commonsense knowledge through pre-training, enabling them to achieve human-like performance in simple commonsense reasoning. Nevertheless, LLMs struggle to reason with complex and implicit commonsense knowledge that is derived from simple ones (such as understanding the long-term effects of certain events), an aspect humans tend to focus on more. Existing works focus on complex tasks like math and code, while complex commonsense reasoning remains underexplored due to its uncertainty and lack of structure. To fill this gap and align with real-world concerns, we propose a benchmark Com$^2$ focusing on complex commonsense reasoning. We first incorporate causal event graphs to serve as structured complex commonsense. Then we adopt causal theory (e.g., intervention) to modify the causal event graphs and obtain different scenarios that meet human concerns. Finally, an LLM is employed to synthesize examples with slow thinking, which is guided by the logical relationships in the modified causal graphs. Furthermore, we use detective stories to construct a more challenging subset. Experiments show that LLMs struggle in reasoning depth and breadth, while post-training and slow thinking can alleviate this. The code and data are available at https://github.com/Waste-Wood/Com2}.</v>
      </c>
      <c r="D2413" s="7" t="str">
        <f>IFERROR(__xludf.DUMMYFUNCTION("""COMPUTED_VALUE"""),"Kai Xiong")</f>
        <v>Kai Xiong</v>
      </c>
      <c r="E2413" s="7" t="str">
        <f>IFERROR(__xludf.DUMMYFUNCTION("""COMPUTED_VALUE"""),"Yes")</f>
        <v>Yes</v>
      </c>
      <c r="F2413" s="7" t="str">
        <f>IFERROR(__xludf.DUMMYFUNCTION("""COMPUTED_VALUE"""),"IP-Poster")</f>
        <v>IP-Poster</v>
      </c>
      <c r="G2413" s="7" t="str">
        <f>IFERROR(__xludf.DUMMYFUNCTION("""COMPUTED_VALUE"""),"In-Person")</f>
        <v>In-Person</v>
      </c>
      <c r="H2413" s="7" t="str">
        <f>IFERROR(__xludf.DUMMYFUNCTION("""COMPUTED_VALUE"""),"Hall 4/5")</f>
        <v>Hall 4/5</v>
      </c>
      <c r="I2413" s="7" t="str">
        <f>IFERROR(__xludf.DUMMYFUNCTION("""COMPUTED_VALUE"""),"Session 7: IP-Posters")</f>
        <v>Session 7: IP-Posters</v>
      </c>
      <c r="J2413" s="7" t="str">
        <f>IFERROR(__xludf.DUMMYFUNCTION("""COMPUTED_VALUE"""),"Poster Session 2")</f>
        <v>Poster Session 2</v>
      </c>
      <c r="K2413" s="7"/>
      <c r="L2413" s="8">
        <f>IFERROR(__xludf.DUMMYFUNCTION("""COMPUTED_VALUE"""),45867.0)</f>
        <v>45867</v>
      </c>
      <c r="M2413" s="7" t="str">
        <f>IFERROR(__xludf.DUMMYFUNCTION("""COMPUTED_VALUE"""),"10:30-12:00")</f>
        <v>10:30-12:00</v>
      </c>
      <c r="N2413" s="7"/>
    </row>
    <row r="2414">
      <c r="A2414" s="7" t="str">
        <f>IFERROR(__xludf.DUMMYFUNCTION("""COMPUTED_VALUE"""),"1996-MAIN")</f>
        <v>1996-MAIN</v>
      </c>
      <c r="B2414" s="7" t="str">
        <f>IFERROR(__xludf.DUMMYFUNCTION("""COMPUTED_VALUE"""),"Dynamic Head Selection for Neural Lexicalized Constituency Parsing")</f>
        <v>Dynamic Head Selection for Neural Lexicalized Constituency Parsing</v>
      </c>
      <c r="C2414" s="7" t="str">
        <f>IFERROR(__xludf.DUMMYFUNCTION("""COMPUTED_VALUE"""),"Lexicalized parsing, which associates constituent nodes with lexical heads, has historically played a crucial role in constituency parsing by bridging constituency and dependency structures. Nevertheless, with the advent of neural networks, lexicalized st"&amp;"ructures have generally been neglected in favor of unlexicalized, span-based methods. In this paper, we revisit lexicalized parsing and propose a novel latent lexicalization framework that dynamically infers lexical heads during training without relying o"&amp;"n predefined head-finding rules. Our method enables the model to learn lexical dependencies directly from data, offering greater adaptability across languages and datasets. Experiments on multiple treebanks demonstrate state-of-the-art or comparable perfo"&amp;"rmance. We also analyze the learned dependency structures, headword preferences, and linguistic biases.")</f>
        <v>Lexicalized parsing, which associates constituent nodes with lexical heads, has historically played a crucial role in constituency parsing by bridging constituency and dependency structures. Nevertheless, with the advent of neural networks, lexicalized structures have generally been neglected in favor of unlexicalized, span-based methods. In this paper, we revisit lexicalized parsing and propose a novel latent lexicalization framework that dynamically infers lexical heads during training without relying on predefined head-finding rules. Our method enables the model to learn lexical dependencies directly from data, offering greater adaptability across languages and datasets. Experiments on multiple treebanks demonstrate state-of-the-art or comparable performance. We also analyze the learned dependency structures, headword preferences, and linguistic biases.</v>
      </c>
      <c r="D2414" s="7" t="str">
        <f>IFERROR(__xludf.DUMMYFUNCTION("""COMPUTED_VALUE"""),"Yang Hou")</f>
        <v>Yang Hou</v>
      </c>
      <c r="E2414" s="7" t="str">
        <f>IFERROR(__xludf.DUMMYFUNCTION("""COMPUTED_VALUE"""),"Yes")</f>
        <v>Yes</v>
      </c>
      <c r="F2414" s="7" t="str">
        <f>IFERROR(__xludf.DUMMYFUNCTION("""COMPUTED_VALUE"""),"IP-Oral")</f>
        <v>IP-Oral</v>
      </c>
      <c r="G2414" s="7" t="str">
        <f>IFERROR(__xludf.DUMMYFUNCTION("""COMPUTED_VALUE"""),"In-Person")</f>
        <v>In-Person</v>
      </c>
      <c r="H2414" s="7" t="str">
        <f>IFERROR(__xludf.DUMMYFUNCTION("""COMPUTED_VALUE"""),"Room 1.86")</f>
        <v>Room 1.86</v>
      </c>
      <c r="I2414" s="7" t="str">
        <f>IFERROR(__xludf.DUMMYFUNCTION("""COMPUTED_VALUE"""),"Session 9: IP-Orals")</f>
        <v>Session 9: IP-Orals</v>
      </c>
      <c r="J2414" s="7" t="str">
        <f>IFERROR(__xludf.DUMMYFUNCTION("""COMPUTED_VALUE"""),"Phonology, Morphology, and Syntax")</f>
        <v>Phonology, Morphology, and Syntax</v>
      </c>
      <c r="K2414" s="7"/>
      <c r="L2414" s="8">
        <f>IFERROR(__xludf.DUMMYFUNCTION("""COMPUTED_VALUE"""),45867.0)</f>
        <v>45867</v>
      </c>
      <c r="M2414" s="7" t="str">
        <f>IFERROR(__xludf.DUMMYFUNCTION("""COMPUTED_VALUE"""),"14:00-15:30")</f>
        <v>14:00-15:30</v>
      </c>
      <c r="N2414" s="7">
        <f>IFERROR(__xludf.DUMMYFUNCTION("""COMPUTED_VALUE"""),3.0)</f>
        <v>3</v>
      </c>
    </row>
    <row r="2415">
      <c r="A2415" s="7" t="str">
        <f>IFERROR(__xludf.DUMMYFUNCTION("""COMPUTED_VALUE"""),"1997-MAIN")</f>
        <v>1997-MAIN</v>
      </c>
      <c r="B2415" s="7" t="str">
        <f>IFERROR(__xludf.DUMMYFUNCTION("""COMPUTED_VALUE"""),"My Words Imply Your Opinion: Reader Agent-Based Propagation Enhancement for Personalized Implicit Emotion Analysis")</f>
        <v>My Words Imply Your Opinion: Reader Agent-Based Propagation Enhancement for Personalized Implicit Emotion Analysis</v>
      </c>
      <c r="C2415" s="7" t="str">
        <f>IFERROR(__xludf.DUMMYFUNCTION("""COMPUTED_VALUE"""),"The subtlety of emotional expressions makes implicit emotion analysis (IEA) particularly sensitive to user-specific characteristics. Current studies personalize emotion analysis by focusing on the author but neglect the impact of the intended reader on im"&amp;"plicit emotional feedback. In this paper, we introduce Personalized IEA (PIEA) and present the RAPPIE model, which addresses subjective variability by incorporating reader feedback. In particular, (1) we create reader agents based on large language models"&amp;" to simulate reader feedback, overcoming the issue of ``spiral of silence effect'' and data incompleteness of real reader reaction. (2) We develop a role-aware multi-view graph learning to model the emotion interactive propagation process in scenarios wit"&amp;"h sparse reader information. (3) We construct two new PIEA datasets covering English and Chinese social media with detailed user metadata, addressing the text-centric limitation of existing datasets. Extensive experiments show that RAPPIE significantly ou"&amp;"tperforms state-of-the-art baselines, demonstrating the value of incorporating reader feedback in PIEA.")</f>
        <v>The subtlety of emotional expressions makes implicit emotion analysis (IEA) particularly sensitive to user-specific characteristics. Current studies personalize emotion analysis by focusing on the author but neglect the impact of the intended reader on implicit emotional feedback. In this paper, we introduce Personalized IEA (PIEA) and present the RAPPIE model, which addresses subjective variability by incorporating reader feedback. In particular, (1) we create reader agents based on large language models to simulate reader feedback, overcoming the issue of ``spiral of silence effect'' and data incompleteness of real reader reaction. (2) We develop a role-aware multi-view graph learning to model the emotion interactive propagation process in scenarios with sparse reader information. (3) We construct two new PIEA datasets covering English and Chinese social media with detailed user metadata, addressing the text-centric limitation of existing datasets. Extensive experiments show that RAPPIE significantly outperforms state-of-the-art baselines, demonstrating the value of incorporating reader feedback in PIEA.</v>
      </c>
      <c r="D2415" s="7" t="str">
        <f>IFERROR(__xludf.DUMMYFUNCTION("""COMPUTED_VALUE"""),"Jian Liao")</f>
        <v>Jian Liao</v>
      </c>
      <c r="E2415" s="7" t="str">
        <f>IFERROR(__xludf.DUMMYFUNCTION("""COMPUTED_VALUE"""),"Yes")</f>
        <v>Yes</v>
      </c>
      <c r="F2415" s="7" t="str">
        <f>IFERROR(__xludf.DUMMYFUNCTION("""COMPUTED_VALUE"""),"V-Presentation")</f>
        <v>V-Presentation</v>
      </c>
      <c r="G2415" s="7" t="str">
        <f>IFERROR(__xludf.DUMMYFUNCTION("""COMPUTED_VALUE"""),"Virtual/Gather")</f>
        <v>Virtual/Gather</v>
      </c>
      <c r="H2415" s="7" t="str">
        <f>IFERROR(__xludf.DUMMYFUNCTION("""COMPUTED_VALUE"""),"Zoom")</f>
        <v>Zoom</v>
      </c>
      <c r="I2415" s="7" t="str">
        <f>IFERROR(__xludf.DUMMYFUNCTION("""COMPUTED_VALUE"""),"Session 7: V--Presentations ")</f>
        <v>Session 7: V--Presentations </v>
      </c>
      <c r="J2415" s="7" t="str">
        <f>IFERROR(__xludf.DUMMYFUNCTION("""COMPUTED_VALUE"""),"Virtual Presentations 2")</f>
        <v>Virtual Presentations 2</v>
      </c>
      <c r="K2415" s="7"/>
      <c r="L2415" s="8"/>
      <c r="M2415" s="7" t="str">
        <f>IFERROR(__xludf.DUMMYFUNCTION("""COMPUTED_VALUE"""),"10:30-12:00")</f>
        <v>10:30-12:00</v>
      </c>
      <c r="N2415" s="7"/>
    </row>
    <row r="2416">
      <c r="A2416" s="7" t="str">
        <f>IFERROR(__xludf.DUMMYFUNCTION("""COMPUTED_VALUE"""),"2008-MAIN")</f>
        <v>2008-MAIN</v>
      </c>
      <c r="B2416" s="7" t="str">
        <f>IFERROR(__xludf.DUMMYFUNCTION("""COMPUTED_VALUE"""),"EvolveBench: A Comprehensive Benchmark for Assessing Temporal Awareness in LLMs on Evolving Knowledge")</f>
        <v>EvolveBench: A Comprehensive Benchmark for Assessing Temporal Awareness in LLMs on Evolving Knowledge</v>
      </c>
      <c r="C2416" s="7" t="str">
        <f>IFERROR(__xludf.DUMMYFUNCTION("""COMPUTED_VALUE"""),"Large language models (LLMs) are trained on extensive historical corpora, but their ability to understand time and maintain temporal awareness of time-evolving factual knowledge remains limited. Previous studies often neglect the critical aspect of utiliz"&amp;"ing knowledge from various sources. To address this gap, we introduce EvolveBench, a comprehensive benchmark that evaluates temporal competence along five key dimensions: Cognition, which examines the ability to recall and contextualize historical facts. "&amp;"Awareness, which tests LLMs' awareness of temporal misalignment between external inputs and the temporal context of a query. Trustworthiness, which assesses whether models can identify and appropriately refuse queries based on invalid timestamps. Understa"&amp;"nding, which focuses on interpreting both explicit dates and implicit historical markers. Finally, reasoning evaluates the capacity to analyze temporal relationships and draw accurate inferences. Evaluating 15 widely used LLMs on EvolveBench shows that GP"&amp;"T-4o achieves the highest average EM score of 79.36, while the open-source Llama3.1-70B demonstrates notable strength in handling temporally misaligned contexts with an average score of 72.47. Despite these advances,  all models still struggle with handli"&amp;"ng temporal misaligned context. Our code and dataset are available at https://github.com/zzysjtuiwct/EvolveBench.")</f>
        <v>Large language models (LLMs) are trained on extensive historical corpora, but their ability to understand time and maintain temporal awareness of time-evolving factual knowledge remains limited. Previous studies often neglect the critical aspect of utilizing knowledge from various sources. To address this gap, we introduce EvolveBench, a comprehensive benchmark that evaluates temporal competence along five key dimensions: Cognition, which examines the ability to recall and contextualize historical facts. Awareness, which tests LLMs' awareness of temporal misalignment between external inputs and the temporal context of a query. Trustworthiness, which assesses whether models can identify and appropriately refuse queries based on invalid timestamps. Understanding, which focuses on interpreting both explicit dates and implicit historical markers. Finally, reasoning evaluates the capacity to analyze temporal relationships and draw accurate inferences. Evaluating 15 widely used LLMs on EvolveBench shows that GPT-4o achieves the highest average EM score of 79.36, while the open-source Llama3.1-70B demonstrates notable strength in handling temporally misaligned contexts with an average score of 72.47. Despite these advances,  all models still struggle with handling temporal misaligned context. Our code and dataset are available at https://github.com/zzysjtuiwct/EvolveBench.</v>
      </c>
      <c r="D2416" s="7" t="str">
        <f>IFERROR(__xludf.DUMMYFUNCTION("""COMPUTED_VALUE"""),"Zhiyuan Zhu")</f>
        <v>Zhiyuan Zhu</v>
      </c>
      <c r="E2416" s="7" t="str">
        <f>IFERROR(__xludf.DUMMYFUNCTION("""COMPUTED_VALUE"""),"Yes")</f>
        <v>Yes</v>
      </c>
      <c r="F2416" s="7" t="str">
        <f>IFERROR(__xludf.DUMMYFUNCTION("""COMPUTED_VALUE"""),"IP-Poster")</f>
        <v>IP-Poster</v>
      </c>
      <c r="G2416" s="7" t="str">
        <f>IFERROR(__xludf.DUMMYFUNCTION("""COMPUTED_VALUE"""),"In-Person")</f>
        <v>In-Person</v>
      </c>
      <c r="H2416" s="7" t="str">
        <f>IFERROR(__xludf.DUMMYFUNCTION("""COMPUTED_VALUE"""),"Hall 4/5")</f>
        <v>Hall 4/5</v>
      </c>
      <c r="I2416" s="7" t="str">
        <f>IFERROR(__xludf.DUMMYFUNCTION("""COMPUTED_VALUE"""),"Session 12: IP-Posters")</f>
        <v>Session 12: IP-Posters</v>
      </c>
      <c r="J2416" s="7" t="str">
        <f>IFERROR(__xludf.DUMMYFUNCTION("""COMPUTED_VALUE"""),"Poster Session 4")</f>
        <v>Poster Session 4</v>
      </c>
      <c r="K2416" s="7"/>
      <c r="L2416" s="8">
        <f>IFERROR(__xludf.DUMMYFUNCTION("""COMPUTED_VALUE"""),45868.0)</f>
        <v>45868</v>
      </c>
      <c r="M2416" s="7" t="str">
        <f>IFERROR(__xludf.DUMMYFUNCTION("""COMPUTED_VALUE"""),"11:00-12:30")</f>
        <v>11:00-12:30</v>
      </c>
      <c r="N2416" s="7"/>
    </row>
    <row r="2417">
      <c r="A2417" s="7" t="str">
        <f>IFERROR(__xludf.DUMMYFUNCTION("""COMPUTED_VALUE"""),"2009-MAIN")</f>
        <v>2009-MAIN</v>
      </c>
      <c r="B2417" s="7" t="str">
        <f>IFERROR(__xludf.DUMMYFUNCTION("""COMPUTED_VALUE"""),"Enabling LLM Knowledge Analysis via Extensive Materialization")</f>
        <v>Enabling LLM Knowledge Analysis via Extensive Materialization</v>
      </c>
      <c r="C2417" s="7" t="str">
        <f>IFERROR(__xludf.DUMMYFUNCTION("""COMPUTED_VALUE"""),"Large language models (LLMs) have majorly advanced NLP and AI, and next to their ability to perform a wide range of procedural tasks, a major success factor is their internalized factual knowledge. Since (Petroni et al., 2019), analyzing this knowledge ha"&amp;"s gained attention. However, most approaches investigate one question at a time via modest-sized pre-defined samples, introducing an ``availability bias'' (Tverski and Kahnemann, 1973) that prevents the analysis of knowledge (or beliefs) of LLMs beyond th"&amp;"e experimenter's predisposition.
To address this challenge, we propose a novel methodology to comprehensively materialize an LLM's factual knowledge through recursive querying and result consolidation. Our approach is a milestone for LLM research, for th"&amp;"e first time providing constructive insights into the scope and structure of LLM knowledge (or beliefs).
As a prototype, we extract a knowledge base (KB) comprising 101 million relational triples for over 2.9 million entities from GPT-4o-mini. We use GPT"&amp;"KB to exemplarily analyze GPT-4o-mini's factual knowledge in terms of scale, accuracy, bias, cutoff and consistency, at the same time. Our resource is accessible at https://gptkb.org.")</f>
        <v>Large language models (LLMs) have majorly advanced NLP and AI, and next to their ability to perform a wide range of procedural tasks, a major success factor is their internalized factual knowledge. Since (Petroni et al., 2019), analyzing this knowledge has gained attention. However, most approaches investigate one question at a time via modest-sized pre-defined samples, introducing an ``availability bias'' (Tverski and Kahnemann, 1973) that prevents the analysis of knowledge (or beliefs) of LLMs beyond the experimenter's predisposition.
To address this challenge, we propose a novel methodology to comprehensively materialize an LLM's factual knowledge through recursive querying and result consolidation. Our approach is a milestone for LLM research, for the first time providing constructive insights into the scope and structure of LLM knowledge (or beliefs).
As a prototype, we extract a knowledge base (KB) comprising 101 million relational triples for over 2.9 million entities from GPT-4o-mini. We use GPTKB to exemplarily analyze GPT-4o-mini's factual knowledge in terms of scale, accuracy, bias, cutoff and consistency, at the same time. Our resource is accessible at https://gptkb.org.</v>
      </c>
      <c r="D2417" s="7" t="str">
        <f>IFERROR(__xludf.DUMMYFUNCTION("""COMPUTED_VALUE"""),"Yujia Hu")</f>
        <v>Yujia Hu</v>
      </c>
      <c r="E2417" s="7" t="str">
        <f>IFERROR(__xludf.DUMMYFUNCTION("""COMPUTED_VALUE"""),"Yes")</f>
        <v>Yes</v>
      </c>
      <c r="F2417" s="7" t="str">
        <f>IFERROR(__xludf.DUMMYFUNCTION("""COMPUTED_VALUE"""),"IP-Poster")</f>
        <v>IP-Poster</v>
      </c>
      <c r="G2417" s="7" t="str">
        <f>IFERROR(__xludf.DUMMYFUNCTION("""COMPUTED_VALUE"""),"In-Person")</f>
        <v>In-Person</v>
      </c>
      <c r="H2417" s="7" t="str">
        <f>IFERROR(__xludf.DUMMYFUNCTION("""COMPUTED_VALUE"""),"Hall 4/5")</f>
        <v>Hall 4/5</v>
      </c>
      <c r="I2417" s="7" t="str">
        <f>IFERROR(__xludf.DUMMYFUNCTION("""COMPUTED_VALUE"""),"Session 2: IP-Posters ")</f>
        <v>Session 2: IP-Posters </v>
      </c>
      <c r="J2417" s="7" t="str">
        <f>IFERROR(__xludf.DUMMYFUNCTION("""COMPUTED_VALUE"""),"Poster Session 1")</f>
        <v>Poster Session 1</v>
      </c>
      <c r="K2417" s="7"/>
      <c r="L2417" s="8">
        <f>IFERROR(__xludf.DUMMYFUNCTION("""COMPUTED_VALUE"""),45866.0)</f>
        <v>45866</v>
      </c>
      <c r="M2417" s="7" t="str">
        <f>IFERROR(__xludf.DUMMYFUNCTION("""COMPUTED_VALUE"""),"11:00-12:30")</f>
        <v>11:00-12:30</v>
      </c>
      <c r="N2417" s="7"/>
    </row>
    <row r="2418">
      <c r="A2418" s="7" t="str">
        <f>IFERROR(__xludf.DUMMYFUNCTION("""COMPUTED_VALUE"""),"2016-MAIN")</f>
        <v>2016-MAIN</v>
      </c>
      <c r="B2418" s="7" t="str">
        <f>IFERROR(__xludf.DUMMYFUNCTION("""COMPUTED_VALUE"""),"Rhythm Controllable and Efficient Zero-Shot Voice Conversion via Shortcut Flow Matching")</f>
        <v>Rhythm Controllable and Efficient Zero-Shot Voice Conversion via Shortcut Flow Matching</v>
      </c>
      <c r="C2418" s="7" t="str">
        <f>IFERROR(__xludf.DUMMYFUNCTION("""COMPUTED_VALUE"""),"Zero-Shot Voice Conversion (VC) aims to transform the source speaker’s timbre into an arbitrary unseen one while retaining speech content. Most prior work focuses on preserving the source's prosody, while fine-grained timbre information may leak through p"&amp;"rosody, and transferring target prosody to synthesized speech is rarely studied. In light of this, we propose R-VC, a rhythm-controllable and efficient zero-shot voice conversion model. R-VC employs data perturbation techniques and discretize source speec"&amp;"h into Hubert content tokens, eliminating much content-irrelevant information. By leveraging a Mask Generative Transformer for in-context duration modeling, our model adapts the linguistic content duration to the desired target speaking style, facilitatin"&amp;"g the transfer of the target speaker's rhythm. Furthermore, R-VC introduces a powerful Diffusion Transformer (DiT) with shortcut flow matching during training, conditioning the network not only on the current noise level but also on the desired step size,"&amp;" enabling high timbre similarity and quality speech generation in fewer sampling steps, even in just two, thus minimizing latency. Experimental results show that R-VC achieves comparable speaker similarity to state-of-the-art VC methods with a smaller dat"&amp;"aset, and surpasses them in terms of speech naturalness, intelligibility and style transfer performance.")</f>
        <v>Zero-Shot Voice Conversion (VC) aims to transform the source speaker’s timbre into an arbitrary unseen one while retaining speech content. Most prior work focuses on preserving the source's prosody, while fine-grained timbre information may leak through prosody, and transferring target prosody to synthesized speech is rarely studied. In light of this, we propose R-VC, a rhythm-controllable and efficient zero-shot voice conversion model. R-VC employs data perturbation techniques and discretize source speech into Hubert content tokens, eliminating much content-irrelevant information. By leveraging a Mask Generative Transformer for in-context duration modeling, our model adapts the linguistic content duration to the desired target speaking style, facilitating the transfer of the target speaker's rhythm. Furthermore, R-VC introduces a powerful Diffusion Transformer (DiT) with shortcut flow matching during training, conditioning the network not only on the current noise level but also on the desired step size, enabling high timbre similarity and quality speech generation in fewer sampling steps, even in just two, thus minimizing latency. Experimental results show that R-VC achieves comparable speaker similarity to state-of-the-art VC methods with a smaller dataset, and surpasses them in terms of speech naturalness, intelligibility and style transfer performance.</v>
      </c>
      <c r="D2418" s="7" t="str">
        <f>IFERROR(__xludf.DUMMYFUNCTION("""COMPUTED_VALUE"""),"Jialong Zuo")</f>
        <v>Jialong Zuo</v>
      </c>
      <c r="E2418" s="7" t="str">
        <f>IFERROR(__xludf.DUMMYFUNCTION("""COMPUTED_VALUE"""),"Yes")</f>
        <v>Yes</v>
      </c>
      <c r="F2418" s="7" t="str">
        <f>IFERROR(__xludf.DUMMYFUNCTION("""COMPUTED_VALUE"""),"V-Presentation")</f>
        <v>V-Presentation</v>
      </c>
      <c r="G2418" s="7" t="str">
        <f>IFERROR(__xludf.DUMMYFUNCTION("""COMPUTED_VALUE"""),"Virtual/Gather")</f>
        <v>Virtual/Gather</v>
      </c>
      <c r="H2418" s="7" t="str">
        <f>IFERROR(__xludf.DUMMYFUNCTION("""COMPUTED_VALUE"""),"Zoom")</f>
        <v>Zoom</v>
      </c>
      <c r="I2418" s="7" t="str">
        <f>IFERROR(__xludf.DUMMYFUNCTION("""COMPUTED_VALUE"""),"Session 10: V-Presenations")</f>
        <v>Session 10: V-Presenations</v>
      </c>
      <c r="J2418" s="7" t="str">
        <f>IFERROR(__xludf.DUMMYFUNCTION("""COMPUTED_VALUE"""),"Virtual Presentations 3")</f>
        <v>Virtual Presentations 3</v>
      </c>
      <c r="K2418" s="7"/>
      <c r="L2418" s="8">
        <f>IFERROR(__xludf.DUMMYFUNCTION("""COMPUTED_VALUE"""),45867.0)</f>
        <v>45867</v>
      </c>
      <c r="M2418" s="7" t="str">
        <f>IFERROR(__xludf.DUMMYFUNCTION("""COMPUTED_VALUE"""),"16:00-17:30")</f>
        <v>16:00-17:30</v>
      </c>
      <c r="N2418" s="7"/>
    </row>
    <row r="2419">
      <c r="A2419" s="7" t="str">
        <f>IFERROR(__xludf.DUMMYFUNCTION("""COMPUTED_VALUE"""),"2019-MAIN")</f>
        <v>2019-MAIN</v>
      </c>
      <c r="B2419" s="7" t="str">
        <f>IFERROR(__xludf.DUMMYFUNCTION("""COMPUTED_VALUE"""),"Llama See, Llama Do: A Mechanistic Perspective on Contextual Entrainment and Distraction in LLMs")</f>
        <v>Llama See, Llama Do: A Mechanistic Perspective on Contextual Entrainment and Distraction in LLMs</v>
      </c>
      <c r="C2419" s="7" t="str">
        <f>IFERROR(__xludf.DUMMYFUNCTION("""COMPUTED_VALUE"""),"We observe a novel phenomenon, *contextual entrainment*, across a wide range of language models (LMs) and prompt settings, providing a new mechanistic perspective on how LMs become distracted by ""irrelevant"" contextual information in the input prompt. S"&amp;"pecifically, LMs assign significantly higher logits (or probabilities) to any tokens that have previously appeared in the context prompt, even for random tokens. This suggests that contextual entrainment is a \emph{mechanistic} phenomenon, occurring indep"&amp;"endently of the relevance or semantic relation of the tokens to the question or the rest of the sentence. We find statistically significant evidence that the magnitude of contextual entrainment is influenced by semantic factors. Counterfactual prompts hav"&amp;"e a greater effect compared to factual ones, suggesting that while contextual entrainment is a mechanistic phenomenon, it is modulated by semantic factors.
We hypothesise that there is a circuit of attention heads --- the *entrainment heads* --- that cor"&amp;"responds to the contextual entrainment phenomenon. Using a novel entrainment head discovery method based on differentiable masking, we identify these heads across various settings. When we ""turn off"" these heads, i.e., set their outputs to zero, the eff"&amp;"ect of contextual entrainment is significantly attenuated, causing the model to generate output that capitulates to what it would produce if no distracting context were provided. Our discovery of contextual entrainment, along with our investigation into L"&amp;"M distraction via the entrainment heads, marks a key step towards the mechanistic analysis and mitigation of the distraction problem.")</f>
        <v>We observe a novel phenomenon, *contextual entrainment*, across a wide range of language models (LMs) and prompt settings, providing a new mechanistic perspective on how LMs become distracted by "irrelevant" contextual information in the input prompt. Specifically, LMs assign significantly higher logits (or probabilities) to any tokens that have previously appeared in the context prompt, even for random tokens. This suggests that contextual entrainment is a \emph{mechanistic} phenomenon, occurring independently of the relevance or semantic relation of the tokens to the question or the rest of the sentence. We find statistically significant evidence that the magnitude of contextual entrainment is influenced by semantic factors. Counterfactual prompts have a greater effect compared to factual ones, suggesting that while contextual entrainment is a mechanistic phenomenon, it is modulated by semantic factors.
We hypothesise that there is a circuit of attention heads --- the *entrainment heads* --- that corresponds to the contextual entrainment phenomenon. Using a novel entrainment head discovery method based on differentiable masking, we identify these heads across various settings. When we "turn off" these heads, i.e., set their outputs to zero, the effect of contextual entrainment is significantly attenuated, causing the model to generate output that capitulates to what it would produce if no distracting context were provided. Our discovery of contextual entrainment, along with our investigation into LM distraction via the entrainment heads, marks a key step towards the mechanistic analysis and mitigation of the distraction problem.</v>
      </c>
      <c r="D2419" s="7" t="str">
        <f>IFERROR(__xludf.DUMMYFUNCTION("""COMPUTED_VALUE"""),"Jingcheng Niu")</f>
        <v>Jingcheng Niu</v>
      </c>
      <c r="E2419" s="7" t="str">
        <f>IFERROR(__xludf.DUMMYFUNCTION("""COMPUTED_VALUE"""),"Yes")</f>
        <v>Yes</v>
      </c>
      <c r="F2419" s="7" t="str">
        <f>IFERROR(__xludf.DUMMYFUNCTION("""COMPUTED_VALUE"""),"IP-Oral")</f>
        <v>IP-Oral</v>
      </c>
      <c r="G2419" s="7" t="str">
        <f>IFERROR(__xludf.DUMMYFUNCTION("""COMPUTED_VALUE"""),"In-Person")</f>
        <v>In-Person</v>
      </c>
      <c r="H2419" s="7" t="str">
        <f>IFERROR(__xludf.DUMMYFUNCTION("""COMPUTED_VALUE"""),"Hall N.1")</f>
        <v>Hall N.1</v>
      </c>
      <c r="I2419" s="7" t="str">
        <f>IFERROR(__xludf.DUMMYFUNCTION("""COMPUTED_VALUE"""),"Session 11: IP-Orals ")</f>
        <v>Session 11: IP-Orals </v>
      </c>
      <c r="J2419" s="7" t="str">
        <f>IFERROR(__xludf.DUMMYFUNCTION("""COMPUTED_VALUE"""),"Panel 4: Interpretability and model analysis")</f>
        <v>Panel 4: Interpretability and model analysis</v>
      </c>
      <c r="K2419" s="7"/>
      <c r="L2419" s="8">
        <f>IFERROR(__xludf.DUMMYFUNCTION("""COMPUTED_VALUE"""),45868.0)</f>
        <v>45868</v>
      </c>
      <c r="M2419" s="7" t="str">
        <f>IFERROR(__xludf.DUMMYFUNCTION("""COMPUTED_VALUE"""),"09:00-10:30")</f>
        <v>09:00-10:30</v>
      </c>
      <c r="N2419" s="7">
        <f>IFERROR(__xludf.DUMMYFUNCTION("""COMPUTED_VALUE"""),1.0)</f>
        <v>1</v>
      </c>
    </row>
    <row r="2420">
      <c r="A2420" s="7" t="str">
        <f>IFERROR(__xludf.DUMMYFUNCTION("""COMPUTED_VALUE"""),"2020-MAIN")</f>
        <v>2020-MAIN</v>
      </c>
      <c r="B2420" s="7" t="str">
        <f>IFERROR(__xludf.DUMMYFUNCTION("""COMPUTED_VALUE"""),"CritiQ: Mining Data Quality Criteria from Human Preferences")</f>
        <v>CritiQ: Mining Data Quality Criteria from Human Preferences</v>
      </c>
      <c r="C2420" s="7" t="str">
        <f>IFERROR(__xludf.DUMMYFUNCTION("""COMPUTED_VALUE"""),"Language model heavily depends on high-quality data for optimal performance. Existing approaches rely on manually designed heuristics, the perplexity of existing models, training classifiers, or
careful prompt engineering, which require significant expert"&amp;" experience and human annotation effort while introduce biases. We introduce CritiQ, a novel data selection method that automatically mines criteria from human preferences for data quality with only $\sim$30 human-annotated pairs and performs efficient da"&amp;"ta selection. The main component, CritiQ Flow, employs a manager agent to evolve quality criteria and worker agents to make pairwise judgments. We build a knowledge base that extracts quality criteria from previous work to boost CritiQ Flow. Compared to p"&amp;"erplexity- and classifier-based methods, verbal criteria are more interpretable and have greater reusable value. After deriving the criteria, we train the CritiQ Scorer to give quality scores and perform efficient data selection. We demonstrate the effect"&amp;"iveness of our method in the code, math, and logic domains, achieving high accuracy on human-annotated test sets. To validate the quality of the selected data, we continually train Llama 3.2 models and observe improved performance on downstream tasks comp"&amp;"ared to uniform sampling. Ablation studies validate the benefits of the knowledge base and the reflection process. We analyze how criteria evolve and the effectiveness of majority voting.")</f>
        <v>Language model heavily depends on high-quality data for optimal performance. Existing approaches rely on manually designed heuristics, the perplexity of existing models, training classifiers, or
careful prompt engineering, which require significant expert experience and human annotation effort while introduce biases. We introduce CritiQ, a novel data selection method that automatically mines criteria from human preferences for data quality with only $\sim$30 human-annotated pairs and performs efficient data selection. The main component, CritiQ Flow, employs a manager agent to evolve quality criteria and worker agents to make pairwise judgments. We build a knowledge base that extracts quality criteria from previous work to boost CritiQ Flow. Compared to perplexity- and classifier-based methods, verbal criteria are more interpretable and have greater reusable value. After deriving the criteria, we train the CritiQ Scorer to give quality scores and perform efficient data selection. We demonstrate the effectiveness of our method in the code, math, and logic domains, achieving high accuracy on human-annotated test sets. To validate the quality of the selected data, we continually train Llama 3.2 models and observe improved performance on downstream tasks compared to uniform sampling. Ablation studies validate the benefits of the knowledge base and the reflection process. We analyze how criteria evolve and the effectiveness of majority voting.</v>
      </c>
      <c r="D2420" s="7" t="str">
        <f>IFERROR(__xludf.DUMMYFUNCTION("""COMPUTED_VALUE"""),"Zhiheng Xi")</f>
        <v>Zhiheng Xi</v>
      </c>
      <c r="E2420" s="7" t="str">
        <f>IFERROR(__xludf.DUMMYFUNCTION("""COMPUTED_VALUE"""),"Yes")</f>
        <v>Yes</v>
      </c>
      <c r="F2420" s="7" t="str">
        <f>IFERROR(__xludf.DUMMYFUNCTION("""COMPUTED_VALUE"""),"IP-Poster")</f>
        <v>IP-Poster</v>
      </c>
      <c r="G2420" s="7" t="str">
        <f>IFERROR(__xludf.DUMMYFUNCTION("""COMPUTED_VALUE"""),"In-Person")</f>
        <v>In-Person</v>
      </c>
      <c r="H2420" s="7" t="str">
        <f>IFERROR(__xludf.DUMMYFUNCTION("""COMPUTED_VALUE"""),"Hall 4/5")</f>
        <v>Hall 4/5</v>
      </c>
      <c r="I2420" s="7" t="str">
        <f>IFERROR(__xludf.DUMMYFUNCTION("""COMPUTED_VALUE"""),"Session 7: IP-Posters")</f>
        <v>Session 7: IP-Posters</v>
      </c>
      <c r="J2420" s="7" t="str">
        <f>IFERROR(__xludf.DUMMYFUNCTION("""COMPUTED_VALUE"""),"Poster Session 2")</f>
        <v>Poster Session 2</v>
      </c>
      <c r="K2420" s="7"/>
      <c r="L2420" s="8">
        <f>IFERROR(__xludf.DUMMYFUNCTION("""COMPUTED_VALUE"""),45867.0)</f>
        <v>45867</v>
      </c>
      <c r="M2420" s="7" t="str">
        <f>IFERROR(__xludf.DUMMYFUNCTION("""COMPUTED_VALUE"""),"10:30-12:00")</f>
        <v>10:30-12:00</v>
      </c>
      <c r="N2420" s="7"/>
    </row>
    <row r="2421">
      <c r="A2421" s="7" t="str">
        <f>IFERROR(__xludf.DUMMYFUNCTION("""COMPUTED_VALUE"""),"2023-MAIN")</f>
        <v>2023-MAIN</v>
      </c>
      <c r="B2421" s="7" t="str">
        <f>IFERROR(__xludf.DUMMYFUNCTION("""COMPUTED_VALUE"""),"Theoretical Guarantees for Minimum Bayes Risk Decoding")</f>
        <v>Theoretical Guarantees for Minimum Bayes Risk Decoding</v>
      </c>
      <c r="C2421" s="7" t="str">
        <f>IFERROR(__xludf.DUMMYFUNCTION("""COMPUTED_VALUE"""),"Minimum Bayes Risk (MBR) decoding optimizes output selection by maximizing the expected utility value of an underlying human distribution. While prior work has shown the effectiveness of MBR decoding through empirical evaluation, few studies have analytic"&amp;"ally investigated why the method is effective. As a result of our analysis, we show that, given the size $n$ of the reference hypothesis set used in computation, MBR decoding approaches the optimal solution with high probability at a rate of $\mathcal{O}("&amp;"n^{-\frac{1}{2}})$, under certain assumptions, even though the language space $\mathcal{Y}$ is significantly larger $|\mathcal{Y}| \gg n$.
This result helps to theoretically explain the strong performance observed in several prior empirical studies on MBR"&amp;" decoding. In addition, we provide the performance gap for maximum-a-posteriori (MAP) decoding and compare it to MBR decoding. The result of this paper indicates that MBR decoding tends to converge to the optimal solution faster than MAP decoding in sever"&amp;"al cases.")</f>
        <v>Minimum Bayes Risk (MBR) decoding optimizes output selection by maximizing the expected utility value of an underlying human distribution. While prior work has shown the effectiveness of MBR decoding through empirical evaluation, few studies have analytically investigated why the method is effective. As a result of our analysis, we show that, given the size $n$ of the reference hypothesis set used in computation, MBR decoding approaches the optimal solution with high probability at a rate of $\mathcal{O}(n^{-\frac{1}{2}})$, under certain assumptions, even though the language space $\mathcal{Y}$ is significantly larger $|\mathcal{Y}| \gg n$.
This result helps to theoretically explain the strong performance observed in several prior empirical studies on MBR decoding. In addition, we provide the performance gap for maximum-a-posteriori (MAP) decoding and compare it to MBR decoding. The result of this paper indicates that MBR decoding tends to converge to the optimal solution faster than MAP decoding in several cases.</v>
      </c>
      <c r="D2421" s="7" t="str">
        <f>IFERROR(__xludf.DUMMYFUNCTION("""COMPUTED_VALUE"""),"Yuki Ichihara")</f>
        <v>Yuki Ichihara</v>
      </c>
      <c r="E2421" s="7" t="str">
        <f>IFERROR(__xludf.DUMMYFUNCTION("""COMPUTED_VALUE"""),"Yes")</f>
        <v>Yes</v>
      </c>
      <c r="F2421" s="7" t="str">
        <f>IFERROR(__xludf.DUMMYFUNCTION("""COMPUTED_VALUE"""),"IP-Poster")</f>
        <v>IP-Poster</v>
      </c>
      <c r="G2421" s="7" t="str">
        <f>IFERROR(__xludf.DUMMYFUNCTION("""COMPUTED_VALUE"""),"In-Person")</f>
        <v>In-Person</v>
      </c>
      <c r="H2421" s="7" t="str">
        <f>IFERROR(__xludf.DUMMYFUNCTION("""COMPUTED_VALUE"""),"Hall 4/5")</f>
        <v>Hall 4/5</v>
      </c>
      <c r="I2421" s="7" t="str">
        <f>IFERROR(__xludf.DUMMYFUNCTION("""COMPUTED_VALUE"""),"Session 10: IP-Posters")</f>
        <v>Session 10: IP-Posters</v>
      </c>
      <c r="J2421" s="7" t="str">
        <f>IFERROR(__xludf.DUMMYFUNCTION("""COMPUTED_VALUE"""),"Poster Session 3")</f>
        <v>Poster Session 3</v>
      </c>
      <c r="K2421" s="7"/>
      <c r="L2421" s="8">
        <f>IFERROR(__xludf.DUMMYFUNCTION("""COMPUTED_VALUE"""),45867.0)</f>
        <v>45867</v>
      </c>
      <c r="M2421" s="7" t="str">
        <f>IFERROR(__xludf.DUMMYFUNCTION("""COMPUTED_VALUE"""),"16:00-17:30")</f>
        <v>16:00-17:30</v>
      </c>
      <c r="N2421" s="7"/>
    </row>
    <row r="2422">
      <c r="A2422" s="7" t="str">
        <f>IFERROR(__xludf.DUMMYFUNCTION("""COMPUTED_VALUE"""),"2029-MAIN")</f>
        <v>2029-MAIN</v>
      </c>
      <c r="B2422" s="7" t="str">
        <f>IFERROR(__xludf.DUMMYFUNCTION("""COMPUTED_VALUE"""),"Mutual-Taught for Co-adapting Policy and Reward Models")</f>
        <v>Mutual-Taught for Co-adapting Policy and Reward Models</v>
      </c>
      <c r="C2422" s="7" t="str">
        <f>IFERROR(__xludf.DUMMYFUNCTION("""COMPUTED_VALUE"""),"During the preference optimization of large language models (LLMs), distribution shifts may arise between newly generated model samples and the data used to train the reward model (RM). This shift reduces the efficacy of the RM, which in turn negatively i"&amp;"mpacts the performance of the policy model (PM). To address this challenge, we propose $\textbf{Mutual-Taught}$, a self-training method that iteratively improves both the PM and RM without requiring additional human annotation. Our approach mirrors the ex"&amp;"pectation-maximization (EM) algorithm. In the E-step, the PM is updated using feedback from the current RM, guiding the PM toward a better approximation of the latent optimal preference distribution.
In the M-step, we update the RM by constructing trainin"&amp;"g data from the outputs of the PM before and after the E-step update. This process ensures that the RM adapts to the evolving policy distribution. Experimental results demonstrate that this iterative approach leads to consistent improvements in both model"&amp;"s. Specifically, our 8B policy model, LLaMA-3-8B-Instruct-MT, achieves a length-controlled win rate of 54.1\% on AlpacaEval-2, while our 8B reward model, FsfairX-LLaMA3-RM-MT, performs on par with GPT-4o-2024-08-06 on RewardBench.")</f>
        <v>During the preference optimization of large language models (LLMs), distribution shifts may arise between newly generated model samples and the data used to train the reward model (RM). This shift reduces the efficacy of the RM, which in turn negatively impacts the performance of the policy model (PM). To address this challenge, we propose $\textbf{Mutual-Taught}$, a self-training method that iteratively improves both the PM and RM without requiring additional human annotation. Our approach mirrors the expectation-maximization (EM) algorithm. In the E-step, the PM is updated using feedback from the current RM, guiding the PM toward a better approximation of the latent optimal preference distribution.
In the M-step, we update the RM by constructing training data from the outputs of the PM before and after the E-step update. This process ensures that the RM adapts to the evolving policy distribution. Experimental results demonstrate that this iterative approach leads to consistent improvements in both models. Specifically, our 8B policy model, LLaMA-3-8B-Instruct-MT, achieves a length-controlled win rate of 54.1\% on AlpacaEval-2, while our 8B reward model, FsfairX-LLaMA3-RM-MT, performs on par with GPT-4o-2024-08-06 on RewardBench.</v>
      </c>
      <c r="D2422" s="7" t="str">
        <f>IFERROR(__xludf.DUMMYFUNCTION("""COMPUTED_VALUE"""),"Xiaojun Quan")</f>
        <v>Xiaojun Quan</v>
      </c>
      <c r="E2422" s="7" t="str">
        <f>IFERROR(__xludf.DUMMYFUNCTION("""COMPUTED_VALUE"""),"Yes")</f>
        <v>Yes</v>
      </c>
      <c r="F2422" s="7" t="str">
        <f>IFERROR(__xludf.DUMMYFUNCTION("""COMPUTED_VALUE"""),"IP-Poster")</f>
        <v>IP-Poster</v>
      </c>
      <c r="G2422" s="7" t="str">
        <f>IFERROR(__xludf.DUMMYFUNCTION("""COMPUTED_VALUE"""),"In-Person")</f>
        <v>In-Person</v>
      </c>
      <c r="H2422" s="7" t="str">
        <f>IFERROR(__xludf.DUMMYFUNCTION("""COMPUTED_VALUE"""),"Hall 4/5")</f>
        <v>Hall 4/5</v>
      </c>
      <c r="I2422" s="7" t="str">
        <f>IFERROR(__xludf.DUMMYFUNCTION("""COMPUTED_VALUE"""),"Session 10: IP-Posters")</f>
        <v>Session 10: IP-Posters</v>
      </c>
      <c r="J2422" s="7" t="str">
        <f>IFERROR(__xludf.DUMMYFUNCTION("""COMPUTED_VALUE"""),"Poster Session 3")</f>
        <v>Poster Session 3</v>
      </c>
      <c r="K2422" s="7"/>
      <c r="L2422" s="8">
        <f>IFERROR(__xludf.DUMMYFUNCTION("""COMPUTED_VALUE"""),45867.0)</f>
        <v>45867</v>
      </c>
      <c r="M2422" s="7" t="str">
        <f>IFERROR(__xludf.DUMMYFUNCTION("""COMPUTED_VALUE"""),"16:00-17:30")</f>
        <v>16:00-17:30</v>
      </c>
      <c r="N2422" s="7"/>
    </row>
    <row r="2423">
      <c r="A2423" s="7" t="str">
        <f>IFERROR(__xludf.DUMMYFUNCTION("""COMPUTED_VALUE"""),"2031-MAIN")</f>
        <v>2031-MAIN</v>
      </c>
      <c r="B2423" s="7" t="str">
        <f>IFERROR(__xludf.DUMMYFUNCTION("""COMPUTED_VALUE"""),"Enhancing Cross-Lingual Transfer through Reversible Transliteration: A Huffman-Based Approach for Low-Resource Languages")</f>
        <v>Enhancing Cross-Lingual Transfer through Reversible Transliteration: A Huffman-Based Approach for Low-Resource Languages</v>
      </c>
      <c r="C2423" s="7" t="str">
        <f>IFERROR(__xludf.DUMMYFUNCTION("""COMPUTED_VALUE"""),"As large language models (LLMs) are trained on increasingly diverse and extensive multilingual corpora, they demonstrate cross-lingual transfer capabilities. However, these capabilities often fail to effectively extend to low-resource languages, particula"&amp;"rly those utilizing non-Latin scripts. While transliterating low-resource languages into Latin script presents a natural solution, there currently lacks a comprehensive framework for integrating transliteration into LLMs training and deployment. Taking a "&amp;"pragmatic approach, this paper innovatively combines character transliteration with Huffman coding to design a complete transliteration framework. Our proposed framework offers the following advantages: 1) Compression: Reduces storage requirements for low"&amp;"-resource language content, achieving up to 50% reduction in file size and 50-80% reduction in token count. 2) Accuracy: Guarantees 100% lossless conversion from transliterated text back to the source language. 3) Efficiency: Eliminates the need for vocab"&amp;"ulary expansion for low-resource languages, improving training and inference efficiency. 4) Scalability: The framework can be extended to other low-resource languages. We validate the effectiveness of our framework across multiple downstream tasks, includ"&amp;"ing text classification, machine reading comprehension, and machine translation. Experimental results demonstrate that our method significantly enhances the model's capability to process low-resource languages while maintaining performance on high-resourc"&amp;"e languages. Our data and code are publicly available at https://github.com/CMLI-NLP/HuffmanTranslit.")</f>
        <v>As large language models (LLMs) are trained on increasingly diverse and extensive multilingual corpora, they demonstrate cross-lingual transfer capabilities. However, these capabilities often fail to effectively extend to low-resource languages, particularly those utilizing non-Latin scripts. While transliterating low-resource languages into Latin script presents a natural solution, there currently lacks a comprehensive framework for integrating transliteration into LLMs training and deployment. Taking a pragmatic approach, this paper innovatively combines character transliteration with Huffman coding to design a complete transliteration framework. Our proposed framework offers the following advantages: 1) Compression: Reduces storage requirements for low-resource language content, achieving up to 50% reduction in file size and 50-80% reduction in token count. 2) Accuracy: Guarantees 100% lossless conversion from transliterated text back to the source language. 3) Efficiency: Eliminates the need for vocabulary expansion for low-resource languages, improving training and inference efficiency. 4) Scalability: The framework can be extended to other low-resource languages. We validate the effectiveness of our framework across multiple downstream tasks, including text classification, machine reading comprehension, and machine translation. Experimental results demonstrate that our method significantly enhances the model's capability to process low-resource languages while maintaining performance on high-resource languages. Our data and code are publicly available at https://github.com/CMLI-NLP/HuffmanTranslit.</v>
      </c>
      <c r="D2423" s="7" t="str">
        <f>IFERROR(__xludf.DUMMYFUNCTION("""COMPUTED_VALUE"""),"Wenhao Zhuang
Yuan Sun")</f>
        <v>Wenhao Zhuang
Yuan Sun</v>
      </c>
      <c r="E2423" s="7" t="str">
        <f>IFERROR(__xludf.DUMMYFUNCTION("""COMPUTED_VALUE"""),"Yes")</f>
        <v>Yes</v>
      </c>
      <c r="F2423" s="7" t="str">
        <f>IFERROR(__xludf.DUMMYFUNCTION("""COMPUTED_VALUE"""),"IP-Poster")</f>
        <v>IP-Poster</v>
      </c>
      <c r="G2423" s="7" t="str">
        <f>IFERROR(__xludf.DUMMYFUNCTION("""COMPUTED_VALUE"""),"In-Person")</f>
        <v>In-Person</v>
      </c>
      <c r="H2423" s="7" t="str">
        <f>IFERROR(__xludf.DUMMYFUNCTION("""COMPUTED_VALUE"""),"Hall 4/5")</f>
        <v>Hall 4/5</v>
      </c>
      <c r="I2423" s="7" t="str">
        <f>IFERROR(__xludf.DUMMYFUNCTION("""COMPUTED_VALUE"""),"Session 2: IP-Posters ")</f>
        <v>Session 2: IP-Posters </v>
      </c>
      <c r="J2423" s="7" t="str">
        <f>IFERROR(__xludf.DUMMYFUNCTION("""COMPUTED_VALUE"""),"Poster Session 1")</f>
        <v>Poster Session 1</v>
      </c>
      <c r="K2423" s="7"/>
      <c r="L2423" s="8">
        <f>IFERROR(__xludf.DUMMYFUNCTION("""COMPUTED_VALUE"""),45866.0)</f>
        <v>45866</v>
      </c>
      <c r="M2423" s="7" t="str">
        <f>IFERROR(__xludf.DUMMYFUNCTION("""COMPUTED_VALUE"""),"11:00-12:30")</f>
        <v>11:00-12:30</v>
      </c>
      <c r="N2423" s="7"/>
    </row>
    <row r="2424">
      <c r="A2424" s="7" t="str">
        <f>IFERROR(__xludf.DUMMYFUNCTION("""COMPUTED_VALUE"""),"2032-MAIN")</f>
        <v>2032-MAIN</v>
      </c>
      <c r="B2424" s="7" t="str">
        <f>IFERROR(__xludf.DUMMYFUNCTION("""COMPUTED_VALUE"""),"Unmasking Style Sensitivity: A Causal Analysis of Bias Evaluation Instability in Large Language Models")</f>
        <v>Unmasking Style Sensitivity: A Causal Analysis of Bias Evaluation Instability in Large Language Models</v>
      </c>
      <c r="C2424" s="7" t="str">
        <f>IFERROR(__xludf.DUMMYFUNCTION("""COMPUTED_VALUE"""),"Natural language processing applications are increasingly prevalent, but social biases in their outputs remain a critical challenge. While various bias evaluation methods have been proposed, these assessments show unexpected instability when input texts u"&amp;"ndergo minor stylistic changes. This paper conducts a comprehensive analysis of how different style transformations impact bias evaluation results across multiple language models and bias types using causal inference techniques. Our findings reveal that f"&amp;"ormality transformations significantly affect bias scores, with informal style showing substantial bias reductions (up to 8.33% in LLaMA-2-13B). We identify appearance bias, sexual orientation bias, and religious bias as most susceptible to style changes,"&amp;" with variations exceeding 20%. Larger models demonstrate greater sensitivity to stylistic variations, with bias measurements fluctuating up to 3.1% more than in smaller models. These results highlight critical limitations in current bias evaluation metho"&amp;"ds and emphasize the need for reliable and fair assessments of language models.")</f>
        <v>Natural language processing applications are increasingly prevalent, but social biases in their outputs remain a critical challenge. While various bias evaluation methods have been proposed, these assessments show unexpected instability when input texts undergo minor stylistic changes. This paper conducts a comprehensive analysis of how different style transformations impact bias evaluation results across multiple language models and bias types using causal inference techniques. Our findings reveal that formality transformations significantly affect bias scores, with informal style showing substantial bias reductions (up to 8.33% in LLaMA-2-13B). We identify appearance bias, sexual orientation bias, and religious bias as most susceptible to style changes, with variations exceeding 20%. Larger models demonstrate greater sensitivity to stylistic variations, with bias measurements fluctuating up to 3.1% more than in smaller models. These results highlight critical limitations in current bias evaluation methods and emphasize the need for reliable and fair assessments of language models.</v>
      </c>
      <c r="D2424" s="7" t="str">
        <f>IFERROR(__xludf.DUMMYFUNCTION("""COMPUTED_VALUE"""),"Jiaxu Zhao")</f>
        <v>Jiaxu Zhao</v>
      </c>
      <c r="E2424" s="7" t="str">
        <f>IFERROR(__xludf.DUMMYFUNCTION("""COMPUTED_VALUE"""),"Yes")</f>
        <v>Yes</v>
      </c>
      <c r="F2424" s="7" t="str">
        <f>IFERROR(__xludf.DUMMYFUNCTION("""COMPUTED_VALUE"""),"IP-Poster")</f>
        <v>IP-Poster</v>
      </c>
      <c r="G2424" s="7" t="str">
        <f>IFERROR(__xludf.DUMMYFUNCTION("""COMPUTED_VALUE"""),"In-Person")</f>
        <v>In-Person</v>
      </c>
      <c r="H2424" s="7" t="str">
        <f>IFERROR(__xludf.DUMMYFUNCTION("""COMPUTED_VALUE"""),"Hall 4/5")</f>
        <v>Hall 4/5</v>
      </c>
      <c r="I2424" s="7" t="str">
        <f>IFERROR(__xludf.DUMMYFUNCTION("""COMPUTED_VALUE"""),"Session 10: IP-Posters")</f>
        <v>Session 10: IP-Posters</v>
      </c>
      <c r="J2424" s="7" t="str">
        <f>IFERROR(__xludf.DUMMYFUNCTION("""COMPUTED_VALUE"""),"Poster Session 3")</f>
        <v>Poster Session 3</v>
      </c>
      <c r="K2424" s="7"/>
      <c r="L2424" s="8">
        <f>IFERROR(__xludf.DUMMYFUNCTION("""COMPUTED_VALUE"""),45867.0)</f>
        <v>45867</v>
      </c>
      <c r="M2424" s="7" t="str">
        <f>IFERROR(__xludf.DUMMYFUNCTION("""COMPUTED_VALUE"""),"16:00-17:30")</f>
        <v>16:00-17:30</v>
      </c>
      <c r="N2424" s="7"/>
    </row>
    <row r="2425">
      <c r="A2425" s="7" t="str">
        <f>IFERROR(__xludf.DUMMYFUNCTION("""COMPUTED_VALUE"""),"2037-MAIN")</f>
        <v>2037-MAIN</v>
      </c>
      <c r="B2425" s="7" t="str">
        <f>IFERROR(__xludf.DUMMYFUNCTION("""COMPUTED_VALUE"""),"MockConf: A Student Interpretation Dataset: Analysis, Word- and Span-level Alignment and Baselines")</f>
        <v>MockConf: A Student Interpretation Dataset: Analysis, Word- and Span-level Alignment and Baselines</v>
      </c>
      <c r="C2425" s="7" t="str">
        <f>IFERROR(__xludf.DUMMYFUNCTION("""COMPUTED_VALUE"""),"In simultaneous interpreting, an interpreter renders the speech into another language with a very short lag, much sooner than sentences are finished. In order to understand and later reproduce this dynamic and complex task automatically, we need specializ"&amp;"ed datasets and tools for analysis, monitoring, and evaluation, such as parallel speech corpora, and tools for their automatic annotation. Existing parallel corpora of translated texts and associated alignment algorithms hardly fill this gap, as they fail"&amp;" to model long-range interactions between speech segments or specific types of divergences (e.g. shortening, simplification, functional generalization) between the original and interpreted speeches. In this work, we develop and explore MockConf, a student"&amp;" interpretation dataset that was collected from Mock Conferences run as part of the students' curriculum. This dataset contains 7~hours of recordings in 5 European languages, transcribed and aligned at the level of spans and words. We further implement an"&amp;"d release InterAlign, a modern web-based annotation tool for parallel word and span annotations on long inputs, suitable for aligning simultaneous interpreting. We propose metrics for the evaluation and a baseline for automatic alignment. Dataset and tool"&amp;"s will be released to the community.")</f>
        <v>In simultaneous interpreting, an interpreter renders the speech into another language with a very short lag, much sooner than sentences are finished. In order to understand and later reproduce this dynamic and complex task automatically, we need specialized datasets and tools for analysis, monitoring, and evaluation, such as parallel speech corpora, and tools for their automatic annotation. Existing parallel corpora of translated texts and associated alignment algorithms hardly fill this gap, as they fail to model long-range interactions between speech segments or specific types of divergences (e.g. shortening, simplification, functional generalization) between the original and interpreted speeches. In this work, we develop and explore MockConf, a student interpretation dataset that was collected from Mock Conferences run as part of the students' curriculum. This dataset contains 7~hours of recordings in 5 European languages, transcribed and aligned at the level of spans and words. We further implement and release InterAlign, a modern web-based annotation tool for parallel word and span annotations on long inputs, suitable for aligning simultaneous interpreting. We propose metrics for the evaluation and a baseline for automatic alignment. Dataset and tools will be released to the community.</v>
      </c>
      <c r="D2425" s="7" t="str">
        <f>IFERROR(__xludf.DUMMYFUNCTION("""COMPUTED_VALUE"""),"Dávid Javorský")</f>
        <v>Dávid Javorský</v>
      </c>
      <c r="E2425" s="7" t="str">
        <f>IFERROR(__xludf.DUMMYFUNCTION("""COMPUTED_VALUE"""),"Yes")</f>
        <v>Yes</v>
      </c>
      <c r="F2425" s="7" t="str">
        <f>IFERROR(__xludf.DUMMYFUNCTION("""COMPUTED_VALUE"""),"IP-Poster")</f>
        <v>IP-Poster</v>
      </c>
      <c r="G2425" s="7" t="str">
        <f>IFERROR(__xludf.DUMMYFUNCTION("""COMPUTED_VALUE"""),"In-Person")</f>
        <v>In-Person</v>
      </c>
      <c r="H2425" s="7" t="str">
        <f>IFERROR(__xludf.DUMMYFUNCTION("""COMPUTED_VALUE"""),"Hall 4/5")</f>
        <v>Hall 4/5</v>
      </c>
      <c r="I2425" s="7" t="str">
        <f>IFERROR(__xludf.DUMMYFUNCTION("""COMPUTED_VALUE"""),"Session 7: IP-Posters")</f>
        <v>Session 7: IP-Posters</v>
      </c>
      <c r="J2425" s="7" t="str">
        <f>IFERROR(__xludf.DUMMYFUNCTION("""COMPUTED_VALUE"""),"Poster Session 2")</f>
        <v>Poster Session 2</v>
      </c>
      <c r="K2425" s="7"/>
      <c r="L2425" s="8">
        <f>IFERROR(__xludf.DUMMYFUNCTION("""COMPUTED_VALUE"""),45867.0)</f>
        <v>45867</v>
      </c>
      <c r="M2425" s="7" t="str">
        <f>IFERROR(__xludf.DUMMYFUNCTION("""COMPUTED_VALUE"""),"10:30-12:00")</f>
        <v>10:30-12:00</v>
      </c>
      <c r="N2425" s="7"/>
    </row>
    <row r="2426">
      <c r="A2426" s="7" t="str">
        <f>IFERROR(__xludf.DUMMYFUNCTION("""COMPUTED_VALUE"""),"2038-MAIN")</f>
        <v>2038-MAIN</v>
      </c>
      <c r="B2426" s="7" t="str">
        <f>IFERROR(__xludf.DUMMYFUNCTION("""COMPUTED_VALUE"""),"BMIKE-53: Investigating Cross-Lingual Knowledge Editing with In-Context Learning")</f>
        <v>BMIKE-53: Investigating Cross-Lingual Knowledge Editing with In-Context Learning</v>
      </c>
      <c r="C2426" s="7" t="str">
        <f>IFERROR(__xludf.DUMMYFUNCTION("""COMPUTED_VALUE"""),"This paper introduces BMIKE-53, a comprehensive benchmark for cross-lingual in-context knowledge editing (IKE), spanning 53 languages and three KE datasets: zsRE, CounterFact, and WikiFactDiff. Cross-lingual KE, which requires knowledge edited in one lang"&amp;"uage to generalize across diverse languages while preserving unrelated knowledge, remains underexplored. To address this, we systematically evaluate IKE under zero-shot, one-shot, and few-shot setups, including tailored metric-specific demonstrations. Our"&amp;" findings reveal that model scale and demonstration alignment critically govern cross-lingual editing efficacy, with larger models and tailored demonstrations significantly improving performance. Linguistic properties, particularly script type, strongly i"&amp;"nfluence outcomes, with non-Latin languages underperforming due to issues like language confusion.")</f>
        <v>This paper introduces BMIKE-53, a comprehensive benchmark for cross-lingual in-context knowledge editing (IKE), spanning 53 languages and three KE datasets: zsRE, CounterFact, and WikiFactDiff. Cross-lingual KE, which requires knowledge edited in one language to generalize across diverse languages while preserving unrelated knowledge, remains underexplored. To address this, we systematically evaluate IKE under zero-shot, one-shot, and few-shot setups, including tailored metric-specific demonstrations. Our findings reveal that model scale and demonstration alignment critically govern cross-lingual editing efficacy, with larger models and tailored demonstrations significantly improving performance. Linguistic properties, particularly script type, strongly influence outcomes, with non-Latin languages underperforming due to issues like language confusion.</v>
      </c>
      <c r="D2426" s="7" t="str">
        <f>IFERROR(__xludf.DUMMYFUNCTION("""COMPUTED_VALUE"""),"Ercong Nie")</f>
        <v>Ercong Nie</v>
      </c>
      <c r="E2426" s="7" t="str">
        <f>IFERROR(__xludf.DUMMYFUNCTION("""COMPUTED_VALUE"""),"Yes")</f>
        <v>Yes</v>
      </c>
      <c r="F2426" s="7" t="str">
        <f>IFERROR(__xludf.DUMMYFUNCTION("""COMPUTED_VALUE"""),"IP-Oral")</f>
        <v>IP-Oral</v>
      </c>
      <c r="G2426" s="7" t="str">
        <f>IFERROR(__xludf.DUMMYFUNCTION("""COMPUTED_VALUE"""),"In-Person")</f>
        <v>In-Person</v>
      </c>
      <c r="H2426" s="7" t="str">
        <f>IFERROR(__xludf.DUMMYFUNCTION("""COMPUTED_VALUE"""),"Room 1.15-16")</f>
        <v>Room 1.15-16</v>
      </c>
      <c r="I2426" s="7" t="str">
        <f>IFERROR(__xludf.DUMMYFUNCTION("""COMPUTED_VALUE"""),"Session 9: IP-Orals")</f>
        <v>Session 9: IP-Orals</v>
      </c>
      <c r="J2426" s="7" t="str">
        <f>IFERROR(__xludf.DUMMYFUNCTION("""COMPUTED_VALUE"""),"Multilingualism and Cross-Lingual NLP")</f>
        <v>Multilingualism and Cross-Lingual NLP</v>
      </c>
      <c r="K2426" s="7"/>
      <c r="L2426" s="8">
        <f>IFERROR(__xludf.DUMMYFUNCTION("""COMPUTED_VALUE"""),45867.0)</f>
        <v>45867</v>
      </c>
      <c r="M2426" s="7" t="str">
        <f>IFERROR(__xludf.DUMMYFUNCTION("""COMPUTED_VALUE"""),"14:00-15:30")</f>
        <v>14:00-15:30</v>
      </c>
      <c r="N2426" s="7">
        <f>IFERROR(__xludf.DUMMYFUNCTION("""COMPUTED_VALUE"""),5.0)</f>
        <v>5</v>
      </c>
    </row>
    <row r="2427">
      <c r="A2427" s="7" t="str">
        <f>IFERROR(__xludf.DUMMYFUNCTION("""COMPUTED_VALUE"""),"2039-MAIN")</f>
        <v>2039-MAIN</v>
      </c>
      <c r="B2427" s="7" t="str">
        <f>IFERROR(__xludf.DUMMYFUNCTION("""COMPUTED_VALUE"""),"What Matters in Evaluating Book-Length Stories? A Systematic Study of Long Story Evaluation")</f>
        <v>What Matters in Evaluating Book-Length Stories? A Systematic Study of Long Story Evaluation</v>
      </c>
      <c r="C2427" s="7" t="str">
        <f>IFERROR(__xludf.DUMMYFUNCTION("""COMPUTED_VALUE"""),"In this work, we conduct systematic research in a challenging area: the automatic evaluation of book-length stories (&gt;100K tokens). Our study focuses on two key questions: (1) understanding which evaluation aspects matter most to readers, and (2) explorin"&amp;"g effective methods for evaluating lengthy stories. We introduce the first large-scale benchmark, **LongStoryEval**, comprising 600 newly published books with an average length of 121K tokens (maximum 397K). Each book includes its average rating and multi"&amp;"ple reader reviews, presented as critiques organized by evaluation aspects. By analyzing all user-mentioned aspects, we propose an *evaluation criteria structure* and conduct experiments to identify the most significant aspects among the 8 top-level crite"&amp;"ria. For evaluation methods, we compare the effectiveness of three types: *aggregation-based*, *incremental-updated*, and *summary-based* evaluations. Our findings reveal that aggregation- and summary-based evaluations perform better, with the former exce"&amp;"lling in detail assessment and the latter offering greater efficiency. Building on these insights, we further propose **NovelCritique**, an 8B model that leverages the efficient summary-based framework to review and score stories across specified aspects."&amp;" NovelCritique outperforms commercial models like GPT-4o in aligning with human evaluations. All our datasets and codes will be released to foster further research.")</f>
        <v>In this work, we conduct systematic research in a challenging area: the automatic evaluation of book-length stories (&gt;100K tokens). Our study focuses on two key questions: (1) understanding which evaluation aspects matter most to readers, and (2) exploring effective methods for evaluating lengthy stories. We introduce the first large-scale benchmark, **LongStoryEval**, comprising 600 newly published books with an average length of 121K tokens (maximum 397K). Each book includes its average rating and multiple reader reviews, presented as critiques organized by evaluation aspects. By analyzing all user-mentioned aspects, we propose an *evaluation criteria structure* and conduct experiments to identify the most significant aspects among the 8 top-level criteria. For evaluation methods, we compare the effectiveness of three types: *aggregation-based*, *incremental-updated*, and *summary-based* evaluations. Our findings reveal that aggregation- and summary-based evaluations perform better, with the former excelling in detail assessment and the latter offering greater efficiency. Building on these insights, we further propose **NovelCritique**, an 8B model that leverages the efficient summary-based framework to review and score stories across specified aspects. NovelCritique outperforms commercial models like GPT-4o in aligning with human evaluations. All our datasets and codes will be released to foster further research.</v>
      </c>
      <c r="D2427" s="7" t="str">
        <f>IFERROR(__xludf.DUMMYFUNCTION("""COMPUTED_VALUE"""),"Dingyi Yang")</f>
        <v>Dingyi Yang</v>
      </c>
      <c r="E2427" s="7" t="str">
        <f>IFERROR(__xludf.DUMMYFUNCTION("""COMPUTED_VALUE"""),"Yes")</f>
        <v>Yes</v>
      </c>
      <c r="F2427" s="7" t="str">
        <f>IFERROR(__xludf.DUMMYFUNCTION("""COMPUTED_VALUE"""),"IP-Poster")</f>
        <v>IP-Poster</v>
      </c>
      <c r="G2427" s="7" t="str">
        <f>IFERROR(__xludf.DUMMYFUNCTION("""COMPUTED_VALUE"""),"In-Person")</f>
        <v>In-Person</v>
      </c>
      <c r="H2427" s="7" t="str">
        <f>IFERROR(__xludf.DUMMYFUNCTION("""COMPUTED_VALUE"""),"Hall 4/5")</f>
        <v>Hall 4/5</v>
      </c>
      <c r="I2427" s="7" t="str">
        <f>IFERROR(__xludf.DUMMYFUNCTION("""COMPUTED_VALUE"""),"Session 12: IP-Posters")</f>
        <v>Session 12: IP-Posters</v>
      </c>
      <c r="J2427" s="7" t="str">
        <f>IFERROR(__xludf.DUMMYFUNCTION("""COMPUTED_VALUE"""),"Poster Session 4")</f>
        <v>Poster Session 4</v>
      </c>
      <c r="K2427" s="7"/>
      <c r="L2427" s="8">
        <f>IFERROR(__xludf.DUMMYFUNCTION("""COMPUTED_VALUE"""),45868.0)</f>
        <v>45868</v>
      </c>
      <c r="M2427" s="7" t="str">
        <f>IFERROR(__xludf.DUMMYFUNCTION("""COMPUTED_VALUE"""),"11:00-12:30")</f>
        <v>11:00-12:30</v>
      </c>
      <c r="N2427" s="7"/>
    </row>
    <row r="2428">
      <c r="A2428" s="7" t="str">
        <f>IFERROR(__xludf.DUMMYFUNCTION("""COMPUTED_VALUE"""),"2043-MAIN")</f>
        <v>2043-MAIN</v>
      </c>
      <c r="B2428" s="7" t="str">
        <f>IFERROR(__xludf.DUMMYFUNCTION("""COMPUTED_VALUE"""),"PROPER: A Progressive Learning Framework for Personalized Large Language Models with Group-Level Adaptation")</f>
        <v>PROPER: A Progressive Learning Framework for Personalized Large Language Models with Group-Level Adaptation</v>
      </c>
      <c r="C2428" s="7" t="str">
        <f>IFERROR(__xludf.DUMMYFUNCTION("""COMPUTED_VALUE"""),"Personalized large language models (LLMs) aim to tailor their outputs to user preferences. Recent advances in parameter-efficient fine-tuning (PEFT) methods have highlighted the effectiveness of adapting population-level LLMs to personalized LLMs by fine-"&amp;"tuning user-specific parameters with user history. However, user data is typically sparse, making it challenging to adapt LLMs to specific user patterns. To address this challenge, we propose PROgressive PERsonalization (PROPER), a novel progressive learn"&amp;"ing framework inspired by meso-level theory in social science. PROPER bridges population-level and user-level models by grouping users based on preferences and adapting LLMs in stages. It combines a Mixture-of-Experts (MoE) structure with Low Ranked Adapt"&amp;"ation (LoRA), using a user-aware router to assign users to appropriate groups automatically. Additionally, a LoRA-aware router is proposed to facilitate the integration of individual user LoRAs with the group-level LoRA. Experimental results show that PRO"&amp;"PER significantly outperforms SOTA models across multiple tasks, demonstrating the effectiveness of our approach.")</f>
        <v>Personalized large language models (LLMs) aim to tailor their outputs to user preferences. Recent advances in parameter-efficient fine-tuning (PEFT) methods have highlighted the effectiveness of adapting population-level LLMs to personalized LLMs by fine-tuning user-specific parameters with user history. However, user data is typically sparse, making it challenging to adapt LLMs to specific user patterns. To address this challenge, we propose PROgressive PERsonalization (PROPER), a novel progressive learning framework inspired by meso-level theory in social science. PROPER bridges population-level and user-level models by grouping users based on preferences and adapting LLMs in stages. It combines a Mixture-of-Experts (MoE) structure with Low Ranked Adaptation (LoRA), using a user-aware router to assign users to appropriate groups automatically. Additionally, a LoRA-aware router is proposed to facilitate the integration of individual user LoRAs with the group-level LoRA. Experimental results show that PROPER significantly outperforms SOTA models across multiple tasks, demonstrating the effectiveness of our approach.</v>
      </c>
      <c r="D2428" s="7" t="str">
        <f>IFERROR(__xludf.DUMMYFUNCTION("""COMPUTED_VALUE"""),"Linhai Zhang")</f>
        <v>Linhai Zhang</v>
      </c>
      <c r="E2428" s="7" t="str">
        <f>IFERROR(__xludf.DUMMYFUNCTION("""COMPUTED_VALUE"""),"Yes")</f>
        <v>Yes</v>
      </c>
      <c r="F2428" s="7" t="str">
        <f>IFERROR(__xludf.DUMMYFUNCTION("""COMPUTED_VALUE"""),"IP-Poster")</f>
        <v>IP-Poster</v>
      </c>
      <c r="G2428" s="7" t="str">
        <f>IFERROR(__xludf.DUMMYFUNCTION("""COMPUTED_VALUE"""),"In-Person")</f>
        <v>In-Person</v>
      </c>
      <c r="H2428" s="7" t="str">
        <f>IFERROR(__xludf.DUMMYFUNCTION("""COMPUTED_VALUE"""),"Hall 4/5")</f>
        <v>Hall 4/5</v>
      </c>
      <c r="I2428" s="7" t="str">
        <f>IFERROR(__xludf.DUMMYFUNCTION("""COMPUTED_VALUE"""),"Session 2: IP-Posters ")</f>
        <v>Session 2: IP-Posters </v>
      </c>
      <c r="J2428" s="7" t="str">
        <f>IFERROR(__xludf.DUMMYFUNCTION("""COMPUTED_VALUE"""),"Poster Session 1")</f>
        <v>Poster Session 1</v>
      </c>
      <c r="K2428" s="7"/>
      <c r="L2428" s="8">
        <f>IFERROR(__xludf.DUMMYFUNCTION("""COMPUTED_VALUE"""),45866.0)</f>
        <v>45866</v>
      </c>
      <c r="M2428" s="7" t="str">
        <f>IFERROR(__xludf.DUMMYFUNCTION("""COMPUTED_VALUE"""),"11:00-12:30")</f>
        <v>11:00-12:30</v>
      </c>
      <c r="N2428" s="7"/>
    </row>
    <row r="2429">
      <c r="A2429" s="7" t="str">
        <f>IFERROR(__xludf.DUMMYFUNCTION("""COMPUTED_VALUE"""),"2044-MAIN")</f>
        <v>2044-MAIN</v>
      </c>
      <c r="B2429" s="7" t="str">
        <f>IFERROR(__xludf.DUMMYFUNCTION("""COMPUTED_VALUE"""),"Enhancing Event-centric News Cluster Summarization via Data Sharpening and Localization Insights")</f>
        <v>Enhancing Event-centric News Cluster Summarization via Data Sharpening and Localization Insights</v>
      </c>
      <c r="C2429" s="7" t="str">
        <f>IFERROR(__xludf.DUMMYFUNCTION("""COMPUTED_VALUE"""),"This paper tackles the challenges of clustering news articles by main events (MEs) and summarizing these clusters, focusing on diverse languages and localized contexts. Our approach consists of four key contributions. First, we investigate the role of dyn"&amp;"amic clustering and the integration of various ME references, including event attributions extracted by language models (LMs), in enhancing event-centric clustering. Second, we propose a data-sharpening framework that optimizes the balance between informa"&amp;"tion volume and entropy in input texts, thereby optimizing generated summaries on multiple indicators. Third, we fine-tune LMs with local news articles for cross-lingual temporal question-answering and text summarization, achieving notable improvements in"&amp;" capturing localized contexts. Lastly, we present the first cross-lingual dataset and comprehensive evaluation metrics tailored for the event-centric news cluster summarization pipeline. Our findings enhance the understanding of news summarization across "&amp;"N-gram, event-level coverage, and faithfulness, providing new insights into leveraging LMs for large-scale cross-lingual and localized news analysis.")</f>
        <v>This paper tackles the challenges of clustering news articles by main events (MEs) and summarizing these clusters, focusing on diverse languages and localized contexts. Our approach consists of four key contributions. First, we investigate the role of dynamic clustering and the integration of various ME references, including event attributions extracted by language models (LMs), in enhancing event-centric clustering. Second, we propose a data-sharpening framework that optimizes the balance between information volume and entropy in input texts, thereby optimizing generated summaries on multiple indicators. Third, we fine-tune LMs with local news articles for cross-lingual temporal question-answering and text summarization, achieving notable improvements in capturing localized contexts. Lastly, we present the first cross-lingual dataset and comprehensive evaluation metrics tailored for the event-centric news cluster summarization pipeline. Our findings enhance the understanding of news summarization across N-gram, event-level coverage, and faithfulness, providing new insights into leveraging LMs for large-scale cross-lingual and localized news analysis.</v>
      </c>
      <c r="D2429" s="7" t="str">
        <f>IFERROR(__xludf.DUMMYFUNCTION("""COMPUTED_VALUE"""),"Longyin Zhang")</f>
        <v>Longyin Zhang</v>
      </c>
      <c r="E2429" s="7" t="str">
        <f>IFERROR(__xludf.DUMMYFUNCTION("""COMPUTED_VALUE"""),"Yes")</f>
        <v>Yes</v>
      </c>
      <c r="F2429" s="7" t="str">
        <f>IFERROR(__xludf.DUMMYFUNCTION("""COMPUTED_VALUE"""),"IP-Poster")</f>
        <v>IP-Poster</v>
      </c>
      <c r="G2429" s="7" t="str">
        <f>IFERROR(__xludf.DUMMYFUNCTION("""COMPUTED_VALUE"""),"In-Person")</f>
        <v>In-Person</v>
      </c>
      <c r="H2429" s="7" t="str">
        <f>IFERROR(__xludf.DUMMYFUNCTION("""COMPUTED_VALUE"""),"Hall 4/5")</f>
        <v>Hall 4/5</v>
      </c>
      <c r="I2429" s="7" t="str">
        <f>IFERROR(__xludf.DUMMYFUNCTION("""COMPUTED_VALUE"""),"Session 2: IP-Posters ")</f>
        <v>Session 2: IP-Posters </v>
      </c>
      <c r="J2429" s="7" t="str">
        <f>IFERROR(__xludf.DUMMYFUNCTION("""COMPUTED_VALUE"""),"Poster Session 1")</f>
        <v>Poster Session 1</v>
      </c>
      <c r="K2429" s="7"/>
      <c r="L2429" s="8">
        <f>IFERROR(__xludf.DUMMYFUNCTION("""COMPUTED_VALUE"""),45866.0)</f>
        <v>45866</v>
      </c>
      <c r="M2429" s="7" t="str">
        <f>IFERROR(__xludf.DUMMYFUNCTION("""COMPUTED_VALUE"""),"11:00-12:30")</f>
        <v>11:00-12:30</v>
      </c>
      <c r="N2429" s="7"/>
    </row>
    <row r="2430">
      <c r="A2430" s="7" t="str">
        <f>IFERROR(__xludf.DUMMYFUNCTION("""COMPUTED_VALUE"""),"2046-MAIN")</f>
        <v>2046-MAIN</v>
      </c>
      <c r="B2430" s="7" t="str">
        <f>IFERROR(__xludf.DUMMYFUNCTION("""COMPUTED_VALUE"""),"MMBoundary: Advancing MLLM Knowledge Boundary Awareness through Reasoning Step Confidence Calibration")</f>
        <v>MMBoundary: Advancing MLLM Knowledge Boundary Awareness through Reasoning Step Confidence Calibration</v>
      </c>
      <c r="C2430" s="7" t="str">
        <f>IFERROR(__xludf.DUMMYFUNCTION("""COMPUTED_VALUE"""),"In recent years, multimodal large language models (MLLMs) have made significant progress but continue to face inherent challenges in multimodal reasoning, which requires multi-level (e.g., perception, reasoning) and multi-granular (e.g., multi-step reason"&amp;"ing chain) advanced inferencing. Prior work on estimating model confidence tends to focus on the overall response for training and calibration, but fails to assess confidence in each reasoning step, leading to undesirable hallucination snowballing. In thi"&amp;"s work, we present MMBoundary, a novel framework that advances the knowledge boundary awareness of MLLMs through reasoning step confidence calibration. To achieve this, we propose to incorporate complementary textual and cross-modal self-rewarding signals"&amp;" to estimate confidence at each step of the MLLM reasoning process. In addition to supervised fine-tuning MLLM on this set of self-rewarding confidence estimation signal for initial confidence expression warm-up, we introduce a reinforcement learning stag"&amp;"e with multiple reward functions for further aligning model knowledge and calibrating confidence at each reasoning step, enhancing reasoning chain self-correction. Empirical results show that MMBoundary significantly outperforms existing methods across di"&amp;"verse domain datasets and metrics, achieving an average of 7.5% reduction in multimodal confidence calibration errors and up to 8.3% improvement in task performance.")</f>
        <v>In recent years, multimodal large language models (MLLMs) have made significant progress but continue to face inherent challenges in multimodal reasoning, which requires multi-level (e.g., perception, reasoning) and multi-granular (e.g., multi-step reasoning chain) advanced inferencing. Prior work on estimating model confidence tends to focus on the overall response for training and calibration, but fails to assess confidence in each reasoning step, leading to undesirable hallucination snowballing. In this work, we present MMBoundary, a novel framework that advances the knowledge boundary awareness of MLLMs through reasoning step confidence calibration. To achieve this, we propose to incorporate complementary textual and cross-modal self-rewarding signals to estimate confidence at each step of the MLLM reasoning process. In addition to supervised fine-tuning MLLM on this set of self-rewarding confidence estimation signal for initial confidence expression warm-up, we introduce a reinforcement learning stage with multiple reward functions for further aligning model knowledge and calibrating confidence at each reasoning step, enhancing reasoning chain self-correction. Empirical results show that MMBoundary significantly outperforms existing methods across diverse domain datasets and metrics, achieving an average of 7.5% reduction in multimodal confidence calibration errors and up to 8.3% improvement in task performance.</v>
      </c>
      <c r="D2430" s="7" t="str">
        <f>IFERROR(__xludf.DUMMYFUNCTION("""COMPUTED_VALUE"""),"Zhitao He")</f>
        <v>Zhitao He</v>
      </c>
      <c r="E2430" s="7" t="str">
        <f>IFERROR(__xludf.DUMMYFUNCTION("""COMPUTED_VALUE"""),"Yes")</f>
        <v>Yes</v>
      </c>
      <c r="F2430" s="7" t="str">
        <f>IFERROR(__xludf.DUMMYFUNCTION("""COMPUTED_VALUE"""),"IP-Poster")</f>
        <v>IP-Poster</v>
      </c>
      <c r="G2430" s="7" t="str">
        <f>IFERROR(__xludf.DUMMYFUNCTION("""COMPUTED_VALUE"""),"In-Person")</f>
        <v>In-Person</v>
      </c>
      <c r="H2430" s="7" t="str">
        <f>IFERROR(__xludf.DUMMYFUNCTION("""COMPUTED_VALUE"""),"Hall 4/5")</f>
        <v>Hall 4/5</v>
      </c>
      <c r="I2430" s="7" t="str">
        <f>IFERROR(__xludf.DUMMYFUNCTION("""COMPUTED_VALUE"""),"Session 12: IP-Posters")</f>
        <v>Session 12: IP-Posters</v>
      </c>
      <c r="J2430" s="7" t="str">
        <f>IFERROR(__xludf.DUMMYFUNCTION("""COMPUTED_VALUE"""),"Poster Session 4")</f>
        <v>Poster Session 4</v>
      </c>
      <c r="K2430" s="7"/>
      <c r="L2430" s="8">
        <f>IFERROR(__xludf.DUMMYFUNCTION("""COMPUTED_VALUE"""),45868.0)</f>
        <v>45868</v>
      </c>
      <c r="M2430" s="7" t="str">
        <f>IFERROR(__xludf.DUMMYFUNCTION("""COMPUTED_VALUE"""),"11:00-12:30")</f>
        <v>11:00-12:30</v>
      </c>
      <c r="N2430" s="7"/>
    </row>
    <row r="2431">
      <c r="A2431" s="7" t="str">
        <f>IFERROR(__xludf.DUMMYFUNCTION("""COMPUTED_VALUE"""),"2047-MAIN")</f>
        <v>2047-MAIN</v>
      </c>
      <c r="B2431" s="7" t="str">
        <f>IFERROR(__xludf.DUMMYFUNCTION("""COMPUTED_VALUE"""),"LIFBench: Evaluating the Instruction Following Performance and Stability of Large Language Models in Long-Context Scenarios")</f>
        <v>LIFBench: Evaluating the Instruction Following Performance and Stability of Large Language Models in Long-Context Scenarios</v>
      </c>
      <c r="C2431" s="7" t="str">
        <f>IFERROR(__xludf.DUMMYFUNCTION("""COMPUTED_VALUE"""),"As Large Language Models (LLMs) evolve in natural language processing (NLP), their ability to stably follow instructions in long-context inputs has become critical for real-world applications. However, existing benchmarks seldom focus on instruction-follo"&amp;"wing in long-context scenarios or stability on different inputs. To bridge this gap, we introduce LIFBench, a scalable dataset designed to evaluate LLMs' instruction-following capabilities and stability across long contexts. LIFBench comprises three long-"&amp;"context scenarios and eleven diverse tasks, featuring 2,766 instructions generated through an automated expansion method across three dimensions: length, expression, and variables. For evaluation, we propose LIFEval, a rubric-based assessment method that "&amp;"enables precise, automated scoring of complex LLM responses without reliance on LLM-assisted assessments or human judgment. This method allows for a comprehensive analysis of model performance and stability from multiple perspectives. We conduct detailed "&amp;"experiments on 20 prominent LLMs across six length intervals. Our work contributes LIFBench and LIFEval as robust tools for assessing LLM performance in complex and long-context settings, offering valuable insights to guide future advancements in LLM deve"&amp;"lopment.")</f>
        <v>As Large Language Models (LLMs) evolve in natural language processing (NLP), their ability to stably follow instructions in long-context inputs has become critical for real-world applications. However, existing benchmarks seldom focus on instruction-following in long-context scenarios or stability on different inputs. To bridge this gap, we introduce LIFBench, a scalable dataset designed to evaluate LLMs' instruction-following capabilities and stability across long contexts. LIFBench comprises three long-context scenarios and eleven diverse tasks, featuring 2,766 instructions generated through an automated expansion method across three dimensions: length, expression, and variables. For evaluation, we propose LIFEval, a rubric-based assessment method that enables precise, automated scoring of complex LLM responses without reliance on LLM-assisted assessments or human judgment. This method allows for a comprehensive analysis of model performance and stability from multiple perspectives. We conduct detailed experiments on 20 prominent LLMs across six length intervals. Our work contributes LIFBench and LIFEval as robust tools for assessing LLM performance in complex and long-context settings, offering valuable insights to guide future advancements in LLM development.</v>
      </c>
      <c r="D2431" s="7" t="str">
        <f>IFERROR(__xludf.DUMMYFUNCTION("""COMPUTED_VALUE"""),"Xiaodong Wu")</f>
        <v>Xiaodong Wu</v>
      </c>
      <c r="E2431" s="7" t="str">
        <f>IFERROR(__xludf.DUMMYFUNCTION("""COMPUTED_VALUE"""),"Yes")</f>
        <v>Yes</v>
      </c>
      <c r="F2431" s="7" t="str">
        <f>IFERROR(__xludf.DUMMYFUNCTION("""COMPUTED_VALUE"""),"IP-Poster")</f>
        <v>IP-Poster</v>
      </c>
      <c r="G2431" s="7" t="str">
        <f>IFERROR(__xludf.DUMMYFUNCTION("""COMPUTED_VALUE"""),"In-Person")</f>
        <v>In-Person</v>
      </c>
      <c r="H2431" s="7" t="str">
        <f>IFERROR(__xludf.DUMMYFUNCTION("""COMPUTED_VALUE"""),"Hall 4/5")</f>
        <v>Hall 4/5</v>
      </c>
      <c r="I2431" s="7" t="str">
        <f>IFERROR(__xludf.DUMMYFUNCTION("""COMPUTED_VALUE"""),"Session 12: IP-Posters")</f>
        <v>Session 12: IP-Posters</v>
      </c>
      <c r="J2431" s="7" t="str">
        <f>IFERROR(__xludf.DUMMYFUNCTION("""COMPUTED_VALUE"""),"Poster Session 4")</f>
        <v>Poster Session 4</v>
      </c>
      <c r="K2431" s="7"/>
      <c r="L2431" s="8">
        <f>IFERROR(__xludf.DUMMYFUNCTION("""COMPUTED_VALUE"""),45868.0)</f>
        <v>45868</v>
      </c>
      <c r="M2431" s="7" t="str">
        <f>IFERROR(__xludf.DUMMYFUNCTION("""COMPUTED_VALUE"""),"11:00-12:30")</f>
        <v>11:00-12:30</v>
      </c>
      <c r="N2431" s="7"/>
    </row>
    <row r="2432">
      <c r="A2432" s="7" t="str">
        <f>IFERROR(__xludf.DUMMYFUNCTION("""COMPUTED_VALUE"""),"2048-MAIN")</f>
        <v>2048-MAIN</v>
      </c>
      <c r="B2432" s="7" t="str">
        <f>IFERROR(__xludf.DUMMYFUNCTION("""COMPUTED_VALUE"""),"FEAT: A Preference Feedback Dataset through a Cost-Effective Auto-Generation and Labeling Framework for English AI Tutoring")</f>
        <v>FEAT: A Preference Feedback Dataset through a Cost-Effective Auto-Generation and Labeling Framework for English AI Tutoring</v>
      </c>
      <c r="C2432" s="7" t="str">
        <f>IFERROR(__xludf.DUMMYFUNCTION("""COMPUTED_VALUE"""),"In English education tutoring, teacher feedback is essential for guiding students. Recently, AI-based tutoring systems have emerged to assist teachers; however, these systems require high-quality and large-scale teacher feedback data, which is both time-c"&amp;"onsuming and costly to generate manually. In this study, we propose FEAT, a cost-effective framework for generating teacher feedback, and have constructed three complementary datasets: (1) DIRECT-Manual (DM), where both humans and large language models (L"&amp;"LMs) collaboratively generate high-quality teacher feedback, albeit at a higher cost; (2) DIRECT-Generated (DG), an LLM-only generated, cost-effective dataset with lower quality;, and (3) DIRECT-Augmented (DA), primarily based on DG with a small portion o"&amp;"f DM added to enhance quality while maintaining cost-efficiency. Experimental results showed that incorporating a small portion of DM (5–10%) into DG leads to superior performance compared to using 100% DM alone.")</f>
        <v>In English education tutoring, teacher feedback is essential for guiding students. Recently, AI-based tutoring systems have emerged to assist teachers; however, these systems require high-quality and large-scale teacher feedback data, which is both time-consuming and costly to generate manually. In this study, we propose FEAT, a cost-effective framework for generating teacher feedback, and have constructed three complementary datasets: (1) DIRECT-Manual (DM), where both humans and large language models (LLMs) collaboratively generate high-quality teacher feedback, albeit at a higher cost; (2) DIRECT-Generated (DG), an LLM-only generated, cost-effective dataset with lower quality;, and (3) DIRECT-Augmented (DA), primarily based on DG with a small portion of DM added to enhance quality while maintaining cost-efficiency. Experimental results showed that incorporating a small portion of DM (5–10%) into DG leads to superior performance compared to using 100% DM alone.</v>
      </c>
      <c r="D2432" s="7" t="str">
        <f>IFERROR(__xludf.DUMMYFUNCTION("""COMPUTED_VALUE"""),"Hyein Seo")</f>
        <v>Hyein Seo</v>
      </c>
      <c r="E2432" s="7" t="str">
        <f>IFERROR(__xludf.DUMMYFUNCTION("""COMPUTED_VALUE"""),"Yes")</f>
        <v>Yes</v>
      </c>
      <c r="F2432" s="7" t="str">
        <f>IFERROR(__xludf.DUMMYFUNCTION("""COMPUTED_VALUE"""),"IP-Poster")</f>
        <v>IP-Poster</v>
      </c>
      <c r="G2432" s="7" t="str">
        <f>IFERROR(__xludf.DUMMYFUNCTION("""COMPUTED_VALUE"""),"In-Person")</f>
        <v>In-Person</v>
      </c>
      <c r="H2432" s="7" t="str">
        <f>IFERROR(__xludf.DUMMYFUNCTION("""COMPUTED_VALUE"""),"Hall 4/5")</f>
        <v>Hall 4/5</v>
      </c>
      <c r="I2432" s="7" t="str">
        <f>IFERROR(__xludf.DUMMYFUNCTION("""COMPUTED_VALUE"""),"Session 10: IP-Posters")</f>
        <v>Session 10: IP-Posters</v>
      </c>
      <c r="J2432" s="7" t="str">
        <f>IFERROR(__xludf.DUMMYFUNCTION("""COMPUTED_VALUE"""),"Poster Session 3")</f>
        <v>Poster Session 3</v>
      </c>
      <c r="K2432" s="7"/>
      <c r="L2432" s="8">
        <f>IFERROR(__xludf.DUMMYFUNCTION("""COMPUTED_VALUE"""),45867.0)</f>
        <v>45867</v>
      </c>
      <c r="M2432" s="7" t="str">
        <f>IFERROR(__xludf.DUMMYFUNCTION("""COMPUTED_VALUE"""),"16:00-17:30")</f>
        <v>16:00-17:30</v>
      </c>
      <c r="N2432" s="7"/>
    </row>
    <row r="2433">
      <c r="A2433" s="7" t="str">
        <f>IFERROR(__xludf.DUMMYFUNCTION("""COMPUTED_VALUE"""),"2053-MAIN")</f>
        <v>2053-MAIN</v>
      </c>
      <c r="B2433" s="7" t="str">
        <f>IFERROR(__xludf.DUMMYFUNCTION("""COMPUTED_VALUE"""),"Aligning Large Language Models to Follow Instructions and Hallucinate Less via Effective Data Filtering")</f>
        <v>Aligning Large Language Models to Follow Instructions and Hallucinate Less via Effective Data Filtering</v>
      </c>
      <c r="C2433" s="7" t="str">
        <f>IFERROR(__xludf.DUMMYFUNCTION("""COMPUTED_VALUE"""),"Training LLMs on data containing unfamiliar knowledge during the instruction tuning stage can encourage hallucinations. To address this challenge, we introduce NOVA, a novel framework designed to identify high-quality data that aligns well with the LLM's "&amp;"learned knowledge to reduce hallucinations. NOVA includes Internal Consistency Probing (ICP) and Semantic Equivalence Identification (SEI) to measure how familiar the LLM is with instruction data. Specifically, ICP evaluates the LLM's understanding of the"&amp;" given instruction by calculating the tailored consistency among multiple self-generated responses. SEI further assesses the familiarity of the LLM with the target response by comparing it to the generated responses, using the proposed semantic clustering"&amp;" and well-designed voting strategy. Finally, to ensure the quality of selected samples, we introduce an expert-aligned reward model, considering characteristics beyond just familiarity. By considering data quality and avoiding unfamiliar data, we can util"&amp;"ize the selected data to effectively align LLMs to follow instructions and hallucinate less. Experiments show that NOVA significantly reduces hallucinations while maintaining a competitive ability to follow instructions.")</f>
        <v>Training LLMs on data containing unfamiliar knowledge during the instruction tuning stage can encourage hallucinations. To address this challenge, we introduce NOVA, a novel framework designed to identify high-quality data that aligns well with the LLM's learned knowledge to reduce hallucinations. NOVA includes Internal Consistency Probing (ICP) and Semantic Equivalence Identification (SEI) to measure how familiar the LLM is with instruction data. Specifically, ICP evaluates the LLM's understanding of the given instruction by calculating the tailored consistency among multiple self-generated responses. SEI further assesses the familiarity of the LLM with the target response by comparing it to the generated responses, using the proposed semantic clustering and well-designed voting strategy. Finally, to ensure the quality of selected samples, we introduce an expert-aligned reward model, considering characteristics beyond just familiarity. By considering data quality and avoiding unfamiliar data, we can utilize the selected data to effectively align LLMs to follow instructions and hallucinate less. Experiments show that NOVA significantly reduces hallucinations while maintaining a competitive ability to follow instructions.</v>
      </c>
      <c r="D2433" s="7" t="str">
        <f>IFERROR(__xludf.DUMMYFUNCTION("""COMPUTED_VALUE"""),"Shuzheng Si")</f>
        <v>Shuzheng Si</v>
      </c>
      <c r="E2433" s="7" t="str">
        <f>IFERROR(__xludf.DUMMYFUNCTION("""COMPUTED_VALUE"""),"Yes")</f>
        <v>Yes</v>
      </c>
      <c r="F2433" s="7" t="str">
        <f>IFERROR(__xludf.DUMMYFUNCTION("""COMPUTED_VALUE"""),"IP-Poster")</f>
        <v>IP-Poster</v>
      </c>
      <c r="G2433" s="7" t="str">
        <f>IFERROR(__xludf.DUMMYFUNCTION("""COMPUTED_VALUE"""),"In-Person")</f>
        <v>In-Person</v>
      </c>
      <c r="H2433" s="7" t="str">
        <f>IFERROR(__xludf.DUMMYFUNCTION("""COMPUTED_VALUE"""),"Hall 4/5")</f>
        <v>Hall 4/5</v>
      </c>
      <c r="I2433" s="7" t="str">
        <f>IFERROR(__xludf.DUMMYFUNCTION("""COMPUTED_VALUE"""),"Session 2: IP-Posters ")</f>
        <v>Session 2: IP-Posters </v>
      </c>
      <c r="J2433" s="7" t="str">
        <f>IFERROR(__xludf.DUMMYFUNCTION("""COMPUTED_VALUE"""),"Poster Session 1")</f>
        <v>Poster Session 1</v>
      </c>
      <c r="K2433" s="7"/>
      <c r="L2433" s="8">
        <f>IFERROR(__xludf.DUMMYFUNCTION("""COMPUTED_VALUE"""),45866.0)</f>
        <v>45866</v>
      </c>
      <c r="M2433" s="7" t="str">
        <f>IFERROR(__xludf.DUMMYFUNCTION("""COMPUTED_VALUE"""),"11:00-12:30")</f>
        <v>11:00-12:30</v>
      </c>
      <c r="N2433" s="7"/>
    </row>
    <row r="2434">
      <c r="A2434" s="7" t="str">
        <f>IFERROR(__xludf.DUMMYFUNCTION("""COMPUTED_VALUE"""),"2054-MAIN")</f>
        <v>2054-MAIN</v>
      </c>
      <c r="B2434" s="7" t="str">
        <f>IFERROR(__xludf.DUMMYFUNCTION("""COMPUTED_VALUE"""),"One-Shot is Enough: Consolidating Multi-Turn Attacks into Efficient Single-Turn Prompts for LLMs")</f>
        <v>One-Shot is Enough: Consolidating Multi-Turn Attacks into Efficient Single-Turn Prompts for LLMs</v>
      </c>
      <c r="C2434" s="7" t="str">
        <f>IFERROR(__xludf.DUMMYFUNCTION("""COMPUTED_VALUE"""),"We introduce a novel framework for consolidating multi-turn adversarial “jailbreak” prompts into single-turn queries, significantly reducing the manual overhead required for adversarial testing of large language models (LLMs). While multi-turn human jailb"&amp;"reaks have been shown to yield high attack success rates (ASRs), they demand considerable human effort and time. Our proposed Multi-turn-to-Single-turn (M2S) methods—Hyphenize, Numberize, and Pythonize—systematically reformat multi-turn dialogues into str"&amp;"uctured single-turn prompts. Despite eliminating iterative back-and-forth interactions, these reformatted prompts preserve and often enhance adversarial potency: in extensive evaluations on the Multi-turn Human Jailbreak (MHJ) dataset, M2S methods yield A"&amp;"SRs ranging from 70.6 % to 95.9 % across various state-of-the-art LLMs. Remarkably, our single-turn prompts outperform the original multi-turn attacks by up to 17.5 % in absolute ASR, while reducing token usage by more than half on average. Further analys"&amp;"es reveal that embedding malicious requests in enumerated or code-like structures exploits “contextual blindness,” undermining both native guardrails and external input-output safeguards. By consolidating multi-turn conversations into efficient single-tur"&amp;"n prompts, our M2S framework provides a powerful tool for large-scale red-teaming and exposes critical vulnerabilities in contemporary LLM defenses. All code, data, and conversion prompts are available for reproducibility and further investigations: https"&amp;"://github.com/Junuha/M2S_DATA")</f>
        <v>We introduce a novel framework for consolidating multi-turn adversarial “jailbreak” prompts into single-turn queries, significantly reducing the manual overhead required for adversarial testing of large language models (LLMs). While multi-turn human jailbreaks have been shown to yield high attack success rates (ASRs), they demand considerable human effort and time. Our proposed Multi-turn-to-Single-turn (M2S) methods—Hyphenize, Numberize, and Pythonize—systematically reformat multi-turn dialogues into structured single-turn prompts. Despite eliminating iterative back-and-forth interactions, these reformatted prompts preserve and often enhance adversarial potency: in extensive evaluations on the Multi-turn Human Jailbreak (MHJ) dataset, M2S methods yield ASRs ranging from 70.6 % to 95.9 % across various state-of-the-art LLMs. Remarkably, our single-turn prompts outperform the original multi-turn attacks by up to 17.5 % in absolute ASR, while reducing token usage by more than half on average. Further analyses reveal that embedding malicious requests in enumerated or code-like structures exploits “contextual blindness,” undermining both native guardrails and external input-output safeguards. By consolidating multi-turn conversations into efficient single-turn prompts, our M2S framework provides a powerful tool for large-scale red-teaming and exposes critical vulnerabilities in contemporary LLM defenses. All code, data, and conversion prompts are available for reproducibility and further investigations: https://github.com/Junuha/M2S_DATA</v>
      </c>
      <c r="D2434" s="7" t="str">
        <f>IFERROR(__xludf.DUMMYFUNCTION("""COMPUTED_VALUE"""),"Junwoo Ha")</f>
        <v>Junwoo Ha</v>
      </c>
      <c r="E2434" s="7" t="str">
        <f>IFERROR(__xludf.DUMMYFUNCTION("""COMPUTED_VALUE"""),"Yes")</f>
        <v>Yes</v>
      </c>
      <c r="F2434" s="7" t="str">
        <f>IFERROR(__xludf.DUMMYFUNCTION("""COMPUTED_VALUE"""),"IP-Poster")</f>
        <v>IP-Poster</v>
      </c>
      <c r="G2434" s="7" t="str">
        <f>IFERROR(__xludf.DUMMYFUNCTION("""COMPUTED_VALUE"""),"In-Person")</f>
        <v>In-Person</v>
      </c>
      <c r="H2434" s="7" t="str">
        <f>IFERROR(__xludf.DUMMYFUNCTION("""COMPUTED_VALUE"""),"Hall 4/5")</f>
        <v>Hall 4/5</v>
      </c>
      <c r="I2434" s="7" t="str">
        <f>IFERROR(__xludf.DUMMYFUNCTION("""COMPUTED_VALUE"""),"Session 10: IP-Posters")</f>
        <v>Session 10: IP-Posters</v>
      </c>
      <c r="J2434" s="7" t="str">
        <f>IFERROR(__xludf.DUMMYFUNCTION("""COMPUTED_VALUE"""),"Poster Session 3")</f>
        <v>Poster Session 3</v>
      </c>
      <c r="K2434" s="7"/>
      <c r="L2434" s="8">
        <f>IFERROR(__xludf.DUMMYFUNCTION("""COMPUTED_VALUE"""),45867.0)</f>
        <v>45867</v>
      </c>
      <c r="M2434" s="7" t="str">
        <f>IFERROR(__xludf.DUMMYFUNCTION("""COMPUTED_VALUE"""),"16:00-17:30")</f>
        <v>16:00-17:30</v>
      </c>
      <c r="N2434" s="7"/>
    </row>
    <row r="2435">
      <c r="A2435" s="7" t="str">
        <f>IFERROR(__xludf.DUMMYFUNCTION("""COMPUTED_VALUE"""),"2059-MAIN")</f>
        <v>2059-MAIN</v>
      </c>
      <c r="B2435" s="7" t="str">
        <f>IFERROR(__xludf.DUMMYFUNCTION("""COMPUTED_VALUE"""),"RAEmoLLM: Retrieval Augmented LLMs for Cross-Domain Misinformation Detection Using In-Context Learning Based on Emotional Information")</f>
        <v>RAEmoLLM: Retrieval Augmented LLMs for Cross-Domain Misinformation Detection Using In-Context Learning Based on Emotional Information</v>
      </c>
      <c r="C2435" s="7" t="str">
        <f>IFERROR(__xludf.DUMMYFUNCTION("""COMPUTED_VALUE"""),"Misinformation is prevalent in various fields such as education, politics, health, etc., causing significant harm to society. However, current methods for cross-domain misinformation detection rely on effort- and resource-intensive fine-tuning and complex"&amp;" model structures. With the outstanding performance of LLMs, many studies have employed them for misinformation detection. Unfortunately, they focus on in-domain tasks and do not incorporate significant sentiment and emotion features (which we jointly cal"&amp;"l {\em affect}). In this paper, we propose RAEmoLLM, the first retrieval augmented (RAG) LLMs framework to address cross-domain misinformation detection using in-context learning based on affective information. RAEmoLLM includes three modules. (1) In the "&amp;"index construction module, we apply an emotional LLM to obtain affective embeddings from all domains to construct a retrieval database. (2) The retrieval module uses the database to recommend top K examples (text-label pairs) from source domain data for t"&amp;"arget domain contents. (3) These examples are adopted as few-shot demonstrations for the inference module to process the target domain content. The RAEmoLLM can effectively enhance the general performance of LLMs in cross-domain misinformation detection t"&amp;"asks through affect-based retrieval, without fine-tuning. We evaluate our framework on three misinformation benchmarks. Results show that RAEmoLLM achieves significant improvements compared to the other few-shot methods on three datasets, with the highest"&amp;" increases of 15.64%, 31.18%, and 15.73% respectively. This project is available at https://github.com/lzw108/RAEmoLLM.")</f>
        <v>Misinformation is prevalent in various fields such as education, politics, health, etc., causing significant harm to society. However, current methods for cross-domain misinformation detection rely on effort- and resource-intensive fine-tuning and complex model structures. With the outstanding performance of LLMs, many studies have employed them for misinformation detection. Unfortunately, they focus on in-domain tasks and do not incorporate significant sentiment and emotion features (which we jointly call {\em affect}). In this paper, we propose RAEmoLLM, the first retrieval augmented (RAG) LLMs framework to address cross-domain misinformation detection using in-context learning based on affective information. RAEmoLLM includes three modules. (1) In the index construction module, we apply an emotional LLM to obtain affective embeddings from all domains to construct a retrieval database. (2) The retrieval module uses the database to recommend top K examples (text-label pairs) from source domain data for target domain contents. (3) These examples are adopted as few-shot demonstrations for the inference module to process the target domain content. The RAEmoLLM can effectively enhance the general performance of LLMs in cross-domain misinformation detection tasks through affect-based retrieval, without fine-tuning. We evaluate our framework on three misinformation benchmarks. Results show that RAEmoLLM achieves significant improvements compared to the other few-shot methods on three datasets, with the highest increases of 15.64%, 31.18%, and 15.73% respectively. This project is available at https://github.com/lzw108/RAEmoLLM.</v>
      </c>
      <c r="D2435" s="7" t="str">
        <f>IFERROR(__xludf.DUMMYFUNCTION("""COMPUTED_VALUE"""),"Zhiwei Liu")</f>
        <v>Zhiwei Liu</v>
      </c>
      <c r="E2435" s="7" t="str">
        <f>IFERROR(__xludf.DUMMYFUNCTION("""COMPUTED_VALUE"""),"Yes")</f>
        <v>Yes</v>
      </c>
      <c r="F2435" s="7" t="str">
        <f>IFERROR(__xludf.DUMMYFUNCTION("""COMPUTED_VALUE"""),"IP-Poster")</f>
        <v>IP-Poster</v>
      </c>
      <c r="G2435" s="7" t="str">
        <f>IFERROR(__xludf.DUMMYFUNCTION("""COMPUTED_VALUE"""),"In-Person")</f>
        <v>In-Person</v>
      </c>
      <c r="H2435" s="7" t="str">
        <f>IFERROR(__xludf.DUMMYFUNCTION("""COMPUTED_VALUE"""),"Hall 4/5")</f>
        <v>Hall 4/5</v>
      </c>
      <c r="I2435" s="7" t="str">
        <f>IFERROR(__xludf.DUMMYFUNCTION("""COMPUTED_VALUE"""),"Session 7: IP-Posters")</f>
        <v>Session 7: IP-Posters</v>
      </c>
      <c r="J2435" s="7" t="str">
        <f>IFERROR(__xludf.DUMMYFUNCTION("""COMPUTED_VALUE"""),"Poster Session 2")</f>
        <v>Poster Session 2</v>
      </c>
      <c r="K2435" s="7"/>
      <c r="L2435" s="8">
        <f>IFERROR(__xludf.DUMMYFUNCTION("""COMPUTED_VALUE"""),45867.0)</f>
        <v>45867</v>
      </c>
      <c r="M2435" s="7" t="str">
        <f>IFERROR(__xludf.DUMMYFUNCTION("""COMPUTED_VALUE"""),"10:30-12:00")</f>
        <v>10:30-12:00</v>
      </c>
      <c r="N2435" s="7"/>
    </row>
    <row r="2436">
      <c r="A2436" s="7" t="str">
        <f>IFERROR(__xludf.DUMMYFUNCTION("""COMPUTED_VALUE"""),"2061-MAIN")</f>
        <v>2061-MAIN</v>
      </c>
      <c r="B2436" s="7" t="str">
        <f>IFERROR(__xludf.DUMMYFUNCTION("""COMPUTED_VALUE"""),"Task-Specific Information Decomposition for End-to-End Dense Video Captioning")</f>
        <v>Task-Specific Information Decomposition for End-to-End Dense Video Captioning</v>
      </c>
      <c r="C2436" s="7" t="str">
        <f>IFERROR(__xludf.DUMMYFUNCTION("""COMPUTED_VALUE"""),"Dense video captioning aims to localize events within input videos and generate concise descriptive texts for each event. Advanced end-to-end methods require both tasks to share the same intermediate features that serve as event queries, thereby enabling "&amp;"the mutual promotion of two tasks. However, relying on shared queries limits the model's ability to extract task-specific information, as event semantic perception and localization demand distinct perspectives on video understanding. To address this, we p"&amp;"ropose a decomposed dense video captioning framework that derives localization and captioning queries from event queries, enabling task-specific representations while maintaining inter-task collaboration. Considering the roles of different queries, we des"&amp;"ign a contrastive semantic optimization strategy that guides localization queries to focus on event-level visual features and captioning queries to align with textual semantics. Besides, only localization information is considered in existing methods for "&amp;"label assignment, failing to ensure the relevance of the selected queries to descriptions. We jointly consider localization and captioning losses to achieve a semantically balanced assignment process. Extensive experiments on the YouCook2 and ActivityNet "&amp;"Captions datasets demonstrate that our framework achieves state-of-the-art performance.")</f>
        <v>Dense video captioning aims to localize events within input videos and generate concise descriptive texts for each event. Advanced end-to-end methods require both tasks to share the same intermediate features that serve as event queries, thereby enabling the mutual promotion of two tasks. However, relying on shared queries limits the model's ability to extract task-specific information, as event semantic perception and localization demand distinct perspectives on video understanding. To address this, we propose a decomposed dense video captioning framework that derives localization and captioning queries from event queries, enabling task-specific representations while maintaining inter-task collaboration. Considering the roles of different queries, we design a contrastive semantic optimization strategy that guides localization queries to focus on event-level visual features and captioning queries to align with textual semantics. Besides, only localization information is considered in existing methods for label assignment, failing to ensure the relevance of the selected queries to descriptions. We jointly consider localization and captioning losses to achieve a semantically balanced assignment process. Extensive experiments on the YouCook2 and ActivityNet Captions datasets demonstrate that our framework achieves state-of-the-art performance.</v>
      </c>
      <c r="D2436" s="7" t="str">
        <f>IFERROR(__xludf.DUMMYFUNCTION("""COMPUTED_VALUE"""),"Xinru Zhang")</f>
        <v>Xinru Zhang</v>
      </c>
      <c r="E2436" s="7" t="str">
        <f>IFERROR(__xludf.DUMMYFUNCTION("""COMPUTED_VALUE"""),"Yes")</f>
        <v>Yes</v>
      </c>
      <c r="F2436" s="7" t="str">
        <f>IFERROR(__xludf.DUMMYFUNCTION("""COMPUTED_VALUE"""),"V-Presentation")</f>
        <v>V-Presentation</v>
      </c>
      <c r="G2436" s="7" t="str">
        <f>IFERROR(__xludf.DUMMYFUNCTION("""COMPUTED_VALUE"""),"Virtual/Gather")</f>
        <v>Virtual/Gather</v>
      </c>
      <c r="H2436" s="7" t="str">
        <f>IFERROR(__xludf.DUMMYFUNCTION("""COMPUTED_VALUE"""),"Zoom")</f>
        <v>Zoom</v>
      </c>
      <c r="I2436" s="7" t="str">
        <f>IFERROR(__xludf.DUMMYFUNCTION("""COMPUTED_VALUE"""),"Session 10: V-Presenations")</f>
        <v>Session 10: V-Presenations</v>
      </c>
      <c r="J2436" s="7" t="str">
        <f>IFERROR(__xludf.DUMMYFUNCTION("""COMPUTED_VALUE"""),"Virtual Presentations 3")</f>
        <v>Virtual Presentations 3</v>
      </c>
      <c r="K2436" s="7"/>
      <c r="L2436" s="8">
        <f>IFERROR(__xludf.DUMMYFUNCTION("""COMPUTED_VALUE"""),45867.0)</f>
        <v>45867</v>
      </c>
      <c r="M2436" s="7" t="str">
        <f>IFERROR(__xludf.DUMMYFUNCTION("""COMPUTED_VALUE"""),"16:00-17:30")</f>
        <v>16:00-17:30</v>
      </c>
      <c r="N2436" s="7"/>
    </row>
    <row r="2437">
      <c r="A2437" s="7" t="str">
        <f>IFERROR(__xludf.DUMMYFUNCTION("""COMPUTED_VALUE"""),"2062-MAIN")</f>
        <v>2062-MAIN</v>
      </c>
      <c r="B2437" s="7" t="str">
        <f>IFERROR(__xludf.DUMMYFUNCTION("""COMPUTED_VALUE"""),"CalibraEval: Calibrating Prediction Distribution to Mitigate Selection Bias in LLMs-as-Judges")</f>
        <v>CalibraEval: Calibrating Prediction Distribution to Mitigate Selection Bias in LLMs-as-Judges</v>
      </c>
      <c r="C2437" s="7" t="str">
        <f>IFERROR(__xludf.DUMMYFUNCTION("""COMPUTED_VALUE"""),"The use of large language models (LLMs) as automated evaluation tools to assess the quality of generated natural language, known as ''LLMs-as-Judges'', has demonstrated promising capabilities and is rapidly gaining widespread attention. However, when appl"&amp;"ied to pairwise comparisons of candidate responses, LLM-based evaluators often exhibit selection bias. Specifically, their judgments may become inconsistent when the option positions or ID tokens are swapped, compromising the effectiveness and fairness of"&amp;" the evaluation result. To address this challenge, we introduce CalibraEval, a novel label-free method for mitigating selection bias during inference. Specifically, CalibraEval reformulates debiasing as an optimization task aimed at adjusting observed pre"&amp;"diction distributions to align with unbiased prediction distributions. To solve this optimization problem, we propose a non-parametric order-preserving algorithm (NOA). This algorithm leverages the partial order relationships between model prediction dist"&amp;"ributions, thereby eliminating the need for explicit labels and precise mathematical function modeling. Empirical evaluations of LLMs in multiple representative benchmarks demonstrate that CalibraEval effectively mitigates selection bias and improves perf"&amp;"ormance compared to existing debiasing methods. This work marks a step toward building more robust and unbiased automated evaluation frameworks, paving the way for improved reliability in AI-driven assessments. The code can be found at  https://github.com"&amp;"/CSHaitao/CalibraEval.")</f>
        <v>The use of large language models (LLMs) as automated evaluation tools to assess the quality of generated natural language, known as ''LLMs-as-Judges'', has demonstrated promising capabilities and is rapidly gaining widespread attention. However, when applied to pairwise comparisons of candidate responses, LLM-based evaluators often exhibit selection bias. Specifically, their judgments may become inconsistent when the option positions or ID tokens are swapped, compromising the effectiveness and fairness of the evaluation result. To address this challenge, we introduce CalibraEval, a novel label-free method for mitigating selection bias during inference. Specifically, CalibraEval reformulates debiasing as an optimization task aimed at adjusting observed prediction distributions to align with unbiased prediction distributions. To solve this optimization problem, we propose a non-parametric order-preserving algorithm (NOA). This algorithm leverages the partial order relationships between model prediction distributions, thereby eliminating the need for explicit labels and precise mathematical function modeling. Empirical evaluations of LLMs in multiple representative benchmarks demonstrate that CalibraEval effectively mitigates selection bias and improves performance compared to existing debiasing methods. This work marks a step toward building more robust and unbiased automated evaluation frameworks, paving the way for improved reliability in AI-driven assessments. The code can be found at  https://github.com/CSHaitao/CalibraEval.</v>
      </c>
      <c r="D2437" s="7" t="str">
        <f>IFERROR(__xludf.DUMMYFUNCTION("""COMPUTED_VALUE"""),"Haitao Li")</f>
        <v>Haitao Li</v>
      </c>
      <c r="E2437" s="7" t="str">
        <f>IFERROR(__xludf.DUMMYFUNCTION("""COMPUTED_VALUE"""),"Yes")</f>
        <v>Yes</v>
      </c>
      <c r="F2437" s="7" t="str">
        <f>IFERROR(__xludf.DUMMYFUNCTION("""COMPUTED_VALUE"""),"IP-Poster")</f>
        <v>IP-Poster</v>
      </c>
      <c r="G2437" s="7" t="str">
        <f>IFERROR(__xludf.DUMMYFUNCTION("""COMPUTED_VALUE"""),"In-Person")</f>
        <v>In-Person</v>
      </c>
      <c r="H2437" s="7" t="str">
        <f>IFERROR(__xludf.DUMMYFUNCTION("""COMPUTED_VALUE"""),"Hall 4/5")</f>
        <v>Hall 4/5</v>
      </c>
      <c r="I2437" s="7" t="str">
        <f>IFERROR(__xludf.DUMMYFUNCTION("""COMPUTED_VALUE"""),"Session 7: IP-Posters")</f>
        <v>Session 7: IP-Posters</v>
      </c>
      <c r="J2437" s="7" t="str">
        <f>IFERROR(__xludf.DUMMYFUNCTION("""COMPUTED_VALUE"""),"Poster Session 2")</f>
        <v>Poster Session 2</v>
      </c>
      <c r="K2437" s="7"/>
      <c r="L2437" s="8">
        <f>IFERROR(__xludf.DUMMYFUNCTION("""COMPUTED_VALUE"""),45867.0)</f>
        <v>45867</v>
      </c>
      <c r="M2437" s="7" t="str">
        <f>IFERROR(__xludf.DUMMYFUNCTION("""COMPUTED_VALUE"""),"10:30-12:00")</f>
        <v>10:30-12:00</v>
      </c>
      <c r="N2437" s="7"/>
    </row>
    <row r="2438">
      <c r="A2438" s="7" t="str">
        <f>IFERROR(__xludf.DUMMYFUNCTION("""COMPUTED_VALUE"""),"2064-MAIN")</f>
        <v>2064-MAIN</v>
      </c>
      <c r="B2438" s="7" t="str">
        <f>IFERROR(__xludf.DUMMYFUNCTION("""COMPUTED_VALUE"""),"Explaining Matters: Leveraging Definitions and Semantic Expansion for Sexism Detection")</f>
        <v>Explaining Matters: Leveraging Definitions and Semantic Expansion for Sexism Detection</v>
      </c>
      <c r="C2438" s="7" t="str">
        <f>IFERROR(__xludf.DUMMYFUNCTION("""COMPUTED_VALUE"""),"The detection of sexism in online content remains an open problem, as harmful language disproportionately affects women and marginalized groups. While automated systems for sexism detection have been developed, they still face two key challenges: data spa"&amp;"rsity and the nuanced nature of sexist language. Even in large, well-curated datasets like the Explainable Detection of Online Sexism (EDOS), severe class imbalance hinders model generalization. Additionally, the overlapping and ambiguous boundaries of fi"&amp;"ne-grained categories introduce substantial annotator disagreement, reflecting the difficulty of interpreting nuanced expressions of sexism. To address these challenges, we propose two prompt-based data augmentation techniques: Definition-based Data Augme"&amp;"ntation (DDA), which leverages category-specific definitions to generate semantically-aligned synthetic examples, and Contextual Semantic Expansion (CSE), which targets systematic model errors by enriching examples with task-specific semantic features. To"&amp;" further improve reliability in fine-grained classification, we introduce an ensemble strategy that resolves prediction ties by aggregating complementary perspectives from multiple language models. Our experimental evaluation on the EDOS dataset demonstra"&amp;"tes state-of-the-art performance across all tasks, with notable improvements of macro F1 by 1.5 points for binary classification (Task A) and 4.1 points for fine-grained classification (Task C).")</f>
        <v>The detection of sexism in online content remains an open problem, as harmful language disproportionately affects women and marginalized groups. While automated systems for sexism detection have been developed, they still face two key challenges: data sparsity and the nuanced nature of sexist language. Even in large, well-curated datasets like the Explainable Detection of Online Sexism (EDOS), severe class imbalance hinders model generalization. Additionally, the overlapping and ambiguous boundaries of fine-grained categories introduce substantial annotator disagreement, reflecting the difficulty of interpreting nuanced expressions of sexism. To address these challenges, we propose two prompt-based data augmentation techniques: Definition-based Data Augmentation (DDA), which leverages category-specific definitions to generate semantically-aligned synthetic examples, and Contextual Semantic Expansion (CSE), which targets systematic model errors by enriching examples with task-specific semantic features. To further improve reliability in fine-grained classification, we introduce an ensemble strategy that resolves prediction ties by aggregating complementary perspectives from multiple language models. Our experimental evaluation on the EDOS dataset demonstrates state-of-the-art performance across all tasks, with notable improvements of macro F1 by 1.5 points for binary classification (Task A) and 4.1 points for fine-grained classification (Task C).</v>
      </c>
      <c r="D2438" s="7" t="str">
        <f>IFERROR(__xludf.DUMMYFUNCTION("""COMPUTED_VALUE"""),"Gabriele Pergola")</f>
        <v>Gabriele Pergola</v>
      </c>
      <c r="E2438" s="7" t="str">
        <f>IFERROR(__xludf.DUMMYFUNCTION("""COMPUTED_VALUE"""),"Yes")</f>
        <v>Yes</v>
      </c>
      <c r="F2438" s="7" t="str">
        <f>IFERROR(__xludf.DUMMYFUNCTION("""COMPUTED_VALUE"""),"IP-Oral")</f>
        <v>IP-Oral</v>
      </c>
      <c r="G2438" s="7" t="str">
        <f>IFERROR(__xludf.DUMMYFUNCTION("""COMPUTED_VALUE"""),"In-Person")</f>
        <v>In-Person</v>
      </c>
      <c r="H2438" s="7" t="str">
        <f>IFERROR(__xludf.DUMMYFUNCTION("""COMPUTED_VALUE"""),"Hall B")</f>
        <v>Hall B</v>
      </c>
      <c r="I2438" s="7" t="str">
        <f>IFERROR(__xludf.DUMMYFUNCTION("""COMPUTED_VALUE"""),"Session 3: IP-Orals")</f>
        <v>Session 3: IP-Orals</v>
      </c>
      <c r="J2438" s="7" t="str">
        <f>IFERROR(__xludf.DUMMYFUNCTION("""COMPUTED_VALUE"""),"NLP Applications 1")</f>
        <v>NLP Applications 1</v>
      </c>
      <c r="K2438" s="7"/>
      <c r="L2438" s="8">
        <f>IFERROR(__xludf.DUMMYFUNCTION("""COMPUTED_VALUE"""),45866.0)</f>
        <v>45866</v>
      </c>
      <c r="M2438" s="7" t="str">
        <f>IFERROR(__xludf.DUMMYFUNCTION("""COMPUTED_VALUE"""),"14:00-15:30")</f>
        <v>14:00-15:30</v>
      </c>
      <c r="N2438" s="7">
        <f>IFERROR(__xludf.DUMMYFUNCTION("""COMPUTED_VALUE"""),4.0)</f>
        <v>4</v>
      </c>
    </row>
    <row r="2439">
      <c r="A2439" s="7" t="str">
        <f>IFERROR(__xludf.DUMMYFUNCTION("""COMPUTED_VALUE"""),"2065-MAIN")</f>
        <v>2065-MAIN</v>
      </c>
      <c r="B2439" s="7" t="str">
        <f>IFERROR(__xludf.DUMMYFUNCTION("""COMPUTED_VALUE"""),"Private Memorization Editing: Turning Memorization into a Defense to Strengthen Data Privacy in Large Language Models")</f>
        <v>Private Memorization Editing: Turning Memorization into a Defense to Strengthen Data Privacy in Large Language Models</v>
      </c>
      <c r="C2439" s="7" t="str">
        <f>IFERROR(__xludf.DUMMYFUNCTION("""COMPUTED_VALUE"""),"Large Language Models (LLMs) memorize, and thus, among huge amounts of uncontrolled data, may memorize Personally Identifiable Information (PII), which should not be stored and, consequently, not leaked. In this paper, we introduce Private Memorization Ed"&amp;"iting (PME), an approach for preventing private data leakage that turns an apparent limitation, that is, the LLMs' memorization ability, into a powerful privacy defense strategy. While attacks against LLMs have been performed exploiting previous knowledge"&amp;" regarding their training data, our approach aims to exploit the same kind of knowledge in order to make a model more robust. We detect a memorized PII and then mitigate the memorization of PII by editing a model knowledge of its training data. We verify "&amp;"that our procedure does not affect the underlying language model while making it more robust against privacy Training Data Extraction attacks. We demonstrate that PME can effectively reduce the number of leaked PII in a number of configurations, in some c"&amp;"ases even reducing the accuracy of the privacy attacks to zero.")</f>
        <v>Large Language Models (LLMs) memorize, and thus, among huge amounts of uncontrolled data, may memorize Personally Identifiable Information (PII), which should not be stored and, consequently, not leaked. In this paper, we introduce Private Memorization Editing (PME), an approach for preventing private data leakage that turns an apparent limitation, that is, the LLMs' memorization ability, into a powerful privacy defense strategy. While attacks against LLMs have been performed exploiting previous knowledge regarding their training data, our approach aims to exploit the same kind of knowledge in order to make a model more robust. We detect a memorized PII and then mitigate the memorization of PII by editing a model knowledge of its training data. We verify that our procedure does not affect the underlying language model while making it more robust against privacy Training Data Extraction attacks. We demonstrate that PME can effectively reduce the number of leaked PII in a number of configurations, in some cases even reducing the accuracy of the privacy attacks to zero.</v>
      </c>
      <c r="D2439" s="7" t="str">
        <f>IFERROR(__xludf.DUMMYFUNCTION("""COMPUTED_VALUE"""),"Elena Sofia Ruzzetti")</f>
        <v>Elena Sofia Ruzzetti</v>
      </c>
      <c r="E2439" s="7" t="str">
        <f>IFERROR(__xludf.DUMMYFUNCTION("""COMPUTED_VALUE"""),"Yes")</f>
        <v>Yes</v>
      </c>
      <c r="F2439" s="7" t="str">
        <f>IFERROR(__xludf.DUMMYFUNCTION("""COMPUTED_VALUE"""),"IP-Poster")</f>
        <v>IP-Poster</v>
      </c>
      <c r="G2439" s="7" t="str">
        <f>IFERROR(__xludf.DUMMYFUNCTION("""COMPUTED_VALUE"""),"In-Person")</f>
        <v>In-Person</v>
      </c>
      <c r="H2439" s="7" t="str">
        <f>IFERROR(__xludf.DUMMYFUNCTION("""COMPUTED_VALUE"""),"Hall 4/5")</f>
        <v>Hall 4/5</v>
      </c>
      <c r="I2439" s="7" t="str">
        <f>IFERROR(__xludf.DUMMYFUNCTION("""COMPUTED_VALUE"""),"Session 7: IP-Posters")</f>
        <v>Session 7: IP-Posters</v>
      </c>
      <c r="J2439" s="7" t="str">
        <f>IFERROR(__xludf.DUMMYFUNCTION("""COMPUTED_VALUE"""),"Poster Session 2")</f>
        <v>Poster Session 2</v>
      </c>
      <c r="K2439" s="7"/>
      <c r="L2439" s="8">
        <f>IFERROR(__xludf.DUMMYFUNCTION("""COMPUTED_VALUE"""),45867.0)</f>
        <v>45867</v>
      </c>
      <c r="M2439" s="7" t="str">
        <f>IFERROR(__xludf.DUMMYFUNCTION("""COMPUTED_VALUE"""),"10:30-12:00")</f>
        <v>10:30-12:00</v>
      </c>
      <c r="N2439" s="7"/>
    </row>
    <row r="2440">
      <c r="A2440" s="7" t="str">
        <f>IFERROR(__xludf.DUMMYFUNCTION("""COMPUTED_VALUE"""),"2066-MAIN")</f>
        <v>2066-MAIN</v>
      </c>
      <c r="B2440" s="7" t="str">
        <f>IFERROR(__xludf.DUMMYFUNCTION("""COMPUTED_VALUE"""),"PhysReason: A Comprehensive Benchmark towards Physics-Based Reasoning")</f>
        <v>PhysReason: A Comprehensive Benchmark towards Physics-Based Reasoning</v>
      </c>
      <c r="C2440" s="7" t="str">
        <f>IFERROR(__xludf.DUMMYFUNCTION("""COMPUTED_VALUE"""),"Large language models demonstrate remarkable capabilities across various domains, especially mathematics and logic reasoning. However, current evaluations overlook physics-based reasoning - a complex task requiring physics theorems and constraints. We pre"&amp;"sent PhysReason, a 1,200-problem benchmark comprising knowledge-based (25%) and reasoning-based (75%) problems, where the latter are divided into three difficulty levels (easy, medium, hard). Notably, problems require an average of 8.1 solution steps, wit"&amp;"h hard requiring 15.6, reflecting the complexity of physics-based reasoning. We propose the Physics Solution Auto Scoring Framework, incorporating efficient answer-level and comprehensive step-level evaluations. Top-performing models like Deepseek-R1, Gem"&amp;"ini-2.0-Flash-Thinking, and o3-mini-high achieve less than 60% on answer-level evaluation, with performance dropping from knowledge questions (75.11%) to hard problems (31.95%). Through step-level evaluation, we identified four key bottlenecks: Physics Th"&amp;"eorem Application, Physics Process Understanding, Calculation, and Physics Condition Analysis. These findings position PhysReason as a novel and comprehensive benchmark for evaluating physics-based reasoning capabilities in large language models.")</f>
        <v>Large language models demonstrate remarkable capabilities across various domains, especially mathematics and logic reasoning. However, current evaluations overlook physics-based reasoning - a complex task requiring physics theorems and constraints. We present PhysReason, a 1,200-problem benchmark comprising knowledge-based (25%) and reasoning-based (75%) problems, where the latter are divided into three difficulty levels (easy, medium, hard). Notably, problems require an average of 8.1 solution steps, with hard requiring 15.6, reflecting the complexity of physics-based reasoning. We propose the Physics Solution Auto Scoring Framework, incorporating efficient answer-level and comprehensive step-level evaluations. Top-performing models like Deepseek-R1, Gemini-2.0-Flash-Thinking, and o3-mini-high achieve less than 60% on answer-level evaluation, with performance dropping from knowledge questions (75.11%) to hard problems (31.95%). Through step-level evaluation, we identified four key bottlenecks: Physics Theorem Application, Physics Process Understanding, Calculation, and Physics Condition Analysis. These findings position PhysReason as a novel and comprehensive benchmark for evaluating physics-based reasoning capabilities in large language models.</v>
      </c>
      <c r="D2440" s="7" t="str">
        <f>IFERROR(__xludf.DUMMYFUNCTION("""COMPUTED_VALUE"""),"Xinyu Zhang")</f>
        <v>Xinyu Zhang</v>
      </c>
      <c r="E2440" s="7" t="str">
        <f>IFERROR(__xludf.DUMMYFUNCTION("""COMPUTED_VALUE"""),"Yes")</f>
        <v>Yes</v>
      </c>
      <c r="F2440" s="7" t="str">
        <f>IFERROR(__xludf.DUMMYFUNCTION("""COMPUTED_VALUE"""),"IP-Poster")</f>
        <v>IP-Poster</v>
      </c>
      <c r="G2440" s="7" t="str">
        <f>IFERROR(__xludf.DUMMYFUNCTION("""COMPUTED_VALUE"""),"In-Person")</f>
        <v>In-Person</v>
      </c>
      <c r="H2440" s="7" t="str">
        <f>IFERROR(__xludf.DUMMYFUNCTION("""COMPUTED_VALUE"""),"Hall 4/5")</f>
        <v>Hall 4/5</v>
      </c>
      <c r="I2440" s="7" t="str">
        <f>IFERROR(__xludf.DUMMYFUNCTION("""COMPUTED_VALUE"""),"Session 12: IP-Posters")</f>
        <v>Session 12: IP-Posters</v>
      </c>
      <c r="J2440" s="7" t="str">
        <f>IFERROR(__xludf.DUMMYFUNCTION("""COMPUTED_VALUE"""),"Poster Session 4")</f>
        <v>Poster Session 4</v>
      </c>
      <c r="K2440" s="7"/>
      <c r="L2440" s="8">
        <f>IFERROR(__xludf.DUMMYFUNCTION("""COMPUTED_VALUE"""),45868.0)</f>
        <v>45868</v>
      </c>
      <c r="M2440" s="7" t="str">
        <f>IFERROR(__xludf.DUMMYFUNCTION("""COMPUTED_VALUE"""),"11:00-12:30")</f>
        <v>11:00-12:30</v>
      </c>
      <c r="N2440" s="7"/>
    </row>
    <row r="2441">
      <c r="A2441" s="7" t="str">
        <f>IFERROR(__xludf.DUMMYFUNCTION("""COMPUTED_VALUE"""),"2067-MAIN")</f>
        <v>2067-MAIN</v>
      </c>
      <c r="B2441" s="7" t="str">
        <f>IFERROR(__xludf.DUMMYFUNCTION("""COMPUTED_VALUE"""),"Does Time Have Its Place? Temporal Heads: Where Language Models Recall Time-specific Information")</f>
        <v>Does Time Have Its Place? Temporal Heads: Where Language Models Recall Time-specific Information</v>
      </c>
      <c r="C2441" s="7" t="str">
        <f>IFERROR(__xludf.DUMMYFUNCTION("""COMPUTED_VALUE"""),"While the ability of language models to elicit facts has been widely investigated, how they handle temporally changing facts remains underexplored. We discover Temporal Heads, specific attention heads that primarily handle temporal knowledge, through circ"&amp;"uit analysis. We confirm that these heads are present across multiple models, though their specific locations may vary, and their responses differ depending on the type of knowledge and its corresponding years. Disabling these heads degrades the model's a"&amp;"bility to recall time-specific knowledge while maintaining its general capabilities without compromising time-invariant and question-answering performances. Moreover, the heads are activated not only numeric conditions (“In 2004”) but also textual aliases"&amp;" (“In the year ...”), indicating that they encode a temporal dimension beyond simple numerical representation. Furthermore, we expand the potential of our findings by demonstrating how temporal knowledge can be edited by adjusting the values of these head"&amp;"s.")</f>
        <v>While the ability of language models to elicit facts has been widely investigated, how they handle temporally changing facts remains underexplored. We discover Temporal Heads, specific attention heads that primarily handle temporal knowledge, through circuit analysis. We confirm that these heads are present across multiple models, though their specific locations may vary, and their responses differ depending on the type of knowledge and its corresponding years. Disabling these heads degrades the model's ability to recall time-specific knowledge while maintaining its general capabilities without compromising time-invariant and question-answering performances. Moreover, the heads are activated not only numeric conditions (“In 2004”) but also textual aliases (“In the year ...”), indicating that they encode a temporal dimension beyond simple numerical representation. Furthermore, we expand the potential of our findings by demonstrating how temporal knowledge can be edited by adjusting the values of these heads.</v>
      </c>
      <c r="D2441" s="7" t="str">
        <f>IFERROR(__xludf.DUMMYFUNCTION("""COMPUTED_VALUE"""),"Yein Park")</f>
        <v>Yein Park</v>
      </c>
      <c r="E2441" s="7" t="str">
        <f>IFERROR(__xludf.DUMMYFUNCTION("""COMPUTED_VALUE"""),"Yes")</f>
        <v>Yes</v>
      </c>
      <c r="F2441" s="7" t="str">
        <f>IFERROR(__xludf.DUMMYFUNCTION("""COMPUTED_VALUE"""),"IP-Poster")</f>
        <v>IP-Poster</v>
      </c>
      <c r="G2441" s="7" t="str">
        <f>IFERROR(__xludf.DUMMYFUNCTION("""COMPUTED_VALUE"""),"In-Person")</f>
        <v>In-Person</v>
      </c>
      <c r="H2441" s="7" t="str">
        <f>IFERROR(__xludf.DUMMYFUNCTION("""COMPUTED_VALUE"""),"Hall 4/5")</f>
        <v>Hall 4/5</v>
      </c>
      <c r="I2441" s="7" t="str">
        <f>IFERROR(__xludf.DUMMYFUNCTION("""COMPUTED_VALUE"""),"Session 7: IP-Posters")</f>
        <v>Session 7: IP-Posters</v>
      </c>
      <c r="J2441" s="7" t="str">
        <f>IFERROR(__xludf.DUMMYFUNCTION("""COMPUTED_VALUE"""),"Poster Session 2")</f>
        <v>Poster Session 2</v>
      </c>
      <c r="K2441" s="7"/>
      <c r="L2441" s="8">
        <f>IFERROR(__xludf.DUMMYFUNCTION("""COMPUTED_VALUE"""),45867.0)</f>
        <v>45867</v>
      </c>
      <c r="M2441" s="7" t="str">
        <f>IFERROR(__xludf.DUMMYFUNCTION("""COMPUTED_VALUE"""),"10:30-12:00")</f>
        <v>10:30-12:00</v>
      </c>
      <c r="N2441" s="7"/>
    </row>
    <row r="2442">
      <c r="A2442" s="7" t="str">
        <f>IFERROR(__xludf.DUMMYFUNCTION("""COMPUTED_VALUE"""),"2069-MAIN")</f>
        <v>2069-MAIN</v>
      </c>
      <c r="B2442" s="7" t="str">
        <f>IFERROR(__xludf.DUMMYFUNCTION("""COMPUTED_VALUE"""),"Velocitune: A Velocity-based Dynamic Domain Reweighting Method for Continual Pre-training")</f>
        <v>Velocitune: A Velocity-based Dynamic Domain Reweighting Method for Continual Pre-training</v>
      </c>
      <c r="C2442" s="7" t="str">
        <f>IFERROR(__xludf.DUMMYFUNCTION("""COMPUTED_VALUE"""),"It is well-known that a diverse corpus is critical for training large language models, which are typically constructed from a mixture of various domains. In general, previous efforts resort to either sampling training data from different domains with stat"&amp;"ic proportions or dynamically adjusting these proportions during training to optimise pretraining performance. However, few methods addressed the complexities of domain-adaptive continual pre-training. To fill this gap, we propose Velocitune, a novel fram"&amp;"ework that dynamically assesses learning velocity and adjusts data proportions accordingly, favouring slower learning domains while de-emphasising faster learning ones, which is guided by a scaling law to estimate the desired learning goal for each domain"&amp;" with a less associated cost. To evaluate the effectiveness of Velocitune, we conduct experiments on a dataset focused on reasoning tasks with CodeLlama, as well as on a corpus of system commands using Llama3 and Mistral. Velocitune achieves performance g"&amp;"ains in both math and code reasoning tasks and command-line generation benchmarks. Further analysis reveals that key factors driving Velocitune's effectiveness include target estimation and data ordering.")</f>
        <v>It is well-known that a diverse corpus is critical for training large language models, which are typically constructed from a mixture of various domains. In general, previous efforts resort to either sampling training data from different domains with static proportions or dynamically adjusting these proportions during training to optimise pretraining performance. However, few methods addressed the complexities of domain-adaptive continual pre-training. To fill this gap, we propose Velocitune, a novel framework that dynamically assesses learning velocity and adjusts data proportions accordingly, favouring slower learning domains while de-emphasising faster learning ones, which is guided by a scaling law to estimate the desired learning goal for each domain with a less associated cost. To evaluate the effectiveness of Velocitune, we conduct experiments on a dataset focused on reasoning tasks with CodeLlama, as well as on a corpus of system commands using Llama3 and Mistral. Velocitune achieves performance gains in both math and code reasoning tasks and command-line generation benchmarks. Further analysis reveals that key factors driving Velocitune's effectiveness include target estimation and data ordering.</v>
      </c>
      <c r="D2442" s="7" t="str">
        <f>IFERROR(__xludf.DUMMYFUNCTION("""COMPUTED_VALUE"""),"Zheheng Luo")</f>
        <v>Zheheng Luo</v>
      </c>
      <c r="E2442" s="7" t="str">
        <f>IFERROR(__xludf.DUMMYFUNCTION("""COMPUTED_VALUE"""),"Yes")</f>
        <v>Yes</v>
      </c>
      <c r="F2442" s="7" t="str">
        <f>IFERROR(__xludf.DUMMYFUNCTION("""COMPUTED_VALUE"""),"V-Presentation")</f>
        <v>V-Presentation</v>
      </c>
      <c r="G2442" s="7" t="str">
        <f>IFERROR(__xludf.DUMMYFUNCTION("""COMPUTED_VALUE"""),"Virtual/Gather")</f>
        <v>Virtual/Gather</v>
      </c>
      <c r="H2442" s="7" t="str">
        <f>IFERROR(__xludf.DUMMYFUNCTION("""COMPUTED_VALUE"""),"Zoom")</f>
        <v>Zoom</v>
      </c>
      <c r="I2442" s="7" t="str">
        <f>IFERROR(__xludf.DUMMYFUNCTION("""COMPUTED_VALUE"""),"Session 2: V-Presentations")</f>
        <v>Session 2: V-Presentations</v>
      </c>
      <c r="J2442" s="7" t="str">
        <f>IFERROR(__xludf.DUMMYFUNCTION("""COMPUTED_VALUE"""),"Virtual Presentations 1")</f>
        <v>Virtual Presentations 1</v>
      </c>
      <c r="K2442" s="7"/>
      <c r="L2442" s="8">
        <f>IFERROR(__xludf.DUMMYFUNCTION("""COMPUTED_VALUE"""),45866.0)</f>
        <v>45866</v>
      </c>
      <c r="M2442" s="7" t="str">
        <f>IFERROR(__xludf.DUMMYFUNCTION("""COMPUTED_VALUE"""),"11:00-12:30")</f>
        <v>11:00-12:30</v>
      </c>
      <c r="N2442" s="7"/>
    </row>
    <row r="2443">
      <c r="A2443" s="7" t="str">
        <f>IFERROR(__xludf.DUMMYFUNCTION("""COMPUTED_VALUE"""),"2070-MAIN")</f>
        <v>2070-MAIN</v>
      </c>
      <c r="B2443" s="7" t="str">
        <f>IFERROR(__xludf.DUMMYFUNCTION("""COMPUTED_VALUE"""),"Sheep's Skin, Wolf's Deeds: Are LLMs Ready for Metaphorical Implicit Hate Speech?")</f>
        <v>Sheep's Skin, Wolf's Deeds: Are LLMs Ready for Metaphorical Implicit Hate Speech?</v>
      </c>
      <c r="C2443" s="7" t="str">
        <f>IFERROR(__xludf.DUMMYFUNCTION("""COMPUTED_VALUE"""),"Implicit hate speech has become a significant challenge for online platforms, as it often avoids detection by large language models (LLMs) due to its indirectly expressed hateful intent. This study identifies the limitations of LLMs in detecting implicit "&amp;"hate speech, particularly when disguised as seemingly harmless expressions in a rhetorical device. To address this challenge, we employ a Jailbreaking strategy and Energy-based Constrained Decoding techniques, and design a small model for measuring the en"&amp;"ergy of metaphorical rhetoric. This approach can lead to LLMs generating metaphorical implicit hate speech. Our research reveals that advanced LLMs, like GPT-4o, frequently misinterpret metaphorical implicit hate speech, and fail to prevent its propagatio"&amp;"n effectively. Even specialized models, like ShieldGemma and LlamaGuard, demonstrate inadequacies in blocking such content, often misclassifying it as harmless speech. This work points out the vulnerability of current LLMs to implicit hate speech, and emp"&amp;"hasizes the improvements to address hate speech threats better.")</f>
        <v>Implicit hate speech has become a significant challenge for online platforms, as it often avoids detection by large language models (LLMs) due to its indirectly expressed hateful intent. This study identifies the limitations of LLMs in detecting implicit hate speech, particularly when disguised as seemingly harmless expressions in a rhetorical device. To address this challenge, we employ a Jailbreaking strategy and Energy-based Constrained Decoding techniques, and design a small model for measuring the energy of metaphorical rhetoric. This approach can lead to LLMs generating metaphorical implicit hate speech. Our research reveals that advanced LLMs, like GPT-4o, frequently misinterpret metaphorical implicit hate speech, and fail to prevent its propagation effectively. Even specialized models, like ShieldGemma and LlamaGuard, demonstrate inadequacies in blocking such content, often misclassifying it as harmless speech. This work points out the vulnerability of current LLMs to implicit hate speech, and emphasizes the improvements to address hate speech threats better.</v>
      </c>
      <c r="D2443" s="7" t="str">
        <f>IFERROR(__xludf.DUMMYFUNCTION("""COMPUTED_VALUE"""),"Jingjie Zeng")</f>
        <v>Jingjie Zeng</v>
      </c>
      <c r="E2443" s="7" t="str">
        <f>IFERROR(__xludf.DUMMYFUNCTION("""COMPUTED_VALUE"""),"Yes")</f>
        <v>Yes</v>
      </c>
      <c r="F2443" s="7" t="str">
        <f>IFERROR(__xludf.DUMMYFUNCTION("""COMPUTED_VALUE"""),"IP-Oral")</f>
        <v>IP-Oral</v>
      </c>
      <c r="G2443" s="7" t="str">
        <f>IFERROR(__xludf.DUMMYFUNCTION("""COMPUTED_VALUE"""),"In-Person")</f>
        <v>In-Person</v>
      </c>
      <c r="H2443" s="7" t="str">
        <f>IFERROR(__xludf.DUMMYFUNCTION("""COMPUTED_VALUE"""),"Room 1.62")</f>
        <v>Room 1.62</v>
      </c>
      <c r="I2443" s="7" t="str">
        <f>IFERROR(__xludf.DUMMYFUNCTION("""COMPUTED_VALUE"""),"Session 9: IP-Orals")</f>
        <v>Session 9: IP-Orals</v>
      </c>
      <c r="J2443" s="7" t="str">
        <f>IFERROR(__xludf.DUMMYFUNCTION("""COMPUTED_VALUE"""),"Sentiment, Style and Argumentation Analysis")</f>
        <v>Sentiment, Style and Argumentation Analysis</v>
      </c>
      <c r="K2443" s="7"/>
      <c r="L2443" s="8">
        <f>IFERROR(__xludf.DUMMYFUNCTION("""COMPUTED_VALUE"""),45867.0)</f>
        <v>45867</v>
      </c>
      <c r="M2443" s="7" t="str">
        <f>IFERROR(__xludf.DUMMYFUNCTION("""COMPUTED_VALUE"""),"14:00-15:30")</f>
        <v>14:00-15:30</v>
      </c>
      <c r="N2443" s="7">
        <f>IFERROR(__xludf.DUMMYFUNCTION("""COMPUTED_VALUE"""),5.0)</f>
        <v>5</v>
      </c>
    </row>
    <row r="2444">
      <c r="A2444" s="7" t="str">
        <f>IFERROR(__xludf.DUMMYFUNCTION("""COMPUTED_VALUE"""),"2072-MAIN")</f>
        <v>2072-MAIN</v>
      </c>
      <c r="B2444" s="7" t="str">
        <f>IFERROR(__xludf.DUMMYFUNCTION("""COMPUTED_VALUE"""),"Neuron-Level Sequential Editing for Large Language Models")</f>
        <v>Neuron-Level Sequential Editing for Large Language Models</v>
      </c>
      <c r="C2444" s="7" t="str">
        <f>IFERROR(__xludf.DUMMYFUNCTION("""COMPUTED_VALUE"""),"This work explores sequential model editing in large language models (LLMs), a critical task that involves modifying internal knowledge within LLMs continuously through multi-round editing, each incorporating updates or corrections to adjust the model’s o"&amp;"utputs without the need for costly retraining. Existing model editing methods, especially those that alter model parameters, typically focus on single-round editing and often face significant challenges in sequential model editing-most notably issues of m"&amp;"odel forgetting and failure. To address these challenges, we introduce a new model editing method, namely \textbf{N}euron-level \textbf{S}equential \textbf{E}diting (NSE), tailored for supporting sequential model editing. Specifically, we optimize the tar"&amp;"get layer's hidden states using the model's original weights to prevent model failure. Furthermore, we iteratively select neurons in multiple layers for editing based on their activation values to mitigate model forgetting. Our empirical experiments demon"&amp;"strate that NSE significantly outperforms current modifying parameters model editing methods, marking a substantial advancement in the field of sequential model editing. Our code is released on \url{https://anonymous.4open.science/r/NSE-0A8D/}.")</f>
        <v>This work explores sequential model editing in large language models (LLMs), a critical task that involves modifying internal knowledge within LLMs continuously through multi-round editing, each incorporating updates or corrections to adjust the model’s outputs without the need for costly retraining. Existing model editing methods, especially those that alter model parameters, typically focus on single-round editing and often face significant challenges in sequential model editing-most notably issues of model forgetting and failure. To address these challenges, we introduce a new model editing method, namely \textbf{N}euron-level \textbf{S}equential \textbf{E}diting (NSE), tailored for supporting sequential model editing. Specifically, we optimize the target layer's hidden states using the model's original weights to prevent model failure. Furthermore, we iteratively select neurons in multiple layers for editing based on their activation values to mitigate model forgetting. Our empirical experiments demonstrate that NSE significantly outperforms current modifying parameters model editing methods, marking a substantial advancement in the field of sequential model editing. Our code is released on \url{https://anonymous.4open.science/r/NSE-0A8D/}.</v>
      </c>
      <c r="D2444" s="7" t="str">
        <f>IFERROR(__xludf.DUMMYFUNCTION("""COMPUTED_VALUE"""),"Houcheng Jiang")</f>
        <v>Houcheng Jiang</v>
      </c>
      <c r="E2444" s="7" t="str">
        <f>IFERROR(__xludf.DUMMYFUNCTION("""COMPUTED_VALUE"""),"Yes")</f>
        <v>Yes</v>
      </c>
      <c r="F2444" s="7" t="str">
        <f>IFERROR(__xludf.DUMMYFUNCTION("""COMPUTED_VALUE"""),"IP-Poster")</f>
        <v>IP-Poster</v>
      </c>
      <c r="G2444" s="7" t="str">
        <f>IFERROR(__xludf.DUMMYFUNCTION("""COMPUTED_VALUE"""),"In-Person")</f>
        <v>In-Person</v>
      </c>
      <c r="H2444" s="7" t="str">
        <f>IFERROR(__xludf.DUMMYFUNCTION("""COMPUTED_VALUE"""),"Hall 4/5")</f>
        <v>Hall 4/5</v>
      </c>
      <c r="I2444" s="7" t="str">
        <f>IFERROR(__xludf.DUMMYFUNCTION("""COMPUTED_VALUE"""),"Session 12: IP-Posters")</f>
        <v>Session 12: IP-Posters</v>
      </c>
      <c r="J2444" s="7" t="str">
        <f>IFERROR(__xludf.DUMMYFUNCTION("""COMPUTED_VALUE"""),"Poster Session 4")</f>
        <v>Poster Session 4</v>
      </c>
      <c r="K2444" s="7"/>
      <c r="L2444" s="8">
        <f>IFERROR(__xludf.DUMMYFUNCTION("""COMPUTED_VALUE"""),45868.0)</f>
        <v>45868</v>
      </c>
      <c r="M2444" s="7" t="str">
        <f>IFERROR(__xludf.DUMMYFUNCTION("""COMPUTED_VALUE"""),"11:00-12:30")</f>
        <v>11:00-12:30</v>
      </c>
      <c r="N2444" s="7"/>
    </row>
    <row r="2445">
      <c r="A2445" s="7" t="str">
        <f>IFERROR(__xludf.DUMMYFUNCTION("""COMPUTED_VALUE"""),"2077-MAIN")</f>
        <v>2077-MAIN</v>
      </c>
      <c r="B2445" s="7" t="str">
        <f>IFERROR(__xludf.DUMMYFUNCTION("""COMPUTED_VALUE"""),"Automatic Expert Discovery in LLM Upcycling via Sparse Interpolated Mixture-of-Experts")</f>
        <v>Automatic Expert Discovery in LLM Upcycling via Sparse Interpolated Mixture-of-Experts</v>
      </c>
      <c r="C2445" s="7" t="str">
        <f>IFERROR(__xludf.DUMMYFUNCTION("""COMPUTED_VALUE"""),"We present Sparse Interpolated Mixture-of-Experts (SIMoE) instruction-tuning, an end-to-end algorithm designed to fine-tune a dense pre-trained Large Language Model (LLM) into a MoE-style model that possesses capabilities in multiple specialized domains. "&amp;"During instruction-tuning, SIMoE automatically identifies multiple specialized experts under a specified sparsity constraint, with each expert representing a structurally sparse subset of the seed LLM's parameters that correspond to domain-specific knowle"&amp;"dge within the data. SIMoE simultaneously learns an input-dependent expert merging strategy via a router network, leveraging rich cross-expert knowledge for superior downstream generalization that surpasses existing baselines. Empirically, SIMoE consisten"&amp;"tly achieves state-of-the-art performance on common instruction-tuning benchmarks while maintaining an optimal performance-compute trade-off compared to all baselines.")</f>
        <v>We present Sparse Interpolated Mixture-of-Experts (SIMoE) instruction-tuning, an end-to-end algorithm designed to fine-tune a dense pre-trained Large Language Model (LLM) into a MoE-style model that possesses capabilities in multiple specialized domains. During instruction-tuning, SIMoE automatically identifies multiple specialized experts under a specified sparsity constraint, with each expert representing a structurally sparse subset of the seed LLM's parameters that correspond to domain-specific knowledge within the data. SIMoE simultaneously learns an input-dependent expert merging strategy via a router network, leveraging rich cross-expert knowledge for superior downstream generalization that surpasses existing baselines. Empirically, SIMoE consistently achieves state-of-the-art performance on common instruction-tuning benchmarks while maintaining an optimal performance-compute trade-off compared to all baselines.</v>
      </c>
      <c r="D2445" s="7" t="str">
        <f>IFERROR(__xludf.DUMMYFUNCTION("""COMPUTED_VALUE"""),"Shengzhuang Chen")</f>
        <v>Shengzhuang Chen</v>
      </c>
      <c r="E2445" s="7" t="str">
        <f>IFERROR(__xludf.DUMMYFUNCTION("""COMPUTED_VALUE"""),"Yes")</f>
        <v>Yes</v>
      </c>
      <c r="F2445" s="7" t="str">
        <f>IFERROR(__xludf.DUMMYFUNCTION("""COMPUTED_VALUE"""),"IP-Oral")</f>
        <v>IP-Oral</v>
      </c>
      <c r="G2445" s="7" t="str">
        <f>IFERROR(__xludf.DUMMYFUNCTION("""COMPUTED_VALUE"""),"In-Person")</f>
        <v>In-Person</v>
      </c>
      <c r="H2445" s="7" t="str">
        <f>IFERROR(__xludf.DUMMYFUNCTION("""COMPUTED_VALUE"""),"Room 1.61")</f>
        <v>Room 1.61</v>
      </c>
      <c r="I2445" s="7" t="str">
        <f>IFERROR(__xludf.DUMMYFUNCTION("""COMPUTED_VALUE"""),"Session 11: IP-Orals ")</f>
        <v>Session 11: IP-Orals </v>
      </c>
      <c r="J2445" s="7" t="str">
        <f>IFERROR(__xludf.DUMMYFUNCTION("""COMPUTED_VALUE"""),"Machine Learning for NLP")</f>
        <v>Machine Learning for NLP</v>
      </c>
      <c r="K2445" s="7"/>
      <c r="L2445" s="8">
        <f>IFERROR(__xludf.DUMMYFUNCTION("""COMPUTED_VALUE"""),45868.0)</f>
        <v>45868</v>
      </c>
      <c r="M2445" s="7" t="str">
        <f>IFERROR(__xludf.DUMMYFUNCTION("""COMPUTED_VALUE"""),"09:00-10:30")</f>
        <v>09:00-10:30</v>
      </c>
      <c r="N2445" s="7">
        <f>IFERROR(__xludf.DUMMYFUNCTION("""COMPUTED_VALUE"""),3.0)</f>
        <v>3</v>
      </c>
    </row>
    <row r="2446">
      <c r="A2446" s="7" t="str">
        <f>IFERROR(__xludf.DUMMYFUNCTION("""COMPUTED_VALUE"""),"2080-MAIN")</f>
        <v>2080-MAIN</v>
      </c>
      <c r="B2446" s="7" t="str">
        <f>IFERROR(__xludf.DUMMYFUNCTION("""COMPUTED_VALUE"""),"SimulS2S-LLM: Unlocking Simultaneous Inference of Speech LLMs for Speech-to-Speech Translation")</f>
        <v>SimulS2S-LLM: Unlocking Simultaneous Inference of Speech LLMs for Speech-to-Speech Translation</v>
      </c>
      <c r="C2446" s="7" t="str">
        <f>IFERROR(__xludf.DUMMYFUNCTION("""COMPUTED_VALUE"""),"Simultaneous speech translation (SST) outputs translations in parallel with streaming speech input, balancing translation quality and latency. While large language models (LLMs) have been extended to handle the speech modality, streaming remains challengi"&amp;"ng as speech is pre-pended as a prompt for the entire generation process. To unlock LLM streaming capability, this paper proposes SimulS2S-LLM, which trains speech LLMs offline and employs a test-time policy to guide simultaneous inference. SimulS2S-LLM a"&amp;"lleviates the mismatch between training and inference by extracting boundary-aware speech prompts that allows it to be better matched with text input data. SimulS2S-LLM achieves simultaneous speech-to-speech translation (Simul-S2ST) by predicting discrete"&amp;" output speech tokens and then synthesising output speech using a pre-trained vocoder. An incremental beam search is designed to expand the search space of speech token prediction without increasing latency. Experiments on the CVSS speech data show that S"&amp;"imulS2S-LLM offers a better translation quality-latency trade-off than existing methods that use the same training data, such as improving ASR-BLEU scores by 3 points at similar latency.")</f>
        <v>Simultaneous speech translation (SST) outputs translations in parallel with streaming speech input, balancing translation quality and latency. While large language models (LLMs) have been extended to handle the speech modality, streaming remains challenging as speech is pre-pended as a prompt for the entire generation process. To unlock LLM streaming capability, this paper proposes SimulS2S-LLM, which trains speech LLMs offline and employs a test-time policy to guide simultaneous inference. SimulS2S-LLM alleviates the mismatch between training and inference by extracting boundary-aware speech prompts that allows it to be better matched with text input data. SimulS2S-LLM achieves simultaneous speech-to-speech translation (Simul-S2ST) by predicting discrete output speech tokens and then synthesising output speech using a pre-trained vocoder. An incremental beam search is designed to expand the search space of speech token prediction without increasing latency. Experiments on the CVSS speech data show that SimulS2S-LLM offers a better translation quality-latency trade-off than existing methods that use the same training data, such as improving ASR-BLEU scores by 3 points at similar latency.</v>
      </c>
      <c r="D2446" s="7" t="str">
        <f>IFERROR(__xludf.DUMMYFUNCTION("""COMPUTED_VALUE"""),"Keqi Deng")</f>
        <v>Keqi Deng</v>
      </c>
      <c r="E2446" s="7" t="str">
        <f>IFERROR(__xludf.DUMMYFUNCTION("""COMPUTED_VALUE"""),"Yes")</f>
        <v>Yes</v>
      </c>
      <c r="F2446" s="7" t="str">
        <f>IFERROR(__xludf.DUMMYFUNCTION("""COMPUTED_VALUE"""),"IP-Poster")</f>
        <v>IP-Poster</v>
      </c>
      <c r="G2446" s="7" t="str">
        <f>IFERROR(__xludf.DUMMYFUNCTION("""COMPUTED_VALUE"""),"In-Person")</f>
        <v>In-Person</v>
      </c>
      <c r="H2446" s="7" t="str">
        <f>IFERROR(__xludf.DUMMYFUNCTION("""COMPUTED_VALUE"""),"Hall 4/5")</f>
        <v>Hall 4/5</v>
      </c>
      <c r="I2446" s="7" t="str">
        <f>IFERROR(__xludf.DUMMYFUNCTION("""COMPUTED_VALUE"""),"Session 2: IP-Posters ")</f>
        <v>Session 2: IP-Posters </v>
      </c>
      <c r="J2446" s="7" t="str">
        <f>IFERROR(__xludf.DUMMYFUNCTION("""COMPUTED_VALUE"""),"Poster Session 1")</f>
        <v>Poster Session 1</v>
      </c>
      <c r="K2446" s="7"/>
      <c r="L2446" s="8">
        <f>IFERROR(__xludf.DUMMYFUNCTION("""COMPUTED_VALUE"""),45866.0)</f>
        <v>45866</v>
      </c>
      <c r="M2446" s="7" t="str">
        <f>IFERROR(__xludf.DUMMYFUNCTION("""COMPUTED_VALUE"""),"11:00-12:30")</f>
        <v>11:00-12:30</v>
      </c>
      <c r="N2446" s="7"/>
    </row>
    <row r="2447">
      <c r="A2447" s="7" t="str">
        <f>IFERROR(__xludf.DUMMYFUNCTION("""COMPUTED_VALUE"""),"2082-MAIN")</f>
        <v>2082-MAIN</v>
      </c>
      <c r="B2447" s="7" t="str">
        <f>IFERROR(__xludf.DUMMYFUNCTION("""COMPUTED_VALUE"""),"VoxEval: Benchmarking the Knowledge Understanding Capabilities of End-to-End Spoken Language Models")</f>
        <v>VoxEval: Benchmarking the Knowledge Understanding Capabilities of End-to-End Spoken Language Models</v>
      </c>
      <c r="C2447" s="7" t="str">
        <f>IFERROR(__xludf.DUMMYFUNCTION("""COMPUTED_VALUE"""),"With the rising need for speech-based interaction models, end-to-end Spoken Language Models (SLMs) have emerged as a promising solution. While these models require comprehensive world knowledge for meaningful and reliable human interactions, existing ques"&amp;"tion-answering (QA) benchmarks fall short in evaluating SLMs' knowledge understanding due to their inability to support end-to-end speech evaluation and account for varied input audio conditions. To address these limitations, we present VoxEval, a novel S"&amp;"peechQA benchmark that assesses SLMs' knowledge understanding through pure speech interactions. Our benchmark uniquely maintains speech format for both inputs and outputs, evaluates model robustness across diverse input audio conditions, and pioneers the "&amp;"assessment of complex tasks like mathematical reasoning in spoken format. Through systematic evaluation, we demonstrate that current SLMs exhibit poor performance on VoxEval, show sensitivity to varying audio conditions, and possess limited reasoning capa"&amp;"bilities, highlighting critical areas for future development. VoxEval dataset is available at: https://github.com/dreamtheater123/VoxEval")</f>
        <v>With the rising need for speech-based interaction models, end-to-end Spoken Language Models (SLMs) have emerged as a promising solution. While these models require comprehensive world knowledge for meaningful and reliable human interactions, existing question-answering (QA) benchmarks fall short in evaluating SLMs' knowledge understanding due to their inability to support end-to-end speech evaluation and account for varied input audio conditions. To address these limitations, we present VoxEval, a novel SpeechQA benchmark that assesses SLMs' knowledge understanding through pure speech interactions. Our benchmark uniquely maintains speech format for both inputs and outputs, evaluates model robustness across diverse input audio conditions, and pioneers the assessment of complex tasks like mathematical reasoning in spoken format. Through systematic evaluation, we demonstrate that current SLMs exhibit poor performance on VoxEval, show sensitivity to varying audio conditions, and possess limited reasoning capabilities, highlighting critical areas for future development. VoxEval dataset is available at: https://github.com/dreamtheater123/VoxEval</v>
      </c>
      <c r="D2447" s="7" t="str">
        <f>IFERROR(__xludf.DUMMYFUNCTION("""COMPUTED_VALUE"""),"Wenqian Cui")</f>
        <v>Wenqian Cui</v>
      </c>
      <c r="E2447" s="7" t="str">
        <f>IFERROR(__xludf.DUMMYFUNCTION("""COMPUTED_VALUE"""),"Yes")</f>
        <v>Yes</v>
      </c>
      <c r="F2447" s="7" t="str">
        <f>IFERROR(__xludf.DUMMYFUNCTION("""COMPUTED_VALUE"""),"IP-Poster")</f>
        <v>IP-Poster</v>
      </c>
      <c r="G2447" s="7" t="str">
        <f>IFERROR(__xludf.DUMMYFUNCTION("""COMPUTED_VALUE"""),"In-Person")</f>
        <v>In-Person</v>
      </c>
      <c r="H2447" s="7" t="str">
        <f>IFERROR(__xludf.DUMMYFUNCTION("""COMPUTED_VALUE"""),"Hall 4/5")</f>
        <v>Hall 4/5</v>
      </c>
      <c r="I2447" s="7" t="str">
        <f>IFERROR(__xludf.DUMMYFUNCTION("""COMPUTED_VALUE"""),"Session 2: IP-Posters ")</f>
        <v>Session 2: IP-Posters </v>
      </c>
      <c r="J2447" s="7" t="str">
        <f>IFERROR(__xludf.DUMMYFUNCTION("""COMPUTED_VALUE"""),"Poster Session 1")</f>
        <v>Poster Session 1</v>
      </c>
      <c r="K2447" s="7"/>
      <c r="L2447" s="8">
        <f>IFERROR(__xludf.DUMMYFUNCTION("""COMPUTED_VALUE"""),45866.0)</f>
        <v>45866</v>
      </c>
      <c r="M2447" s="7" t="str">
        <f>IFERROR(__xludf.DUMMYFUNCTION("""COMPUTED_VALUE"""),"11:00-12:30")</f>
        <v>11:00-12:30</v>
      </c>
      <c r="N2447" s="7"/>
    </row>
    <row r="2448">
      <c r="A2448" s="7" t="str">
        <f>IFERROR(__xludf.DUMMYFUNCTION("""COMPUTED_VALUE"""),"2084-MAIN")</f>
        <v>2084-MAIN</v>
      </c>
      <c r="B2448" s="7" t="str">
        <f>IFERROR(__xludf.DUMMYFUNCTION("""COMPUTED_VALUE"""),"RetroLLM: Empowering Large Language Models to Retrieve Fine-grained Evidence within Generation")</f>
        <v>RetroLLM: Empowering Large Language Models to Retrieve Fine-grained Evidence within Generation</v>
      </c>
      <c r="C2448" s="7" t="str">
        <f>IFERROR(__xludf.DUMMYFUNCTION("""COMPUTED_VALUE"""),"Large language models (LLMs) exhibit remarkable generative capabilities but often suffer from hallucinations. Retrieval-augmented generation (RAG) offers an effective solution by incorporating external knowledge, but existing methods still face several li"&amp;"mitations: additional deployment costs of separate retrievers, redundant input tokens from retrieved text chunks, and the lack of joint optimization of retrieval and generation. To address these issues, we propose \textbf{RetroLLM}, a unified framework th"&amp;"at integrates retrieval and generation into a single, auto-regressive process, enabling LLMs to directly generate fine-grained evidence from the corpus with constrained decoding. Moreover, to mitigate false pruning in the process of constrained evidence g"&amp;"eneration, we introduce (1) hierarchical FM-Index constraints, which generate corpus-constrained clues to identify a subset of relevant documents before evidence generation, reducing irrelevant decoding space; and (2) a forward-looking constrained decodin"&amp;"g strategy, which considers the relevance of future sequences to improve evidence accuracy. Extensive experiments on five open-domain QA datasets demonstrate RetroLLM's superior performance across both in-domain and out-of-domain tasks. The code is availa"&amp;"ble at https://anonymous.4open.science/r/RetroLLM-D95A.")</f>
        <v>Large language models (LLMs) exhibit remarkable generative capabilities but often suffer from hallucinations. Retrieval-augmented generation (RAG) offers an effective solution by incorporating external knowledge, but existing methods still face several limitations: additional deployment costs of separate retrievers, redundant input tokens from retrieved text chunks, and the lack of joint optimization of retrieval and generation. To address these issues, we propose \textbf{RetroLLM}, a unified framework that integrates retrieval and generation into a single, auto-regressive process, enabling LLMs to directly generate fine-grained evidence from the corpus with constrained decoding. Moreover, to mitigate false pruning in the process of constrained evidence generation, we introduce (1) hierarchical FM-Index constraints, which generate corpus-constrained clues to identify a subset of relevant documents before evidence generation, reducing irrelevant decoding space; and (2) a forward-looking constrained decoding strategy, which considers the relevance of future sequences to improve evidence accuracy. Extensive experiments on five open-domain QA datasets demonstrate RetroLLM's superior performance across both in-domain and out-of-domain tasks. The code is available at https://anonymous.4open.science/r/RetroLLM-D95A.</v>
      </c>
      <c r="D2448" s="7" t="str">
        <f>IFERROR(__xludf.DUMMYFUNCTION("""COMPUTED_VALUE"""),"Xiaoxi Li")</f>
        <v>Xiaoxi Li</v>
      </c>
      <c r="E2448" s="7" t="str">
        <f>IFERROR(__xludf.DUMMYFUNCTION("""COMPUTED_VALUE"""),"Yes")</f>
        <v>Yes</v>
      </c>
      <c r="F2448" s="7" t="str">
        <f>IFERROR(__xludf.DUMMYFUNCTION("""COMPUTED_VALUE"""),"IP-Poster")</f>
        <v>IP-Poster</v>
      </c>
      <c r="G2448" s="7" t="str">
        <f>IFERROR(__xludf.DUMMYFUNCTION("""COMPUTED_VALUE"""),"In-Person")</f>
        <v>In-Person</v>
      </c>
      <c r="H2448" s="7" t="str">
        <f>IFERROR(__xludf.DUMMYFUNCTION("""COMPUTED_VALUE"""),"Hall 4/5")</f>
        <v>Hall 4/5</v>
      </c>
      <c r="I2448" s="7" t="str">
        <f>IFERROR(__xludf.DUMMYFUNCTION("""COMPUTED_VALUE"""),"Session 2: IP-Posters ")</f>
        <v>Session 2: IP-Posters </v>
      </c>
      <c r="J2448" s="7" t="str">
        <f>IFERROR(__xludf.DUMMYFUNCTION("""COMPUTED_VALUE"""),"Poster Session 1")</f>
        <v>Poster Session 1</v>
      </c>
      <c r="K2448" s="7"/>
      <c r="L2448" s="8">
        <f>IFERROR(__xludf.DUMMYFUNCTION("""COMPUTED_VALUE"""),45866.0)</f>
        <v>45866</v>
      </c>
      <c r="M2448" s="7" t="str">
        <f>IFERROR(__xludf.DUMMYFUNCTION("""COMPUTED_VALUE"""),"11:00-12:30")</f>
        <v>11:00-12:30</v>
      </c>
      <c r="N2448" s="7"/>
    </row>
    <row r="2449">
      <c r="A2449" s="7" t="str">
        <f>IFERROR(__xludf.DUMMYFUNCTION("""COMPUTED_VALUE"""),"2086-MAIN")</f>
        <v>2086-MAIN</v>
      </c>
      <c r="B2449" s="7" t="str">
        <f>IFERROR(__xludf.DUMMYFUNCTION("""COMPUTED_VALUE"""),"ChronoSense: Exploring Temporal Understanding in Large Language Models with Time Intervals of Events")</f>
        <v>ChronoSense: Exploring Temporal Understanding in Large Language Models with Time Intervals of Events</v>
      </c>
      <c r="C2449" s="7" t="str">
        <f>IFERROR(__xludf.DUMMYFUNCTION("""COMPUTED_VALUE"""),"Large Language Models (LLMs) still face significant challenges in reasoning and arithmetic. Although temporal reasoning has raised increasing research attention, comprehensive testing of Allen's interval relations (e.g., before, after, during) —a fundamen"&amp;"tal framework for temporal relationships— remains underexplored. To fill this gap, we present ChronoSense, a new benchmark for evaluating LLMs' temporal understanding. It includes 16 tasks, identifying the Allen relation between two temporal events and te"&amp;"mporal arithmetic. We assess the performance of seven recent LLMs. The results indicate that models handle Allen relations, even symmetrical ones, quite differently. Moreover, the findings suggest that the models may rely on memorization to answer time-re"&amp;"lated questions. Overall, the models' low performance highlights the need for improved temporal understanding in LLMs. Our dataset and the source code are available at https://github.com/duyguislakoglu/chronosense.")</f>
        <v>Large Language Models (LLMs) still face significant challenges in reasoning and arithmetic. Although temporal reasoning has raised increasing research attention, comprehensive testing of Allen's interval relations (e.g., before, after, during) —a fundamental framework for temporal relationships— remains underexplored. To fill this gap, we present ChronoSense, a new benchmark for evaluating LLMs' temporal understanding. It includes 16 tasks, identifying the Allen relation between two temporal events and temporal arithmetic. We assess the performance of seven recent LLMs. The results indicate that models handle Allen relations, even symmetrical ones, quite differently. Moreover, the findings suggest that the models may rely on memorization to answer time-related questions. Overall, the models' low performance highlights the need for improved temporal understanding in LLMs. Our dataset and the source code are available at https://github.com/duyguislakoglu/chronosense.</v>
      </c>
      <c r="D2449" s="7" t="str">
        <f>IFERROR(__xludf.DUMMYFUNCTION("""COMPUTED_VALUE"""),"Duygu Sezen Islakoglu")</f>
        <v>Duygu Sezen Islakoglu</v>
      </c>
      <c r="E2449" s="7" t="str">
        <f>IFERROR(__xludf.DUMMYFUNCTION("""COMPUTED_VALUE"""),"Yes")</f>
        <v>Yes</v>
      </c>
      <c r="F2449" s="7" t="str">
        <f>IFERROR(__xludf.DUMMYFUNCTION("""COMPUTED_VALUE"""),"IP-Poster")</f>
        <v>IP-Poster</v>
      </c>
      <c r="G2449" s="7" t="str">
        <f>IFERROR(__xludf.DUMMYFUNCTION("""COMPUTED_VALUE"""),"In-Person")</f>
        <v>In-Person</v>
      </c>
      <c r="H2449" s="7" t="str">
        <f>IFERROR(__xludf.DUMMYFUNCTION("""COMPUTED_VALUE"""),"Hall 4/5")</f>
        <v>Hall 4/5</v>
      </c>
      <c r="I2449" s="7" t="str">
        <f>IFERROR(__xludf.DUMMYFUNCTION("""COMPUTED_VALUE"""),"Session 12: IP-Posters")</f>
        <v>Session 12: IP-Posters</v>
      </c>
      <c r="J2449" s="7" t="str">
        <f>IFERROR(__xludf.DUMMYFUNCTION("""COMPUTED_VALUE"""),"Poster Session 4")</f>
        <v>Poster Session 4</v>
      </c>
      <c r="K2449" s="7"/>
      <c r="L2449" s="8">
        <f>IFERROR(__xludf.DUMMYFUNCTION("""COMPUTED_VALUE"""),45868.0)</f>
        <v>45868</v>
      </c>
      <c r="M2449" s="7" t="str">
        <f>IFERROR(__xludf.DUMMYFUNCTION("""COMPUTED_VALUE"""),"11:00-12:30")</f>
        <v>11:00-12:30</v>
      </c>
      <c r="N2449" s="7"/>
    </row>
    <row r="2450">
      <c r="A2450" s="7" t="str">
        <f>IFERROR(__xludf.DUMMYFUNCTION("""COMPUTED_VALUE"""),"2087-MAIN")</f>
        <v>2087-MAIN</v>
      </c>
      <c r="B2450" s="7" t="str">
        <f>IFERROR(__xludf.DUMMYFUNCTION("""COMPUTED_VALUE"""),"The Role of Deductive and Inductive Reasoning in Large Language Models")</f>
        <v>The Role of Deductive and Inductive Reasoning in Large Language Models</v>
      </c>
      <c r="C2450" s="7" t="str">
        <f>IFERROR(__xludf.DUMMYFUNCTION("""COMPUTED_VALUE"""),"Large Language Models (LLMs) have demonstrated impressive capabilities in reasoning tasks, yet their reliance on static prompt structures and limited adaptability to complex scenarios remains a major challenge. In this paper, we propose the **Deductive an"&amp;"d Inductive (DID)** method, a novel framework that enhances LLM reasoning by dynamically integrating both deductive and inductive reasoning approaches. Drawing from cognitive science principles, DID implements a dual-metric complexity evaluation system th"&amp;"at combines Littlestone dimension and information entropy to precisely assess task difficulty and guide decomposition strategies. DID enables the model to progressively adapt its reasoning pathways based on problem complexity, mirroring human cognitive pr"&amp;"ocesses. We evaluate DID's effectiveness across multiple benchmarks, including the AIW, MR-GSM8K, and our custom Holiday Puzzle dataset for temporal reasoning. Our results demonstrate great improvements in reasoning quality and solution accuracy - achievi"&amp;"ng 70.3% accuracy on AIW (compared to 62.2% for Tree of Thought), while maintaining lower computational costs.")</f>
        <v>Large Language Models (LLMs) have demonstrated impressive capabilities in reasoning tasks, yet their reliance on static prompt structures and limited adaptability to complex scenarios remains a major challenge. In this paper, we propose the **Deductive and Inductive (DID)** method, a novel framework that enhances LLM reasoning by dynamically integrating both deductive and inductive reasoning approaches. Drawing from cognitive science principles, DID implements a dual-metric complexity evaluation system that combines Littlestone dimension and information entropy to precisely assess task difficulty and guide decomposition strategies. DID enables the model to progressively adapt its reasoning pathways based on problem complexity, mirroring human cognitive processes. We evaluate DID's effectiveness across multiple benchmarks, including the AIW, MR-GSM8K, and our custom Holiday Puzzle dataset for temporal reasoning. Our results demonstrate great improvements in reasoning quality and solution accuracy - achieving 70.3% accuracy on AIW (compared to 62.2% for Tree of Thought), while maintaining lower computational costs.</v>
      </c>
      <c r="D2450" s="7" t="str">
        <f>IFERROR(__xludf.DUMMYFUNCTION("""COMPUTED_VALUE"""),"Chengkun Cai")</f>
        <v>Chengkun Cai</v>
      </c>
      <c r="E2450" s="7" t="str">
        <f>IFERROR(__xludf.DUMMYFUNCTION("""COMPUTED_VALUE"""),"Yes")</f>
        <v>Yes</v>
      </c>
      <c r="F2450" s="7" t="str">
        <f>IFERROR(__xludf.DUMMYFUNCTION("""COMPUTED_VALUE"""),"V-Presentation")</f>
        <v>V-Presentation</v>
      </c>
      <c r="G2450" s="7" t="str">
        <f>IFERROR(__xludf.DUMMYFUNCTION("""COMPUTED_VALUE"""),"Virtual/Gather")</f>
        <v>Virtual/Gather</v>
      </c>
      <c r="H2450" s="7" t="str">
        <f>IFERROR(__xludf.DUMMYFUNCTION("""COMPUTED_VALUE"""),"Zoom")</f>
        <v>Zoom</v>
      </c>
      <c r="I2450" s="7" t="str">
        <f>IFERROR(__xludf.DUMMYFUNCTION("""COMPUTED_VALUE"""),"Session 12: V-Presentations")</f>
        <v>Session 12: V-Presentations</v>
      </c>
      <c r="J2450" s="7" t="str">
        <f>IFERROR(__xludf.DUMMYFUNCTION("""COMPUTED_VALUE"""),"Virtual Presentations 4")</f>
        <v>Virtual Presentations 4</v>
      </c>
      <c r="K2450" s="7"/>
      <c r="L2450" s="8">
        <f>IFERROR(__xludf.DUMMYFUNCTION("""COMPUTED_VALUE"""),45868.0)</f>
        <v>45868</v>
      </c>
      <c r="M2450" s="7" t="str">
        <f>IFERROR(__xludf.DUMMYFUNCTION("""COMPUTED_VALUE"""),"11:00-12:30")</f>
        <v>11:00-12:30</v>
      </c>
      <c r="N2450" s="7"/>
    </row>
    <row r="2451">
      <c r="A2451" s="7" t="str">
        <f>IFERROR(__xludf.DUMMYFUNCTION("""COMPUTED_VALUE"""),"2094-MAIN")</f>
        <v>2094-MAIN</v>
      </c>
      <c r="B2451" s="7" t="str">
        <f>IFERROR(__xludf.DUMMYFUNCTION("""COMPUTED_VALUE"""),"Disentangling the Roles of Representation and Selection in Data Pruning")</f>
        <v>Disentangling the Roles of Representation and Selection in Data Pruning</v>
      </c>
      <c r="C2451" s="7" t="str">
        <f>IFERROR(__xludf.DUMMYFUNCTION("""COMPUTED_VALUE"""),"Data pruning—selecting small but impactful subsets—offers a promising way to efficiently scale NLP model training. However, existing methods often involve many different design choices, which have not been systematically studied. This limits future develo"&amp;"pments. In this work, we decompose data pruning into two key components: data representation and selection algorithm, and systematically analyze their influence on selected instances. Our theoretical and empirical results highlight the crucial role of rep"&amp;"resentations: better representations, e.g., training gradients, generally lead to better selected instances, regardless of the chosen selection algorithm. Furthermore, different selection algorithms excel in different settings, and none consistently outpe"&amp;"rform the others. Moreover, the selection algorithms do not always align with their intended objectives: for example, algorithms designed for the same objective can select drastically different instances, highlighting the need for careful evaluation.")</f>
        <v>Data pruning—selecting small but impactful subsets—offers a promising way to efficiently scale NLP model training. However, existing methods often involve many different design choices, which have not been systematically studied. This limits future developments. In this work, we decompose data pruning into two key components: data representation and selection algorithm, and systematically analyze their influence on selected instances. Our theoretical and empirical results highlight the crucial role of representations: better representations, e.g., training gradients, generally lead to better selected instances, regardless of the chosen selection algorithm. Furthermore, different selection algorithms excel in different settings, and none consistently outperform the others. Moreover, the selection algorithms do not always align with their intended objectives: for example, algorithms designed for the same objective can select drastically different instances, highlighting the need for careful evaluation.</v>
      </c>
      <c r="D2451" s="7" t="str">
        <f>IFERROR(__xludf.DUMMYFUNCTION("""COMPUTED_VALUE"""),"Yupei Du")</f>
        <v>Yupei Du</v>
      </c>
      <c r="E2451" s="7" t="str">
        <f>IFERROR(__xludf.DUMMYFUNCTION("""COMPUTED_VALUE"""),"Yes")</f>
        <v>Yes</v>
      </c>
      <c r="F2451" s="7" t="str">
        <f>IFERROR(__xludf.DUMMYFUNCTION("""COMPUTED_VALUE"""),"IP-Poster")</f>
        <v>IP-Poster</v>
      </c>
      <c r="G2451" s="7" t="str">
        <f>IFERROR(__xludf.DUMMYFUNCTION("""COMPUTED_VALUE"""),"In-Person")</f>
        <v>In-Person</v>
      </c>
      <c r="H2451" s="7" t="str">
        <f>IFERROR(__xludf.DUMMYFUNCTION("""COMPUTED_VALUE"""),"Hall 4/5")</f>
        <v>Hall 4/5</v>
      </c>
      <c r="I2451" s="7" t="str">
        <f>IFERROR(__xludf.DUMMYFUNCTION("""COMPUTED_VALUE"""),"Session 7: IP-Posters")</f>
        <v>Session 7: IP-Posters</v>
      </c>
      <c r="J2451" s="7" t="str">
        <f>IFERROR(__xludf.DUMMYFUNCTION("""COMPUTED_VALUE"""),"Poster Session 2")</f>
        <v>Poster Session 2</v>
      </c>
      <c r="K2451" s="7"/>
      <c r="L2451" s="8">
        <f>IFERROR(__xludf.DUMMYFUNCTION("""COMPUTED_VALUE"""),45867.0)</f>
        <v>45867</v>
      </c>
      <c r="M2451" s="7" t="str">
        <f>IFERROR(__xludf.DUMMYFUNCTION("""COMPUTED_VALUE"""),"10:30-12:00")</f>
        <v>10:30-12:00</v>
      </c>
      <c r="N2451" s="7"/>
    </row>
    <row r="2452">
      <c r="A2452" s="7" t="str">
        <f>IFERROR(__xludf.DUMMYFUNCTION("""COMPUTED_VALUE"""),"2095-MAIN")</f>
        <v>2095-MAIN</v>
      </c>
      <c r="B2452" s="7" t="str">
        <f>IFERROR(__xludf.DUMMYFUNCTION("""COMPUTED_VALUE"""),"FRACTAL: Fine-Grained Scoring from Aggregate Text Labels")</f>
        <v>FRACTAL: Fine-Grained Scoring from Aggregate Text Labels</v>
      </c>
      <c r="C2452" s="7" t="str">
        <f>IFERROR(__xludf.DUMMYFUNCTION("""COMPUTED_VALUE"""),"Fine-Tuning of LLMs using RLHF / RLAIF has been shown as a critical step to improve the performance of LLMs in complex generation tasks. These methods typically use response-level human or model feedback for alignment. Recent works indicate that finer sen"&amp;"tence or span-level labels provide more accurate and interpretable feedback for LLM optimization. In this work, we propose FRACTAL, a suite of models to disaggregate response-level labels into sentence-level (pseudo-)labels through Multiple Instance Learn"&amp;"ing (MIL) and Learning from Label Proportions (LLP) formulations, novel usage of prior information, and maximum likelihood calibration. We perform close to 2000 experiments across 6 datasets and 4 tasks that show that FRACTAL can reach up to 93% of the pe"&amp;"rformance of the fully supervised baseline while requiring only around 10% of the gold labels. Furthermore, in a downstream eval, employing step-level pseudo scores in RLHF for a math reasoning task leads to 5% absolute improvement in performance. Our wor"&amp;"k is the first to develop response-level feedback to sentence-level scoring techniques leveraging sentence-level prior information, along with comprehensive evaluations on multiple tasks as well as end-to-end finetuning evaluations.")</f>
        <v>Fine-Tuning of LLMs using RLHF / RLAIF has been shown as a critical step to improve the performance of LLMs in complex generation tasks. These methods typically use response-level human or model feedback for alignment. Recent works indicate that finer sentence or span-level labels provide more accurate and interpretable feedback for LLM optimization. In this work, we propose FRACTAL, a suite of models to disaggregate response-level labels into sentence-level (pseudo-)labels through Multiple Instance Learning (MIL) and Learning from Label Proportions (LLP) formulations, novel usage of prior information, and maximum likelihood calibration. We perform close to 2000 experiments across 6 datasets and 4 tasks that show that FRACTAL can reach up to 93% of the performance of the fully supervised baseline while requiring only around 10% of the gold labels. Furthermore, in a downstream eval, employing step-level pseudo scores in RLHF for a math reasoning task leads to 5% absolute improvement in performance. Our work is the first to develop response-level feedback to sentence-level scoring techniques leveraging sentence-level prior information, along with comprehensive evaluations on multiple tasks as well as end-to-end finetuning evaluations.</v>
      </c>
      <c r="D2452" s="7" t="str">
        <f>IFERROR(__xludf.DUMMYFUNCTION("""COMPUTED_VALUE"""),"Priyanka Agrawal")</f>
        <v>Priyanka Agrawal</v>
      </c>
      <c r="E2452" s="7" t="str">
        <f>IFERROR(__xludf.DUMMYFUNCTION("""COMPUTED_VALUE"""),"Yes")</f>
        <v>Yes</v>
      </c>
      <c r="F2452" s="7" t="str">
        <f>IFERROR(__xludf.DUMMYFUNCTION("""COMPUTED_VALUE"""),"V-Presentation")</f>
        <v>V-Presentation</v>
      </c>
      <c r="G2452" s="7" t="str">
        <f>IFERROR(__xludf.DUMMYFUNCTION("""COMPUTED_VALUE"""),"Virtual/Gather")</f>
        <v>Virtual/Gather</v>
      </c>
      <c r="H2452" s="7" t="str">
        <f>IFERROR(__xludf.DUMMYFUNCTION("""COMPUTED_VALUE"""),"Zoom")</f>
        <v>Zoom</v>
      </c>
      <c r="I2452" s="7" t="str">
        <f>IFERROR(__xludf.DUMMYFUNCTION("""COMPUTED_VALUE"""),"Session 2: V-Presentations")</f>
        <v>Session 2: V-Presentations</v>
      </c>
      <c r="J2452" s="7" t="str">
        <f>IFERROR(__xludf.DUMMYFUNCTION("""COMPUTED_VALUE"""),"Virtual Presentations 1")</f>
        <v>Virtual Presentations 1</v>
      </c>
      <c r="K2452" s="7"/>
      <c r="L2452" s="8">
        <f>IFERROR(__xludf.DUMMYFUNCTION("""COMPUTED_VALUE"""),45866.0)</f>
        <v>45866</v>
      </c>
      <c r="M2452" s="7" t="str">
        <f>IFERROR(__xludf.DUMMYFUNCTION("""COMPUTED_VALUE"""),"11:00-12:30")</f>
        <v>11:00-12:30</v>
      </c>
      <c r="N2452" s="7"/>
    </row>
    <row r="2453">
      <c r="A2453" s="7" t="str">
        <f>IFERROR(__xludf.DUMMYFUNCTION("""COMPUTED_VALUE"""),"2100-MAIN")</f>
        <v>2100-MAIN</v>
      </c>
      <c r="B2453" s="7" t="str">
        <f>IFERROR(__xludf.DUMMYFUNCTION("""COMPUTED_VALUE"""),"ACT: Knowledgeable Agents to Design and Perform Complex Tasks")</f>
        <v>ACT: Knowledgeable Agents to Design and Perform Complex Tasks</v>
      </c>
      <c r="C2453" s="7" t="str">
        <f>IFERROR(__xludf.DUMMYFUNCTION("""COMPUTED_VALUE"""),"Large language models enhance collaborative task execution in multi-agent systems. Current studies break complex task into manageable tasks, but agents lack understanding of the overall task and how others approach their tasks, hindering synergy and integ"&amp;"ration.
We propose a method called knowledgeable {\bf {\em A}}gents to design and perform {\bf {\em C}}omplex {\bf {\em T}}asks (ACT), where: (1) Agents independently manage their knowledge and tasks while collaboratively design the complex task into a m"&amp;"ore comprehensible form. In parallel, each agent also acquires knowledge of others, defined as a structured description of how other agents approach their tasks based on the agent's own task resolution. (2) Each agent updates its knowledge and refines its"&amp;" task through interactions with others. By referencing structured knowledge, they effectively integrate their tasks to collaboratively solve the complex task.
Three evaluations including creative writing and tool utilization, show that ACT accurately out"&amp;"performs existing methods in solving complex tasks.")</f>
        <v>Large language models enhance collaborative task execution in multi-agent systems. Current studies break complex task into manageable tasks, but agents lack understanding of the overall task and how others approach their tasks, hindering synergy and integration.
We propose a method called knowledgeable {\bf {\em A}}gents to design and perform {\bf {\em C}}omplex {\bf {\em T}}asks (ACT), where: (1) Agents independently manage their knowledge and tasks while collaboratively design the complex task into a more comprehensible form. In parallel, each agent also acquires knowledge of others, defined as a structured description of how other agents approach their tasks based on the agent's own task resolution. (2) Each agent updates its knowledge and refines its task through interactions with others. By referencing structured knowledge, they effectively integrate their tasks to collaboratively solve the complex task.
Three evaluations including creative writing and tool utilization, show that ACT accurately outperforms existing methods in solving complex tasks.</v>
      </c>
      <c r="D2453" s="7" t="str">
        <f>IFERROR(__xludf.DUMMYFUNCTION("""COMPUTED_VALUE"""),"Makoto Nakatsuji")</f>
        <v>Makoto Nakatsuji</v>
      </c>
      <c r="E2453" s="7" t="str">
        <f>IFERROR(__xludf.DUMMYFUNCTION("""COMPUTED_VALUE"""),"Yes")</f>
        <v>Yes</v>
      </c>
      <c r="F2453" s="7" t="str">
        <f>IFERROR(__xludf.DUMMYFUNCTION("""COMPUTED_VALUE"""),"IP-Poster")</f>
        <v>IP-Poster</v>
      </c>
      <c r="G2453" s="7" t="str">
        <f>IFERROR(__xludf.DUMMYFUNCTION("""COMPUTED_VALUE"""),"In-Person")</f>
        <v>In-Person</v>
      </c>
      <c r="H2453" s="7" t="str">
        <f>IFERROR(__xludf.DUMMYFUNCTION("""COMPUTED_VALUE"""),"Hall 4/5")</f>
        <v>Hall 4/5</v>
      </c>
      <c r="I2453" s="7" t="str">
        <f>IFERROR(__xludf.DUMMYFUNCTION("""COMPUTED_VALUE"""),"Session 2: IP-Posters ")</f>
        <v>Session 2: IP-Posters </v>
      </c>
      <c r="J2453" s="7" t="str">
        <f>IFERROR(__xludf.DUMMYFUNCTION("""COMPUTED_VALUE"""),"Poster Session 1")</f>
        <v>Poster Session 1</v>
      </c>
      <c r="K2453" s="7"/>
      <c r="L2453" s="8">
        <f>IFERROR(__xludf.DUMMYFUNCTION("""COMPUTED_VALUE"""),45866.0)</f>
        <v>45866</v>
      </c>
      <c r="M2453" s="7" t="str">
        <f>IFERROR(__xludf.DUMMYFUNCTION("""COMPUTED_VALUE"""),"11:00-12:30")</f>
        <v>11:00-12:30</v>
      </c>
      <c r="N2453" s="7"/>
    </row>
    <row r="2454">
      <c r="A2454" s="7" t="str">
        <f>IFERROR(__xludf.DUMMYFUNCTION("""COMPUTED_VALUE"""),"2102-MAIN")</f>
        <v>2102-MAIN</v>
      </c>
      <c r="B2454" s="7" t="str">
        <f>IFERROR(__xludf.DUMMYFUNCTION("""COMPUTED_VALUE"""),"Logical forms complement probability in understanding language model (and human) performance")</f>
        <v>Logical forms complement probability in understanding language model (and human) performance</v>
      </c>
      <c r="C2454" s="7" t="str">
        <f>IFERROR(__xludf.DUMMYFUNCTION("""COMPUTED_VALUE"""),"With the increasing interest in using large language models (LLMs) for planning in natural language, understanding their behaviors becomes an important research question. This work conducts a systematic investigation of LLMs' ability to perform logical re"&amp;"asoning in natural language. We introduce a controlled dataset of hypothetical and disjunctive syllogisms in propositional and modal logic and use it as the testbed for understanding LLM performance. Our results lead to novel insights in predicting LLM be"&amp;"haviors: in addition to the probability of input, logical forms should be considered as important factors. In addition, we show similarities and discrepancies between the logical reasoning performances of humans and LLMs by collecting and comparing behavi"&amp;"oral data from both.")</f>
        <v>With the increasing interest in using large language models (LLMs) for planning in natural language, understanding their behaviors becomes an important research question. This work conducts a systematic investigation of LLMs' ability to perform logical reasoning in natural language. We introduce a controlled dataset of hypothetical and disjunctive syllogisms in propositional and modal logic and use it as the testbed for understanding LLM performance. Our results lead to novel insights in predicting LLM behaviors: in addition to the probability of input, logical forms should be considered as important factors. In addition, we show similarities and discrepancies between the logical reasoning performances of humans and LLMs by collecting and comparing behavioral data from both.</v>
      </c>
      <c r="D2454" s="7" t="str">
        <f>IFERROR(__xludf.DUMMYFUNCTION("""COMPUTED_VALUE"""),"Freda Shi")</f>
        <v>Freda Shi</v>
      </c>
      <c r="E2454" s="7" t="str">
        <f>IFERROR(__xludf.DUMMYFUNCTION("""COMPUTED_VALUE"""),"Yes")</f>
        <v>Yes</v>
      </c>
      <c r="F2454" s="7" t="str">
        <f>IFERROR(__xludf.DUMMYFUNCTION("""COMPUTED_VALUE"""),"IP-Oral")</f>
        <v>IP-Oral</v>
      </c>
      <c r="G2454" s="7" t="str">
        <f>IFERROR(__xludf.DUMMYFUNCTION("""COMPUTED_VALUE"""),"In-Person")</f>
        <v>In-Person</v>
      </c>
      <c r="H2454" s="7" t="str">
        <f>IFERROR(__xludf.DUMMYFUNCTION("""COMPUTED_VALUE"""),"Room 1.61")</f>
        <v>Room 1.61</v>
      </c>
      <c r="I2454" s="7" t="str">
        <f>IFERROR(__xludf.DUMMYFUNCTION("""COMPUTED_VALUE"""),"Session 3: IP-Orals")</f>
        <v>Session 3: IP-Orals</v>
      </c>
      <c r="J2454" s="7" t="str">
        <f>IFERROR(__xludf.DUMMYFUNCTION("""COMPUTED_VALUE"""),"Linguistic Theories and Cognitive Modeling")</f>
        <v>Linguistic Theories and Cognitive Modeling</v>
      </c>
      <c r="K2454" s="7"/>
      <c r="L2454" s="8">
        <f>IFERROR(__xludf.DUMMYFUNCTION("""COMPUTED_VALUE"""),45866.0)</f>
        <v>45866</v>
      </c>
      <c r="M2454" s="7" t="str">
        <f>IFERROR(__xludf.DUMMYFUNCTION("""COMPUTED_VALUE"""),"14:00-15:30")</f>
        <v>14:00-15:30</v>
      </c>
      <c r="N2454" s="7">
        <f>IFERROR(__xludf.DUMMYFUNCTION("""COMPUTED_VALUE"""),1.0)</f>
        <v>1</v>
      </c>
    </row>
    <row r="2455">
      <c r="A2455" s="7" t="str">
        <f>IFERROR(__xludf.DUMMYFUNCTION("""COMPUTED_VALUE"""),"2108-MAIN")</f>
        <v>2108-MAIN</v>
      </c>
      <c r="B2455" s="7" t="str">
        <f>IFERROR(__xludf.DUMMYFUNCTION("""COMPUTED_VALUE"""),"Length Controlled Generation for Black-box LLMs")</f>
        <v>Length Controlled Generation for Black-box LLMs</v>
      </c>
      <c r="C2455" s="7" t="str">
        <f>IFERROR(__xludf.DUMMYFUNCTION("""COMPUTED_VALUE"""),"Large language models (LLMs) have demonstrated impressive instruction following capabilities, while still struggling to accurately manage the length of the generated text, which is a fundamental requirement in many real-world applications. Existing length"&amp;" control methods involve fine-tuning the parameters of LLMs, which is inefficient and suboptimal for practical use. In this paper, we propose a novel iterative sampling framework for text length control, integrating the Metropolis-Hastings algorithm with "&amp;"an importance sampling acceleration strategy. This framework efficiently and reliably regulates LLMs to generate length-constrained text without modifying the underlying parameters, thereby preserving the original capabilities of LLMs. Experimental result"&amp;"s demonstrate that our framework achieves almost 100% success rates of length control on Llama3.1 for tasks such as length-controlled abstractive summarization and length-constrained instruction following, with minimal additional computational overhead. T"&amp;"his also highlights the significant potential of our method for precise length control across a broader range of applications, without compromising the versatility of LLMs.")</f>
        <v>Large language models (LLMs) have demonstrated impressive instruction following capabilities, while still struggling to accurately manage the length of the generated text, which is a fundamental requirement in many real-world applications. Existing length control methods involve fine-tuning the parameters of LLMs, which is inefficient and suboptimal for practical use. In this paper, we propose a novel iterative sampling framework for text length control, integrating the Metropolis-Hastings algorithm with an importance sampling acceleration strategy. This framework efficiently and reliably regulates LLMs to generate length-constrained text without modifying the underlying parameters, thereby preserving the original capabilities of LLMs. Experimental results demonstrate that our framework achieves almost 100% success rates of length control on Llama3.1 for tasks such as length-controlled abstractive summarization and length-constrained instruction following, with minimal additional computational overhead. This also highlights the significant potential of our method for precise length control across a broader range of applications, without compromising the versatility of LLMs.</v>
      </c>
      <c r="D2455" s="7" t="str">
        <f>IFERROR(__xludf.DUMMYFUNCTION("""COMPUTED_VALUE"""),"Yuxuan Gu")</f>
        <v>Yuxuan Gu</v>
      </c>
      <c r="E2455" s="7" t="str">
        <f>IFERROR(__xludf.DUMMYFUNCTION("""COMPUTED_VALUE"""),"Yes")</f>
        <v>Yes</v>
      </c>
      <c r="F2455" s="7" t="str">
        <f>IFERROR(__xludf.DUMMYFUNCTION("""COMPUTED_VALUE"""),"IP-Poster")</f>
        <v>IP-Poster</v>
      </c>
      <c r="G2455" s="7" t="str">
        <f>IFERROR(__xludf.DUMMYFUNCTION("""COMPUTED_VALUE"""),"In-Person")</f>
        <v>In-Person</v>
      </c>
      <c r="H2455" s="7" t="str">
        <f>IFERROR(__xludf.DUMMYFUNCTION("""COMPUTED_VALUE"""),"Hall 4/5")</f>
        <v>Hall 4/5</v>
      </c>
      <c r="I2455" s="7" t="str">
        <f>IFERROR(__xludf.DUMMYFUNCTION("""COMPUTED_VALUE"""),"Session 10: IP-Posters")</f>
        <v>Session 10: IP-Posters</v>
      </c>
      <c r="J2455" s="7" t="str">
        <f>IFERROR(__xludf.DUMMYFUNCTION("""COMPUTED_VALUE"""),"Poster Session 3")</f>
        <v>Poster Session 3</v>
      </c>
      <c r="K2455" s="7"/>
      <c r="L2455" s="8">
        <f>IFERROR(__xludf.DUMMYFUNCTION("""COMPUTED_VALUE"""),45867.0)</f>
        <v>45867</v>
      </c>
      <c r="M2455" s="7" t="str">
        <f>IFERROR(__xludf.DUMMYFUNCTION("""COMPUTED_VALUE"""),"16:00-17:30")</f>
        <v>16:00-17:30</v>
      </c>
      <c r="N2455" s="7"/>
    </row>
    <row r="2456">
      <c r="A2456" s="7" t="str">
        <f>IFERROR(__xludf.DUMMYFUNCTION("""COMPUTED_VALUE"""),"2111-MAIN")</f>
        <v>2111-MAIN</v>
      </c>
      <c r="B2456" s="7" t="str">
        <f>IFERROR(__xludf.DUMMYFUNCTION("""COMPUTED_VALUE"""),"Improving Contextual Faithfulness of Large Language Models via Retrieval Heads-Induced Optimization")</f>
        <v>Improving Contextual Faithfulness of Large Language Models via Retrieval Heads-Induced Optimization</v>
      </c>
      <c r="C2456" s="7" t="str">
        <f>IFERROR(__xludf.DUMMYFUNCTION("""COMPUTED_VALUE"""),"Ensuring contextual faithfulness in retrieval-augmented large language models (LLMs) is crucial for building trustworthy information-seeking systems, particularly in long-form question-answering (LFQA) scenarios. In this work, we identify a salient correl"&amp;"ation between LFQA faithfulness and retrieval heads, a set of attention heads responsible for retrieving contextual information. Leveraging this insight, we propose RHIO, a framework designed to teach LLMs to explicitly discriminate between faithful and u"&amp;"nfaithful generations. RHIO first augments unfaithful samples that simulate realistic model-intrinsic errors by selectively masking retrieval heads. Then, these samples are incorporated into joint training, enabling the model to distinguish unfaithful out"&amp;"puts from faithful ones conditioned on control tokens. Furthermore, these control tokens are leveraged to self-induce contrastive outputs, amplifying their difference through contrastive decoding. Additionally, to facilitate the evaluation of contextual f"&amp;"aithfulness, we also introduce GroundBench, a comprehensive benchmark compiled from five existing LFQA datasets. Extensive experimental results on GroundBench demonstrate that RHIO significantly improves faithfulness, even outperforming GPT-4o.")</f>
        <v>Ensuring contextual faithfulness in retrieval-augmented large language models (LLMs) is crucial for building trustworthy information-seeking systems, particularly in long-form question-answering (LFQA) scenarios. In this work, we identify a salient correlation between LFQA faithfulness and retrieval heads, a set of attention heads responsible for retrieving contextual information. Leveraging this insight, we propose RHIO, a framework designed to teach LLMs to explicitly discriminate between faithful and unfaithful generations. RHIO first augments unfaithful samples that simulate realistic model-intrinsic errors by selectively masking retrieval heads. Then, these samples are incorporated into joint training, enabling the model to distinguish unfaithful outputs from faithful ones conditioned on control tokens. Furthermore, these control tokens are leveraged to self-induce contrastive outputs, amplifying their difference through contrastive decoding. Additionally, to facilitate the evaluation of contextual faithfulness, we also introduce GroundBench, a comprehensive benchmark compiled from five existing LFQA datasets. Extensive experimental results on GroundBench demonstrate that RHIO significantly improves faithfulness, even outperforming GPT-4o.</v>
      </c>
      <c r="D2456" s="7" t="str">
        <f>IFERROR(__xludf.DUMMYFUNCTION("""COMPUTED_VALUE"""),"Lei Huang")</f>
        <v>Lei Huang</v>
      </c>
      <c r="E2456" s="7" t="str">
        <f>IFERROR(__xludf.DUMMYFUNCTION("""COMPUTED_VALUE"""),"Yes")</f>
        <v>Yes</v>
      </c>
      <c r="F2456" s="7" t="str">
        <f>IFERROR(__xludf.DUMMYFUNCTION("""COMPUTED_VALUE"""),"IP-Poster")</f>
        <v>IP-Poster</v>
      </c>
      <c r="G2456" s="7" t="str">
        <f>IFERROR(__xludf.DUMMYFUNCTION("""COMPUTED_VALUE"""),"In-Person")</f>
        <v>In-Person</v>
      </c>
      <c r="H2456" s="7" t="str">
        <f>IFERROR(__xludf.DUMMYFUNCTION("""COMPUTED_VALUE"""),"Hall 4/5")</f>
        <v>Hall 4/5</v>
      </c>
      <c r="I2456" s="7" t="str">
        <f>IFERROR(__xludf.DUMMYFUNCTION("""COMPUTED_VALUE"""),"Session 7: IP-Posters")</f>
        <v>Session 7: IP-Posters</v>
      </c>
      <c r="J2456" s="7" t="str">
        <f>IFERROR(__xludf.DUMMYFUNCTION("""COMPUTED_VALUE"""),"Poster Session 2")</f>
        <v>Poster Session 2</v>
      </c>
      <c r="K2456" s="7"/>
      <c r="L2456" s="8">
        <f>IFERROR(__xludf.DUMMYFUNCTION("""COMPUTED_VALUE"""),45867.0)</f>
        <v>45867</v>
      </c>
      <c r="M2456" s="7" t="str">
        <f>IFERROR(__xludf.DUMMYFUNCTION("""COMPUTED_VALUE"""),"10:30-12:00")</f>
        <v>10:30-12:00</v>
      </c>
      <c r="N2456" s="7"/>
    </row>
    <row r="2457">
      <c r="A2457" s="7" t="str">
        <f>IFERROR(__xludf.DUMMYFUNCTION("""COMPUTED_VALUE"""),"2113-MAIN")</f>
        <v>2113-MAIN</v>
      </c>
      <c r="B2457" s="7" t="str">
        <f>IFERROR(__xludf.DUMMYFUNCTION("""COMPUTED_VALUE"""),"Global Eye: Breaking the ""Fixed Thinking Pattern"" during the Instruction Expansion Process")</f>
        <v>Global Eye: Breaking the "Fixed Thinking Pattern" during the Instruction Expansion Process</v>
      </c>
      <c r="C2457" s="7" t="str">
        <f>IFERROR(__xludf.DUMMYFUNCTION("""COMPUTED_VALUE"""),"An extensive high-quality instruction dataset is crucial for the instruction tuning process of Large Language Models (LLMs). Recent instruction expansion methods have demonstrated their capability to improve the quality and quantity of existing datasets, "&amp;"by prompting high-performance LLM to generate multiple new instructions from the original ones. However, existing methods focus on constructing multi-perspective prompts (e.g., increasing complexity or difficulty) to expand instructions, overlooking the "&amp;"""Fixed Thinking Pattern"" issue of LLMs. This issue arises when repeatedly using the same set of prompts, causing LLMs to rely on a limited set of certain expressions to expand all instructions, potentially compromising the diversity of the final expande"&amp;"d dataset. This paper theoretically analyzes the causes of the ""Fixed Thinking Pattern"", and corroborates this phenomenon through multi-faceted empirical research. Furthermore, we propose a novel method based on dynamic prompt updating: Global Eye. Spec"&amp;"ifically, after a fixed number of instruction expansions, we analyze the statistical characteristics of newly generated instructions and then update the prompts. Experimental results show that our method enables Llama3-8B and Llama2-13B to surpass the per"&amp;"formance of open-source LLMs and GPT3.5 across various metrics. Our code and data are submitted to the Software &amp; Data option.")</f>
        <v>An extensive high-quality instruction dataset is crucial for the instruction tuning process of Large Language Models (LLMs). Recent instruction expansion methods have demonstrated their capability to improve the quality and quantity of existing datasets, by prompting high-performance LLM to generate multiple new instructions from the original ones. However, existing methods focus on constructing multi-perspective prompts (e.g., increasing complexity or difficulty) to expand instructions, overlooking the "Fixed Thinking Pattern" issue of LLMs. This issue arises when repeatedly using the same set of prompts, causing LLMs to rely on a limited set of certain expressions to expand all instructions, potentially compromising the diversity of the final expanded dataset. This paper theoretically analyzes the causes of the "Fixed Thinking Pattern", and corroborates this phenomenon through multi-faceted empirical research. Furthermore, we propose a novel method based on dynamic prompt updating: Global Eye. Specifically, after a fixed number of instruction expansions, we analyze the statistical characteristics of newly generated instructions and then update the prompts. Experimental results show that our method enables Llama3-8B and Llama2-13B to surpass the performance of open-source LLMs and GPT3.5 across various metrics. Our code and data are submitted to the Software &amp; Data option.</v>
      </c>
      <c r="D2457" s="7" t="str">
        <f>IFERROR(__xludf.DUMMYFUNCTION("""COMPUTED_VALUE"""),"wenxuan Lu")</f>
        <v>wenxuan Lu</v>
      </c>
      <c r="E2457" s="7" t="str">
        <f>IFERROR(__xludf.DUMMYFUNCTION("""COMPUTED_VALUE"""),"Yes")</f>
        <v>Yes</v>
      </c>
      <c r="F2457" s="7" t="str">
        <f>IFERROR(__xludf.DUMMYFUNCTION("""COMPUTED_VALUE"""),"IP-Poster")</f>
        <v>IP-Poster</v>
      </c>
      <c r="G2457" s="7" t="str">
        <f>IFERROR(__xludf.DUMMYFUNCTION("""COMPUTED_VALUE"""),"In-Person")</f>
        <v>In-Person</v>
      </c>
      <c r="H2457" s="7" t="str">
        <f>IFERROR(__xludf.DUMMYFUNCTION("""COMPUTED_VALUE"""),"Hall 4/5")</f>
        <v>Hall 4/5</v>
      </c>
      <c r="I2457" s="7" t="str">
        <f>IFERROR(__xludf.DUMMYFUNCTION("""COMPUTED_VALUE"""),"Session 7: IP-Posters")</f>
        <v>Session 7: IP-Posters</v>
      </c>
      <c r="J2457" s="7" t="str">
        <f>IFERROR(__xludf.DUMMYFUNCTION("""COMPUTED_VALUE"""),"Poster Session 2")</f>
        <v>Poster Session 2</v>
      </c>
      <c r="K2457" s="7"/>
      <c r="L2457" s="8">
        <f>IFERROR(__xludf.DUMMYFUNCTION("""COMPUTED_VALUE"""),45867.0)</f>
        <v>45867</v>
      </c>
      <c r="M2457" s="7" t="str">
        <f>IFERROR(__xludf.DUMMYFUNCTION("""COMPUTED_VALUE"""),"10:30-12:00")</f>
        <v>10:30-12:00</v>
      </c>
      <c r="N2457" s="7"/>
    </row>
    <row r="2458">
      <c r="A2458" s="7" t="str">
        <f>IFERROR(__xludf.DUMMYFUNCTION("""COMPUTED_VALUE"""),"2115-MAIN")</f>
        <v>2115-MAIN</v>
      </c>
      <c r="B2458" s="7" t="str">
        <f>IFERROR(__xludf.DUMMYFUNCTION("""COMPUTED_VALUE"""),"On Synthesizing Data for Context Attribution in Question Answering")</f>
        <v>On Synthesizing Data for Context Attribution in Question Answering</v>
      </c>
      <c r="C2458" s="7" t="str">
        <f>IFERROR(__xludf.DUMMYFUNCTION("""COMPUTED_VALUE"""),"Question Answering (QA) accounts for a significant portion of LLM usage in the wild''. However, LLMs sometimes produce false or misleading responses, also known as hallucinations''. Therefore, grounding the generated answers in contextually provided infor"&amp;"mation---i.e., providing evidence for the generated text---is paramount for LLMs' trustworthiness. Providing this information is the task of context attribution. In this paper, we systematically study LLM-based approaches for this task, namely we investig"&amp;"ate (i) zero-shot inference, (ii) LLM ensembling, and (iii) fine-tuning of small LMs on synthetic data generated by larger LLMs. Our key contribution is SynQA: a novel generative strategy for synthesizing context attribution data. Given selected context s"&amp;"entences, an LLM generates QA pairs that are supported by these sentences. This leverages LLMs’ natural strengths in text generation while ensuring clear attribution paths in the synthetic training data. We show that the attribution data synthesized via S"&amp;"ynQA is highly effective for fine-tuning small LMs for context attribution in different QA tasks and domains. Finally, with a user study, we validate the usefulness of small LMs (fine-tuned on synthetic data from SynQA) in context attribution for QA.")</f>
        <v>Question Answering (QA) accounts for a significant portion of LLM usage in the wild''. However, LLMs sometimes produce false or misleading responses, also known as hallucinations''. Therefore, grounding the generated answers in contextually provided information---i.e., providing evidence for the generated text---is paramount for LLMs' trustworthiness. Providing this information is the task of context attribution. In this paper, we systematically study LLM-based approaches for this task, namely we investigate (i) zero-shot inference, (ii) LLM ensembling, and (iii) fine-tuning of small LMs on synthetic data generated by larger LLMs. Our key contribution is SynQA: a novel generative strategy for synthesizing context attribution data. Given selected context sentences, an LLM generates QA pairs that are supported by these sentences. This leverages LLMs’ natural strengths in text generation while ensuring clear attribution paths in the synthetic training data. We show that the attribution data synthesized via SynQA is highly effective for fine-tuning small LMs for context attribution in different QA tasks and domains. Finally, with a user study, we validate the usefulness of small LMs (fine-tuned on synthetic data from SynQA) in context attribution for QA.</v>
      </c>
      <c r="D2458" s="7" t="str">
        <f>IFERROR(__xludf.DUMMYFUNCTION("""COMPUTED_VALUE"""),"Gorjan Radevski")</f>
        <v>Gorjan Radevski</v>
      </c>
      <c r="E2458" s="7" t="str">
        <f>IFERROR(__xludf.DUMMYFUNCTION("""COMPUTED_VALUE"""),"Yes")</f>
        <v>Yes</v>
      </c>
      <c r="F2458" s="7" t="str">
        <f>IFERROR(__xludf.DUMMYFUNCTION("""COMPUTED_VALUE"""),"IP-Poster")</f>
        <v>IP-Poster</v>
      </c>
      <c r="G2458" s="7" t="str">
        <f>IFERROR(__xludf.DUMMYFUNCTION("""COMPUTED_VALUE"""),"In-Person")</f>
        <v>In-Person</v>
      </c>
      <c r="H2458" s="7" t="str">
        <f>IFERROR(__xludf.DUMMYFUNCTION("""COMPUTED_VALUE"""),"Hall 4/5")</f>
        <v>Hall 4/5</v>
      </c>
      <c r="I2458" s="7" t="str">
        <f>IFERROR(__xludf.DUMMYFUNCTION("""COMPUTED_VALUE"""),"Session 2: IP-Posters ")</f>
        <v>Session 2: IP-Posters </v>
      </c>
      <c r="J2458" s="7" t="str">
        <f>IFERROR(__xludf.DUMMYFUNCTION("""COMPUTED_VALUE"""),"Poster Session 1")</f>
        <v>Poster Session 1</v>
      </c>
      <c r="K2458" s="7"/>
      <c r="L2458" s="8">
        <f>IFERROR(__xludf.DUMMYFUNCTION("""COMPUTED_VALUE"""),45866.0)</f>
        <v>45866</v>
      </c>
      <c r="M2458" s="7" t="str">
        <f>IFERROR(__xludf.DUMMYFUNCTION("""COMPUTED_VALUE"""),"11:00-12:30")</f>
        <v>11:00-12:30</v>
      </c>
      <c r="N2458" s="7"/>
    </row>
    <row r="2459">
      <c r="A2459" s="7" t="str">
        <f>IFERROR(__xludf.DUMMYFUNCTION("""COMPUTED_VALUE"""),"2117-MAIN")</f>
        <v>2117-MAIN</v>
      </c>
      <c r="B2459" s="7" t="str">
        <f>IFERROR(__xludf.DUMMYFUNCTION("""COMPUTED_VALUE"""),"TST: A Schema-Based Top-Down and Dynamic-Aware Agent of Text-to-Table Tasks")</f>
        <v>TST: A Schema-Based Top-Down and Dynamic-Aware Agent of Text-to-Table Tasks</v>
      </c>
      <c r="C2459" s="7" t="str">
        <f>IFERROR(__xludf.DUMMYFUNCTION("""COMPUTED_VALUE"""),"As a bridge between natural texts and information systems like structured storage, statistical analysis, retrieving, and recommendation, the text-to-table task has received widespread attention recently. Existing researches have gone through a paradigm sh"&amp;"ift from traditional bottom-up IE (Information Extraction) to top-down LLMs-based question answering with RAG (Retrieval-Augmented Generation). Furthermore, these methods mainly adopt end-to-end models or use multi-stage pipelines to extract text content "&amp;"based on static table structures. However, they neglect to deal with precise inner-document evidence extraction and dynamic information such as multiple entities and events, which can not be defined in static table head format and are very common in natur"&amp;"al texts.
To address this issue, we propose a two-stage dynamic content extraction agent framework called TST (Text-Schema-Table), which uses type recognition methods to extract context evidences with the conduction of domain schema sequentially. Based o"&amp;"n the evidence, firstly we quantify the total instances of each dynamic object and then extract them with ordered numerical prompts. Through extensive comparisons with existing methods across different datasets, our extraction framework exhibits state-of-"&amp;"the-art (SOTA) performance. Our codes are available at \url{https://github.com/jiangpw41/TST}.")</f>
        <v>As a bridge between natural texts and information systems like structured storage, statistical analysis, retrieving, and recommendation, the text-to-table task has received widespread attention recently. Existing researches have gone through a paradigm shift from traditional bottom-up IE (Information Extraction) to top-down LLMs-based question answering with RAG (Retrieval-Augmented Generation). Furthermore, these methods mainly adopt end-to-end models or use multi-stage pipelines to extract text content based on static table structures. However, they neglect to deal with precise inner-document evidence extraction and dynamic information such as multiple entities and events, which can not be defined in static table head format and are very common in natural texts.
To address this issue, we propose a two-stage dynamic content extraction agent framework called TST (Text-Schema-Table), which uses type recognition methods to extract context evidences with the conduction of domain schema sequentially. Based on the evidence, firstly we quantify the total instances of each dynamic object and then extract them with ordered numerical prompts. Through extensive comparisons with existing methods across different datasets, our extraction framework exhibits state-of-the-art (SOTA) performance. Our codes are available at \url{https://github.com/jiangpw41/TST}.</v>
      </c>
      <c r="D2459" s="7" t="str">
        <f>IFERROR(__xludf.DUMMYFUNCTION("""COMPUTED_VALUE"""),"Peiwen Jiang")</f>
        <v>Peiwen Jiang</v>
      </c>
      <c r="E2459" s="7" t="str">
        <f>IFERROR(__xludf.DUMMYFUNCTION("""COMPUTED_VALUE"""),"Yes")</f>
        <v>Yes</v>
      </c>
      <c r="F2459" s="7" t="str">
        <f>IFERROR(__xludf.DUMMYFUNCTION("""COMPUTED_VALUE"""),"IP-Poster")</f>
        <v>IP-Poster</v>
      </c>
      <c r="G2459" s="7" t="str">
        <f>IFERROR(__xludf.DUMMYFUNCTION("""COMPUTED_VALUE"""),"In-Person")</f>
        <v>In-Person</v>
      </c>
      <c r="H2459" s="7" t="str">
        <f>IFERROR(__xludf.DUMMYFUNCTION("""COMPUTED_VALUE"""),"Hall 4/5")</f>
        <v>Hall 4/5</v>
      </c>
      <c r="I2459" s="7" t="str">
        <f>IFERROR(__xludf.DUMMYFUNCTION("""COMPUTED_VALUE"""),"Session 7: IP-Posters")</f>
        <v>Session 7: IP-Posters</v>
      </c>
      <c r="J2459" s="7" t="str">
        <f>IFERROR(__xludf.DUMMYFUNCTION("""COMPUTED_VALUE"""),"Poster Session 2")</f>
        <v>Poster Session 2</v>
      </c>
      <c r="K2459" s="7"/>
      <c r="L2459" s="8">
        <f>IFERROR(__xludf.DUMMYFUNCTION("""COMPUTED_VALUE"""),45867.0)</f>
        <v>45867</v>
      </c>
      <c r="M2459" s="7" t="str">
        <f>IFERROR(__xludf.DUMMYFUNCTION("""COMPUTED_VALUE"""),"10:30-12:00")</f>
        <v>10:30-12:00</v>
      </c>
      <c r="N2459" s="7"/>
    </row>
    <row r="2460">
      <c r="A2460" s="7" t="str">
        <f>IFERROR(__xludf.DUMMYFUNCTION("""COMPUTED_VALUE"""),"2119-MAIN")</f>
        <v>2119-MAIN</v>
      </c>
      <c r="B2460" s="7" t="str">
        <f>IFERROR(__xludf.DUMMYFUNCTION("""COMPUTED_VALUE"""),"EventRAG: Enhancing LLM Generation with Event Knowledge Graphs")</f>
        <v>EventRAG: Enhancing LLM Generation with Event Knowledge Graphs</v>
      </c>
      <c r="C2460" s="7" t="str">
        <f>IFERROR(__xludf.DUMMYFUNCTION("""COMPUTED_VALUE"""),"Retrieval-augmented generation (RAG) systems often struggle with narrative-rich documents and event-centric reasoning, particularly when synthesizing information across multiple sources. We present EventRAG, a novel framework that enhances text generation"&amp;" through structured event representations. We first construct an Event Knowledge Graph by extracting events and merging semantically equivalent nodes across documents, while expanding under-connected relationships. We then employ an iterative retrieval an"&amp;"d inference strategy that explicitly captures temporal dependencies and logical relationships across events. Experiments on UltraDomain and MultiHopRAG benchmarks show EventRAG's superiority over baseline RAG systems, with substantial gains in generation "&amp;"effectiveness, logical consistency, and multi-hop reasoning accuracy. Our work advances RAG systems by integrating structured event semantics with iterative inference, particularly benefiting scenarios requiring temporal and logical reasoning across docum"&amp;"ents.")</f>
        <v>Retrieval-augmented generation (RAG) systems often struggle with narrative-rich documents and event-centric reasoning, particularly when synthesizing information across multiple sources. We present EventRAG, a novel framework that enhances text generation through structured event representations. We first construct an Event Knowledge Graph by extracting events and merging semantically equivalent nodes across documents, while expanding under-connected relationships. We then employ an iterative retrieval and inference strategy that explicitly captures temporal dependencies and logical relationships across events. Experiments on UltraDomain and MultiHopRAG benchmarks show EventRAG's superiority over baseline RAG systems, with substantial gains in generation effectiveness, logical consistency, and multi-hop reasoning accuracy. Our work advances RAG systems by integrating structured event semantics with iterative inference, particularly benefiting scenarios requiring temporal and logical reasoning across documents.</v>
      </c>
      <c r="D2460" s="7" t="str">
        <f>IFERROR(__xludf.DUMMYFUNCTION("""COMPUTED_VALUE"""),"Zairun Yang")</f>
        <v>Zairun Yang</v>
      </c>
      <c r="E2460" s="7" t="str">
        <f>IFERROR(__xludf.DUMMYFUNCTION("""COMPUTED_VALUE"""),"Yes")</f>
        <v>Yes</v>
      </c>
      <c r="F2460" s="7" t="str">
        <f>IFERROR(__xludf.DUMMYFUNCTION("""COMPUTED_VALUE"""),"IP-Poster")</f>
        <v>IP-Poster</v>
      </c>
      <c r="G2460" s="7" t="str">
        <f>IFERROR(__xludf.DUMMYFUNCTION("""COMPUTED_VALUE"""),"In-Person")</f>
        <v>In-Person</v>
      </c>
      <c r="H2460" s="7" t="str">
        <f>IFERROR(__xludf.DUMMYFUNCTION("""COMPUTED_VALUE"""),"Hall 4/5")</f>
        <v>Hall 4/5</v>
      </c>
      <c r="I2460" s="7" t="str">
        <f>IFERROR(__xludf.DUMMYFUNCTION("""COMPUTED_VALUE"""),"Session 10: IP-Posters")</f>
        <v>Session 10: IP-Posters</v>
      </c>
      <c r="J2460" s="7" t="str">
        <f>IFERROR(__xludf.DUMMYFUNCTION("""COMPUTED_VALUE"""),"Poster Session 3")</f>
        <v>Poster Session 3</v>
      </c>
      <c r="K2460" s="7"/>
      <c r="L2460" s="8">
        <f>IFERROR(__xludf.DUMMYFUNCTION("""COMPUTED_VALUE"""),45867.0)</f>
        <v>45867</v>
      </c>
      <c r="M2460" s="7" t="str">
        <f>IFERROR(__xludf.DUMMYFUNCTION("""COMPUTED_VALUE"""),"16:00-17:30")</f>
        <v>16:00-17:30</v>
      </c>
      <c r="N2460" s="7"/>
    </row>
    <row r="2461">
      <c r="A2461" s="7" t="str">
        <f>IFERROR(__xludf.DUMMYFUNCTION("""COMPUTED_VALUE"""),"2124-MAIN")</f>
        <v>2124-MAIN</v>
      </c>
      <c r="B2461" s="7" t="str">
        <f>IFERROR(__xludf.DUMMYFUNCTION("""COMPUTED_VALUE"""),"Analyzing the Rapid Generalization of SFT via the Perspective of Attention Head Activation Patterns")</f>
        <v>Analyzing the Rapid Generalization of SFT via the Perspective of Attention Head Activation Patterns</v>
      </c>
      <c r="C2461" s="7" t="str">
        <f>IFERROR(__xludf.DUMMYFUNCTION("""COMPUTED_VALUE"""),"LLMs' performance on complex tasks is still unsatisfactory. A key issue is that presently LLMs learn in a data-driven schema, while the instructions about these complex tasks are both scarce and hard to collect or construct. On the contrary, a prominent p"&amp;"henomenon is that LLMs can learn rather fast on simpler tasks with adequate prior knowledge captured during pretraining stage. Thus, if the prerequisite and mechanism of such rapid generalization could be elucidated, it could enhance the efficiency and ef"&amp;"fectiveness of the LLM's ability to learn complex tasks. Thus, in this paper, we employ a gradient-based method, to dissect the process that the SFT process adapts LLMs to downstream tasks via the perspective of attention patterns. We find that: (1) LLMs "&amp;"selectively activate task-specific attention heads during SFT; (2) activation patterns for complex tasks are combinations of basic task patterns; and (3) changes in a few parameters can significantly impact activation patterns after SFT on a small number "&amp;"of samples.Based on these insights, experiments are conducted to actually enhance the efficiency and effectiveness of SFT.")</f>
        <v>LLMs' performance on complex tasks is still unsatisfactory. A key issue is that presently LLMs learn in a data-driven schema, while the instructions about these complex tasks are both scarce and hard to collect or construct. On the contrary, a prominent phenomenon is that LLMs can learn rather fast on simpler tasks with adequate prior knowledge captured during pretraining stage. Thus, if the prerequisite and mechanism of such rapid generalization could be elucidated, it could enhance the efficiency and effectiveness of the LLM's ability to learn complex tasks. Thus, in this paper, we employ a gradient-based method, to dissect the process that the SFT process adapts LLMs to downstream tasks via the perspective of attention patterns. We find that: (1) LLMs selectively activate task-specific attention heads during SFT; (2) activation patterns for complex tasks are combinations of basic task patterns; and (3) changes in a few parameters can significantly impact activation patterns after SFT on a small number of samples.Based on these insights, experiments are conducted to actually enhance the efficiency and effectiveness of SFT.</v>
      </c>
      <c r="D2461" s="7" t="str">
        <f>IFERROR(__xludf.DUMMYFUNCTION("""COMPUTED_VALUE"""),"Yang Zhao")</f>
        <v>Yang Zhao</v>
      </c>
      <c r="E2461" s="7" t="str">
        <f>IFERROR(__xludf.DUMMYFUNCTION("""COMPUTED_VALUE"""),"Yes")</f>
        <v>Yes</v>
      </c>
      <c r="F2461" s="7" t="str">
        <f>IFERROR(__xludf.DUMMYFUNCTION("""COMPUTED_VALUE"""),"IP-Poster")</f>
        <v>IP-Poster</v>
      </c>
      <c r="G2461" s="7" t="str">
        <f>IFERROR(__xludf.DUMMYFUNCTION("""COMPUTED_VALUE"""),"In-Person")</f>
        <v>In-Person</v>
      </c>
      <c r="H2461" s="7" t="str">
        <f>IFERROR(__xludf.DUMMYFUNCTION("""COMPUTED_VALUE"""),"Hall 4/5")</f>
        <v>Hall 4/5</v>
      </c>
      <c r="I2461" s="7" t="str">
        <f>IFERROR(__xludf.DUMMYFUNCTION("""COMPUTED_VALUE"""),"Session 7: IP-Posters")</f>
        <v>Session 7: IP-Posters</v>
      </c>
      <c r="J2461" s="7" t="str">
        <f>IFERROR(__xludf.DUMMYFUNCTION("""COMPUTED_VALUE"""),"Poster Session 2")</f>
        <v>Poster Session 2</v>
      </c>
      <c r="K2461" s="7"/>
      <c r="L2461" s="8">
        <f>IFERROR(__xludf.DUMMYFUNCTION("""COMPUTED_VALUE"""),45867.0)</f>
        <v>45867</v>
      </c>
      <c r="M2461" s="7" t="str">
        <f>IFERROR(__xludf.DUMMYFUNCTION("""COMPUTED_VALUE"""),"10:30-12:00")</f>
        <v>10:30-12:00</v>
      </c>
      <c r="N2461" s="7"/>
    </row>
    <row r="2462">
      <c r="A2462" s="7" t="str">
        <f>IFERROR(__xludf.DUMMYFUNCTION("""COMPUTED_VALUE"""),"2127-MAIN")</f>
        <v>2127-MAIN</v>
      </c>
      <c r="B2462" s="7" t="str">
        <f>IFERROR(__xludf.DUMMYFUNCTION("""COMPUTED_VALUE"""),"Can't See the Forest for the Trees: Benchmarking Multimodal Safety Awareness for Multimodal LLMs")</f>
        <v>Can't See the Forest for the Trees: Benchmarking Multimodal Safety Awareness for Multimodal LLMs</v>
      </c>
      <c r="C2462" s="7" t="str">
        <f>IFERROR(__xludf.DUMMYFUNCTION("""COMPUTED_VALUE"""),"Multimodal Large Language Models (MLLMs) have expanded the capabilities of traditional language models by enabling interaction through both text and images. However, ensuring the safety of these models remains a significant challenge, particularly in accu"&amp;"rately identifying whether multimodal content is safe or unsafe—a capability we term \emph{safety awareness}. In this paper, we introduce MMSafeAware, the first comprehensive multimodal safety awareness benchmark designed to evaluate MLLMs across 29 safet"&amp;"y scenarios with 1,500 carefully curated image-prompt pairs. MMSafeAware includes both unsafe and over-safety subsets to assess models' abilities to correctly identify unsafe content and avoid over-sensitivity that can hinder helpfulness. Evaluating nine "&amp;"widely used MLLMs using MMSafeAware reveals that current models are not sufficiently safe and often overly sensitive; for example, GPT-4V misclassifies 36.1% of unsafe inputs as safe and 59.9% of benign inputs as unsafe. We further explore three methods t"&amp;"o improve safety awareness—prompting-based approaches, visual contrastive decoding, and vision-centric reasoning fine-tuning—but find that none achieve satisfactory performance. Our findings highlight the profound challenges in developing MLLMs with robus"&amp;"t safety awareness, underscoring the need for further research in this area. All the code and data will be publicly available to facilitate future research.")</f>
        <v>Multimodal Large Language Models (MLLMs) have expanded the capabilities of traditional language models by enabling interaction through both text and images. However, ensuring the safety of these models remains a significant challenge, particularly in accurately identifying whether multimodal content is safe or unsafe—a capability we term \emph{safety awareness}. In this paper, we introduce MMSafeAware, the first comprehensive multimodal safety awareness benchmark designed to evaluate MLLMs across 29 safety scenarios with 1,500 carefully curated image-prompt pairs. MMSafeAware includes both unsafe and over-safety subsets to assess models' abilities to correctly identify unsafe content and avoid over-sensitivity that can hinder helpfulness. Evaluating nine widely used MLLMs using MMSafeAware reveals that current models are not sufficiently safe and often overly sensitive; for example, GPT-4V misclassifies 36.1% of unsafe inputs as safe and 59.9% of benign inputs as unsafe. We further explore three methods to improve safety awareness—prompting-based approaches, visual contrastive decoding, and vision-centric reasoning fine-tuning—but find that none achieve satisfactory performance. Our findings highlight the profound challenges in developing MLLMs with robust safety awareness, underscoring the need for further research in this area. All the code and data will be publicly available to facilitate future research.</v>
      </c>
      <c r="D2462" s="7" t="str">
        <f>IFERROR(__xludf.DUMMYFUNCTION("""COMPUTED_VALUE"""),"Wenxuan Wang")</f>
        <v>Wenxuan Wang</v>
      </c>
      <c r="E2462" s="7" t="str">
        <f>IFERROR(__xludf.DUMMYFUNCTION("""COMPUTED_VALUE"""),"Yes")</f>
        <v>Yes</v>
      </c>
      <c r="F2462" s="7" t="str">
        <f>IFERROR(__xludf.DUMMYFUNCTION("""COMPUTED_VALUE"""),"IP-Poster")</f>
        <v>IP-Poster</v>
      </c>
      <c r="G2462" s="7" t="str">
        <f>IFERROR(__xludf.DUMMYFUNCTION("""COMPUTED_VALUE"""),"In-Person")</f>
        <v>In-Person</v>
      </c>
      <c r="H2462" s="7" t="str">
        <f>IFERROR(__xludf.DUMMYFUNCTION("""COMPUTED_VALUE"""),"Hall 4/5")</f>
        <v>Hall 4/5</v>
      </c>
      <c r="I2462" s="7" t="str">
        <f>IFERROR(__xludf.DUMMYFUNCTION("""COMPUTED_VALUE"""),"Session 10: IP-Posters")</f>
        <v>Session 10: IP-Posters</v>
      </c>
      <c r="J2462" s="7" t="str">
        <f>IFERROR(__xludf.DUMMYFUNCTION("""COMPUTED_VALUE"""),"Poster Session 3")</f>
        <v>Poster Session 3</v>
      </c>
      <c r="K2462" s="7"/>
      <c r="L2462" s="8">
        <f>IFERROR(__xludf.DUMMYFUNCTION("""COMPUTED_VALUE"""),45867.0)</f>
        <v>45867</v>
      </c>
      <c r="M2462" s="7" t="str">
        <f>IFERROR(__xludf.DUMMYFUNCTION("""COMPUTED_VALUE"""),"16:00-17:30")</f>
        <v>16:00-17:30</v>
      </c>
      <c r="N2462" s="7"/>
    </row>
    <row r="2463">
      <c r="A2463" s="7" t="str">
        <f>IFERROR(__xludf.DUMMYFUNCTION("""COMPUTED_VALUE"""),"2129-MAIN")</f>
        <v>2129-MAIN</v>
      </c>
      <c r="B2463" s="7" t="str">
        <f>IFERROR(__xludf.DUMMYFUNCTION("""COMPUTED_VALUE"""),"Mis-prompt: Benchmarking Large Language Models for Proactive Error Handling")</f>
        <v>Mis-prompt: Benchmarking Large Language Models for Proactive Error Handling</v>
      </c>
      <c r="C2463" s="7" t="str">
        <f>IFERROR(__xludf.DUMMYFUNCTION("""COMPUTED_VALUE"""),"Large language models (LLMs) have demonstrated significant advancements in error handling. Current error-handling works are performed in a passive manner, with explicit error-handling instructions. However, in real-world scenarios, explicit error-handling"&amp;" instructions are usually unavailable. In this paper, our work identifies this challenge as how to conduct proactive error handling without explicit error handling instructions. To promote further research, this work introduces a new benchmark, termed Mis"&amp;"-prompt, consisting of four evaluation tasks, an error category taxonomy, and a new evaluation dataset. Furthermore, this work analyzes current LLMs' performance on the benchmark, and the experimental results reveal that current LLMs show poor performance"&amp;" on proactive error handling, and SFT on error handling instances improves LLMs' proactive error handling capabilities. The dataset will be publicly available.")</f>
        <v>Large language models (LLMs) have demonstrated significant advancements in error handling. Current error-handling works are performed in a passive manner, with explicit error-handling instructions. However, in real-world scenarios, explicit error-handling instructions are usually unavailable. In this paper, our work identifies this challenge as how to conduct proactive error handling without explicit error handling instructions. To promote further research, this work introduces a new benchmark, termed Mis-prompt, consisting of four evaluation tasks, an error category taxonomy, and a new evaluation dataset. Furthermore, this work analyzes current LLMs' performance on the benchmark, and the experimental results reveal that current LLMs show poor performance on proactive error handling, and SFT on error handling instances improves LLMs' proactive error handling capabilities. The dataset will be publicly available.</v>
      </c>
      <c r="D2463" s="7" t="str">
        <f>IFERROR(__xludf.DUMMYFUNCTION("""COMPUTED_VALUE"""),"Jiayi Zeng")</f>
        <v>Jiayi Zeng</v>
      </c>
      <c r="E2463" s="7" t="str">
        <f>IFERROR(__xludf.DUMMYFUNCTION("""COMPUTED_VALUE"""),"Yes")</f>
        <v>Yes</v>
      </c>
      <c r="F2463" s="7" t="str">
        <f>IFERROR(__xludf.DUMMYFUNCTION("""COMPUTED_VALUE"""),"IP-Poster")</f>
        <v>IP-Poster</v>
      </c>
      <c r="G2463" s="7" t="str">
        <f>IFERROR(__xludf.DUMMYFUNCTION("""COMPUTED_VALUE"""),"In-Person")</f>
        <v>In-Person</v>
      </c>
      <c r="H2463" s="7" t="str">
        <f>IFERROR(__xludf.DUMMYFUNCTION("""COMPUTED_VALUE"""),"Hall 4/5")</f>
        <v>Hall 4/5</v>
      </c>
      <c r="I2463" s="7" t="str">
        <f>IFERROR(__xludf.DUMMYFUNCTION("""COMPUTED_VALUE"""),"Session 7: IP-Posters")</f>
        <v>Session 7: IP-Posters</v>
      </c>
      <c r="J2463" s="7" t="str">
        <f>IFERROR(__xludf.DUMMYFUNCTION("""COMPUTED_VALUE"""),"Poster Session 2")</f>
        <v>Poster Session 2</v>
      </c>
      <c r="K2463" s="7"/>
      <c r="L2463" s="8">
        <f>IFERROR(__xludf.DUMMYFUNCTION("""COMPUTED_VALUE"""),45867.0)</f>
        <v>45867</v>
      </c>
      <c r="M2463" s="7" t="str">
        <f>IFERROR(__xludf.DUMMYFUNCTION("""COMPUTED_VALUE"""),"10:30-12:00")</f>
        <v>10:30-12:00</v>
      </c>
      <c r="N2463" s="7"/>
    </row>
    <row r="2464">
      <c r="A2464" s="7" t="str">
        <f>IFERROR(__xludf.DUMMYFUNCTION("""COMPUTED_VALUE"""),"2133-MAIN")</f>
        <v>2133-MAIN</v>
      </c>
      <c r="B2464" s="7" t="str">
        <f>IFERROR(__xludf.DUMMYFUNCTION("""COMPUTED_VALUE"""),"TripCraft: A Benchmark for Spatio-Temporally Fine Grained Travel Planning")</f>
        <v>TripCraft: A Benchmark for Spatio-Temporally Fine Grained Travel Planning</v>
      </c>
      <c r="C2464" s="7" t="str">
        <f>IFERROR(__xludf.DUMMYFUNCTION("""COMPUTED_VALUE"""),"Recent advancements in probing Large Language Models (LLMs) have explored their latent potential as personalized travel planning agents, though this remains a rather nascent field. Existing benchmarks, such as TravelPlanner and TravelPlanner+, rely on sem"&amp;"i-synthetic data as well ignoring several key components of travel planning, limiting their real-world applicability. Therefore, we introduce TripCraft, a spatio-temporally coherent travel planning dataset incorporating real-world constraints, including p"&amp;"ublic transit schedules, public events, varied attraction categories, and user personas for enhanced personalization. Our dataset enables more detailed trip itinerary generation (including duration spent at each point of interest based on users' persona, "&amp;"transit between two points of interest, etc.) while ensuring spatio-temporal consistency. Further, we propose novel evaluation metrics (temporal meal score, attraction score, spatial score, ordering score, and persona score) to assess LLM-generated plans "&amp;"across temporal, spatial, sequential, and personal dimensions, overcoming the limitations of commonsense and hard constraint metrics. Interestingly, our parameter-informed setting significantly enhances meal scheduling, improving performance from 61% to 8"&amp;"0% in the 7-day scenario- as quantified by a 19% gain in our temporal meal score. Moreover, TripCraft serves as a high-quality benchmark for advancing personalized LLM-driven travel planning.")</f>
        <v>Recent advancements in probing Large Language Models (LLMs) have explored their latent potential as personalized travel planning agents, though this remains a rather nascent field. Existing benchmarks, such as TravelPlanner and TravelPlanner+, rely on semi-synthetic data as well ignoring several key components of travel planning, limiting their real-world applicability. Therefore, we introduce TripCraft, a spatio-temporally coherent travel planning dataset incorporating real-world constraints, including public transit schedules, public events, varied attraction categories, and user personas for enhanced personalization. Our dataset enables more detailed trip itinerary generation (including duration spent at each point of interest based on users' persona, transit between two points of interest, etc.) while ensuring spatio-temporal consistency. Further, we propose novel evaluation metrics (temporal meal score, attraction score, spatial score, ordering score, and persona score) to assess LLM-generated plans across temporal, spatial, sequential, and personal dimensions, overcoming the limitations of commonsense and hard constraint metrics. Interestingly, our parameter-informed setting significantly enhances meal scheduling, improving performance from 61% to 80% in the 7-day scenario- as quantified by a 19% gain in our temporal meal score. Moreover, TripCraft serves as a high-quality benchmark for advancing personalized LLM-driven travel planning.</v>
      </c>
      <c r="D2464" s="7" t="str">
        <f>IFERROR(__xludf.DUMMYFUNCTION("""COMPUTED_VALUE"""),"Soumyabrata Chaudhuri")</f>
        <v>Soumyabrata Chaudhuri</v>
      </c>
      <c r="E2464" s="7" t="str">
        <f>IFERROR(__xludf.DUMMYFUNCTION("""COMPUTED_VALUE"""),"Yes")</f>
        <v>Yes</v>
      </c>
      <c r="F2464" s="7" t="str">
        <f>IFERROR(__xludf.DUMMYFUNCTION("""COMPUTED_VALUE"""),"IP-Poster")</f>
        <v>IP-Poster</v>
      </c>
      <c r="G2464" s="7" t="str">
        <f>IFERROR(__xludf.DUMMYFUNCTION("""COMPUTED_VALUE"""),"In-Person")</f>
        <v>In-Person</v>
      </c>
      <c r="H2464" s="7" t="str">
        <f>IFERROR(__xludf.DUMMYFUNCTION("""COMPUTED_VALUE"""),"Hall 4/5")</f>
        <v>Hall 4/5</v>
      </c>
      <c r="I2464" s="7" t="str">
        <f>IFERROR(__xludf.DUMMYFUNCTION("""COMPUTED_VALUE"""),"Session 7: IP-Posters")</f>
        <v>Session 7: IP-Posters</v>
      </c>
      <c r="J2464" s="7" t="str">
        <f>IFERROR(__xludf.DUMMYFUNCTION("""COMPUTED_VALUE"""),"Poster Session 2")</f>
        <v>Poster Session 2</v>
      </c>
      <c r="K2464" s="7"/>
      <c r="L2464" s="8">
        <f>IFERROR(__xludf.DUMMYFUNCTION("""COMPUTED_VALUE"""),45867.0)</f>
        <v>45867</v>
      </c>
      <c r="M2464" s="7" t="str">
        <f>IFERROR(__xludf.DUMMYFUNCTION("""COMPUTED_VALUE"""),"10:30-12:00")</f>
        <v>10:30-12:00</v>
      </c>
      <c r="N2464" s="7"/>
    </row>
    <row r="2465">
      <c r="A2465" s="7" t="str">
        <f>IFERROR(__xludf.DUMMYFUNCTION("""COMPUTED_VALUE"""),"2137-MAIN")</f>
        <v>2137-MAIN</v>
      </c>
      <c r="B2465" s="7" t="str">
        <f>IFERROR(__xludf.DUMMYFUNCTION("""COMPUTED_VALUE"""),"DualGuard: A Parameter Space Transformation Approach for Bidirectional Defense in Split-Based LLM Fine-Tuning")</f>
        <v>DualGuard: A Parameter Space Transformation Approach for Bidirectional Defense in Split-Based LLM Fine-Tuning</v>
      </c>
      <c r="C2465" s="7" t="str">
        <f>IFERROR(__xludf.DUMMYFUNCTION("""COMPUTED_VALUE"""),"Integrating split learning with large language model fine-tuning (LLM-FT) enables secure collaboration between a trusted local client and a well-equipped remote server, but it is vulnerable to data reconstruction attacks (DRAs) that exploit transmitted ac"&amp;"tivations and gradients. Current defense methods, like adding noise to activations or gradients, often sacrifice task-specific model performance under strict privacy constraints. This paper introduces DualGuard, a bidirectional defense mechanism against D"&amp;"RAs for split-based LLM-FT. DualGuard proposes a local warm-up parameter space transformation to alter client-side model parameters before training, using multi-task learning to strike a balance between privacy protection and model performance. Additional"&amp;"ly, a global fine-tuning parameter space retention strategy prevents the model from reverting to vulnerable states during formal fine-tuning. Experiments show that DualGuard outperforms current defense methods against various DRAs, while maintaining task "&amp;"performance. Our code will be made publicly available.")</f>
        <v>Integrating split learning with large language model fine-tuning (LLM-FT) enables secure collaboration between a trusted local client and a well-equipped remote server, but it is vulnerable to data reconstruction attacks (DRAs) that exploit transmitted activations and gradients. Current defense methods, like adding noise to activations or gradients, often sacrifice task-specific model performance under strict privacy constraints. This paper introduces DualGuard, a bidirectional defense mechanism against DRAs for split-based LLM-FT. DualGuard proposes a local warm-up parameter space transformation to alter client-side model parameters before training, using multi-task learning to strike a balance between privacy protection and model performance. Additionally, a global fine-tuning parameter space retention strategy prevents the model from reverting to vulnerable states during formal fine-tuning. Experiments show that DualGuard outperforms current defense methods against various DRAs, while maintaining task performance. Our code will be made publicly available.</v>
      </c>
      <c r="D2465" s="7" t="str">
        <f>IFERROR(__xludf.DUMMYFUNCTION("""COMPUTED_VALUE"""),"Zihan Liu")</f>
        <v>Zihan Liu</v>
      </c>
      <c r="E2465" s="7" t="str">
        <f>IFERROR(__xludf.DUMMYFUNCTION("""COMPUTED_VALUE"""),"Yes")</f>
        <v>Yes</v>
      </c>
      <c r="F2465" s="7" t="str">
        <f>IFERROR(__xludf.DUMMYFUNCTION("""COMPUTED_VALUE"""),"V-Presentation")</f>
        <v>V-Presentation</v>
      </c>
      <c r="G2465" s="7" t="str">
        <f>IFERROR(__xludf.DUMMYFUNCTION("""COMPUTED_VALUE"""),"Virtual/Gather")</f>
        <v>Virtual/Gather</v>
      </c>
      <c r="H2465" s="7" t="str">
        <f>IFERROR(__xludf.DUMMYFUNCTION("""COMPUTED_VALUE"""),"Zoom")</f>
        <v>Zoom</v>
      </c>
      <c r="I2465" s="7" t="str">
        <f>IFERROR(__xludf.DUMMYFUNCTION("""COMPUTED_VALUE"""),"Session 12: V-Presentations")</f>
        <v>Session 12: V-Presentations</v>
      </c>
      <c r="J2465" s="7" t="str">
        <f>IFERROR(__xludf.DUMMYFUNCTION("""COMPUTED_VALUE"""),"Virtual Presentations 4")</f>
        <v>Virtual Presentations 4</v>
      </c>
      <c r="K2465" s="7"/>
      <c r="L2465" s="8">
        <f>IFERROR(__xludf.DUMMYFUNCTION("""COMPUTED_VALUE"""),45868.0)</f>
        <v>45868</v>
      </c>
      <c r="M2465" s="7" t="str">
        <f>IFERROR(__xludf.DUMMYFUNCTION("""COMPUTED_VALUE"""),"11:00-12:30")</f>
        <v>11:00-12:30</v>
      </c>
      <c r="N2465" s="7"/>
    </row>
    <row r="2466">
      <c r="A2466" s="7" t="str">
        <f>IFERROR(__xludf.DUMMYFUNCTION("""COMPUTED_VALUE"""),"2141-MAIN")</f>
        <v>2141-MAIN</v>
      </c>
      <c r="B2466" s="7" t="str">
        <f>IFERROR(__xludf.DUMMYFUNCTION("""COMPUTED_VALUE"""),"Movie101v2: Improved Movie Narration Benchmark")</f>
        <v>Movie101v2: Improved Movie Narration Benchmark</v>
      </c>
      <c r="C2466" s="7" t="str">
        <f>IFERROR(__xludf.DUMMYFUNCTION("""COMPUTED_VALUE"""),"Automatic movie narration aims to generate video-aligned plot descriptions to assist visually impaired audiences. Unlike standard video captioning, it involves not only describing key visual details but also inferring plots that unfold across multiple mov"&amp;"ie shots, presenting distinct and complex challenges. To advance this field, we introduce Movie101v2, a large-scale, bilingual dataset with enhanced data quality specifically designed for movie narration. Revisiting the task, we propose breaking down the "&amp;"ultimate goal of automatic movie narration into three progressive stages, offering a clear roadmap with corresponding evaluation metrics. Based on our new benchmark, we baseline a range of large vision-language models and conduct an in-depth analysis of t"&amp;"he challenges in movie narration generation. Our findings highlight that achieving applicable movie narration generation is a fascinating goal that requires significant research.")</f>
        <v>Automatic movie narration aims to generate video-aligned plot descriptions to assist visually impaired audiences. Unlike standard video captioning, it involves not only describing key visual details but also inferring plots that unfold across multiple movie shots, presenting distinct and complex challenges. To advance this field, we introduce Movie101v2, a large-scale, bilingual dataset with enhanced data quality specifically designed for movie narration. Revisiting the task, we propose breaking down the ultimate goal of automatic movie narration into three progressive stages, offering a clear roadmap with corresponding evaluation metrics. Based on our new benchmark, we baseline a range of large vision-language models and conduct an in-depth analysis of the challenges in movie narration generation. Our findings highlight that achieving applicable movie narration generation is a fascinating goal that requires significant research.</v>
      </c>
      <c r="D2466" s="7" t="str">
        <f>IFERROR(__xludf.DUMMYFUNCTION("""COMPUTED_VALUE"""),"Zihao Yue")</f>
        <v>Zihao Yue</v>
      </c>
      <c r="E2466" s="7" t="str">
        <f>IFERROR(__xludf.DUMMYFUNCTION("""COMPUTED_VALUE"""),"Yes")</f>
        <v>Yes</v>
      </c>
      <c r="F2466" s="7" t="str">
        <f>IFERROR(__xludf.DUMMYFUNCTION("""COMPUTED_VALUE"""),"IP-Poster")</f>
        <v>IP-Poster</v>
      </c>
      <c r="G2466" s="7" t="str">
        <f>IFERROR(__xludf.DUMMYFUNCTION("""COMPUTED_VALUE"""),"In-Person")</f>
        <v>In-Person</v>
      </c>
      <c r="H2466" s="7" t="str">
        <f>IFERROR(__xludf.DUMMYFUNCTION("""COMPUTED_VALUE"""),"Hall 4/5")</f>
        <v>Hall 4/5</v>
      </c>
      <c r="I2466" s="7" t="str">
        <f>IFERROR(__xludf.DUMMYFUNCTION("""COMPUTED_VALUE"""),"Session 2: IP-Posters ")</f>
        <v>Session 2: IP-Posters </v>
      </c>
      <c r="J2466" s="7" t="str">
        <f>IFERROR(__xludf.DUMMYFUNCTION("""COMPUTED_VALUE"""),"Poster Session 1")</f>
        <v>Poster Session 1</v>
      </c>
      <c r="K2466" s="7"/>
      <c r="L2466" s="8">
        <f>IFERROR(__xludf.DUMMYFUNCTION("""COMPUTED_VALUE"""),45866.0)</f>
        <v>45866</v>
      </c>
      <c r="M2466" s="7" t="str">
        <f>IFERROR(__xludf.DUMMYFUNCTION("""COMPUTED_VALUE"""),"11:00-12:30")</f>
        <v>11:00-12:30</v>
      </c>
      <c r="N2466" s="7"/>
    </row>
    <row r="2467">
      <c r="A2467" s="7" t="str">
        <f>IFERROR(__xludf.DUMMYFUNCTION("""COMPUTED_VALUE"""),"2142-MAIN")</f>
        <v>2142-MAIN</v>
      </c>
      <c r="B2467" s="7" t="str">
        <f>IFERROR(__xludf.DUMMYFUNCTION("""COMPUTED_VALUE"""),"Can LLMs Evaluate Complex Attribution in QA? Automatic Benchmarking using Knowledge Graphs")</f>
        <v>Can LLMs Evaluate Complex Attribution in QA? Automatic Benchmarking using Knowledge Graphs</v>
      </c>
      <c r="C2467" s="7" t="str">
        <f>IFERROR(__xludf.DUMMYFUNCTION("""COMPUTED_VALUE"""),"Attributed Question Answering (AQA) has attracted wide attention, but there are still several limitations in evaluating the attributions, including lacking fine-grained attribution categories, relying on manual annotations, and failing to compare attribut"&amp;"ions with only subtle differences. To bridge these gaps, we introduce Complex Attributed Question Answering (CAQA), a large-scale benchmark containing comprehensive attribution categories, automatically generated using Knowledge Graphs (KGs), and complex "&amp;"attribution scenarios. We have conducted extensive experiments to verify the effectiveness of CAQA, including the benchmarking of 25 automatic evaluators, their comparison with human evaluators, the testing of LLM evaluators fine-tuned by CAQA and so on. "&amp;"These experiments also lead to a series of important findings that can benefit the future research of AQA.")</f>
        <v>Attributed Question Answering (AQA) has attracted wide attention, but there are still several limitations in evaluating the attributions, including lacking fine-grained attribution categories, relying on manual annotations, and failing to compare attributions with only subtle differences. To bridge these gaps, we introduce Complex Attributed Question Answering (CAQA), a large-scale benchmark containing comprehensive attribution categories, automatically generated using Knowledge Graphs (KGs), and complex attribution scenarios. We have conducted extensive experiments to verify the effectiveness of CAQA, including the benchmarking of 25 automatic evaluators, their comparison with human evaluators, the testing of LLM evaluators fine-tuned by CAQA and so on. These experiments also lead to a series of important findings that can benefit the future research of AQA.</v>
      </c>
      <c r="D2467" s="7" t="str">
        <f>IFERROR(__xludf.DUMMYFUNCTION("""COMPUTED_VALUE"""),"Nan Hu")</f>
        <v>Nan Hu</v>
      </c>
      <c r="E2467" s="7" t="str">
        <f>IFERROR(__xludf.DUMMYFUNCTION("""COMPUTED_VALUE"""),"Yes")</f>
        <v>Yes</v>
      </c>
      <c r="F2467" s="7" t="str">
        <f>IFERROR(__xludf.DUMMYFUNCTION("""COMPUTED_VALUE"""),"IP-Poster")</f>
        <v>IP-Poster</v>
      </c>
      <c r="G2467" s="7" t="str">
        <f>IFERROR(__xludf.DUMMYFUNCTION("""COMPUTED_VALUE"""),"In-Person")</f>
        <v>In-Person</v>
      </c>
      <c r="H2467" s="7" t="str">
        <f>IFERROR(__xludf.DUMMYFUNCTION("""COMPUTED_VALUE"""),"Hall 4/5")</f>
        <v>Hall 4/5</v>
      </c>
      <c r="I2467" s="7" t="str">
        <f>IFERROR(__xludf.DUMMYFUNCTION("""COMPUTED_VALUE"""),"Session 7: IP-Posters")</f>
        <v>Session 7: IP-Posters</v>
      </c>
      <c r="J2467" s="7" t="str">
        <f>IFERROR(__xludf.DUMMYFUNCTION("""COMPUTED_VALUE"""),"Poster Session 2")</f>
        <v>Poster Session 2</v>
      </c>
      <c r="K2467" s="7"/>
      <c r="L2467" s="8">
        <f>IFERROR(__xludf.DUMMYFUNCTION("""COMPUTED_VALUE"""),45867.0)</f>
        <v>45867</v>
      </c>
      <c r="M2467" s="7" t="str">
        <f>IFERROR(__xludf.DUMMYFUNCTION("""COMPUTED_VALUE"""),"10:30-12:00")</f>
        <v>10:30-12:00</v>
      </c>
      <c r="N2467" s="7"/>
    </row>
    <row r="2468">
      <c r="A2468" s="7" t="str">
        <f>IFERROR(__xludf.DUMMYFUNCTION("""COMPUTED_VALUE"""),"2144-MAIN")</f>
        <v>2144-MAIN</v>
      </c>
      <c r="B2468" s="7" t="str">
        <f>IFERROR(__xludf.DUMMYFUNCTION("""COMPUTED_VALUE"""),"Value Portrait: Assessing Language Models’ Values through Psychometrically and Ecologically Valid Items")</f>
        <v>Value Portrait: Assessing Language Models’ Values through Psychometrically and Ecologically Valid Items</v>
      </c>
      <c r="C2468" s="7" t="str">
        <f>IFERROR(__xludf.DUMMYFUNCTION("""COMPUTED_VALUE"""),"The importance of benchmarks for assessing the values of language models has been pronounced due to the growing need of more authentic, human-aligned responses. However, existing benchmarks rely on human or machine annotations that are vulnerable to value"&amp;"-related biases. Furthermore, the tested scenarios often diverge from real-world contexts in which models are commonly used to generate text and express values. To address these issues, we propose the Value Portrait benchmark, a reliable framework for eva"&amp;"luating LLMs' value orientations with two key characteristics. First, the benchmark consists of items that capture real-life user-LLM interactions, enhancing the relevance of assessment results to real-world LLM usage. Second, each item is rated by human "&amp;"subjects based on its similarity to their own thoughts, and correlations between these ratings and the subjects' actual value scores are derived. This psychometrically validated approach ensures that items strongly correlated with specific values serve as"&amp;" reliable items for assessing those values. Through evaluating 44 LLMs with our benchmark, we find that these models prioritize Benevolence, Security, and Self-Direction values while placing less emphasis on Tradition, Power, and Achievement values. Also,"&amp;" our analysis reveals biases in how LLMs perceive various demographic groups, deviating from real human data.")</f>
        <v>The importance of benchmarks for assessing the values of language models has been pronounced due to the growing need of more authentic, human-aligned responses. However, existing benchmarks rely on human or machine annotations that are vulnerable to value-related biases. Furthermore, the tested scenarios often diverge from real-world contexts in which models are commonly used to generate text and express values. To address these issues, we propose the Value Portrait benchmark, a reliable framework for evaluating LLMs' value orientations with two key characteristics. First, the benchmark consists of items that capture real-life user-LLM interactions, enhancing the relevance of assessment results to real-world LLM usage. Second, each item is rated by human subjects based on its similarity to their own thoughts, and correlations between these ratings and the subjects' actual value scores are derived. This psychometrically validated approach ensures that items strongly correlated with specific values serve as reliable items for assessing those values. Through evaluating 44 LLMs with our benchmark, we find that these models prioritize Benevolence, Security, and Self-Direction values while placing less emphasis on Tradition, Power, and Achievement values. Also, our analysis reveals biases in how LLMs perceive various demographic groups, deviating from real human data.</v>
      </c>
      <c r="D2468" s="7" t="str">
        <f>IFERROR(__xludf.DUMMYFUNCTION("""COMPUTED_VALUE"""),"Jongwook Han
Dongmin Choi
Woojung Song")</f>
        <v>Jongwook Han
Dongmin Choi
Woojung Song</v>
      </c>
      <c r="E2468" s="7" t="str">
        <f>IFERROR(__xludf.DUMMYFUNCTION("""COMPUTED_VALUE"""),"Yes")</f>
        <v>Yes</v>
      </c>
      <c r="F2468" s="7" t="str">
        <f>IFERROR(__xludf.DUMMYFUNCTION("""COMPUTED_VALUE"""),"IP-Poster")</f>
        <v>IP-Poster</v>
      </c>
      <c r="G2468" s="7" t="str">
        <f>IFERROR(__xludf.DUMMYFUNCTION("""COMPUTED_VALUE"""),"In-Person")</f>
        <v>In-Person</v>
      </c>
      <c r="H2468" s="7" t="str">
        <f>IFERROR(__xludf.DUMMYFUNCTION("""COMPUTED_VALUE"""),"Hall 4/5")</f>
        <v>Hall 4/5</v>
      </c>
      <c r="I2468" s="7" t="str">
        <f>IFERROR(__xludf.DUMMYFUNCTION("""COMPUTED_VALUE"""),"Session 2: IP-Posters ")</f>
        <v>Session 2: IP-Posters </v>
      </c>
      <c r="J2468" s="7" t="str">
        <f>IFERROR(__xludf.DUMMYFUNCTION("""COMPUTED_VALUE"""),"Poster Session 1")</f>
        <v>Poster Session 1</v>
      </c>
      <c r="K2468" s="7"/>
      <c r="L2468" s="8">
        <f>IFERROR(__xludf.DUMMYFUNCTION("""COMPUTED_VALUE"""),45866.0)</f>
        <v>45866</v>
      </c>
      <c r="M2468" s="7" t="str">
        <f>IFERROR(__xludf.DUMMYFUNCTION("""COMPUTED_VALUE"""),"11:00-12:30")</f>
        <v>11:00-12:30</v>
      </c>
      <c r="N2468" s="7"/>
    </row>
    <row r="2469">
      <c r="A2469" s="7" t="str">
        <f>IFERROR(__xludf.DUMMYFUNCTION("""COMPUTED_VALUE"""),"2147-MAIN")</f>
        <v>2147-MAIN</v>
      </c>
      <c r="B2469" s="7" t="str">
        <f>IFERROR(__xludf.DUMMYFUNCTION("""COMPUTED_VALUE"""),"FEA-Bench: A Benchmark for Evaluating Repository-Level Code Generation for Feature Implementation")</f>
        <v>FEA-Bench: A Benchmark for Evaluating Repository-Level Code Generation for Feature Implementation</v>
      </c>
      <c r="C2469" s="7" t="str">
        <f>IFERROR(__xludf.DUMMYFUNCTION("""COMPUTED_VALUE"""),"Implementing new features in repository-level codebases is a crucial application of code generation models. However, current benchmarks lack a dedicated evaluation framework for this capability. To fill this gap, we introduce FEA-Bench, a benchmark design"&amp;"ed to assess the ability of large language models (LLMs) to perform incremental development within code repositories. We collect pull requests from 83 GitHub repositories and use rule-based and intent-based filtering to construct task instances focused on"&amp;" new feature development. Each task instance containing code changes is paired with relevant unit test files to ensure that the solution can be verified. 
The feature implementation requires LLMs to simultaneously possess code completion capabilities for "&amp;"new components and code editing abilities for other relevant parts in the code repository, providing a more comprehensive evaluation method of LLMs' automated software engineering capabilities.
Experimental results show that LLMs perform significantly wor"&amp;"se in the FEA-Bench, highlighting considerable challenges in such repository-level incremental code development.")</f>
        <v>Implementing new features in repository-level codebases is a crucial application of code generation models. However, current benchmarks lack a dedicated evaluation framework for this capability. To fill this gap, we introduce FEA-Bench, a benchmark designed to assess the ability of large language models (LLMs) to perform incremental development within code repositories. We collect pull requests from 83 GitHub repositories and use rule-based and intent-based filtering to construct task instances focused on new feature development. Each task instance containing code changes is paired with relevant unit test files to ensure that the solution can be verified. 
The feature implementation requires LLMs to simultaneously possess code completion capabilities for new components and code editing abilities for other relevant parts in the code repository, providing a more comprehensive evaluation method of LLMs' automated software engineering capabilities.
Experimental results show that LLMs perform significantly worse in the FEA-Bench, highlighting considerable challenges in such repository-level incremental code development.</v>
      </c>
      <c r="D2469" s="7" t="str">
        <f>IFERROR(__xludf.DUMMYFUNCTION("""COMPUTED_VALUE"""),"Wei Li")</f>
        <v>Wei Li</v>
      </c>
      <c r="E2469" s="7" t="str">
        <f>IFERROR(__xludf.DUMMYFUNCTION("""COMPUTED_VALUE"""),"Yes")</f>
        <v>Yes</v>
      </c>
      <c r="F2469" s="7" t="str">
        <f>IFERROR(__xludf.DUMMYFUNCTION("""COMPUTED_VALUE"""),"IP-Poster")</f>
        <v>IP-Poster</v>
      </c>
      <c r="G2469" s="7" t="str">
        <f>IFERROR(__xludf.DUMMYFUNCTION("""COMPUTED_VALUE"""),"In-Person")</f>
        <v>In-Person</v>
      </c>
      <c r="H2469" s="7" t="str">
        <f>IFERROR(__xludf.DUMMYFUNCTION("""COMPUTED_VALUE"""),"Hall 4/5")</f>
        <v>Hall 4/5</v>
      </c>
      <c r="I2469" s="7" t="str">
        <f>IFERROR(__xludf.DUMMYFUNCTION("""COMPUTED_VALUE"""),"Session 12: IP-Posters")</f>
        <v>Session 12: IP-Posters</v>
      </c>
      <c r="J2469" s="7" t="str">
        <f>IFERROR(__xludf.DUMMYFUNCTION("""COMPUTED_VALUE"""),"Poster Session 4")</f>
        <v>Poster Session 4</v>
      </c>
      <c r="K2469" s="7"/>
      <c r="L2469" s="8">
        <f>IFERROR(__xludf.DUMMYFUNCTION("""COMPUTED_VALUE"""),45868.0)</f>
        <v>45868</v>
      </c>
      <c r="M2469" s="7" t="str">
        <f>IFERROR(__xludf.DUMMYFUNCTION("""COMPUTED_VALUE"""),"11:00-12:30")</f>
        <v>11:00-12:30</v>
      </c>
      <c r="N2469" s="7"/>
    </row>
    <row r="2470">
      <c r="A2470" s="7" t="str">
        <f>IFERROR(__xludf.DUMMYFUNCTION("""COMPUTED_VALUE"""),"2149-MAIN")</f>
        <v>2149-MAIN</v>
      </c>
      <c r="B2470" s="7" t="str">
        <f>IFERROR(__xludf.DUMMYFUNCTION("""COMPUTED_VALUE"""),"Do not Abstain! Identify and Solve the Uncertainty")</f>
        <v>Do not Abstain! Identify and Solve the Uncertainty</v>
      </c>
      <c r="C2470" s="7" t="str">
        <f>IFERROR(__xludf.DUMMYFUNCTION("""COMPUTED_VALUE"""),"Despite the widespread application of Large Language Models (LLMs) across various domains, they frequently exhibit overconfidence when encountering uncertain scenarios, yet existing solutions primarily rely on evasive responses (e.g., ""I don't know"") ov"&amp;"erlooks the opportunity of identifying and addressing the uncertainty to generate more satisfactory responses. To systematically investigate and improve LLMs' ability of recognizing and addressing the source of uncertainty, we introduce ConfuseBench, a be"&amp;"nchmark mainly focus on three types of uncertainty: document scarcity, limited capability, and query ambiguity. Experiments with ConfuseBench reveal that current LLMs struggle to accurately identify the root cause of uncertainty and solve it. They prefer "&amp;"to attribute uncertainty to query ambiguity while overlooking capability limitations, especially for those weaker models. To tackle this challenge, we first generate context-aware inquiries that highlight the confusing aspect of the original query. Then w"&amp;"e judge the source of uncertainty based on the uniqueness of the inquiry's answer. Further we use an on-policy training method, InteractDPO to generate better inquiries. Experimental results demonstrate the efficacy of our approach.")</f>
        <v>Despite the widespread application of Large Language Models (LLMs) across various domains, they frequently exhibit overconfidence when encountering uncertain scenarios, yet existing solutions primarily rely on evasive responses (e.g., "I don't know") overlooks the opportunity of identifying and addressing the uncertainty to generate more satisfactory responses. To systematically investigate and improve LLMs' ability of recognizing and addressing the source of uncertainty, we introduce ConfuseBench, a benchmark mainly focus on three types of uncertainty: document scarcity, limited capability, and query ambiguity. Experiments with ConfuseBench reveal that current LLMs struggle to accurately identify the root cause of uncertainty and solve it. They prefer to attribute uncertainty to query ambiguity while overlooking capability limitations, especially for those weaker models. To tackle this challenge, we first generate context-aware inquiries that highlight the confusing aspect of the original query. Then we judge the source of uncertainty based on the uniqueness of the inquiry's answer. Further we use an on-policy training method, InteractDPO to generate better inquiries. Experimental results demonstrate the efficacy of our approach.</v>
      </c>
      <c r="D2470" s="7" t="str">
        <f>IFERROR(__xludf.DUMMYFUNCTION("""COMPUTED_VALUE"""),"Jingyu Liu")</f>
        <v>Jingyu Liu</v>
      </c>
      <c r="E2470" s="7" t="str">
        <f>IFERROR(__xludf.DUMMYFUNCTION("""COMPUTED_VALUE"""),"Yes")</f>
        <v>Yes</v>
      </c>
      <c r="F2470" s="7" t="str">
        <f>IFERROR(__xludf.DUMMYFUNCTION("""COMPUTED_VALUE"""),"IP-Oral")</f>
        <v>IP-Oral</v>
      </c>
      <c r="G2470" s="7" t="str">
        <f>IFERROR(__xludf.DUMMYFUNCTION("""COMPUTED_VALUE"""),"In-Person")</f>
        <v>In-Person</v>
      </c>
      <c r="H2470" s="7" t="str">
        <f>IFERROR(__xludf.DUMMYFUNCTION("""COMPUTED_VALUE"""),"Hall B")</f>
        <v>Hall B</v>
      </c>
      <c r="I2470" s="7" t="str">
        <f>IFERROR(__xludf.DUMMYFUNCTION("""COMPUTED_VALUE"""),"Session 3: IP-Orals")</f>
        <v>Session 3: IP-Orals</v>
      </c>
      <c r="J2470" s="7" t="str">
        <f>IFERROR(__xludf.DUMMYFUNCTION("""COMPUTED_VALUE"""),"NLP Applications 1")</f>
        <v>NLP Applications 1</v>
      </c>
      <c r="K2470" s="7"/>
      <c r="L2470" s="8">
        <f>IFERROR(__xludf.DUMMYFUNCTION("""COMPUTED_VALUE"""),45866.0)</f>
        <v>45866</v>
      </c>
      <c r="M2470" s="7" t="str">
        <f>IFERROR(__xludf.DUMMYFUNCTION("""COMPUTED_VALUE"""),"14:00-15:30")</f>
        <v>14:00-15:30</v>
      </c>
      <c r="N2470" s="7">
        <f>IFERROR(__xludf.DUMMYFUNCTION("""COMPUTED_VALUE"""),5.0)</f>
        <v>5</v>
      </c>
    </row>
    <row r="2471">
      <c r="A2471" s="7" t="str">
        <f>IFERROR(__xludf.DUMMYFUNCTION("""COMPUTED_VALUE"""),"2151-MAIN")</f>
        <v>2151-MAIN</v>
      </c>
      <c r="B2471" s="7" t="str">
        <f>IFERROR(__xludf.DUMMYFUNCTION("""COMPUTED_VALUE"""),"Decoding by Contrasting Knowledge: Enhancing Large Language Model Confidence on Edited Facts")</f>
        <v>Decoding by Contrasting Knowledge: Enhancing Large Language Model Confidence on Edited Facts</v>
      </c>
      <c r="C2471" s="7" t="str">
        <f>IFERROR(__xludf.DUMMYFUNCTION("""COMPUTED_VALUE"""),"The knowledge within large language models (LLMs) may become outdated quickly. While in-context editing (ICE) is currently the most effective method for knowledge editing (KE), it is constrained by the black-box modeling of LLMs and thus lacks interpretab"&amp;"ility. Our work aims to elucidate the superior performance of ICE in KE by analyzing the impacts of in-context new knowledge on token-wise distributions. We observe that despite a significant boost in logits of the new knowledge, the performance of ICE is"&amp;" still hindered by stubborn knowledge. We propose a novel approach termed Decoding by Contrasting Knowledge (DeCK). DeCK derives the distribution of the next token by contrasting the logits obtained from the newly edited knowledge guided by ICE with those"&amp;" from the unedited parametric knowledge. Our experiments demonstrate that DeCK enhances the confidence of LLMs in edited facts. For instance, it improves the performance of LLaMA3-8B-instruct on MQuAKE by up to 219%, demonstrating its capability to streng"&amp;"then ICE. DeCK can be easily integrated into any ICE method as a decoding component to enhance editing capabilities.")</f>
        <v>The knowledge within large language models (LLMs) may become outdated quickly. While in-context editing (ICE) is currently the most effective method for knowledge editing (KE), it is constrained by the black-box modeling of LLMs and thus lacks interpretability. Our work aims to elucidate the superior performance of ICE in KE by analyzing the impacts of in-context new knowledge on token-wise distributions. We observe that despite a significant boost in logits of the new knowledge, the performance of ICE is still hindered by stubborn knowledge. We propose a novel approach termed Decoding by Contrasting Knowledge (DeCK). DeCK derives the distribution of the next token by contrasting the logits obtained from the newly edited knowledge guided by ICE with those from the unedited parametric knowledge. Our experiments demonstrate that DeCK enhances the confidence of LLMs in edited facts. For instance, it improves the performance of LLaMA3-8B-instruct on MQuAKE by up to 219%, demonstrating its capability to strengthen ICE. DeCK can be easily integrated into any ICE method as a decoding component to enhance editing capabilities.</v>
      </c>
      <c r="D2471" s="7" t="str">
        <f>IFERROR(__xludf.DUMMYFUNCTION("""COMPUTED_VALUE"""),"Shenghua Liu")</f>
        <v>Shenghua Liu</v>
      </c>
      <c r="E2471" s="7" t="str">
        <f>IFERROR(__xludf.DUMMYFUNCTION("""COMPUTED_VALUE"""),"Yes")</f>
        <v>Yes</v>
      </c>
      <c r="F2471" s="7" t="str">
        <f>IFERROR(__xludf.DUMMYFUNCTION("""COMPUTED_VALUE"""),"IP-Poster")</f>
        <v>IP-Poster</v>
      </c>
      <c r="G2471" s="7" t="str">
        <f>IFERROR(__xludf.DUMMYFUNCTION("""COMPUTED_VALUE"""),"In-Person")</f>
        <v>In-Person</v>
      </c>
      <c r="H2471" s="7" t="str">
        <f>IFERROR(__xludf.DUMMYFUNCTION("""COMPUTED_VALUE"""),"Hall 4/5")</f>
        <v>Hall 4/5</v>
      </c>
      <c r="I2471" s="7" t="str">
        <f>IFERROR(__xludf.DUMMYFUNCTION("""COMPUTED_VALUE"""),"Session 2: IP-Posters ")</f>
        <v>Session 2: IP-Posters </v>
      </c>
      <c r="J2471" s="7" t="str">
        <f>IFERROR(__xludf.DUMMYFUNCTION("""COMPUTED_VALUE"""),"Poster Session 1")</f>
        <v>Poster Session 1</v>
      </c>
      <c r="K2471" s="7"/>
      <c r="L2471" s="8">
        <f>IFERROR(__xludf.DUMMYFUNCTION("""COMPUTED_VALUE"""),45866.0)</f>
        <v>45866</v>
      </c>
      <c r="M2471" s="7" t="str">
        <f>IFERROR(__xludf.DUMMYFUNCTION("""COMPUTED_VALUE"""),"11:00-12:30")</f>
        <v>11:00-12:30</v>
      </c>
      <c r="N2471" s="7"/>
    </row>
    <row r="2472">
      <c r="A2472" s="7" t="str">
        <f>IFERROR(__xludf.DUMMYFUNCTION("""COMPUTED_VALUE"""),"2155-MAIN")</f>
        <v>2155-MAIN</v>
      </c>
      <c r="B2472" s="7" t="str">
        <f>IFERROR(__xludf.DUMMYFUNCTION("""COMPUTED_VALUE"""),"ImpliHateVid: A Benchmark Dataset and Two-stage Contrastive Learning Framework for Implicit Hate Speech Detection in Videos")</f>
        <v>ImpliHateVid: A Benchmark Dataset and Two-stage Contrastive Learning Framework for Implicit Hate Speech Detection in Videos</v>
      </c>
      <c r="C2472" s="7" t="str">
        <f>IFERROR(__xludf.DUMMYFUNCTION("""COMPUTED_VALUE"""),"The existing research has primarily focused on text and image-based hate speech detection, video-based approaches remain underexplored. In this work, we introduce a novel dataset, ImpliHateVid, specifically curated for implicit hate speech detection in vi"&amp;"deos. ImpliHateVid consists of 2,009 videos comprising 509 implicit hate videos, 500 explicit hate videos, and 1,000 non-hate videos, making it one of the first large-scale video datasets dedicated to implicit hate detection. We also propose a novel two-s"&amp;"tage contrastive learning framework for hate speech detection in videos. In the first stage, we train modality-specific encoders for audio, text, and image using contrastive loss by concatenating features from the three encoders. In the second stage, we t"&amp;"rain cross-encoders using contrastive learning to refine multimodal representations. Additionally, we incorporate sentiment, emotion, and caption-based features to enhance implicit hate detection. We evaluate our method on two datasets, ImpliHateVid for i"&amp;"mplicit hate speech detection and another dataset for general hate speech detection in videos, HateMM dataset, demonstrating the effectiveness of the proposed multimodal contrastive learning for hateful content detection in videos and the significance of "&amp;"our dataset.")</f>
        <v>The existing research has primarily focused on text and image-based hate speech detection, video-based approaches remain underexplored. In this work, we introduce a novel dataset, ImpliHateVid, specifically curated for implicit hate speech detection in videos. ImpliHateVid consists of 2,009 videos comprising 509 implicit hate videos, 500 explicit hate videos, and 1,000 non-hate videos, making it one of the first large-scale video datasets dedicated to implicit hate detection. We also propose a novel two-stage contrastive learning framework for hate speech detection in videos. In the first stage, we train modality-specific encoders for audio, text, and image using contrastive loss by concatenating features from the three encoders. In the second stage, we train cross-encoders using contrastive learning to refine multimodal representations. Additionally, we incorporate sentiment, emotion, and caption-based features to enhance implicit hate detection. We evaluate our method on two datasets, ImpliHateVid for implicit hate speech detection and another dataset for general hate speech detection in videos, HateMM dataset, demonstrating the effectiveness of the proposed multimodal contrastive learning for hateful content detection in videos and the significance of our dataset.</v>
      </c>
      <c r="D2472" s="7" t="str">
        <f>IFERROR(__xludf.DUMMYFUNCTION("""COMPUTED_VALUE"""),"Mohammad Zia Ur Rehman")</f>
        <v>Mohammad Zia Ur Rehman</v>
      </c>
      <c r="E2472" s="7" t="str">
        <f>IFERROR(__xludf.DUMMYFUNCTION("""COMPUTED_VALUE"""),"Yes")</f>
        <v>Yes</v>
      </c>
      <c r="F2472" s="7" t="str">
        <f>IFERROR(__xludf.DUMMYFUNCTION("""COMPUTED_VALUE"""),"V-Presentation")</f>
        <v>V-Presentation</v>
      </c>
      <c r="G2472" s="7" t="str">
        <f>IFERROR(__xludf.DUMMYFUNCTION("""COMPUTED_VALUE"""),"Virtual/Gather")</f>
        <v>Virtual/Gather</v>
      </c>
      <c r="H2472" s="7" t="str">
        <f>IFERROR(__xludf.DUMMYFUNCTION("""COMPUTED_VALUE"""),"Zoom")</f>
        <v>Zoom</v>
      </c>
      <c r="I2472" s="7" t="str">
        <f>IFERROR(__xludf.DUMMYFUNCTION("""COMPUTED_VALUE"""),"Session 7: V--Presentations ")</f>
        <v>Session 7: V--Presentations </v>
      </c>
      <c r="J2472" s="7" t="str">
        <f>IFERROR(__xludf.DUMMYFUNCTION("""COMPUTED_VALUE"""),"Virtual Presentations 2")</f>
        <v>Virtual Presentations 2</v>
      </c>
      <c r="K2472" s="7"/>
      <c r="L2472" s="8"/>
      <c r="M2472" s="7" t="str">
        <f>IFERROR(__xludf.DUMMYFUNCTION("""COMPUTED_VALUE"""),"10:30-12:00")</f>
        <v>10:30-12:00</v>
      </c>
      <c r="N2472" s="7"/>
    </row>
    <row r="2473">
      <c r="A2473" s="7" t="str">
        <f>IFERROR(__xludf.DUMMYFUNCTION("""COMPUTED_VALUE"""),"2157-MAIN")</f>
        <v>2157-MAIN</v>
      </c>
      <c r="B2473" s="7" t="str">
        <f>IFERROR(__xludf.DUMMYFUNCTION("""COMPUTED_VALUE"""),"Improving Chain-of-Thought Reasoning via Quasi-Symbolic Abstractions")</f>
        <v>Improving Chain-of-Thought Reasoning via Quasi-Symbolic Abstractions</v>
      </c>
      <c r="C2473" s="7" t="str">
        <f>IFERROR(__xludf.DUMMYFUNCTION("""COMPUTED_VALUE"""),"Chain-of-Though (CoT) represents a common strategy for reasoning in Large Language Models (LLMs) by decomposing complex tasks into intermediate inference steps. However, explanations generated via CoT are susceptible to content biases that negatively affe"&amp;"ct their robustness and faithfulness. To mitigate existing limitations, recent work has proposed using logical formalisms coupled with external symbolic solvers. However, fully symbolic approaches possess the bottleneck of requiring a complete translation"&amp;" from natural language to formal languages, a process that affects efficiency and flexibility. To achieve a trade-off, this paper investigates methods to disentangle content from logical reasoning without a complete formalisation. In particular, we presen"&amp;"t QuaSAR (for Quasi-Symbolic Abstract Reasoning), a variation of CoT that guides LLMs to operate at a higher level of abstraction via quasi-symbolic explanations. Our framework leverages the capability of LLMs to formalise only relevant variables and pred"&amp;"icates, enabling the coexistence of symbolic elements with natural language. We show the impact of QuaSAR for in-context learning and for constructing demonstrations to improve the reasoning capabilities of smaller models. Our experiments show that quasi-"&amp;"symbolic abstractions can improve CoT-based methods by up to 8% accuracy, enhancing robustness and consistency on challenging adversarial variations on both natural language (i.e. MMLU-Redux) and symbolic reasoning tasks (i.e., GSM-Symbolic).")</f>
        <v>Chain-of-Though (CoT) represents a common strategy for reasoning in Large Language Models (LLMs) by decomposing complex tasks into intermediate inference steps. However, explanations generated via CoT are susceptible to content biases that negatively affect their robustness and faithfulness. To mitigate existing limitations, recent work has proposed using logical formalisms coupled with external symbolic solvers. However, fully symbolic approaches possess the bottleneck of requiring a complete translation from natural language to formal languages, a process that affects efficiency and flexibility. To achieve a trade-off, this paper investigates methods to disentangle content from logical reasoning without a complete formalisation. In particular, we present QuaSAR (for Quasi-Symbolic Abstract Reasoning), a variation of CoT that guides LLMs to operate at a higher level of abstraction via quasi-symbolic explanations. Our framework leverages the capability of LLMs to formalise only relevant variables and predicates, enabling the coexistence of symbolic elements with natural language. We show the impact of QuaSAR for in-context learning and for constructing demonstrations to improve the reasoning capabilities of smaller models. Our experiments show that quasi-symbolic abstractions can improve CoT-based methods by up to 8% accuracy, enhancing robustness and consistency on challenging adversarial variations on both natural language (i.e. MMLU-Redux) and symbolic reasoning tasks (i.e., GSM-Symbolic).</v>
      </c>
      <c r="D2473" s="7" t="str">
        <f>IFERROR(__xludf.DUMMYFUNCTION("""COMPUTED_VALUE"""),"Leonardo Ranaldi")</f>
        <v>Leonardo Ranaldi</v>
      </c>
      <c r="E2473" s="7" t="str">
        <f>IFERROR(__xludf.DUMMYFUNCTION("""COMPUTED_VALUE"""),"Yes")</f>
        <v>Yes</v>
      </c>
      <c r="F2473" s="7" t="str">
        <f>IFERROR(__xludf.DUMMYFUNCTION("""COMPUTED_VALUE"""),"IP-Poster")</f>
        <v>IP-Poster</v>
      </c>
      <c r="G2473" s="7" t="str">
        <f>IFERROR(__xludf.DUMMYFUNCTION("""COMPUTED_VALUE"""),"In-Person")</f>
        <v>In-Person</v>
      </c>
      <c r="H2473" s="7" t="str">
        <f>IFERROR(__xludf.DUMMYFUNCTION("""COMPUTED_VALUE"""),"Hall 4/5")</f>
        <v>Hall 4/5</v>
      </c>
      <c r="I2473" s="7" t="str">
        <f>IFERROR(__xludf.DUMMYFUNCTION("""COMPUTED_VALUE"""),"Session 10: IP-Posters")</f>
        <v>Session 10: IP-Posters</v>
      </c>
      <c r="J2473" s="7" t="str">
        <f>IFERROR(__xludf.DUMMYFUNCTION("""COMPUTED_VALUE"""),"Poster Session 3")</f>
        <v>Poster Session 3</v>
      </c>
      <c r="K2473" s="7"/>
      <c r="L2473" s="8">
        <f>IFERROR(__xludf.DUMMYFUNCTION("""COMPUTED_VALUE"""),45867.0)</f>
        <v>45867</v>
      </c>
      <c r="M2473" s="7" t="str">
        <f>IFERROR(__xludf.DUMMYFUNCTION("""COMPUTED_VALUE"""),"16:00-17:30")</f>
        <v>16:00-17:30</v>
      </c>
      <c r="N2473" s="7"/>
    </row>
    <row r="2474">
      <c r="A2474" s="7" t="str">
        <f>IFERROR(__xludf.DUMMYFUNCTION("""COMPUTED_VALUE"""),"2159-MAIN")</f>
        <v>2159-MAIN</v>
      </c>
      <c r="B2474" s="7" t="str">
        <f>IFERROR(__xludf.DUMMYFUNCTION("""COMPUTED_VALUE"""),"Information Extraction from Visually Rich Documents using LLM-based Organization of Documents into Independent Textual Segments")</f>
        <v>Information Extraction from Visually Rich Documents using LLM-based Organization of Documents into Independent Textual Segments</v>
      </c>
      <c r="C2474" s="7" t="str">
        <f>IFERROR(__xludf.DUMMYFUNCTION("""COMPUTED_VALUE"""),"Information extraction (IE) from Visually Rich Documents (VRDs) containing layout features along with text is a critical and well-studied task. Specialized non-LLM NLP-based solutions typically involve training models using both textual and geometric info"&amp;"rmation to label sequences/tokens as named entities or answers to specific questions. However, these approaches lack reasoning, are not able to infer values not explicitly present in documents, and do not generalize well to new formats. Generative LLMs-ba"&amp;"sed approaches proposed recently are capable of reasoning, but struggle to comprehend clues from document layout especially in previously unseen document formats, and do not show competitive performance in heterogeneous VRD benchmark datasets. In this pap"&amp;"er, we propose BLOCKIE, a novel LLM-based approach that organizes VRDs into localized, reusable semantic textual segments called $\textit{semantic blocks}$, which are processed independently. Through focused and more generalizable reasoning,our approach o"&amp;"utperforms the state-of-the-art on public VRD benchmarks by 1-3\% in F1 scores, is resilient to document formats previously not encountered and shows abilities to correctly extract information not explicitly present in documents.")</f>
        <v>Information extraction (IE) from Visually Rich Documents (VRDs) containing layout features along with text is a critical and well-studied task. Specialized non-LLM NLP-based solutions typically involve training models using both textual and geometric information to label sequences/tokens as named entities or answers to specific questions. However, these approaches lack reasoning, are not able to infer values not explicitly present in documents, and do not generalize well to new formats. Generative LLMs-based approaches proposed recently are capable of reasoning, but struggle to comprehend clues from document layout especially in previously unseen document formats, and do not show competitive performance in heterogeneous VRD benchmark datasets. In this paper, we propose BLOCKIE, a novel LLM-based approach that organizes VRDs into localized, reusable semantic textual segments called $\textit{semantic blocks}$, which are processed independently. Through focused and more generalizable reasoning,our approach outperforms the state-of-the-art on public VRD benchmarks by 1-3\% in F1 scores, is resilient to document formats previously not encountered and shows abilities to correctly extract information not explicitly present in documents.</v>
      </c>
      <c r="D2474" s="7" t="str">
        <f>IFERROR(__xludf.DUMMYFUNCTION("""COMPUTED_VALUE"""),"Aniket Bhattacharyya")</f>
        <v>Aniket Bhattacharyya</v>
      </c>
      <c r="E2474" s="7" t="str">
        <f>IFERROR(__xludf.DUMMYFUNCTION("""COMPUTED_VALUE"""),"Yes")</f>
        <v>Yes</v>
      </c>
      <c r="F2474" s="7" t="str">
        <f>IFERROR(__xludf.DUMMYFUNCTION("""COMPUTED_VALUE"""),"V-Presentation")</f>
        <v>V-Presentation</v>
      </c>
      <c r="G2474" s="7" t="str">
        <f>IFERROR(__xludf.DUMMYFUNCTION("""COMPUTED_VALUE"""),"Virtual/Gather")</f>
        <v>Virtual/Gather</v>
      </c>
      <c r="H2474" s="7" t="str">
        <f>IFERROR(__xludf.DUMMYFUNCTION("""COMPUTED_VALUE"""),"Zoom")</f>
        <v>Zoom</v>
      </c>
      <c r="I2474" s="7" t="str">
        <f>IFERROR(__xludf.DUMMYFUNCTION("""COMPUTED_VALUE"""),"Session 7: V--Presentations ")</f>
        <v>Session 7: V--Presentations </v>
      </c>
      <c r="J2474" s="7" t="str">
        <f>IFERROR(__xludf.DUMMYFUNCTION("""COMPUTED_VALUE"""),"Virtual Presentations 2")</f>
        <v>Virtual Presentations 2</v>
      </c>
      <c r="K2474" s="7"/>
      <c r="L2474" s="8"/>
      <c r="M2474" s="7" t="str">
        <f>IFERROR(__xludf.DUMMYFUNCTION("""COMPUTED_VALUE"""),"10:30-12:00")</f>
        <v>10:30-12:00</v>
      </c>
      <c r="N2474" s="7"/>
    </row>
    <row r="2475">
      <c r="A2475" s="7" t="str">
        <f>IFERROR(__xludf.DUMMYFUNCTION("""COMPUTED_VALUE"""),"2160-MAIN")</f>
        <v>2160-MAIN</v>
      </c>
      <c r="B2475" s="7" t="str">
        <f>IFERROR(__xludf.DUMMYFUNCTION("""COMPUTED_VALUE"""),"Enhancing Large Language Model’s Capabilities in Open Domains via Autonomous Tool Integration from GitHub")</f>
        <v>Enhancing Large Language Model’s Capabilities in Open Domains via Autonomous Tool Integration from GitHub</v>
      </c>
      <c r="C2475" s="7" t="str">
        <f>IFERROR(__xludf.DUMMYFUNCTION("""COMPUTED_VALUE"""),"Large Language Models (LLMs) excel in traditional natural language processing tasks but struggle with problems that require complex domain-specific calculations or simulations. While equipping LLMs with external tools to build LLM-based agents can enhance"&amp;" their capabilities, existing approaches lack the flexibility to address diverse and ever-evolving user queries in open domains. Currently, there is also no existing dataset that evaluates LLMs on open-domain knowledge that requires tools to solve. To thi"&amp;"s end, we introduce OpenAct benchmark to evaluate the open-domain task-solving capability, which is built on human expert consultation and repositories in GitHub. It comprises 339 questions spanning 7 diverse domains that need to be solved with domain-spe"&amp;"cific methods. In our experiments, even state-of-the-art LLMs and LLM-based agents demonstrate unsatisfactory success rates, underscoring the need for a novel approach.
Furthermore, we present OpenAgent, a novel LLM-based agent system that can tackle evol"&amp;"ving queries in open domains through autonomously integrating specialized tools from GitHub. OpenAgent employs 1) a hierarchical framework where specialized agents handle specific tasks and can assign tasks to inferior agents, 2) a bi-level experience lea"&amp;"rning mechanism to learn from both humans' and its own experiences to tackle tool flaws. Experiments demonstrate its superior effectiveness and efficiency, which significantly outperforms baselines. Our data and code are open-source at https://github.com/"&amp;"OpenBMB/OpenAct.")</f>
        <v>Large Language Models (LLMs) excel in traditional natural language processing tasks but struggle with problems that require complex domain-specific calculations or simulations. While equipping LLMs with external tools to build LLM-based agents can enhance their capabilities, existing approaches lack the flexibility to address diverse and ever-evolving user queries in open domains. Currently, there is also no existing dataset that evaluates LLMs on open-domain knowledge that requires tools to solve. To this end, we introduce OpenAct benchmark to evaluate the open-domain task-solving capability, which is built on human expert consultation and repositories in GitHub. It comprises 339 questions spanning 7 diverse domains that need to be solved with domain-specific methods. In our experiments, even state-of-the-art LLMs and LLM-based agents demonstrate unsatisfactory success rates, underscoring the need for a novel approach.
Furthermore, we present OpenAgent, a novel LLM-based agent system that can tackle evolving queries in open domains through autonomously integrating specialized tools from GitHub. OpenAgent employs 1) a hierarchical framework where specialized agents handle specific tasks and can assign tasks to inferior agents, 2) a bi-level experience learning mechanism to learn from both humans' and its own experiences to tackle tool flaws. Experiments demonstrate its superior effectiveness and efficiency, which significantly outperforms baselines. Our data and code are open-source at https://github.com/OpenBMB/OpenAct.</v>
      </c>
      <c r="D2475" s="7" t="str">
        <f>IFERROR(__xludf.DUMMYFUNCTION("""COMPUTED_VALUE"""),"Bohan Lyu")</f>
        <v>Bohan Lyu</v>
      </c>
      <c r="E2475" s="7" t="str">
        <f>IFERROR(__xludf.DUMMYFUNCTION("""COMPUTED_VALUE"""),"Yes")</f>
        <v>Yes</v>
      </c>
      <c r="F2475" s="7" t="str">
        <f>IFERROR(__xludf.DUMMYFUNCTION("""COMPUTED_VALUE"""),"IP-Poster")</f>
        <v>IP-Poster</v>
      </c>
      <c r="G2475" s="7" t="str">
        <f>IFERROR(__xludf.DUMMYFUNCTION("""COMPUTED_VALUE"""),"In-Person")</f>
        <v>In-Person</v>
      </c>
      <c r="H2475" s="7" t="str">
        <f>IFERROR(__xludf.DUMMYFUNCTION("""COMPUTED_VALUE"""),"Hall 4/5")</f>
        <v>Hall 4/5</v>
      </c>
      <c r="I2475" s="7" t="str">
        <f>IFERROR(__xludf.DUMMYFUNCTION("""COMPUTED_VALUE"""),"Session 2: IP-Posters ")</f>
        <v>Session 2: IP-Posters </v>
      </c>
      <c r="J2475" s="7" t="str">
        <f>IFERROR(__xludf.DUMMYFUNCTION("""COMPUTED_VALUE"""),"Poster Session 1")</f>
        <v>Poster Session 1</v>
      </c>
      <c r="K2475" s="7"/>
      <c r="L2475" s="8">
        <f>IFERROR(__xludf.DUMMYFUNCTION("""COMPUTED_VALUE"""),45866.0)</f>
        <v>45866</v>
      </c>
      <c r="M2475" s="7" t="str">
        <f>IFERROR(__xludf.DUMMYFUNCTION("""COMPUTED_VALUE"""),"11:00-12:30")</f>
        <v>11:00-12:30</v>
      </c>
      <c r="N2475" s="7"/>
    </row>
    <row r="2476">
      <c r="A2476" s="7" t="str">
        <f>IFERROR(__xludf.DUMMYFUNCTION("""COMPUTED_VALUE"""),"2167-MAIN")</f>
        <v>2167-MAIN</v>
      </c>
      <c r="B2476" s="7" t="str">
        <f>IFERROR(__xludf.DUMMYFUNCTION("""COMPUTED_VALUE"""),"LLMs Can Simulate Standardized Patients via Agent Coevolution")</f>
        <v>LLMs Can Simulate Standardized Patients via Agent Coevolution</v>
      </c>
      <c r="C2476" s="7" t="str">
        <f>IFERROR(__xludf.DUMMYFUNCTION("""COMPUTED_VALUE"""),"Training medical personnel using standardized patients (SPs) remains a complex challenge, requiring extensive domain expertise and role-specific practice. Most research on Large Language Model (LLM)-based simulated patients focuses on improving data retri"&amp;"eval accuracy or adjusting prompts through human feedback. However, this focus has overlooked the critical need for patient agents to learn a standardized presentation pattern that transforms data into human-like patient responses through unsupervised sim"&amp;"ulations. To address this gap, we propose EvoPatient, a novel simulated patient framework in which a patient agent and doctor agents simulate the diagnostic process through multi-turn dialogues, simultaneously gathering experience to improve the quality o"&amp;"f both questions and answers, ultimately enabling human doctor training. Extensive experiments on various cases demonstrate that, by providing only overall SP requirements, our framework improves over existing reasoning methods by more than 10% in require"&amp;"ment alignment and better human preference, while achieving an optimal balance of resource consumption after evolving over 200 cases for 10 hours, with excellent generalizability. Our system will be available at https://github.com/ZJUMAI/EvoPatient")</f>
        <v>Training medical personnel using standardized patients (SPs) remains a complex challenge, requiring extensive domain expertise and role-specific practice. Most research on Large Language Model (LLM)-based simulated patients focuses on improving data retrieval accuracy or adjusting prompts through human feedback. However, this focus has overlooked the critical need for patient agents to learn a standardized presentation pattern that transforms data into human-like patient responses through unsupervised simulations. To address this gap, we propose EvoPatient, a novel simulated patient framework in which a patient agent and doctor agents simulate the diagnostic process through multi-turn dialogues, simultaneously gathering experience to improve the quality of both questions and answers, ultimately enabling human doctor training. Extensive experiments on various cases demonstrate that, by providing only overall SP requirements, our framework improves over existing reasoning methods by more than 10% in requirement alignment and better human preference, while achieving an optimal balance of resource consumption after evolving over 200 cases for 10 hours, with excellent generalizability. Our system will be available at https://github.com/ZJUMAI/EvoPatient</v>
      </c>
      <c r="D2476" s="7" t="str">
        <f>IFERROR(__xludf.DUMMYFUNCTION("""COMPUTED_VALUE"""),"Zhuoyun Du")</f>
        <v>Zhuoyun Du</v>
      </c>
      <c r="E2476" s="7" t="str">
        <f>IFERROR(__xludf.DUMMYFUNCTION("""COMPUTED_VALUE"""),"Yes")</f>
        <v>Yes</v>
      </c>
      <c r="F2476" s="7" t="str">
        <f>IFERROR(__xludf.DUMMYFUNCTION("""COMPUTED_VALUE"""),"IP-Poster")</f>
        <v>IP-Poster</v>
      </c>
      <c r="G2476" s="7" t="str">
        <f>IFERROR(__xludf.DUMMYFUNCTION("""COMPUTED_VALUE"""),"In-Person")</f>
        <v>In-Person</v>
      </c>
      <c r="H2476" s="7" t="str">
        <f>IFERROR(__xludf.DUMMYFUNCTION("""COMPUTED_VALUE"""),"Hall 4/5")</f>
        <v>Hall 4/5</v>
      </c>
      <c r="I2476" s="7" t="str">
        <f>IFERROR(__xludf.DUMMYFUNCTION("""COMPUTED_VALUE"""),"Session 2: IP-Posters ")</f>
        <v>Session 2: IP-Posters </v>
      </c>
      <c r="J2476" s="7" t="str">
        <f>IFERROR(__xludf.DUMMYFUNCTION("""COMPUTED_VALUE"""),"Poster Session 1")</f>
        <v>Poster Session 1</v>
      </c>
      <c r="K2476" s="7"/>
      <c r="L2476" s="8">
        <f>IFERROR(__xludf.DUMMYFUNCTION("""COMPUTED_VALUE"""),45866.0)</f>
        <v>45866</v>
      </c>
      <c r="M2476" s="7" t="str">
        <f>IFERROR(__xludf.DUMMYFUNCTION("""COMPUTED_VALUE"""),"11:00-12:30")</f>
        <v>11:00-12:30</v>
      </c>
      <c r="N2476" s="7"/>
    </row>
    <row r="2477">
      <c r="A2477" s="7" t="str">
        <f>IFERROR(__xludf.DUMMYFUNCTION("""COMPUTED_VALUE"""),"2169-MAIN")</f>
        <v>2169-MAIN</v>
      </c>
      <c r="B2477" s="7" t="str">
        <f>IFERROR(__xludf.DUMMYFUNCTION("""COMPUTED_VALUE"""),"Donate or Create? Comparing Data Collection Strategies for Emotion-labeled Multimodal Social Media Posts")</f>
        <v>Donate or Create? Comparing Data Collection Strategies for Emotion-labeled Multimodal Social Media Posts</v>
      </c>
      <c r="C2477" s="7" t="str">
        <f>IFERROR(__xludf.DUMMYFUNCTION("""COMPUTED_VALUE"""),"Accurate modeling of subjective phenomena such as emotion expression requires data annotated with authors' intentions. Commonly such data is collected by asking study participants to donate and label genuine content produced in the real world, or create c"&amp;"ontent fitting particu- lar labels during the study. Asking participants to create content is often simpler to implement and presents fewer risks to participant privacy than data donation. However, it is unclear if and how study-created content may differ"&amp;" from genuine content, and how differences may impact models. We collect study-created and genuine multimodal social media posts labeled for emotion and compare them on several dimen- sions, including model performance. We find that compared to genuine po"&amp;"sts, study-created posts are longer, rely more on their text and less on their images for emotion expression, and focus more on emotion-prototypical events. The samples of participants willing to donate versus create posts are demographically different. S"&amp;"tudy-created data is valuable to train models that generalize well to genuine data, but realistic effectiveness estimates require genuine data.")</f>
        <v>Accurate modeling of subjective phenomena such as emotion expression requires data annotated with authors' intentions. Commonly such data is collected by asking study participants to donate and label genuine content produced in the real world, or create content fitting particu- lar labels during the study. Asking participants to create content is often simpler to implement and presents fewer risks to participant privacy than data donation. However, it is unclear if and how study-created content may differ from genuine content, and how differences may impact models. We collect study-created and genuine multimodal social media posts labeled for emotion and compare them on several dimen- sions, including model performance. We find that compared to genuine posts, study-created posts are longer, rely more on their text and less on their images for emotion expression, and focus more on emotion-prototypical events. The samples of participants willing to donate versus create posts are demographically different. Study-created data is valuable to train models that generalize well to genuine data, but realistic effectiveness estimates require genuine data.</v>
      </c>
      <c r="D2477" s="7" t="str">
        <f>IFERROR(__xludf.DUMMYFUNCTION("""COMPUTED_VALUE"""),"Christopher Bagdon")</f>
        <v>Christopher Bagdon</v>
      </c>
      <c r="E2477" s="7" t="str">
        <f>IFERROR(__xludf.DUMMYFUNCTION("""COMPUTED_VALUE"""),"Yes")</f>
        <v>Yes</v>
      </c>
      <c r="F2477" s="7" t="str">
        <f>IFERROR(__xludf.DUMMYFUNCTION("""COMPUTED_VALUE"""),"IP-Poster")</f>
        <v>IP-Poster</v>
      </c>
      <c r="G2477" s="7" t="str">
        <f>IFERROR(__xludf.DUMMYFUNCTION("""COMPUTED_VALUE"""),"In-Person")</f>
        <v>In-Person</v>
      </c>
      <c r="H2477" s="7" t="str">
        <f>IFERROR(__xludf.DUMMYFUNCTION("""COMPUTED_VALUE"""),"Hall 4/5")</f>
        <v>Hall 4/5</v>
      </c>
      <c r="I2477" s="7" t="str">
        <f>IFERROR(__xludf.DUMMYFUNCTION("""COMPUTED_VALUE"""),"Session 2: IP-Posters ")</f>
        <v>Session 2: IP-Posters </v>
      </c>
      <c r="J2477" s="7" t="str">
        <f>IFERROR(__xludf.DUMMYFUNCTION("""COMPUTED_VALUE"""),"Poster Session 1")</f>
        <v>Poster Session 1</v>
      </c>
      <c r="K2477" s="7"/>
      <c r="L2477" s="8">
        <f>IFERROR(__xludf.DUMMYFUNCTION("""COMPUTED_VALUE"""),45866.0)</f>
        <v>45866</v>
      </c>
      <c r="M2477" s="7" t="str">
        <f>IFERROR(__xludf.DUMMYFUNCTION("""COMPUTED_VALUE"""),"11:00-12:30")</f>
        <v>11:00-12:30</v>
      </c>
      <c r="N2477" s="7"/>
    </row>
    <row r="2478">
      <c r="A2478" s="7" t="str">
        <f>IFERROR(__xludf.DUMMYFUNCTION("""COMPUTED_VALUE"""),"2170-MAIN")</f>
        <v>2170-MAIN</v>
      </c>
      <c r="B2478" s="7" t="str">
        <f>IFERROR(__xludf.DUMMYFUNCTION("""COMPUTED_VALUE"""),"Which Demographics do LLMs Default to During Annotation?")</f>
        <v>Which Demographics do LLMs Default to During Annotation?</v>
      </c>
      <c r="C2478" s="7" t="str">
        <f>IFERROR(__xludf.DUMMYFUNCTION("""COMPUTED_VALUE"""),"Demographics and cultural background of annotators influence the labels they assign in text annotation – for instance, an elderly woman might find it offensive to read a message addressed to a ""bro"", but a male teenager might find it appropriate. It is "&amp;"therefore important to acknowledge label variations to not under-represent members of a society. Two research directions developed out of this observation in the context of using large language models (LLM) for data annotations, namely (1) studying biases"&amp;" and inherent knowledge of LLMs and (2) injecting diversity in the output by manipulating the prompt with demographic information. We combine these two strands of research and ask the question to which demographics an LLM resorts to when no demographics i"&amp;"s given. To answer this question, we evaluate which attributes of human annotators LLMs inherently mimic. Furthermore, we compare non-demographic conditioned prompts and placebo-conditioned prompts (e.g., ""you are an annotator who lives in house number 5"&amp;""") to demographics-conditioned prompts (""You are a 45 year old man and an expert on politeness annotation. How do you rate {instance}""). We study these questions for politeness and offensiveness annotations on the POPQUORN data set, a corpus created in"&amp;" a controlled manner to investigate human label variations based on demographics which has not been used for LLM-based analyses so far. We observe notable influences related to gender, race, and age in demographic prompting, which contrasts with previous "&amp;"studies that found no such effects.")</f>
        <v>Demographics and cultural background of annotators influence the labels they assign in text annotation – for instance, an elderly woman might find it offensive to read a message addressed to a "bro", but a male teenager might find it appropriate. It is therefore important to acknowledge label variations to not under-represent members of a society. Two research directions developed out of this observation in the context of using large language models (LLM) for data annotations, namely (1) studying biases and inherent knowledge of LLMs and (2) injecting diversity in the output by manipulating the prompt with demographic information. We combine these two strands of research and ask the question to which demographics an LLM resorts to when no demographics is given. To answer this question, we evaluate which attributes of human annotators LLMs inherently mimic. Furthermore, we compare non-demographic conditioned prompts and placebo-conditioned prompts (e.g., "you are an annotator who lives in house number 5") to demographics-conditioned prompts ("You are a 45 year old man and an expert on politeness annotation. How do you rate {instance}"). We study these questions for politeness and offensiveness annotations on the POPQUORN data set, a corpus created in a controlled manner to investigate human label variations based on demographics which has not been used for LLM-based analyses so far. We observe notable influences related to gender, race, and age in demographic prompting, which contrasts with previous studies that found no such effects.</v>
      </c>
      <c r="D2478" s="7" t="str">
        <f>IFERROR(__xludf.DUMMYFUNCTION("""COMPUTED_VALUE"""),"Johannes Schäfer")</f>
        <v>Johannes Schäfer</v>
      </c>
      <c r="E2478" s="7" t="str">
        <f>IFERROR(__xludf.DUMMYFUNCTION("""COMPUTED_VALUE"""),"Yes")</f>
        <v>Yes</v>
      </c>
      <c r="F2478" s="7" t="str">
        <f>IFERROR(__xludf.DUMMYFUNCTION("""COMPUTED_VALUE"""),"IP-Poster")</f>
        <v>IP-Poster</v>
      </c>
      <c r="G2478" s="7" t="str">
        <f>IFERROR(__xludf.DUMMYFUNCTION("""COMPUTED_VALUE"""),"In-Person")</f>
        <v>In-Person</v>
      </c>
      <c r="H2478" s="7" t="str">
        <f>IFERROR(__xludf.DUMMYFUNCTION("""COMPUTED_VALUE"""),"Hall 4/5")</f>
        <v>Hall 4/5</v>
      </c>
      <c r="I2478" s="7" t="str">
        <f>IFERROR(__xludf.DUMMYFUNCTION("""COMPUTED_VALUE"""),"Session 10: IP-Posters")</f>
        <v>Session 10: IP-Posters</v>
      </c>
      <c r="J2478" s="7" t="str">
        <f>IFERROR(__xludf.DUMMYFUNCTION("""COMPUTED_VALUE"""),"Poster Session 3")</f>
        <v>Poster Session 3</v>
      </c>
      <c r="K2478" s="7"/>
      <c r="L2478" s="8">
        <f>IFERROR(__xludf.DUMMYFUNCTION("""COMPUTED_VALUE"""),45867.0)</f>
        <v>45867</v>
      </c>
      <c r="M2478" s="7" t="str">
        <f>IFERROR(__xludf.DUMMYFUNCTION("""COMPUTED_VALUE"""),"16:00-17:30")</f>
        <v>16:00-17:30</v>
      </c>
      <c r="N2478" s="7"/>
    </row>
    <row r="2479">
      <c r="A2479" s="7" t="str">
        <f>IFERROR(__xludf.DUMMYFUNCTION("""COMPUTED_VALUE"""),"2171-MAIN")</f>
        <v>2171-MAIN</v>
      </c>
      <c r="B2479" s="7" t="str">
        <f>IFERROR(__xludf.DUMMYFUNCTION("""COMPUTED_VALUE"""),"Can You Really Trust Code Copilot? Evaluating Large Language Models from a Code Security Perspective")</f>
        <v>Can You Really Trust Code Copilot? Evaluating Large Language Models from a Code Security Perspective</v>
      </c>
      <c r="C2479" s="7" t="str">
        <f>IFERROR(__xludf.DUMMYFUNCTION("""COMPUTED_VALUE"""),"Code security and usability are both essential for various coding assistant applications driven by large language models (LLMs). Current code security benchmarks focus solely on single evaluation task and paradigm, such as code completion and generation, "&amp;"lacking comprehensive assessment across dimensions like secure code generation, vulnerability repair and discrimination. In this paper, we first propose CoV-Eval, a multi-task benchmark covering various tasks such as code completion, vulnerability repair,"&amp;" vulnerability detection and classification, for comprehensive evaluation of LLM code security. Besides, we developed VC-Judge, an improved judgment model that aligns closely with human experts and can review LLM-generated programs for vulnerabilities in "&amp;"a more efficient and reliable way. We conduct a comprehensive evaluation of 20 proprietary and open-source LLMs. Overall, while most LLMs identify vulnerable codes well, they still tend to generate insecure codes and struggle with recognizing specific vul"&amp;"nerability types and performing repairs. Extensive experiments and qualitative analyses reveal key challenges and optimization directions, offering insights for future research in LLM code security.")</f>
        <v>Code security and usability are both essential for various coding assistant applications driven by large language models (LLMs). Current code security benchmarks focus solely on single evaluation task and paradigm, such as code completion and generation, lacking comprehensive assessment across dimensions like secure code generation, vulnerability repair and discrimination. In this paper, we first propose CoV-Eval, a multi-task benchmark covering various tasks such as code completion, vulnerability repair, vulnerability detection and classification, for comprehensive evaluation of LLM code security. Besides, we developed VC-Judge, an improved judgment model that aligns closely with human experts and can review LLM-generated programs for vulnerabilities in a more efficient and reliable way. We conduct a comprehensive evaluation of 20 proprietary and open-source LLMs. Overall, while most LLMs identify vulnerable codes well, they still tend to generate insecure codes and struggle with recognizing specific vulnerability types and performing repairs. Extensive experiments and qualitative analyses reveal key challenges and optimization directions, offering insights for future research in LLM code security.</v>
      </c>
      <c r="D2479" s="7" t="str">
        <f>IFERROR(__xludf.DUMMYFUNCTION("""COMPUTED_VALUE"""),"Yutao Mou")</f>
        <v>Yutao Mou</v>
      </c>
      <c r="E2479" s="7" t="str">
        <f>IFERROR(__xludf.DUMMYFUNCTION("""COMPUTED_VALUE"""),"Yes")</f>
        <v>Yes</v>
      </c>
      <c r="F2479" s="7" t="str">
        <f>IFERROR(__xludf.DUMMYFUNCTION("""COMPUTED_VALUE"""),"IP-Poster")</f>
        <v>IP-Poster</v>
      </c>
      <c r="G2479" s="7" t="str">
        <f>IFERROR(__xludf.DUMMYFUNCTION("""COMPUTED_VALUE"""),"In-Person")</f>
        <v>In-Person</v>
      </c>
      <c r="H2479" s="7" t="str">
        <f>IFERROR(__xludf.DUMMYFUNCTION("""COMPUTED_VALUE"""),"Hall 4/5")</f>
        <v>Hall 4/5</v>
      </c>
      <c r="I2479" s="7" t="str">
        <f>IFERROR(__xludf.DUMMYFUNCTION("""COMPUTED_VALUE"""),"Session 12: IP-Posters")</f>
        <v>Session 12: IP-Posters</v>
      </c>
      <c r="J2479" s="7" t="str">
        <f>IFERROR(__xludf.DUMMYFUNCTION("""COMPUTED_VALUE"""),"Poster Session 4")</f>
        <v>Poster Session 4</v>
      </c>
      <c r="K2479" s="7"/>
      <c r="L2479" s="8">
        <f>IFERROR(__xludf.DUMMYFUNCTION("""COMPUTED_VALUE"""),45868.0)</f>
        <v>45868</v>
      </c>
      <c r="M2479" s="7" t="str">
        <f>IFERROR(__xludf.DUMMYFUNCTION("""COMPUTED_VALUE"""),"11:00-12:30")</f>
        <v>11:00-12:30</v>
      </c>
      <c r="N2479" s="7"/>
    </row>
    <row r="2480">
      <c r="A2480" s="7" t="str">
        <f>IFERROR(__xludf.DUMMYFUNCTION("""COMPUTED_VALUE"""),"2175-MAIN")</f>
        <v>2175-MAIN</v>
      </c>
      <c r="B2480" s="7" t="str">
        <f>IFERROR(__xludf.DUMMYFUNCTION("""COMPUTED_VALUE"""),"From Sub-Ability Diagnosis to Human-Aligned Generation: Bridging the Gap for Text Length Control via MarkerGen")</f>
        <v>From Sub-Ability Diagnosis to Human-Aligned Generation: Bridging the Gap for Text Length Control via MarkerGen</v>
      </c>
      <c r="C2480" s="7" t="str">
        <f>IFERROR(__xludf.DUMMYFUNCTION("""COMPUTED_VALUE"""),"Despite the rapid progress of large language models (LLMs), their length-controllable text generation (LCTG) ability remains below expectations, posing a major limitation for practical applications. Existing methods mainly focus on end-to-end training to "&amp;"reinforce adherence to length constraints. However, the lack of decomposition and targeted enhancement of LCTG sub-abilities restricts further progress. To bridge this gap, we conduct a bottom-up decomposition of LCTG sub-abilities with human patterns as "&amp;"reference and perform a detailed error analysis. On this basis, we propose MarkerGen, a simple-yet-effective plug-and-play approach that: (1) mitigates LLM fundamental deficiencies via external tool integration; (2) conducts explicit length modeling with "&amp;"dynamically inserted markers; (3) employs a three-stage generation scheme to better align length constraints while maintaining content quality. Comprehensive experiments demonstrate that MarkerGen significantly improves LCTG across various settings, exhib"&amp;"iting outstanding effectiveness and generalizability.")</f>
        <v>Despite the rapid progress of large language models (LLMs), their length-controllable text generation (LCTG) ability remains below expectations, posing a major limitation for practical applications. Existing methods mainly focus on end-to-end training to reinforce adherence to length constraints. However, the lack of decomposition and targeted enhancement of LCTG sub-abilities restricts further progress. To bridge this gap, we conduct a bottom-up decomposition of LCTG sub-abilities with human patterns as reference and perform a detailed error analysis. On this basis, we propose MarkerGen, a simple-yet-effective plug-and-play approach that: (1) mitigates LLM fundamental deficiencies via external tool integration; (2) conducts explicit length modeling with dynamically inserted markers; (3) employs a three-stage generation scheme to better align length constraints while maintaining content quality. Comprehensive experiments demonstrate that MarkerGen significantly improves LCTG across various settings, exhibiting outstanding effectiveness and generalizability.</v>
      </c>
      <c r="D2480" s="7" t="str">
        <f>IFERROR(__xludf.DUMMYFUNCTION("""COMPUTED_VALUE"""),"Peiwen Yuan")</f>
        <v>Peiwen Yuan</v>
      </c>
      <c r="E2480" s="7" t="str">
        <f>IFERROR(__xludf.DUMMYFUNCTION("""COMPUTED_VALUE"""),"Yes")</f>
        <v>Yes</v>
      </c>
      <c r="F2480" s="7" t="str">
        <f>IFERROR(__xludf.DUMMYFUNCTION("""COMPUTED_VALUE"""),"IP-Poster")</f>
        <v>IP-Poster</v>
      </c>
      <c r="G2480" s="7" t="str">
        <f>IFERROR(__xludf.DUMMYFUNCTION("""COMPUTED_VALUE"""),"In-Person")</f>
        <v>In-Person</v>
      </c>
      <c r="H2480" s="7" t="str">
        <f>IFERROR(__xludf.DUMMYFUNCTION("""COMPUTED_VALUE"""),"Hall 4/5")</f>
        <v>Hall 4/5</v>
      </c>
      <c r="I2480" s="7" t="str">
        <f>IFERROR(__xludf.DUMMYFUNCTION("""COMPUTED_VALUE"""),"Session 7: IP-Posters")</f>
        <v>Session 7: IP-Posters</v>
      </c>
      <c r="J2480" s="7" t="str">
        <f>IFERROR(__xludf.DUMMYFUNCTION("""COMPUTED_VALUE"""),"Poster Session 2")</f>
        <v>Poster Session 2</v>
      </c>
      <c r="K2480" s="7"/>
      <c r="L2480" s="8">
        <f>IFERROR(__xludf.DUMMYFUNCTION("""COMPUTED_VALUE"""),45867.0)</f>
        <v>45867</v>
      </c>
      <c r="M2480" s="7" t="str">
        <f>IFERROR(__xludf.DUMMYFUNCTION("""COMPUTED_VALUE"""),"10:30-12:00")</f>
        <v>10:30-12:00</v>
      </c>
      <c r="N2480" s="7"/>
    </row>
    <row r="2481">
      <c r="A2481" s="7" t="str">
        <f>IFERROR(__xludf.DUMMYFUNCTION("""COMPUTED_VALUE"""),"2182-MAIN")</f>
        <v>2182-MAIN</v>
      </c>
      <c r="B2481" s="7" t="str">
        <f>IFERROR(__xludf.DUMMYFUNCTION("""COMPUTED_VALUE"""),"AGD: Adversarial Game Defense Against Jailbreak Attacks in Large Language Models")</f>
        <v>AGD: Adversarial Game Defense Against Jailbreak Attacks in Large Language Models</v>
      </c>
      <c r="C2481" s="7" t="str">
        <f>IFERROR(__xludf.DUMMYFUNCTION("""COMPUTED_VALUE"""),"LLMs demonstrate remarkable utility but remain vulnerable to jailbreak attacks that aim to elicit harmful responses. Existing defenses, including post-training alignment and prompt engineering, rely on training on safety-annotated datasets and safe prompt"&amp;" templates, struggling with adaptability to out-of-distribution (OOD) attacks. Steering internal representations of LLMs provides real-time adjustments to defend against OOD attacks. However, it struggles with maintaining model utility, since modifying th"&amp;"e representation disrupts the forward pass of inference. It barely considers the competitive objectives of helpfulness and harmlessness in LLMs. We argue that adversarial game-based approaches promise a solution for conflicts between the two objectives. I"&amp;"n this paper, we propose **A**dversarial **G**ame **D**efense (AGD), an adversarial game-based defense method that dynamically adjusts LLMs' internal representations to achieve a balanced trade-off between helpfulness and harmlessness. AGD first proposes "&amp;"an interquartile range (IQR) method to detect abnormal attention weights and correct the abnormal weights via adversarial training. AGD adopts a bi-level optimization to play a two-player variable-sum game to approach Nash Equilibrium (NE), where the two "&amp;"players adversarially refine head activations for helpfulness and harmlessness respectively. Furthermore, AGD applies an expert model to next-token sampling to generate safer responses. Experiments show that AGD significantly improves LLMs' safety over al"&amp;"l baselines.")</f>
        <v>LLMs demonstrate remarkable utility but remain vulnerable to jailbreak attacks that aim to elicit harmful responses. Existing defenses, including post-training alignment and prompt engineering, rely on training on safety-annotated datasets and safe prompt templates, struggling with adaptability to out-of-distribution (OOD) attacks. Steering internal representations of LLMs provides real-time adjustments to defend against OOD attacks. However, it struggles with maintaining model utility, since modifying the representation disrupts the forward pass of inference. It barely considers the competitive objectives of helpfulness and harmlessness in LLMs. We argue that adversarial game-based approaches promise a solution for conflicts between the two objectives. In this paper, we propose **A**dversarial **G**ame **D**efense (AGD), an adversarial game-based defense method that dynamically adjusts LLMs' internal representations to achieve a balanced trade-off between helpfulness and harmlessness. AGD first proposes an interquartile range (IQR) method to detect abnormal attention weights and correct the abnormal weights via adversarial training. AGD adopts a bi-level optimization to play a two-player variable-sum game to approach Nash Equilibrium (NE), where the two players adversarially refine head activations for helpfulness and harmlessness respectively. Furthermore, AGD applies an expert model to next-token sampling to generate safer responses. Experiments show that AGD significantly improves LLMs' safety over all baselines.</v>
      </c>
      <c r="D2481" s="7" t="str">
        <f>IFERROR(__xludf.DUMMYFUNCTION("""COMPUTED_VALUE"""),"Shilong Pan")</f>
        <v>Shilong Pan</v>
      </c>
      <c r="E2481" s="7" t="str">
        <f>IFERROR(__xludf.DUMMYFUNCTION("""COMPUTED_VALUE"""),"Yes")</f>
        <v>Yes</v>
      </c>
      <c r="F2481" s="7" t="str">
        <f>IFERROR(__xludf.DUMMYFUNCTION("""COMPUTED_VALUE"""),"V-Presentation")</f>
        <v>V-Presentation</v>
      </c>
      <c r="G2481" s="7" t="str">
        <f>IFERROR(__xludf.DUMMYFUNCTION("""COMPUTED_VALUE"""),"Virtual/Gather")</f>
        <v>Virtual/Gather</v>
      </c>
      <c r="H2481" s="7" t="str">
        <f>IFERROR(__xludf.DUMMYFUNCTION("""COMPUTED_VALUE"""),"Zoom")</f>
        <v>Zoom</v>
      </c>
      <c r="I2481" s="7" t="str">
        <f>IFERROR(__xludf.DUMMYFUNCTION("""COMPUTED_VALUE"""),"Session 7: V--Presentations ")</f>
        <v>Session 7: V--Presentations </v>
      </c>
      <c r="J2481" s="7" t="str">
        <f>IFERROR(__xludf.DUMMYFUNCTION("""COMPUTED_VALUE"""),"Virtual Presentations 2")</f>
        <v>Virtual Presentations 2</v>
      </c>
      <c r="K2481" s="7"/>
      <c r="L2481" s="8"/>
      <c r="M2481" s="7" t="str">
        <f>IFERROR(__xludf.DUMMYFUNCTION("""COMPUTED_VALUE"""),"10:30-12:00")</f>
        <v>10:30-12:00</v>
      </c>
      <c r="N2481" s="7"/>
    </row>
    <row r="2482">
      <c r="A2482" s="7" t="str">
        <f>IFERROR(__xludf.DUMMYFUNCTION("""COMPUTED_VALUE"""),"2183-MAIN")</f>
        <v>2183-MAIN</v>
      </c>
      <c r="B2482" s="7" t="str">
        <f>IFERROR(__xludf.DUMMYFUNCTION("""COMPUTED_VALUE"""),"SCOP: Evaluating the Comprehension Process of Large Language Models from a Cognitive View")</f>
        <v>SCOP: Evaluating the Comprehension Process of Large Language Models from a Cognitive View</v>
      </c>
      <c r="C2482" s="7" t="str">
        <f>IFERROR(__xludf.DUMMYFUNCTION("""COMPUTED_VALUE"""),"Despite the great potential of large language models~(LLMs) in machine comprehension, it is still disturbing to fully count on them in real-world scenarios. This is probably because there is no rational explanation for whether the comprehension process of"&amp;" LLMs is aligned with that of experts. In this paper, we propose SCOP to carefully examine how LLMs perform during the comprehension process from a cognitive view. Specifically, it is equipped with a systematical definition of five requisite skills during"&amp;" the comprehension process, a strict framework to construct testing data for these skills, and a detailed analysis of advanced open-sourced and closed-sourced LLMs using the testing data. With SCOP, we find that it is still challenging for LLMs to perform"&amp;" an expert-level comprehension process. Even so, we notice that LLMs share some similarities with experts, e.g., performing better at comprehending local information than global information. Further analysis reveals that LLMs can be somewhat unreliable --"&amp;"- they might reach correct answers through flawed comprehension processes. Based on SCOP, we suggest that one direction for improving LLMs is to focus more on the comprehension process, ensuring all comprehension skills are thoroughly developed during tra"&amp;"ining.")</f>
        <v>Despite the great potential of large language models~(LLMs) in machine comprehension, it is still disturbing to fully count on them in real-world scenarios. This is probably because there is no rational explanation for whether the comprehension process of LLMs is aligned with that of experts. In this paper, we propose SCOP to carefully examine how LLMs perform during the comprehension process from a cognitive view. Specifically, it is equipped with a systematical definition of five requisite skills during the comprehension process, a strict framework to construct testing data for these skills, and a detailed analysis of advanced open-sourced and closed-sourced LLMs using the testing data. With SCOP, we find that it is still challenging for LLMs to perform an expert-level comprehension process. Even so, we notice that LLMs share some similarities with experts, e.g., performing better at comprehending local information than global information. Further analysis reveals that LLMs can be somewhat unreliable --- they might reach correct answers through flawed comprehension processes. Based on SCOP, we suggest that one direction for improving LLMs is to focus more on the comprehension process, ensuring all comprehension skills are thoroughly developed during training.</v>
      </c>
      <c r="D2482" s="7" t="str">
        <f>IFERROR(__xludf.DUMMYFUNCTION("""COMPUTED_VALUE"""),"Yongjie Xiao")</f>
        <v>Yongjie Xiao</v>
      </c>
      <c r="E2482" s="7" t="str">
        <f>IFERROR(__xludf.DUMMYFUNCTION("""COMPUTED_VALUE"""),"Yes")</f>
        <v>Yes</v>
      </c>
      <c r="F2482" s="7" t="str">
        <f>IFERROR(__xludf.DUMMYFUNCTION("""COMPUTED_VALUE"""),"IP-Poster")</f>
        <v>IP-Poster</v>
      </c>
      <c r="G2482" s="7" t="str">
        <f>IFERROR(__xludf.DUMMYFUNCTION("""COMPUTED_VALUE"""),"In-Person")</f>
        <v>In-Person</v>
      </c>
      <c r="H2482" s="7" t="str">
        <f>IFERROR(__xludf.DUMMYFUNCTION("""COMPUTED_VALUE"""),"Hall 4/5")</f>
        <v>Hall 4/5</v>
      </c>
      <c r="I2482" s="7" t="str">
        <f>IFERROR(__xludf.DUMMYFUNCTION("""COMPUTED_VALUE"""),"Session 7: IP-Posters")</f>
        <v>Session 7: IP-Posters</v>
      </c>
      <c r="J2482" s="7" t="str">
        <f>IFERROR(__xludf.DUMMYFUNCTION("""COMPUTED_VALUE"""),"Poster Session 2")</f>
        <v>Poster Session 2</v>
      </c>
      <c r="K2482" s="7"/>
      <c r="L2482" s="8">
        <f>IFERROR(__xludf.DUMMYFUNCTION("""COMPUTED_VALUE"""),45867.0)</f>
        <v>45867</v>
      </c>
      <c r="M2482" s="7" t="str">
        <f>IFERROR(__xludf.DUMMYFUNCTION("""COMPUTED_VALUE"""),"10:30-12:00")</f>
        <v>10:30-12:00</v>
      </c>
      <c r="N2482" s="7"/>
    </row>
    <row r="2483">
      <c r="A2483" s="7" t="str">
        <f>IFERROR(__xludf.DUMMYFUNCTION("""COMPUTED_VALUE"""),"2185-MAIN")</f>
        <v>2185-MAIN</v>
      </c>
      <c r="B2483" s="7" t="str">
        <f>IFERROR(__xludf.DUMMYFUNCTION("""COMPUTED_VALUE"""),"Table-Critic: A Multi-Agent Framework for Collaborative Criticism and Refinement in Table Reasoning")</f>
        <v>Table-Critic: A Multi-Agent Framework for Collaborative Criticism and Refinement in Table Reasoning</v>
      </c>
      <c r="C2483" s="7" t="str">
        <f>IFERROR(__xludf.DUMMYFUNCTION("""COMPUTED_VALUE"""),"Despite the remarkable capabilities of large language models (LLMs) in various reasoning tasks, they still struggle with table reasoning tasks, particularly in maintaining consistency throughout multi-step reasoning processes. While existing approaches ha"&amp;"ve explored various decomposition strategies, they often lack effective mechanisms to identify and correct errors in intermediate reasoning steps, leading to cascading error propagation. To address these issues, we propose Table-Critic, a novel multi-agen"&amp;"t framework that facilitates collaborative criticism and iterative refinement of the reasoning process until convergence to correct solutions. Our framework consists of four specialized agents: a Judge for error identification, a Critic for comprehensive "&amp;"critiques, a Refiner for process improvement, and a Curator for pattern distillation. To effectively deal with diverse and unpredictable error types, we introduce a self-evolving template tree that systematically accumulates critique knowledge through exp"&amp;"erience-driven learning and guides future reflections. Extensive experiments have demonstrated that Table-Critic achieves substantial improvements over existing methods, achieving superior accuracy and error correction rates while maintaining computationa"&amp;"l efficiency and lower solution degradation rate.")</f>
        <v>Despite the remarkable capabilities of large language models (LLMs) in various reasoning tasks, they still struggle with table reasoning tasks, particularly in maintaining consistency throughout multi-step reasoning processes. While existing approaches have explored various decomposition strategies, they often lack effective mechanisms to identify and correct errors in intermediate reasoning steps, leading to cascading error propagation. To address these issues, we propose Table-Critic, a novel multi-agent framework that facilitates collaborative criticism and iterative refinement of the reasoning process until convergence to correct solutions. Our framework consists of four specialized agents: a Judge for error identification, a Critic for comprehensive critiques, a Refiner for process improvement, and a Curator for pattern distillation. To effectively deal with diverse and unpredictable error types, we introduce a self-evolving template tree that systematically accumulates critique knowledge through experience-driven learning and guides future reflections. Extensive experiments have demonstrated that Table-Critic achieves substantial improvements over existing methods, achieving superior accuracy and error correction rates while maintaining computational efficiency and lower solution degradation rate.</v>
      </c>
      <c r="D2483" s="7" t="str">
        <f>IFERROR(__xludf.DUMMYFUNCTION("""COMPUTED_VALUE"""),"Peiying Yu")</f>
        <v>Peiying Yu</v>
      </c>
      <c r="E2483" s="7" t="str">
        <f>IFERROR(__xludf.DUMMYFUNCTION("""COMPUTED_VALUE"""),"Yes")</f>
        <v>Yes</v>
      </c>
      <c r="F2483" s="7" t="str">
        <f>IFERROR(__xludf.DUMMYFUNCTION("""COMPUTED_VALUE"""),"V-Presentation")</f>
        <v>V-Presentation</v>
      </c>
      <c r="G2483" s="7" t="str">
        <f>IFERROR(__xludf.DUMMYFUNCTION("""COMPUTED_VALUE"""),"Virtual/Gather")</f>
        <v>Virtual/Gather</v>
      </c>
      <c r="H2483" s="7" t="str">
        <f>IFERROR(__xludf.DUMMYFUNCTION("""COMPUTED_VALUE"""),"Zoom")</f>
        <v>Zoom</v>
      </c>
      <c r="I2483" s="7" t="str">
        <f>IFERROR(__xludf.DUMMYFUNCTION("""COMPUTED_VALUE"""),"Session 12: V-Presentations")</f>
        <v>Session 12: V-Presentations</v>
      </c>
      <c r="J2483" s="7" t="str">
        <f>IFERROR(__xludf.DUMMYFUNCTION("""COMPUTED_VALUE"""),"Virtual Presentations 4")</f>
        <v>Virtual Presentations 4</v>
      </c>
      <c r="K2483" s="7"/>
      <c r="L2483" s="8">
        <f>IFERROR(__xludf.DUMMYFUNCTION("""COMPUTED_VALUE"""),45868.0)</f>
        <v>45868</v>
      </c>
      <c r="M2483" s="7" t="str">
        <f>IFERROR(__xludf.DUMMYFUNCTION("""COMPUTED_VALUE"""),"11:00-12:30")</f>
        <v>11:00-12:30</v>
      </c>
      <c r="N2483" s="7"/>
    </row>
    <row r="2484">
      <c r="A2484" s="7" t="str">
        <f>IFERROR(__xludf.DUMMYFUNCTION("""COMPUTED_VALUE"""),"2189-MAIN")</f>
        <v>2189-MAIN</v>
      </c>
      <c r="B2484" s="7" t="str">
        <f>IFERROR(__xludf.DUMMYFUNCTION("""COMPUTED_VALUE"""),"An Expanded Massive Multilingual Dataset for High-Performance Language Technologies")</f>
        <v>An Expanded Massive Multilingual Dataset for High-Performance Language Technologies</v>
      </c>
      <c r="C2484" s="7" t="str">
        <f>IFERROR(__xludf.DUMMYFUNCTION("""COMPUTED_VALUE"""),"Training state-of-the-art large language models requires vast amounts of clean and diverse textual data. However, building suitable multilingual datasets remains a challenge. In this work, we present HPLT v2, a collection of high-quality multilingual mono"&amp;"lingual and parallel corpora, extending prior work of the HPLT project. The monolingual portion of the data contains 8T tokens covering 193 languages, while the parallel data contains 380M sentence pairs covering 51 languages. We document the entire data "&amp;"pipeline and release the code to reproduce it. We provide extensive analysis of the quality and characteristics of our data. Finally, we evaluate the performance of language models and machine translation systems trained on HPLT v2, demonstrating its valu"&amp;"e.")</f>
        <v>Training state-of-the-art large language models requires vast amounts of clean and diverse textual data. However, building suitable multilingual datasets remains a challenge. In this work, we present HPLT v2, a collection of high-quality multilingual monolingual and parallel corpora, extending prior work of the HPLT project. The monolingual portion of the data contains 8T tokens covering 193 languages, while the parallel data contains 380M sentence pairs covering 51 languages. We document the entire data pipeline and release the code to reproduce it. We provide extensive analysis of the quality and characteristics of our data. Finally, we evaluate the performance of language models and machine translation systems trained on HPLT v2, demonstrating its value.</v>
      </c>
      <c r="D2484" s="7" t="str">
        <f>IFERROR(__xludf.DUMMYFUNCTION("""COMPUTED_VALUE"""),"Laurie Burchell")</f>
        <v>Laurie Burchell</v>
      </c>
      <c r="E2484" s="7" t="str">
        <f>IFERROR(__xludf.DUMMYFUNCTION("""COMPUTED_VALUE"""),"Yes")</f>
        <v>Yes</v>
      </c>
      <c r="F2484" s="7" t="str">
        <f>IFERROR(__xludf.DUMMYFUNCTION("""COMPUTED_VALUE"""),"IP-Poster")</f>
        <v>IP-Poster</v>
      </c>
      <c r="G2484" s="7" t="str">
        <f>IFERROR(__xludf.DUMMYFUNCTION("""COMPUTED_VALUE"""),"In-Person")</f>
        <v>In-Person</v>
      </c>
      <c r="H2484" s="7" t="str">
        <f>IFERROR(__xludf.DUMMYFUNCTION("""COMPUTED_VALUE"""),"Hall 4/5")</f>
        <v>Hall 4/5</v>
      </c>
      <c r="I2484" s="7" t="str">
        <f>IFERROR(__xludf.DUMMYFUNCTION("""COMPUTED_VALUE"""),"Session 12: IP-Posters")</f>
        <v>Session 12: IP-Posters</v>
      </c>
      <c r="J2484" s="7" t="str">
        <f>IFERROR(__xludf.DUMMYFUNCTION("""COMPUTED_VALUE"""),"Poster Session 4")</f>
        <v>Poster Session 4</v>
      </c>
      <c r="K2484" s="7"/>
      <c r="L2484" s="8">
        <f>IFERROR(__xludf.DUMMYFUNCTION("""COMPUTED_VALUE"""),45868.0)</f>
        <v>45868</v>
      </c>
      <c r="M2484" s="7" t="str">
        <f>IFERROR(__xludf.DUMMYFUNCTION("""COMPUTED_VALUE"""),"11:00-12:30")</f>
        <v>11:00-12:30</v>
      </c>
      <c r="N2484" s="7"/>
    </row>
    <row r="2485">
      <c r="A2485" s="7" t="str">
        <f>IFERROR(__xludf.DUMMYFUNCTION("""COMPUTED_VALUE"""),"2192-MAIN")</f>
        <v>2192-MAIN</v>
      </c>
      <c r="B2485" s="7" t="str">
        <f>IFERROR(__xludf.DUMMYFUNCTION("""COMPUTED_VALUE"""),"Scaling Text-Rich Image Understanding via Code-Guided Synthetic Multimodal Data Generation")</f>
        <v>Scaling Text-Rich Image Understanding via Code-Guided Synthetic Multimodal Data Generation</v>
      </c>
      <c r="C2485" s="7" t="str">
        <f>IFERROR(__xludf.DUMMYFUNCTION("""COMPUTED_VALUE"""),"Reasoning about images with rich text, such as charts and documents, is a critical application of vision-language models (VLMs). However, VLMs often struggle in these domains due to the scarcity of diverse text-rich vision-language data. To address this c"&amp;"hallenge, we present CoSyn, a framework that leverages the coding capabilities of text-only large language models (LLMs) to automatically create synthetic text-rich multimodal data. Given input text describing a target domain (e.g., ""nutrition fact label"&amp;"s""), CoSyn prompts an LLM to generate code (Python, HTML, LaTeX, etc.) for rendering synthetic images. With the underlying code as textual representations of the synthetic images, CoSyn can generate high-quality instruction-tuning data, again relying on "&amp;"a text-only LLM. Using CoSyn, we constructed a dataset comprising 400K images and 2.7M rows of vision-language instruction-tuning data. Comprehensive experiments on seven benchmarks demonstrate that models trained on our synthetic data achieve state-of-th"&amp;"e-art performance among competitive open-source models, including Llama 3.2, and surpass proprietary models such as GPT-4V and Gemini 1.5 Flash. Furthermore, CoSyn can produce synthetic pointing data, enabling VLMs to ground information within input image"&amp;"s, showcasing its potential for developing multimodal agents capable of acting in real-world environments.")</f>
        <v>Reasoning about images with rich text, such as charts and documents, is a critical application of vision-language models (VLMs). However, VLMs often struggle in these domains due to the scarcity of diverse text-rich vision-language data. To address this challenge, we present CoSyn, a framework that leverages the coding capabilities of text-only large language models (LLMs) to automatically create synthetic text-rich multimodal data. Given input text describing a target domain (e.g., "nutrition fact labels"), CoSyn prompts an LLM to generate code (Python, HTML, LaTeX, etc.) for rendering synthetic images. With the underlying code as textual representations of the synthetic images, CoSyn can generate high-quality instruction-tuning data, again relying on a text-only LLM. Using CoSyn, we constructed a dataset comprising 400K images and 2.7M rows of vision-language instruction-tuning data. Comprehensive experiments on seven benchmarks demonstrate that models trained on our synthetic data achieve state-of-the-art performance among competitive open-source models, including Llama 3.2, and surpass proprietary models such as GPT-4V and Gemini 1.5 Flash. Furthermore, CoSyn can produce synthetic pointing data, enabling VLMs to ground information within input images, showcasing its potential for developing multimodal agents capable of acting in real-world environments.</v>
      </c>
      <c r="D2485" s="7" t="str">
        <f>IFERROR(__xludf.DUMMYFUNCTION("""COMPUTED_VALUE"""),"Yue Yang, Ajay Patel")</f>
        <v>Yue Yang, Ajay Patel</v>
      </c>
      <c r="E2485" s="7" t="str">
        <f>IFERROR(__xludf.DUMMYFUNCTION("""COMPUTED_VALUE"""),"Yes")</f>
        <v>Yes</v>
      </c>
      <c r="F2485" s="7" t="str">
        <f>IFERROR(__xludf.DUMMYFUNCTION("""COMPUTED_VALUE"""),"V-Presentation")</f>
        <v>V-Presentation</v>
      </c>
      <c r="G2485" s="7" t="str">
        <f>IFERROR(__xludf.DUMMYFUNCTION("""COMPUTED_VALUE"""),"Virtual/Gather")</f>
        <v>Virtual/Gather</v>
      </c>
      <c r="H2485" s="7" t="str">
        <f>IFERROR(__xludf.DUMMYFUNCTION("""COMPUTED_VALUE"""),"Zoom")</f>
        <v>Zoom</v>
      </c>
      <c r="I2485" s="7" t="str">
        <f>IFERROR(__xludf.DUMMYFUNCTION("""COMPUTED_VALUE"""),"Session 10: V-Presenations")</f>
        <v>Session 10: V-Presenations</v>
      </c>
      <c r="J2485" s="7" t="str">
        <f>IFERROR(__xludf.DUMMYFUNCTION("""COMPUTED_VALUE"""),"Virtual Presentations 3")</f>
        <v>Virtual Presentations 3</v>
      </c>
      <c r="K2485" s="7"/>
      <c r="L2485" s="8">
        <f>IFERROR(__xludf.DUMMYFUNCTION("""COMPUTED_VALUE"""),45867.0)</f>
        <v>45867</v>
      </c>
      <c r="M2485" s="7" t="str">
        <f>IFERROR(__xludf.DUMMYFUNCTION("""COMPUTED_VALUE"""),"16:00-17:30")</f>
        <v>16:00-17:30</v>
      </c>
      <c r="N2485" s="7"/>
    </row>
    <row r="2486">
      <c r="A2486" s="7" t="str">
        <f>IFERROR(__xludf.DUMMYFUNCTION("""COMPUTED_VALUE"""),"2194-MAIN")</f>
        <v>2194-MAIN</v>
      </c>
      <c r="B2486" s="7" t="str">
        <f>IFERROR(__xludf.DUMMYFUNCTION("""COMPUTED_VALUE"""),"Hierarchical Attention Generates Better Proofs")</f>
        <v>Hierarchical Attention Generates Better Proofs</v>
      </c>
      <c r="C2486" s="7" t="str">
        <f>IFERROR(__xludf.DUMMYFUNCTION("""COMPUTED_VALUE"""),"Large language models (LLMs) have shown promise in formal theorem proving, but their token-level processing often fails to capture the inherent hierarchical nature of mathematical proofs. We introduce \textbf{Hierarchical Attention}, a regularization meth"&amp;"od that aligns LLMs' attention mechanisms with mathematical reasoning structures. Our approach establishes a five-level hierarchy from foundational elements to high-level concepts, ensuring structured information flow in proof generation. Experiments demo"&amp;"nstrate that our method improves proof success rates by 2.05% on miniF2F and 1.69% on ProofNet while reducing proof complexity by 23.81% and 16.50% respectively. The code and models will be available.")</f>
        <v>Large language models (LLMs) have shown promise in formal theorem proving, but their token-level processing often fails to capture the inherent hierarchical nature of mathematical proofs. We introduce \textbf{Hierarchical Attention}, a regularization method that aligns LLMs' attention mechanisms with mathematical reasoning structures. Our approach establishes a five-level hierarchy from foundational elements to high-level concepts, ensuring structured information flow in proof generation. Experiments demonstrate that our method improves proof success rates by 2.05% on miniF2F and 1.69% on ProofNet while reducing proof complexity by 23.81% and 16.50% respectively. The code and models will be available.</v>
      </c>
      <c r="D2486" s="7" t="str">
        <f>IFERROR(__xludf.DUMMYFUNCTION("""COMPUTED_VALUE"""),"Jianlong Chen")</f>
        <v>Jianlong Chen</v>
      </c>
      <c r="E2486" s="7" t="str">
        <f>IFERROR(__xludf.DUMMYFUNCTION("""COMPUTED_VALUE"""),"Yes")</f>
        <v>Yes</v>
      </c>
      <c r="F2486" s="7" t="str">
        <f>IFERROR(__xludf.DUMMYFUNCTION("""COMPUTED_VALUE"""),"IP-Poster")</f>
        <v>IP-Poster</v>
      </c>
      <c r="G2486" s="7" t="str">
        <f>IFERROR(__xludf.DUMMYFUNCTION("""COMPUTED_VALUE"""),"In-Person")</f>
        <v>In-Person</v>
      </c>
      <c r="H2486" s="7" t="str">
        <f>IFERROR(__xludf.DUMMYFUNCTION("""COMPUTED_VALUE"""),"Hall 4/5")</f>
        <v>Hall 4/5</v>
      </c>
      <c r="I2486" s="7" t="str">
        <f>IFERROR(__xludf.DUMMYFUNCTION("""COMPUTED_VALUE"""),"Session 7: IP-Posters")</f>
        <v>Session 7: IP-Posters</v>
      </c>
      <c r="J2486" s="7" t="str">
        <f>IFERROR(__xludf.DUMMYFUNCTION("""COMPUTED_VALUE"""),"Poster Session 2")</f>
        <v>Poster Session 2</v>
      </c>
      <c r="K2486" s="7"/>
      <c r="L2486" s="8">
        <f>IFERROR(__xludf.DUMMYFUNCTION("""COMPUTED_VALUE"""),45867.0)</f>
        <v>45867</v>
      </c>
      <c r="M2486" s="7" t="str">
        <f>IFERROR(__xludf.DUMMYFUNCTION("""COMPUTED_VALUE"""),"10:30-12:00")</f>
        <v>10:30-12:00</v>
      </c>
      <c r="N2486" s="7"/>
    </row>
    <row r="2487">
      <c r="A2487" s="7" t="str">
        <f>IFERROR(__xludf.DUMMYFUNCTION("""COMPUTED_VALUE"""),"2199-MAIN")</f>
        <v>2199-MAIN</v>
      </c>
      <c r="B2487" s="7" t="str">
        <f>IFERROR(__xludf.DUMMYFUNCTION("""COMPUTED_VALUE"""),"Agent-RewardBench: Towards a Unified Benchmark for Reward Modeling across Perception, Planning, and Safety in Real-World Multimodal Agents")</f>
        <v>Agent-RewardBench: Towards a Unified Benchmark for Reward Modeling across Perception, Planning, and Safety in Real-World Multimodal Agents</v>
      </c>
      <c r="C2487" s="7" t="str">
        <f>IFERROR(__xludf.DUMMYFUNCTION("""COMPUTED_VALUE"""),"As Multimodal Large Language Models (MLLMs) advance, multimodal agents show promise in real-world tasks like web navigation and embodied intelligence. However, due to limitations in a lack of external feedback, these agents struggle with self-correction a"&amp;"nd generalization. A promising approach is to use reward models as external feedback, but there is no clear on how to select reward models for agents. Thus, there is an urgent need to build a reward bench targeted at agents. To address these challenges, w"&amp;"e propose Agent-RewardBench, a benchmark designed to evaluate reward modeling ability in MLLMs. The benchmark is characterized by three key features: (1) Multiple dimensions and real-world agent scenarios evaluation. It covers perception, planning, and sa"&amp;"fety with 7 scenarios; (2) Step-level reward evaluation. It allows for the assessment of agent capabilities at the individual steps of a task, providing a more granular view of performance during the planning process; and (3) Appropriately difficulty and "&amp;"high-quality. We carefully sample from 10 diverse models, difficulty control to maintain task challenges, and manual verification to ensure the integrity of the data. Experiments demonstrate that even state-of-the-art multimodal models show limited perfor"&amp;"mance, highlighting the need for specialized training in agent reward modeling. Code is available at github.")</f>
        <v>As Multimodal Large Language Models (MLLMs) advance, multimodal agents show promise in real-world tasks like web navigation and embodied intelligence. However, due to limitations in a lack of external feedback, these agents struggle with self-correction and generalization. A promising approach is to use reward models as external feedback, but there is no clear on how to select reward models for agents. Thus, there is an urgent need to build a reward bench targeted at agents. To address these challenges, we propose Agent-RewardBench, a benchmark designed to evaluate reward modeling ability in MLLMs. The benchmark is characterized by three key features: (1) Multiple dimensions and real-world agent scenarios evaluation. It covers perception, planning, and safety with 7 scenarios; (2) Step-level reward evaluation. It allows for the assessment of agent capabilities at the individual steps of a task, providing a more granular view of performance during the planning process; and (3) Appropriately difficulty and high-quality. We carefully sample from 10 diverse models, difficulty control to maintain task challenges, and manual verification to ensure the integrity of the data. Experiments demonstrate that even state-of-the-art multimodal models show limited performance, highlighting the need for specialized training in agent reward modeling. Code is available at github.</v>
      </c>
      <c r="D2487" s="7" t="str">
        <f>IFERROR(__xludf.DUMMYFUNCTION("""COMPUTED_VALUE"""),"Tianyi Men")</f>
        <v>Tianyi Men</v>
      </c>
      <c r="E2487" s="7" t="str">
        <f>IFERROR(__xludf.DUMMYFUNCTION("""COMPUTED_VALUE"""),"Yes")</f>
        <v>Yes</v>
      </c>
      <c r="F2487" s="7" t="str">
        <f>IFERROR(__xludf.DUMMYFUNCTION("""COMPUTED_VALUE"""),"IP-Poster")</f>
        <v>IP-Poster</v>
      </c>
      <c r="G2487" s="7" t="str">
        <f>IFERROR(__xludf.DUMMYFUNCTION("""COMPUTED_VALUE"""),"In-Person")</f>
        <v>In-Person</v>
      </c>
      <c r="H2487" s="7" t="str">
        <f>IFERROR(__xludf.DUMMYFUNCTION("""COMPUTED_VALUE"""),"Hall 4/5")</f>
        <v>Hall 4/5</v>
      </c>
      <c r="I2487" s="7" t="str">
        <f>IFERROR(__xludf.DUMMYFUNCTION("""COMPUTED_VALUE"""),"Session 12: IP-Posters")</f>
        <v>Session 12: IP-Posters</v>
      </c>
      <c r="J2487" s="7" t="str">
        <f>IFERROR(__xludf.DUMMYFUNCTION("""COMPUTED_VALUE"""),"Poster Session 4")</f>
        <v>Poster Session 4</v>
      </c>
      <c r="K2487" s="7"/>
      <c r="L2487" s="8">
        <f>IFERROR(__xludf.DUMMYFUNCTION("""COMPUTED_VALUE"""),45868.0)</f>
        <v>45868</v>
      </c>
      <c r="M2487" s="7" t="str">
        <f>IFERROR(__xludf.DUMMYFUNCTION("""COMPUTED_VALUE"""),"11:00-12:30")</f>
        <v>11:00-12:30</v>
      </c>
      <c r="N2487" s="7"/>
    </row>
    <row r="2488">
      <c r="A2488" s="7" t="str">
        <f>IFERROR(__xludf.DUMMYFUNCTION("""COMPUTED_VALUE"""),"2204-MAIN")</f>
        <v>2204-MAIN</v>
      </c>
      <c r="B2488" s="7" t="str">
        <f>IFERROR(__xludf.DUMMYFUNCTION("""COMPUTED_VALUE"""),"It’s Not Bragging If You Can Back It Up: Can LLMs Understand Braggings?")</f>
        <v>It’s Not Bragging If You Can Back It Up: Can LLMs Understand Braggings?</v>
      </c>
      <c r="C2488" s="7" t="str">
        <f>IFERROR(__xludf.DUMMYFUNCTION("""COMPUTED_VALUE"""),"Bragging, as a pervasive social-linguistic phenomenon, reflects complex human interaction patterns. However, the understanding and generation of appropriate bragging behavior in large language models (LLMs) remains underexplored. In this paper, we propose"&amp;" a comprehensive study that combines analytical and controllable approaches to examine bragging in LLMs. We design three tasks, \textit{bragging recognition, bragging explanation, and bragging generation}, along with novel evaluation metrics to assess the"&amp;" models' ability to identify bragging intent, social appropriateness, and account for context sensitivity. Our analysis reveals the challenges of bragging in the social context, such as recognizing bragging and responding appropriately with bragging in co"&amp;"nversation. This work provides new insights into how LLMs process bragging and highlights the need for more research on generating contextually appropriate behavior in LLMs.")</f>
        <v>Bragging, as a pervasive social-linguistic phenomenon, reflects complex human interaction patterns. However, the understanding and generation of appropriate bragging behavior in large language models (LLMs) remains underexplored. In this paper, we propose a comprehensive study that combines analytical and controllable approaches to examine bragging in LLMs. We design three tasks, \textit{bragging recognition, bragging explanation, and bragging generation}, along with novel evaluation metrics to assess the models' ability to identify bragging intent, social appropriateness, and account for context sensitivity. Our analysis reveals the challenges of bragging in the social context, such as recognizing bragging and responding appropriately with bragging in conversation. This work provides new insights into how LLMs process bragging and highlights the need for more research on generating contextually appropriate behavior in LLMs.</v>
      </c>
      <c r="D2488" s="7" t="str">
        <f>IFERROR(__xludf.DUMMYFUNCTION("""COMPUTED_VALUE"""),"Jingjie Zeng")</f>
        <v>Jingjie Zeng</v>
      </c>
      <c r="E2488" s="7" t="str">
        <f>IFERROR(__xludf.DUMMYFUNCTION("""COMPUTED_VALUE"""),"Yes")</f>
        <v>Yes</v>
      </c>
      <c r="F2488" s="7" t="str">
        <f>IFERROR(__xludf.DUMMYFUNCTION("""COMPUTED_VALUE"""),"IP-Oral")</f>
        <v>IP-Oral</v>
      </c>
      <c r="G2488" s="7" t="str">
        <f>IFERROR(__xludf.DUMMYFUNCTION("""COMPUTED_VALUE"""),"In-Person")</f>
        <v>In-Person</v>
      </c>
      <c r="H2488" s="7" t="str">
        <f>IFERROR(__xludf.DUMMYFUNCTION("""COMPUTED_VALUE"""),"Room 1.62")</f>
        <v>Room 1.62</v>
      </c>
      <c r="I2488" s="7" t="str">
        <f>IFERROR(__xludf.DUMMYFUNCTION("""COMPUTED_VALUE"""),"Session 9: IP-Orals")</f>
        <v>Session 9: IP-Orals</v>
      </c>
      <c r="J2488" s="7" t="str">
        <f>IFERROR(__xludf.DUMMYFUNCTION("""COMPUTED_VALUE"""),"Sentiment, Style and Argumentation Analysis")</f>
        <v>Sentiment, Style and Argumentation Analysis</v>
      </c>
      <c r="K2488" s="7"/>
      <c r="L2488" s="8">
        <f>IFERROR(__xludf.DUMMYFUNCTION("""COMPUTED_VALUE"""),45867.0)</f>
        <v>45867</v>
      </c>
      <c r="M2488" s="7" t="str">
        <f>IFERROR(__xludf.DUMMYFUNCTION("""COMPUTED_VALUE"""),"14:00-15:30")</f>
        <v>14:00-15:30</v>
      </c>
      <c r="N2488" s="7">
        <f>IFERROR(__xludf.DUMMYFUNCTION("""COMPUTED_VALUE"""),6.0)</f>
        <v>6</v>
      </c>
    </row>
    <row r="2489">
      <c r="A2489" s="7" t="str">
        <f>IFERROR(__xludf.DUMMYFUNCTION("""COMPUTED_VALUE"""),"2206-MAIN")</f>
        <v>2206-MAIN</v>
      </c>
      <c r="B2489" s="7" t="str">
        <f>IFERROR(__xludf.DUMMYFUNCTION("""COMPUTED_VALUE"""),"A Troublemaker with Contagious Jailbreak Makes Chaos in Honest Towns")</f>
        <v>A Troublemaker with Contagious Jailbreak Makes Chaos in Honest Towns</v>
      </c>
      <c r="C2489" s="7" t="str">
        <f>IFERROR(__xludf.DUMMYFUNCTION("""COMPUTED_VALUE"""),"With the development of large language models, they are widely used as agents in various fields. A key component of agents is memory, which stores vital information but is susceptible to jailbreak attacks. Existing research mainly focuses on single-agent "&amp;"attacks and shared memory attacks. However, real-world scenarios often involve independent memory. In this paper, we propose the Troublemaker Makes Chaos in Honest Town (TMCHT) task, a large-scale, multi-agent, multi-topology text-based attack evaluation "&amp;"framework. TMCHT involves one attacker agent attempting to mislead an entire society of agents. We identify two major challenges in multi-agent attacks: (1) Non-complete graph structure, (2) Large-scale systems. We attribute these challenges to a phenomen"&amp;"on we term toxicity disappearing. To address these issues, we propose an Adversarial Replication Contagious Jailbreak (ARCJ) method, which optimizes the retrieval suffix to make poisoned samples more easily retrieved and optimizes the replication suffix t"&amp;"o make poisoned samples have contagious ability. We demonstrate the superiority of our approach in TMCHT, with 23.51%, 18.95%, and 52.93% improvements in line, star topologies, and 100-agent settings. It reveals potential contagion risks in widely used mu"&amp;"lti-agent architectures.")</f>
        <v>With the development of large language models, they are widely used as agents in various fields. A key component of agents is memory, which stores vital information but is susceptible to jailbreak attacks. Existing research mainly focuses on single-agent attacks and shared memory attacks. However, real-world scenarios often involve independent memory. In this paper, we propose the Troublemaker Makes Chaos in Honest Town (TMCHT) task, a large-scale, multi-agent, multi-topology text-based attack evaluation framework. TMCHT involves one attacker agent attempting to mislead an entire society of agents. We identify two major challenges in multi-agent attacks: (1) Non-complete graph structure, (2) Large-scale systems. We attribute these challenges to a phenomenon we term toxicity disappearing. To address these issues, we propose an Adversarial Replication Contagious Jailbreak (ARCJ) method, which optimizes the retrieval suffix to make poisoned samples more easily retrieved and optimizes the replication suffix to make poisoned samples have contagious ability. We demonstrate the superiority of our approach in TMCHT, with 23.51%, 18.95%, and 52.93% improvements in line, star topologies, and 100-agent settings. It reveals potential contagion risks in widely used multi-agent architectures.</v>
      </c>
      <c r="D2489" s="7" t="str">
        <f>IFERROR(__xludf.DUMMYFUNCTION("""COMPUTED_VALUE"""),"Tianyi Men")</f>
        <v>Tianyi Men</v>
      </c>
      <c r="E2489" s="7" t="str">
        <f>IFERROR(__xludf.DUMMYFUNCTION("""COMPUTED_VALUE"""),"Yes")</f>
        <v>Yes</v>
      </c>
      <c r="F2489" s="7" t="str">
        <f>IFERROR(__xludf.DUMMYFUNCTION("""COMPUTED_VALUE"""),"IP-Oral")</f>
        <v>IP-Oral</v>
      </c>
      <c r="G2489" s="7" t="str">
        <f>IFERROR(__xludf.DUMMYFUNCTION("""COMPUTED_VALUE"""),"In-Person")</f>
        <v>In-Person</v>
      </c>
      <c r="H2489" s="7" t="str">
        <f>IFERROR(__xludf.DUMMYFUNCTION("""COMPUTED_VALUE"""),"Hall M.1")</f>
        <v>Hall M.1</v>
      </c>
      <c r="I2489" s="7" t="str">
        <f>IFERROR(__xludf.DUMMYFUNCTION("""COMPUTED_VALUE"""),"Session 11: IP-Orals ")</f>
        <v>Session 11: IP-Orals </v>
      </c>
      <c r="J2489" s="7" t="str">
        <f>IFERROR(__xludf.DUMMYFUNCTION("""COMPUTED_VALUE"""),"NLP Applications 2")</f>
        <v>NLP Applications 2</v>
      </c>
      <c r="K2489" s="7"/>
      <c r="L2489" s="8">
        <f>IFERROR(__xludf.DUMMYFUNCTION("""COMPUTED_VALUE"""),45868.0)</f>
        <v>45868</v>
      </c>
      <c r="M2489" s="7" t="str">
        <f>IFERROR(__xludf.DUMMYFUNCTION("""COMPUTED_VALUE"""),"09:00-10:30")</f>
        <v>09:00-10:30</v>
      </c>
      <c r="N2489" s="7">
        <f>IFERROR(__xludf.DUMMYFUNCTION("""COMPUTED_VALUE"""),4.0)</f>
        <v>4</v>
      </c>
    </row>
    <row r="2490">
      <c r="A2490" s="7" t="str">
        <f>IFERROR(__xludf.DUMMYFUNCTION("""COMPUTED_VALUE"""),"2207-MAIN")</f>
        <v>2207-MAIN</v>
      </c>
      <c r="B2490" s="7" t="str">
        <f>IFERROR(__xludf.DUMMYFUNCTION("""COMPUTED_VALUE"""),"Meta-Learning Neural Mechanisms rather than Bayesian Priors")</f>
        <v>Meta-Learning Neural Mechanisms rather than Bayesian Priors</v>
      </c>
      <c r="C2490" s="7" t="str">
        <f>IFERROR(__xludf.DUMMYFUNCTION("""COMPUTED_VALUE"""),"Children acquire language despite being exposed to several orders of magnitude less data than large language models require. Meta-learning has been proposed as a way to integrate human-like learning biases into neural-network architectures, combining both"&amp;" the structured generalizations of symbolic models with the scalability of neural-network models. But what does meta-learning exactly imbue the model with? We investigate the meta-learning of formal languages and find that, contrary to previous claims, me"&amp;"ta-trained models are not learning simplicity-based priors when meta-trained on datasets organised around simplicity. Rather, we find evidence that meta-training imprints neural mechanisms (such as counters) into the model, which function like cognitive p"&amp;"rimitives for the network on downstream tasks. Most surprisingly, we find that meta-training on a *single* formal language can provide as much improvement to a model as meta-training on 5000 different formal languages, provided that the formal language in"&amp;"centivizes the learning of useful neural mechanisms. Taken together, our findings provide practical implications for efficient meta-learning paradigms and new theoretical insights into linking symbolic theories and neural mechanisms.")</f>
        <v>Children acquire language despite being exposed to several orders of magnitude less data than large language models require. Meta-learning has been proposed as a way to integrate human-like learning biases into neural-network architectures, combining both the structured generalizations of symbolic models with the scalability of neural-network models. But what does meta-learning exactly imbue the model with? We investigate the meta-learning of formal languages and find that, contrary to previous claims, meta-trained models are not learning simplicity-based priors when meta-trained on datasets organised around simplicity. Rather, we find evidence that meta-training imprints neural mechanisms (such as counters) into the model, which function like cognitive primitives for the network on downstream tasks. Most surprisingly, we find that meta-training on a *single* formal language can provide as much improvement to a model as meta-training on 5000 different formal languages, provided that the formal language incentivizes the learning of useful neural mechanisms. Taken together, our findings provide practical implications for efficient meta-learning paradigms and new theoretical insights into linking symbolic theories and neural mechanisms.</v>
      </c>
      <c r="D2490" s="7" t="str">
        <f>IFERROR(__xludf.DUMMYFUNCTION("""COMPUTED_VALUE"""),"Michael Eric Goodale")</f>
        <v>Michael Eric Goodale</v>
      </c>
      <c r="E2490" s="7" t="str">
        <f>IFERROR(__xludf.DUMMYFUNCTION("""COMPUTED_VALUE"""),"Yes")</f>
        <v>Yes</v>
      </c>
      <c r="F2490" s="7" t="str">
        <f>IFERROR(__xludf.DUMMYFUNCTION("""COMPUTED_VALUE"""),"IP-Poster")</f>
        <v>IP-Poster</v>
      </c>
      <c r="G2490" s="7" t="str">
        <f>IFERROR(__xludf.DUMMYFUNCTION("""COMPUTED_VALUE"""),"In-Person")</f>
        <v>In-Person</v>
      </c>
      <c r="H2490" s="7" t="str">
        <f>IFERROR(__xludf.DUMMYFUNCTION("""COMPUTED_VALUE"""),"Hall 4/5")</f>
        <v>Hall 4/5</v>
      </c>
      <c r="I2490" s="7" t="str">
        <f>IFERROR(__xludf.DUMMYFUNCTION("""COMPUTED_VALUE"""),"Session 12: IP-Posters")</f>
        <v>Session 12: IP-Posters</v>
      </c>
      <c r="J2490" s="7" t="str">
        <f>IFERROR(__xludf.DUMMYFUNCTION("""COMPUTED_VALUE"""),"Poster Session 4")</f>
        <v>Poster Session 4</v>
      </c>
      <c r="K2490" s="7"/>
      <c r="L2490" s="8">
        <f>IFERROR(__xludf.DUMMYFUNCTION("""COMPUTED_VALUE"""),45868.0)</f>
        <v>45868</v>
      </c>
      <c r="M2490" s="7" t="str">
        <f>IFERROR(__xludf.DUMMYFUNCTION("""COMPUTED_VALUE"""),"11:00-12:30")</f>
        <v>11:00-12:30</v>
      </c>
      <c r="N2490" s="7"/>
    </row>
    <row r="2491">
      <c r="A2491" s="7" t="str">
        <f>IFERROR(__xludf.DUMMYFUNCTION("""COMPUTED_VALUE"""),"2209-MAIN")</f>
        <v>2209-MAIN</v>
      </c>
      <c r="B2491" s="7" t="str">
        <f>IFERROR(__xludf.DUMMYFUNCTION("""COMPUTED_VALUE"""),"Shifting from Ranking to Set Selection for Retrieval Augmented Generation")</f>
        <v>Shifting from Ranking to Set Selection for Retrieval Augmented Generation</v>
      </c>
      <c r="C2491" s="7" t="str">
        <f>IFERROR(__xludf.DUMMYFUNCTION("""COMPUTED_VALUE"""),"Retrieval in Retrieval-Augmented Generation (RAG) must ensure that retrieved passages are not only individually relevant but also collectively form a comprehensive set.
Existing approaches primarily rerank top-$k$ passages based on their individual releva"&amp;"nce, often failing to meet the information needs of complex queries in multi-hop question answering.
In this work, we propose a set-wise passage selection approach and introduce SetR, which explicitly identifies the information requirements of a query thr"&amp;"ough Chain-of-Thought reasoning and selects an optimal set of passages that collectively satisfy those requirements.
Experiments on multi-hop RAG benchmarks show that SetR outperforms both proprietary LLM-based rerankers and open-source baselines in terms"&amp;" of answer correctness and retrieval quality, providing an effective and efficient alternative to traditional rerankers in RAG systems.
The code is available at https://github.com/LGAI-Research/SetR")</f>
        <v>Retrieval in Retrieval-Augmented Generation (RAG) must ensure that retrieved passages are not only individually relevant but also collectively form a comprehensive set.
Existing approaches primarily rerank top-$k$ passages based on their individual relevance, often failing to meet the information needs of complex queries in multi-hop question answering.
In this work, we propose a set-wise passage selection approach and introduce SetR, which explicitly identifies the information requirements of a query through Chain-of-Thought reasoning and selects an optimal set of passages that collectively satisfy those requirements.
Experiments on multi-hop RAG benchmarks show that SetR outperforms both proprietary LLM-based rerankers and open-source baselines in terms of answer correctness and retrieval quality, providing an effective and efficient alternative to traditional rerankers in RAG systems.
The code is available at https://github.com/LGAI-Research/SetR</v>
      </c>
      <c r="D2491" s="7" t="str">
        <f>IFERROR(__xludf.DUMMYFUNCTION("""COMPUTED_VALUE"""),"Dahyun Lee")</f>
        <v>Dahyun Lee</v>
      </c>
      <c r="E2491" s="7" t="str">
        <f>IFERROR(__xludf.DUMMYFUNCTION("""COMPUTED_VALUE"""),"Yes")</f>
        <v>Yes</v>
      </c>
      <c r="F2491" s="7" t="str">
        <f>IFERROR(__xludf.DUMMYFUNCTION("""COMPUTED_VALUE"""),"IP-Oral")</f>
        <v>IP-Oral</v>
      </c>
      <c r="G2491" s="7" t="str">
        <f>IFERROR(__xludf.DUMMYFUNCTION("""COMPUTED_VALUE"""),"In-Person")</f>
        <v>In-Person</v>
      </c>
      <c r="H2491" s="7" t="str">
        <f>IFERROR(__xludf.DUMMYFUNCTION("""COMPUTED_VALUE"""),"Room 1.86")</f>
        <v>Room 1.86</v>
      </c>
      <c r="I2491" s="7" t="str">
        <f>IFERROR(__xludf.DUMMYFUNCTION("""COMPUTED_VALUE"""),"Session 11: IP-Orals ")</f>
        <v>Session 11: IP-Orals </v>
      </c>
      <c r="J2491" s="7" t="str">
        <f>IFERROR(__xludf.DUMMYFUNCTION("""COMPUTED_VALUE"""),"Question Answering ")</f>
        <v>Question Answering </v>
      </c>
      <c r="K2491" s="7"/>
      <c r="L2491" s="8">
        <f>IFERROR(__xludf.DUMMYFUNCTION("""COMPUTED_VALUE"""),45868.0)</f>
        <v>45868</v>
      </c>
      <c r="M2491" s="7" t="str">
        <f>IFERROR(__xludf.DUMMYFUNCTION("""COMPUTED_VALUE"""),"09:00-10:30")</f>
        <v>09:00-10:30</v>
      </c>
      <c r="N2491" s="7">
        <f>IFERROR(__xludf.DUMMYFUNCTION("""COMPUTED_VALUE"""),3.0)</f>
        <v>3</v>
      </c>
    </row>
    <row r="2492">
      <c r="A2492" s="7" t="str">
        <f>IFERROR(__xludf.DUMMYFUNCTION("""COMPUTED_VALUE"""),"2210-MAIN")</f>
        <v>2210-MAIN</v>
      </c>
      <c r="B2492" s="7" t="str">
        <f>IFERROR(__xludf.DUMMYFUNCTION("""COMPUTED_VALUE"""),"Understanding Large Language Model Vulnerabilities to Social Bias Attacks")</f>
        <v>Understanding Large Language Model Vulnerabilities to Social Bias Attacks</v>
      </c>
      <c r="C2492" s="7" t="str">
        <f>IFERROR(__xludf.DUMMYFUNCTION("""COMPUTED_VALUE"""),"Large Language Models (LLMs) have become foundational in human-computer interaction, demonstrating remarkable linguistic capabilities across various tasks. However, there is a growing concern about their potential to perpetuate social biases present in th"&amp;"eir training data. In this paper, we comprehensively investigate the vulnerabilities of contemporary LLMs to various social bias attacks, including prefix injection, refusal suppression, and learned attack prompts. We evaluate popular models such as LLaMA"&amp;"-2, GPT-3.5, and GPT-4 across gender, racial, and religious bias types. Our findings reveal that models are generally more susceptible to gender bias attacks compared to racial or religious biases. We also explore novel aspects such as cross-bias and mult"&amp;"iple-bias attacks, finding varying degrees of transferability across bias types. Additionally, our results show that larger models and pretrained base models often exhibit higher susceptibility to bias attacks. These insights contribute to the development"&amp;" of more inclusive and ethically responsible LLMs, emphasizing the importance of understanding and mitigating potential bias vulnerabilities. We offer recommendations for model developers and users to enhance the robustness of LLMs against social bias att"&amp;"acks.")</f>
        <v>Large Language Models (LLMs) have become foundational in human-computer interaction, demonstrating remarkable linguistic capabilities across various tasks. However, there is a growing concern about their potential to perpetuate social biases present in their training data. In this paper, we comprehensively investigate the vulnerabilities of contemporary LLMs to various social bias attacks, including prefix injection, refusal suppression, and learned attack prompts. We evaluate popular models such as LLaMA-2, GPT-3.5, and GPT-4 across gender, racial, and religious bias types. Our findings reveal that models are generally more susceptible to gender bias attacks compared to racial or religious biases. We also explore novel aspects such as cross-bias and multiple-bias attacks, finding varying degrees of transferability across bias types. Additionally, our results show that larger models and pretrained base models often exhibit higher susceptibility to bias attacks. These insights contribute to the development of more inclusive and ethically responsible LLMs, emphasizing the importance of understanding and mitigating potential bias vulnerabilities. We offer recommendations for model developers and users to enhance the robustness of LLMs against social bias attacks.</v>
      </c>
      <c r="D2492" s="7" t="str">
        <f>IFERROR(__xludf.DUMMYFUNCTION("""COMPUTED_VALUE"""),"Jiaxu Zhao")</f>
        <v>Jiaxu Zhao</v>
      </c>
      <c r="E2492" s="7" t="str">
        <f>IFERROR(__xludf.DUMMYFUNCTION("""COMPUTED_VALUE"""),"Yes")</f>
        <v>Yes</v>
      </c>
      <c r="F2492" s="7" t="str">
        <f>IFERROR(__xludf.DUMMYFUNCTION("""COMPUTED_VALUE"""),"IP-Oral")</f>
        <v>IP-Oral</v>
      </c>
      <c r="G2492" s="7" t="str">
        <f>IFERROR(__xludf.DUMMYFUNCTION("""COMPUTED_VALUE"""),"In-Person")</f>
        <v>In-Person</v>
      </c>
      <c r="H2492" s="7" t="str">
        <f>IFERROR(__xludf.DUMMYFUNCTION("""COMPUTED_VALUE"""),"Hall M.2")</f>
        <v>Hall M.2</v>
      </c>
      <c r="I2492" s="7" t="str">
        <f>IFERROR(__xludf.DUMMYFUNCTION("""COMPUTED_VALUE"""),"Session 3: IP-Orals")</f>
        <v>Session 3: IP-Orals</v>
      </c>
      <c r="J2492" s="7" t="str">
        <f>IFERROR(__xludf.DUMMYFUNCTION("""COMPUTED_VALUE"""),"Ethics, Bias, and Fairness")</f>
        <v>Ethics, Bias, and Fairness</v>
      </c>
      <c r="K2492" s="7"/>
      <c r="L2492" s="8">
        <f>IFERROR(__xludf.DUMMYFUNCTION("""COMPUTED_VALUE"""),45866.0)</f>
        <v>45866</v>
      </c>
      <c r="M2492" s="7" t="str">
        <f>IFERROR(__xludf.DUMMYFUNCTION("""COMPUTED_VALUE"""),"14:00-15:30")</f>
        <v>14:00-15:30</v>
      </c>
      <c r="N2492" s="7">
        <f>IFERROR(__xludf.DUMMYFUNCTION("""COMPUTED_VALUE"""),4.0)</f>
        <v>4</v>
      </c>
    </row>
    <row r="2493">
      <c r="A2493" s="7" t="str">
        <f>IFERROR(__xludf.DUMMYFUNCTION("""COMPUTED_VALUE"""),"2216-MAIN")</f>
        <v>2216-MAIN</v>
      </c>
      <c r="B2493" s="7" t="str">
        <f>IFERROR(__xludf.DUMMYFUNCTION("""COMPUTED_VALUE"""),"ChatSOP: An SOP-Guided MCTS Planning Framework for Controllable LLM Dialogue Agents")</f>
        <v>ChatSOP: An SOP-Guided MCTS Planning Framework for Controllable LLM Dialogue Agents</v>
      </c>
      <c r="C2493" s="7" t="str">
        <f>IFERROR(__xludf.DUMMYFUNCTION("""COMPUTED_VALUE"""),"Dialogue agents powered by Large Language Models (LLMs) show superior performance in various tasks. Despite the better user understanding and human-like responses, their **lack of controllability** remains a key challenge, often leading to unfocused conve"&amp;"rsations or task failure. To address this, we introduce Standard Operating Procedure (SOP) to regulate dialogue flow. Specifically, we propose **ChatSOP**, a novel SOP-guided Monte Carlo Tree Search (MCTS) planning framework designed to enhance the contro"&amp;"llability of LLM-driven dialogue agents. To enable this, we curate a dataset comprising SOP-annotated multi-scenario dialogues, generated using a semi-automated role-playing system with GPT-4o and validated through strict manual quality control. Additiona"&amp;"lly, we propose a novel method that integrates Chain of Thought reasoning with supervised fine-tuning for SOP prediction and utilizes SOP-guided Monte Carlo Tree Search for optimal action planning during dialogues. Experimental results demonstrate the eff"&amp;"ectiveness of our method, such as achieving a 27.95% improvement in action accuracy compared to baseline models based on GPT-3.5 and also showing notable gains for open-source models. Dataset and codes are publicly available.")</f>
        <v>Dialogue agents powered by Large Language Models (LLMs) show superior performance in various tasks. Despite the better user understanding and human-like responses, their **lack of controllability** remains a key challenge, often leading to unfocused conversations or task failure. To address this, we introduce Standard Operating Procedure (SOP) to regulate dialogue flow. Specifically, we propose **ChatSOP**, a novel SOP-guided Monte Carlo Tree Search (MCTS) planning framework designed to enhance the controllability of LLM-driven dialogue agents. To enable this, we curate a dataset comprising SOP-annotated multi-scenario dialogues, generated using a semi-automated role-playing system with GPT-4o and validated through strict manual quality control. Additionally, we propose a novel method that integrates Chain of Thought reasoning with supervised fine-tuning for SOP prediction and utilizes SOP-guided Monte Carlo Tree Search for optimal action planning during dialogues. Experimental results demonstrate the effectiveness of our method, such as achieving a 27.95% improvement in action accuracy compared to baseline models based on GPT-3.5 and also showing notable gains for open-source models. Dataset and codes are publicly available.</v>
      </c>
      <c r="D2493" s="7" t="str">
        <f>IFERROR(__xludf.DUMMYFUNCTION("""COMPUTED_VALUE"""),"Zhigen Li")</f>
        <v>Zhigen Li</v>
      </c>
      <c r="E2493" s="7" t="str">
        <f>IFERROR(__xludf.DUMMYFUNCTION("""COMPUTED_VALUE"""),"Yes")</f>
        <v>Yes</v>
      </c>
      <c r="F2493" s="7" t="str">
        <f>IFERROR(__xludf.DUMMYFUNCTION("""COMPUTED_VALUE"""),"IP-Poster")</f>
        <v>IP-Poster</v>
      </c>
      <c r="G2493" s="7" t="str">
        <f>IFERROR(__xludf.DUMMYFUNCTION("""COMPUTED_VALUE"""),"In-Person")</f>
        <v>In-Person</v>
      </c>
      <c r="H2493" s="7" t="str">
        <f>IFERROR(__xludf.DUMMYFUNCTION("""COMPUTED_VALUE"""),"Hall 4/5")</f>
        <v>Hall 4/5</v>
      </c>
      <c r="I2493" s="7" t="str">
        <f>IFERROR(__xludf.DUMMYFUNCTION("""COMPUTED_VALUE"""),"Session 2: IP-Posters ")</f>
        <v>Session 2: IP-Posters </v>
      </c>
      <c r="J2493" s="7" t="str">
        <f>IFERROR(__xludf.DUMMYFUNCTION("""COMPUTED_VALUE"""),"Poster Session 1")</f>
        <v>Poster Session 1</v>
      </c>
      <c r="K2493" s="7"/>
      <c r="L2493" s="8">
        <f>IFERROR(__xludf.DUMMYFUNCTION("""COMPUTED_VALUE"""),45866.0)</f>
        <v>45866</v>
      </c>
      <c r="M2493" s="7" t="str">
        <f>IFERROR(__xludf.DUMMYFUNCTION("""COMPUTED_VALUE"""),"11:00-12:30")</f>
        <v>11:00-12:30</v>
      </c>
      <c r="N2493" s="7"/>
    </row>
    <row r="2494">
      <c r="A2494" s="7" t="str">
        <f>IFERROR(__xludf.DUMMYFUNCTION("""COMPUTED_VALUE"""),"2230-MAIN")</f>
        <v>2230-MAIN</v>
      </c>
      <c r="B2494" s="7" t="str">
        <f>IFERROR(__xludf.DUMMYFUNCTION("""COMPUTED_VALUE"""),"Pixel-Level Reasoning Segmentation via Multi-turn Conversations")</f>
        <v>Pixel-Level Reasoning Segmentation via Multi-turn Conversations</v>
      </c>
      <c r="C2494" s="7" t="str">
        <f>IFERROR(__xludf.DUMMYFUNCTION("""COMPUTED_VALUE"""),"Existing visual perception systems focus on region-level segmentation in single-turn dialogues, relying on complex and explicit query instructions. Such systems cannot reason at the pixel level and comprehend dynamic user intent that changes over interact"&amp;"ion. Our work tackles this issue by introducing a novel task, Pixel-level Reasoning Segmentation (Pixel-level RS) based on multi-turn conversations, tracking evolving user intent via multi-turn interactions for fine-grained segmentation. To establish a be"&amp;"nchmark for this novel task, we build a Pixel-level ReasonIng Segmentation Dataset Based on Multi-Turn Conversations (PRIST), comprising 24k utterances from 8.3k multi-turn conversational scenarios with segmentation targets. Building on PRIST, we further "&amp;"propose MIRAS, a Multi-turn Interactive ReAsoning Segmentation framework, integrates pixel-level segmentation with robust multi-turn conversation understanding, generating pixel-grounded explanations aligned with user intent. The PRIST dataset and MIRSA f"&amp;"ramework fill the gap in pixel-level reasoning segmentation. Experimental results on the PRIST dataset demonstrate that our method outperforms current segmentation-specific baselines in terms of segmentation and LLM-based reasoning metrics. The code and d"&amp;"ata are available at: https://anonymous.4open.science/r/PixelRS/.")</f>
        <v>Existing visual perception systems focus on region-level segmentation in single-turn dialogues, relying on complex and explicit query instructions. Such systems cannot reason at the pixel level and comprehend dynamic user intent that changes over interaction. Our work tackles this issue by introducing a novel task, Pixel-level Reasoning Segmentation (Pixel-level RS) based on multi-turn conversations, tracking evolving user intent via multi-turn interactions for fine-grained segmentation. To establish a benchmark for this novel task, we build a Pixel-level ReasonIng Segmentation Dataset Based on Multi-Turn Conversations (PRIST), comprising 24k utterances from 8.3k multi-turn conversational scenarios with segmentation targets. Building on PRIST, we further propose MIRAS, a Multi-turn Interactive ReAsoning Segmentation framework, integrates pixel-level segmentation with robust multi-turn conversation understanding, generating pixel-grounded explanations aligned with user intent. The PRIST dataset and MIRSA framework fill the gap in pixel-level reasoning segmentation. Experimental results on the PRIST dataset demonstrate that our method outperforms current segmentation-specific baselines in terms of segmentation and LLM-based reasoning metrics. The code and data are available at: https://anonymous.4open.science/r/PixelRS/.</v>
      </c>
      <c r="D2494" s="7" t="str">
        <f>IFERROR(__xludf.DUMMYFUNCTION("""COMPUTED_VALUE"""),"Dexian Cai")</f>
        <v>Dexian Cai</v>
      </c>
      <c r="E2494" s="7" t="str">
        <f>IFERROR(__xludf.DUMMYFUNCTION("""COMPUTED_VALUE"""),"Yes")</f>
        <v>Yes</v>
      </c>
      <c r="F2494" s="7" t="str">
        <f>IFERROR(__xludf.DUMMYFUNCTION("""COMPUTED_VALUE"""),"IP-Poster")</f>
        <v>IP-Poster</v>
      </c>
      <c r="G2494" s="7" t="str">
        <f>IFERROR(__xludf.DUMMYFUNCTION("""COMPUTED_VALUE"""),"In-Person")</f>
        <v>In-Person</v>
      </c>
      <c r="H2494" s="7" t="str">
        <f>IFERROR(__xludf.DUMMYFUNCTION("""COMPUTED_VALUE"""),"Hall 4/5")</f>
        <v>Hall 4/5</v>
      </c>
      <c r="I2494" s="7" t="str">
        <f>IFERROR(__xludf.DUMMYFUNCTION("""COMPUTED_VALUE"""),"Session 2: IP-Posters ")</f>
        <v>Session 2: IP-Posters </v>
      </c>
      <c r="J2494" s="7" t="str">
        <f>IFERROR(__xludf.DUMMYFUNCTION("""COMPUTED_VALUE"""),"Poster Session 1")</f>
        <v>Poster Session 1</v>
      </c>
      <c r="K2494" s="7"/>
      <c r="L2494" s="8">
        <f>IFERROR(__xludf.DUMMYFUNCTION("""COMPUTED_VALUE"""),45866.0)</f>
        <v>45866</v>
      </c>
      <c r="M2494" s="7" t="str">
        <f>IFERROR(__xludf.DUMMYFUNCTION("""COMPUTED_VALUE"""),"11:00-12:30")</f>
        <v>11:00-12:30</v>
      </c>
      <c r="N2494" s="7"/>
    </row>
    <row r="2495">
      <c r="A2495" s="7" t="str">
        <f>IFERROR(__xludf.DUMMYFUNCTION("""COMPUTED_VALUE"""),"2233-MAIN")</f>
        <v>2233-MAIN</v>
      </c>
      <c r="B2495" s="7" t="str">
        <f>IFERROR(__xludf.DUMMYFUNCTION("""COMPUTED_VALUE"""),"Fixing Distribution Shifts of LLM Self-Critique via On-Policy Self-Play Training")</f>
        <v>Fixing Distribution Shifts of LLM Self-Critique via On-Policy Self-Play Training</v>
      </c>
      <c r="C2495" s="7" t="str">
        <f>IFERROR(__xludf.DUMMYFUNCTION("""COMPUTED_VALUE"""),"Self-critique mechanisms significantly improve the performance of language models in complex reasoning tasks by giving them the ability to correct errors, conduct induction and deduction, and switch thinking insights. However, synthetic data methods often"&amp;" require human-introduced errors or sampling of the model's reasoning results from the previous moment, and the current output distribution of the model cannot be obtained, makes the data for critique and reasoning face the problem of distribution shifts."&amp;" In this work, we propose an on-policy reinforcement learning framework to synchronize the reasoning and critique capabilities of language models. To alleviate reward hacking caused by outcome-based supervision, we design a deliberate reward framework for"&amp;" different purposes. The reward framework not only supervises the model reasoning process based on the results, but also uses Monte Carlo sampling to give appropriate rewards to the critique content according to the success rate of the model's correction "&amp;"after critique. In addition, we introduce a rule-based reward function to impose penalties on the model when it generates hallucinatory critiques. When our approach is applied to the DeepSeek-Math-7B-Base and Qwen2.5-7B-Base models, model performance impr"&amp;"oves 5.40 and 3.66 points, respectively, compared to the best baseline approach. This validates the significant advantages of our method in improving model's reasoning and self-critique capability. Code will be made available at https://github.com/rbao201"&amp;"8/SCOP")</f>
        <v>Self-critique mechanisms significantly improve the performance of language models in complex reasoning tasks by giving them the ability to correct errors, conduct induction and deduction, and switch thinking insights. However, synthetic data methods often require human-introduced errors or sampling of the model's reasoning results from the previous moment, and the current output distribution of the model cannot be obtained, makes the data for critique and reasoning face the problem of distribution shifts. In this work, we propose an on-policy reinforcement learning framework to synchronize the reasoning and critique capabilities of language models. To alleviate reward hacking caused by outcome-based supervision, we design a deliberate reward framework for different purposes. The reward framework not only supervises the model reasoning process based on the results, but also uses Monte Carlo sampling to give appropriate rewards to the critique content according to the success rate of the model's correction after critique. In addition, we introduce a rule-based reward function to impose penalties on the model when it generates hallucinatory critiques. When our approach is applied to the DeepSeek-Math-7B-Base and Qwen2.5-7B-Base models, model performance improves 5.40 and 3.66 points, respectively, compared to the best baseline approach. This validates the significant advantages of our method in improving model's reasoning and self-critique capability. Code will be made available at https://github.com/rbao2018/SCOP</v>
      </c>
      <c r="D2495" s="7" t="str">
        <f>IFERROR(__xludf.DUMMYFUNCTION("""COMPUTED_VALUE"""),"Minpeng Liao")</f>
        <v>Minpeng Liao</v>
      </c>
      <c r="E2495" s="7" t="str">
        <f>IFERROR(__xludf.DUMMYFUNCTION("""COMPUTED_VALUE"""),"Yes")</f>
        <v>Yes</v>
      </c>
      <c r="F2495" s="7" t="str">
        <f>IFERROR(__xludf.DUMMYFUNCTION("""COMPUTED_VALUE"""),"IP-Poster")</f>
        <v>IP-Poster</v>
      </c>
      <c r="G2495" s="7" t="str">
        <f>IFERROR(__xludf.DUMMYFUNCTION("""COMPUTED_VALUE"""),"In-Person")</f>
        <v>In-Person</v>
      </c>
      <c r="H2495" s="7" t="str">
        <f>IFERROR(__xludf.DUMMYFUNCTION("""COMPUTED_VALUE"""),"Hall 4/5")</f>
        <v>Hall 4/5</v>
      </c>
      <c r="I2495" s="7" t="str">
        <f>IFERROR(__xludf.DUMMYFUNCTION("""COMPUTED_VALUE"""),"Session 7: IP-Posters")</f>
        <v>Session 7: IP-Posters</v>
      </c>
      <c r="J2495" s="7" t="str">
        <f>IFERROR(__xludf.DUMMYFUNCTION("""COMPUTED_VALUE"""),"Poster Session 2")</f>
        <v>Poster Session 2</v>
      </c>
      <c r="K2495" s="7"/>
      <c r="L2495" s="8">
        <f>IFERROR(__xludf.DUMMYFUNCTION("""COMPUTED_VALUE"""),45867.0)</f>
        <v>45867</v>
      </c>
      <c r="M2495" s="7" t="str">
        <f>IFERROR(__xludf.DUMMYFUNCTION("""COMPUTED_VALUE"""),"10:30-12:00")</f>
        <v>10:30-12:00</v>
      </c>
      <c r="N2495" s="7"/>
    </row>
    <row r="2496">
      <c r="A2496" s="7" t="str">
        <f>IFERROR(__xludf.DUMMYFUNCTION("""COMPUTED_VALUE"""),"2236-MAIN")</f>
        <v>2236-MAIN</v>
      </c>
      <c r="B2496" s="7" t="str">
        <f>IFERROR(__xludf.DUMMYFUNCTION("""COMPUTED_VALUE"""),"Inferring Functionality of Attention Heads from their Parameters")</f>
        <v>Inferring Functionality of Attention Heads from their Parameters</v>
      </c>
      <c r="C2496" s="7" t="str">
        <f>IFERROR(__xludf.DUMMYFUNCTION("""COMPUTED_VALUE"""),"Attention heads are one of the building blocks of large language models (LLMs). Prior work on investigating their operation mostly focused on analyzing their behavior during inference for specific circuits or tasks. In this work, we seek a comprehensive m"&amp;"apping of the operations they implement in a model. We propose MAPS (Mapping Attention head ParameterS), an efficient framework that infers the functionality of attention heads from their parameters, without any model training or inference. We showcase th"&amp;"e utility of MAPS for answering two types of questions: (a) given a predefined operation, mapping how strongly heads across the model implement it, and (b) given an attention head, inferring its salient functionality. Evaluating MAPS on 20 operations acro"&amp;"ss 6 popular LLMs shows its estimations correlate with the head's outputs during inference and are causally linked to the model's predictions. Moreover, its mappings reveal attention heads of certain operations that were overlooked in previous studies, an"&amp;"d valuable insights on function universality and architecture biases in LLMs. Next, we present an automatic pipeline and analysis that leverage MAPS to characterize the salient operations of a given head. Our pipeline produces plausible operation descript"&amp;"ions for most heads, as assessed by human judgment, while revealing diverse operations.")</f>
        <v>Attention heads are one of the building blocks of large language models (LLMs). Prior work on investigating their operation mostly focused on analyzing their behavior during inference for specific circuits or tasks. In this work, we seek a comprehensive mapping of the operations they implement in a model. We propose MAPS (Mapping Attention head ParameterS), an efficient framework that infers the functionality of attention heads from their parameters, without any model training or inference. We showcase the utility of MAPS for answering two types of questions: (a) given a predefined operation, mapping how strongly heads across the model implement it, and (b) given an attention head, inferring its salient functionality. Evaluating MAPS on 20 operations across 6 popular LLMs shows its estimations correlate with the head's outputs during inference and are causally linked to the model's predictions. Moreover, its mappings reveal attention heads of certain operations that were overlooked in previous studies, and valuable insights on function universality and architecture biases in LLMs. Next, we present an automatic pipeline and analysis that leverage MAPS to characterize the salient operations of a given head. Our pipeline produces plausible operation descriptions for most heads, as assessed by human judgment, while revealing diverse operations.</v>
      </c>
      <c r="D2496" s="7" t="str">
        <f>IFERROR(__xludf.DUMMYFUNCTION("""COMPUTED_VALUE"""),"Amit Elhelo")</f>
        <v>Amit Elhelo</v>
      </c>
      <c r="E2496" s="7" t="str">
        <f>IFERROR(__xludf.DUMMYFUNCTION("""COMPUTED_VALUE"""),"Yes")</f>
        <v>Yes</v>
      </c>
      <c r="F2496" s="7" t="str">
        <f>IFERROR(__xludf.DUMMYFUNCTION("""COMPUTED_VALUE"""),"IP-Oral")</f>
        <v>IP-Oral</v>
      </c>
      <c r="G2496" s="7" t="str">
        <f>IFERROR(__xludf.DUMMYFUNCTION("""COMPUTED_VALUE"""),"In-Person")</f>
        <v>In-Person</v>
      </c>
      <c r="H2496" s="7" t="str">
        <f>IFERROR(__xludf.DUMMYFUNCTION("""COMPUTED_VALUE"""),"Room 1.85")</f>
        <v>Room 1.85</v>
      </c>
      <c r="I2496" s="7" t="str">
        <f>IFERROR(__xludf.DUMMYFUNCTION("""COMPUTED_VALUE"""),"Session 11: IP-Orals ")</f>
        <v>Session 11: IP-Orals </v>
      </c>
      <c r="J2496" s="7" t="str">
        <f>IFERROR(__xludf.DUMMYFUNCTION("""COMPUTED_VALUE"""),"Interpretability and Model Analysis 2")</f>
        <v>Interpretability and Model Analysis 2</v>
      </c>
      <c r="K2496" s="7"/>
      <c r="L2496" s="8">
        <f>IFERROR(__xludf.DUMMYFUNCTION("""COMPUTED_VALUE"""),45868.0)</f>
        <v>45868</v>
      </c>
      <c r="M2496" s="7" t="str">
        <f>IFERROR(__xludf.DUMMYFUNCTION("""COMPUTED_VALUE"""),"09:00-10:30")</f>
        <v>09:00-10:30</v>
      </c>
      <c r="N2496" s="7">
        <f>IFERROR(__xludf.DUMMYFUNCTION("""COMPUTED_VALUE"""),6.0)</f>
        <v>6</v>
      </c>
    </row>
    <row r="2497">
      <c r="A2497" s="7" t="str">
        <f>IFERROR(__xludf.DUMMYFUNCTION("""COMPUTED_VALUE"""),"2237-MAIN")</f>
        <v>2237-MAIN</v>
      </c>
      <c r="B2497" s="7" t="str">
        <f>IFERROR(__xludf.DUMMYFUNCTION("""COMPUTED_VALUE"""),"Faithful and Robust LLM-Driven Theorem Proving for NLI Explanations")</f>
        <v>Faithful and Robust LLM-Driven Theorem Proving for NLI Explanations</v>
      </c>
      <c r="C2497" s="7" t="str">
        <f>IFERROR(__xludf.DUMMYFUNCTION("""COMPUTED_VALUE"""),"Natural language explanations play a fundamental role in Natural Language Inference (NLI) by revealing how premises logically entail hypotheses. Recent work has shown that the interaction of large language models (LLMs) with theorem provers (TPs) can help"&amp;" verify and improve the validity of NLI explanations. However, TPs require translating natural language into machine-verifiable formal representations, a process that introduces the risk of semantic information loss and unfaithful interpretation, an issue"&amp;" compounded by LLMs' challenges in capturing critical logical structures with sufficient precision. Moreover, LLMs are still limited in their capacity for rigorous and robust proof construction within formal verification frameworks. To mitigate issues rel"&amp;"ated to faithfulness and robustness, this paper investigates strategies to (1) alleviate semantic loss during autoformalisation, (2) efficiently identify and correct syntactic errors in logical representations, (3) explicitly use logical expressions to gu"&amp;"ide LLMs in generating structured proof sketches, and (4) increase LLMs' capacity of interpreting TP's feedback for iterative refinement. Our empirical results on e-SNLI, QASC and WorldTree using different LLMs demonstrate that the proposed strategies yie"&amp;"ld significant improvements in autoformalisation (+18.46%, +34.2%, +39.77%) and explanation refinement (+29.5%, +51.5%, +41.25%) over the state-of-the-art model. Moreover, we show that specific interventions on the hybrid LLM-TP architecture can substanti"&amp;"ally improve efficiency, drastically reducing the number of iterations required for successful verification.")</f>
        <v>Natural language explanations play a fundamental role in Natural Language Inference (NLI) by revealing how premises logically entail hypotheses. Recent work has shown that the interaction of large language models (LLMs) with theorem provers (TPs) can help verify and improve the validity of NLI explanations. However, TPs require translating natural language into machine-verifiable formal representations, a process that introduces the risk of semantic information loss and unfaithful interpretation, an issue compounded by LLMs' challenges in capturing critical logical structures with sufficient precision. Moreover, LLMs are still limited in their capacity for rigorous and robust proof construction within formal verification frameworks. To mitigate issues related to faithfulness and robustness, this paper investigates strategies to (1) alleviate semantic loss during autoformalisation, (2) efficiently identify and correct syntactic errors in logical representations, (3) explicitly use logical expressions to guide LLMs in generating structured proof sketches, and (4) increase LLMs' capacity of interpreting TP's feedback for iterative refinement. Our empirical results on e-SNLI, QASC and WorldTree using different LLMs demonstrate that the proposed strategies yield significant improvements in autoformalisation (+18.46%, +34.2%, +39.77%) and explanation refinement (+29.5%, +51.5%, +41.25%) over the state-of-the-art model. Moreover, we show that specific interventions on the hybrid LLM-TP architecture can substantially improve efficiency, drastically reducing the number of iterations required for successful verification.</v>
      </c>
      <c r="D2497" s="7" t="str">
        <f>IFERROR(__xludf.DUMMYFUNCTION("""COMPUTED_VALUE"""),"Xin Quan")</f>
        <v>Xin Quan</v>
      </c>
      <c r="E2497" s="7" t="str">
        <f>IFERROR(__xludf.DUMMYFUNCTION("""COMPUTED_VALUE"""),"Yes")</f>
        <v>Yes</v>
      </c>
      <c r="F2497" s="7" t="str">
        <f>IFERROR(__xludf.DUMMYFUNCTION("""COMPUTED_VALUE"""),"IP-Poster")</f>
        <v>IP-Poster</v>
      </c>
      <c r="G2497" s="7" t="str">
        <f>IFERROR(__xludf.DUMMYFUNCTION("""COMPUTED_VALUE"""),"In-Person")</f>
        <v>In-Person</v>
      </c>
      <c r="H2497" s="7" t="str">
        <f>IFERROR(__xludf.DUMMYFUNCTION("""COMPUTED_VALUE"""),"Hall 4/5")</f>
        <v>Hall 4/5</v>
      </c>
      <c r="I2497" s="7" t="str">
        <f>IFERROR(__xludf.DUMMYFUNCTION("""COMPUTED_VALUE"""),"Session 2: IP-Posters ")</f>
        <v>Session 2: IP-Posters </v>
      </c>
      <c r="J2497" s="7" t="str">
        <f>IFERROR(__xludf.DUMMYFUNCTION("""COMPUTED_VALUE"""),"Poster Session 1")</f>
        <v>Poster Session 1</v>
      </c>
      <c r="K2497" s="7"/>
      <c r="L2497" s="8">
        <f>IFERROR(__xludf.DUMMYFUNCTION("""COMPUTED_VALUE"""),45866.0)</f>
        <v>45866</v>
      </c>
      <c r="M2497" s="7" t="str">
        <f>IFERROR(__xludf.DUMMYFUNCTION("""COMPUTED_VALUE"""),"11:00-12:30")</f>
        <v>11:00-12:30</v>
      </c>
      <c r="N2497" s="7"/>
    </row>
    <row r="2498">
      <c r="A2498" s="7" t="str">
        <f>IFERROR(__xludf.DUMMYFUNCTION("""COMPUTED_VALUE"""),"2240-MAIN")</f>
        <v>2240-MAIN</v>
      </c>
      <c r="B2498" s="7" t="str">
        <f>IFERROR(__xludf.DUMMYFUNCTION("""COMPUTED_VALUE"""),"Revealing the Deceptiveness of Knowledge Editing: A Mechanistic Analysis of Superficial Editing")</f>
        <v>Revealing the Deceptiveness of Knowledge Editing: A Mechanistic Analysis of Superficial Editing</v>
      </c>
      <c r="C2498" s="7" t="str">
        <f>IFERROR(__xludf.DUMMYFUNCTION("""COMPUTED_VALUE"""),"Knowledge editing, which aims to update the knowledge encoded in language models, can be deceptive. Despite the fact that many existing knowledge editing algorithms achieve near-perfect performance on conventional metrics, the models edited by them are st"&amp;"ill prone to generating original knowledge. This paper introduces the concept of ""**superficial editing**"" to describe this phenomenon. Our comprehensive evaluation reveals that this issue presents a significant challenge to existing algorithms. Through"&amp;" systematic investigation, we identify and validate two key factors contributing to this issue: (1) the residual stream at the last subject position in earlier layers and (2) specific attention modules in later layers. Notably, certain attention heads in "&amp;"later layers, along with specific left singular vectors in their output matrices, encapsulate the original knowledge and exhibit a causal relationship with superficial editing. Furthermore, we extend our analysis to the task of superficial unlearning, whe"&amp;"re we observe consistent patterns in the behavior of specific attention heads and their corresponding left singular vectors, thereby demonstrating the robustness and broader applicability of our methodology and conclusions. Our code is available at https:"&amp;"//github.com/jiakuan929/superficial-editing.")</f>
        <v>Knowledge editing, which aims to update the knowledge encoded in language models, can be deceptive. Despite the fact that many existing knowledge editing algorithms achieve near-perfect performance on conventional metrics, the models edited by them are still prone to generating original knowledge. This paper introduces the concept of "**superficial editing**" to describe this phenomenon. Our comprehensive evaluation reveals that this issue presents a significant challenge to existing algorithms. Through systematic investigation, we identify and validate two key factors contributing to this issue: (1) the residual stream at the last subject position in earlier layers and (2) specific attention modules in later layers. Notably, certain attention heads in later layers, along with specific left singular vectors in their output matrices, encapsulate the original knowledge and exhibit a causal relationship with superficial editing. Furthermore, we extend our analysis to the task of superficial unlearning, where we observe consistent patterns in the behavior of specific attention heads and their corresponding left singular vectors, thereby demonstrating the robustness and broader applicability of our methodology and conclusions. Our code is available at https://github.com/jiakuan929/superficial-editing.</v>
      </c>
      <c r="D2498" s="7" t="str">
        <f>IFERROR(__xludf.DUMMYFUNCTION("""COMPUTED_VALUE"""),"Jiakuan Xie")</f>
        <v>Jiakuan Xie</v>
      </c>
      <c r="E2498" s="7" t="str">
        <f>IFERROR(__xludf.DUMMYFUNCTION("""COMPUTED_VALUE"""),"Yes")</f>
        <v>Yes</v>
      </c>
      <c r="F2498" s="7" t="str">
        <f>IFERROR(__xludf.DUMMYFUNCTION("""COMPUTED_VALUE"""),"IP-Poster")</f>
        <v>IP-Poster</v>
      </c>
      <c r="G2498" s="7" t="str">
        <f>IFERROR(__xludf.DUMMYFUNCTION("""COMPUTED_VALUE"""),"In-Person")</f>
        <v>In-Person</v>
      </c>
      <c r="H2498" s="7" t="str">
        <f>IFERROR(__xludf.DUMMYFUNCTION("""COMPUTED_VALUE"""),"Hall 4/5")</f>
        <v>Hall 4/5</v>
      </c>
      <c r="I2498" s="7" t="str">
        <f>IFERROR(__xludf.DUMMYFUNCTION("""COMPUTED_VALUE"""),"Session 12: IP-Posters")</f>
        <v>Session 12: IP-Posters</v>
      </c>
      <c r="J2498" s="7" t="str">
        <f>IFERROR(__xludf.DUMMYFUNCTION("""COMPUTED_VALUE"""),"Poster Session 4")</f>
        <v>Poster Session 4</v>
      </c>
      <c r="K2498" s="7"/>
      <c r="L2498" s="8">
        <f>IFERROR(__xludf.DUMMYFUNCTION("""COMPUTED_VALUE"""),45868.0)</f>
        <v>45868</v>
      </c>
      <c r="M2498" s="7" t="str">
        <f>IFERROR(__xludf.DUMMYFUNCTION("""COMPUTED_VALUE"""),"11:00-12:30")</f>
        <v>11:00-12:30</v>
      </c>
      <c r="N2498" s="7"/>
    </row>
    <row r="2499">
      <c r="A2499" s="7" t="str">
        <f>IFERROR(__xludf.DUMMYFUNCTION("""COMPUTED_VALUE"""),"2242-MAIN")</f>
        <v>2242-MAIN</v>
      </c>
      <c r="B2499" s="7" t="str">
        <f>IFERROR(__xludf.DUMMYFUNCTION("""COMPUTED_VALUE"""),"Masking in Multi-hop QA: An Analysis of How Language Models Perform with Context Permutation")</f>
        <v>Masking in Multi-hop QA: An Analysis of How Language Models Perform with Context Permutation</v>
      </c>
      <c r="C2499" s="7" t="str">
        <f>IFERROR(__xludf.DUMMYFUNCTION("""COMPUTED_VALUE"""),"Multi-hop Question Answering (MHQA) adds layers of complexity to question answering, making it more challenging. When Language Models (LMs) are prompted with multiple search results, they are tasked not only with retrieving relevant information but also e"&amp;"mploying multi-hop reasoning across the information sources. Although LMs perform well on traditional question-answering tasks, the causal mask can hinder their capacity to reason across complex contexts. In this paper, we explore how LMs respond to multi"&amp;"-hop questions by permuting search results (retrieved documents) under various configurations. Our study reveals interesting findings as follows: 1) Encoder-decoder models, such as the ones in the Flan-T5 family, generally outperform causal decoder-only L"&amp;"Ms in MHQA tasks, despite being significantly smaller in size; 2) altering the order of gold documents reveals distinct trends in both Flan T5 models and fine-tuned decoder-only models, with optimal performance observed when the document order aligns with"&amp;" the reasoning chain order; 3) enhancing causal decoder-only models with bi-directional attention by modifying the causal mask can effectively boost their end performance. In addition to the above, we conduct a thorough investigation of the distribution o"&amp;"f LM attention weights in the context of MHQA. Our experiments reveal that attention weights tend to peak at higher values when the resulting answer is correct. We leverage this finding to heuristically improve LMs' performance on this task. Our code is p"&amp;"ublicly available at https://github.com/hwy9855/MultiHopQA-Reasoning.")</f>
        <v>Multi-hop Question Answering (MHQA) adds layers of complexity to question answering, making it more challenging. When Language Models (LMs) are prompted with multiple search results, they are tasked not only with retrieving relevant information but also employing multi-hop reasoning across the information sources. Although LMs perform well on traditional question-answering tasks, the causal mask can hinder their capacity to reason across complex contexts. In this paper, we explore how LMs respond to multi-hop questions by permuting search results (retrieved documents) under various configurations. Our study reveals interesting findings as follows: 1) Encoder-decoder models, such as the ones in the Flan-T5 family, generally outperform causal decoder-only LMs in MHQA tasks, despite being significantly smaller in size; 2) altering the order of gold documents reveals distinct trends in both Flan T5 models and fine-tuned decoder-only models, with optimal performance observed when the document order aligns with the reasoning chain order; 3) enhancing causal decoder-only models with bi-directional attention by modifying the causal mask can effectively boost their end performance. In addition to the above, we conduct a thorough investigation of the distribution of LM attention weights in the context of MHQA. Our experiments reveal that attention weights tend to peak at higher values when the resulting answer is correct. We leverage this finding to heuristically improve LMs' performance on this task. Our code is publicly available at https://github.com/hwy9855/MultiHopQA-Reasoning.</v>
      </c>
      <c r="D2499" s="7" t="str">
        <f>IFERROR(__xludf.DUMMYFUNCTION("""COMPUTED_VALUE"""),"Wenyu Huang")</f>
        <v>Wenyu Huang</v>
      </c>
      <c r="E2499" s="7" t="str">
        <f>IFERROR(__xludf.DUMMYFUNCTION("""COMPUTED_VALUE"""),"Yes")</f>
        <v>Yes</v>
      </c>
      <c r="F2499" s="7" t="str">
        <f>IFERROR(__xludf.DUMMYFUNCTION("""COMPUTED_VALUE"""),"IP-Oral")</f>
        <v>IP-Oral</v>
      </c>
      <c r="G2499" s="7" t="str">
        <f>IFERROR(__xludf.DUMMYFUNCTION("""COMPUTED_VALUE"""),"In-Person")</f>
        <v>In-Person</v>
      </c>
      <c r="H2499" s="7" t="str">
        <f>IFERROR(__xludf.DUMMYFUNCTION("""COMPUTED_VALUE"""),"Room 1.86")</f>
        <v>Room 1.86</v>
      </c>
      <c r="I2499" s="7" t="str">
        <f>IFERROR(__xludf.DUMMYFUNCTION("""COMPUTED_VALUE"""),"Session 11: IP-Orals ")</f>
        <v>Session 11: IP-Orals </v>
      </c>
      <c r="J2499" s="7" t="str">
        <f>IFERROR(__xludf.DUMMYFUNCTION("""COMPUTED_VALUE"""),"Question Answering ")</f>
        <v>Question Answering </v>
      </c>
      <c r="K2499" s="7"/>
      <c r="L2499" s="8">
        <f>IFERROR(__xludf.DUMMYFUNCTION("""COMPUTED_VALUE"""),45868.0)</f>
        <v>45868</v>
      </c>
      <c r="M2499" s="7" t="str">
        <f>IFERROR(__xludf.DUMMYFUNCTION("""COMPUTED_VALUE"""),"09:00-10:30")</f>
        <v>09:00-10:30</v>
      </c>
      <c r="N2499" s="7">
        <f>IFERROR(__xludf.DUMMYFUNCTION("""COMPUTED_VALUE"""),4.0)</f>
        <v>4</v>
      </c>
    </row>
    <row r="2500">
      <c r="A2500" s="7" t="str">
        <f>IFERROR(__xludf.DUMMYFUNCTION("""COMPUTED_VALUE"""),"2247-MAIN")</f>
        <v>2247-MAIN</v>
      </c>
      <c r="B2500" s="7" t="str">
        <f>IFERROR(__xludf.DUMMYFUNCTION("""COMPUTED_VALUE"""),"From Human Reading to NLM Understanding: Evaluating the Role of Eye-Tracking Data in Encoder-Based Models")</f>
        <v>From Human Reading to NLM Understanding: Evaluating the Role of Eye-Tracking Data in Encoder-Based Models</v>
      </c>
      <c r="C2500" s="7" t="str">
        <f>IFERROR(__xludf.DUMMYFUNCTION("""COMPUTED_VALUE"""),"Cognitive signals, particularly eye-tracking data, offer valuable insights into human language processing. Leveraging eye-gaze data from the Ghent Eye-Tracking Corpus, we conducted a series of experiments to examine how integrating knowledge of human read"&amp;"ing behavior impacts Neural Language Models (NLMs) across multiple dimensions: task performance, attention mechanisms, and the geometry of their embedding space. We explored several fine-tuning methodologies to inject eye-tracking features into the models"&amp;". Our results reveal that incorporating these features does not degrade downstream task performance, enhances alignment between model attention and human attention patterns, and compresses the geometry of the embedding space.")</f>
        <v>Cognitive signals, particularly eye-tracking data, offer valuable insights into human language processing. Leveraging eye-gaze data from the Ghent Eye-Tracking Corpus, we conducted a series of experiments to examine how integrating knowledge of human reading behavior impacts Neural Language Models (NLMs) across multiple dimensions: task performance, attention mechanisms, and the geometry of their embedding space. We explored several fine-tuning methodologies to inject eye-tracking features into the models. Our results reveal that incorporating these features does not degrade downstream task performance, enhances alignment between model attention and human attention patterns, and compresses the geometry of the embedding space.</v>
      </c>
      <c r="D2500" s="7" t="str">
        <f>IFERROR(__xludf.DUMMYFUNCTION("""COMPUTED_VALUE"""),"Luca Dini")</f>
        <v>Luca Dini</v>
      </c>
      <c r="E2500" s="7" t="str">
        <f>IFERROR(__xludf.DUMMYFUNCTION("""COMPUTED_VALUE"""),"Yes")</f>
        <v>Yes</v>
      </c>
      <c r="F2500" s="7" t="str">
        <f>IFERROR(__xludf.DUMMYFUNCTION("""COMPUTED_VALUE"""),"IP-Poster")</f>
        <v>IP-Poster</v>
      </c>
      <c r="G2500" s="7" t="str">
        <f>IFERROR(__xludf.DUMMYFUNCTION("""COMPUTED_VALUE"""),"In-Person")</f>
        <v>In-Person</v>
      </c>
      <c r="H2500" s="7" t="str">
        <f>IFERROR(__xludf.DUMMYFUNCTION("""COMPUTED_VALUE"""),"Hall 4/5")</f>
        <v>Hall 4/5</v>
      </c>
      <c r="I2500" s="7" t="str">
        <f>IFERROR(__xludf.DUMMYFUNCTION("""COMPUTED_VALUE"""),"Session 12: IP-Posters")</f>
        <v>Session 12: IP-Posters</v>
      </c>
      <c r="J2500" s="7" t="str">
        <f>IFERROR(__xludf.DUMMYFUNCTION("""COMPUTED_VALUE"""),"Poster Session 4")</f>
        <v>Poster Session 4</v>
      </c>
      <c r="K2500" s="7"/>
      <c r="L2500" s="8">
        <f>IFERROR(__xludf.DUMMYFUNCTION("""COMPUTED_VALUE"""),45868.0)</f>
        <v>45868</v>
      </c>
      <c r="M2500" s="7" t="str">
        <f>IFERROR(__xludf.DUMMYFUNCTION("""COMPUTED_VALUE"""),"11:00-12:30")</f>
        <v>11:00-12:30</v>
      </c>
      <c r="N2500" s="7"/>
    </row>
    <row r="2501">
      <c r="A2501" s="7" t="str">
        <f>IFERROR(__xludf.DUMMYFUNCTION("""COMPUTED_VALUE"""),"2248-MAIN")</f>
        <v>2248-MAIN</v>
      </c>
      <c r="B2501" s="7" t="str">
        <f>IFERROR(__xludf.DUMMYFUNCTION("""COMPUTED_VALUE"""),"Optimizing Question Semantic Space for Dynamic Retrieval-Augmented Multi-hop Question Answering")</f>
        <v>Optimizing Question Semantic Space for Dynamic Retrieval-Augmented Multi-hop Question Answering</v>
      </c>
      <c r="C2501" s="7" t="str">
        <f>IFERROR(__xludf.DUMMYFUNCTION("""COMPUTED_VALUE"""),"Retrieval-augmented generation (RAG) is usually integrated into large language models (LLMs) to mitigate hallucinations and knowledge obsolescence. Whereas, conventional one-step retrieve-and-read methods are insufficient for multi-hop question answering,"&amp;" facing challenges of retrieval semantic mismatching and the high cost in handling interdependent subquestions. In this paper, we propose Optimizing Question Semantic Space for Dynamic Retrieval-Augmented Multi-hop Question Answering (Q-DREAM). Q-DREAM co"&amp;"nsists of three key modules: (1) the Question Decomposition Module (QDM), which decomposes multi-hop questions into fine-grained subquestions; (2) the Subquestion Dependency Optimizer Module (SDOM), which models the interdependent relations of subquestion"&amp;"s for better understanding; and (3) the Dynamic Passage Retrieval Module (DPRM), which aligns subquestions with relevant passages by optimizing the semantic embeddings.
Experimental results across various benchmarks demonstrate that Q-DREAM significantly "&amp;"outperforms existing RAG methods, achieving state-of-the-art performance in both in-domain and out-of-domain settings. Notably, Q-DREAM also improves retrieval efficiency while maintaining high accuracy compared with recent baselines.")</f>
        <v>Retrieval-augmented generation (RAG) is usually integrated into large language models (LLMs) to mitigate hallucinations and knowledge obsolescence. Whereas, conventional one-step retrieve-and-read methods are insufficient for multi-hop question answering, facing challenges of retrieval semantic mismatching and the high cost in handling interdependent subquestions. In this paper, we propose Optimizing Question Semantic Space for Dynamic Retrieval-Augmented Multi-hop Question Answering (Q-DREAM). Q-DREAM consists of three key modules: (1) the Question Decomposition Module (QDM), which decomposes multi-hop questions into fine-grained subquestions; (2) the Subquestion Dependency Optimizer Module (SDOM), which models the interdependent relations of subquestions for better understanding; and (3) the Dynamic Passage Retrieval Module (DPRM), which aligns subquestions with relevant passages by optimizing the semantic embeddings.
Experimental results across various benchmarks demonstrate that Q-DREAM significantly outperforms existing RAG methods, achieving state-of-the-art performance in both in-domain and out-of-domain settings. Notably, Q-DREAM also improves retrieval efficiency while maintaining high accuracy compared with recent baselines.</v>
      </c>
      <c r="D2501" s="7" t="str">
        <f>IFERROR(__xludf.DUMMYFUNCTION("""COMPUTED_VALUE"""),"Linhao Ye")</f>
        <v>Linhao Ye</v>
      </c>
      <c r="E2501" s="7" t="str">
        <f>IFERROR(__xludf.DUMMYFUNCTION("""COMPUTED_VALUE"""),"Yes")</f>
        <v>Yes</v>
      </c>
      <c r="F2501" s="7" t="str">
        <f>IFERROR(__xludf.DUMMYFUNCTION("""COMPUTED_VALUE"""),"V-Presentation")</f>
        <v>V-Presentation</v>
      </c>
      <c r="G2501" s="7" t="str">
        <f>IFERROR(__xludf.DUMMYFUNCTION("""COMPUTED_VALUE"""),"Virtual/Gather")</f>
        <v>Virtual/Gather</v>
      </c>
      <c r="H2501" s="7" t="str">
        <f>IFERROR(__xludf.DUMMYFUNCTION("""COMPUTED_VALUE"""),"Zoom")</f>
        <v>Zoom</v>
      </c>
      <c r="I2501" s="7" t="str">
        <f>IFERROR(__xludf.DUMMYFUNCTION("""COMPUTED_VALUE"""),"Session 7: V--Presentations ")</f>
        <v>Session 7: V--Presentations </v>
      </c>
      <c r="J2501" s="7" t="str">
        <f>IFERROR(__xludf.DUMMYFUNCTION("""COMPUTED_VALUE"""),"Virtual Presentations 2")</f>
        <v>Virtual Presentations 2</v>
      </c>
      <c r="K2501" s="7"/>
      <c r="L2501" s="8"/>
      <c r="M2501" s="7" t="str">
        <f>IFERROR(__xludf.DUMMYFUNCTION("""COMPUTED_VALUE"""),"10:30-12:00")</f>
        <v>10:30-12:00</v>
      </c>
      <c r="N2501" s="7"/>
    </row>
    <row r="2502">
      <c r="A2502" s="7" t="str">
        <f>IFERROR(__xludf.DUMMYFUNCTION("""COMPUTED_VALUE"""),"2249-MAIN")</f>
        <v>2249-MAIN</v>
      </c>
      <c r="B2502" s="7" t="str">
        <f>IFERROR(__xludf.DUMMYFUNCTION("""COMPUTED_VALUE"""),"Insight Over Sight: Exploring the Vision-Knowledge Conflicts in Multimodal LLMs")</f>
        <v>Insight Over Sight: Exploring the Vision-Knowledge Conflicts in Multimodal LLMs</v>
      </c>
      <c r="C2502" s="7" t="str">
        <f>IFERROR(__xludf.DUMMYFUNCTION("""COMPUTED_VALUE"""),"This paper explores the problem of commonsense level vision-knowledge conflict in Multimodal Large Language Models (MLLMs), where visual information contradicts model's internal commonsense knowledge. To study this issue, we introduce an automated framewo"&amp;"rk, augmented with human-in-the-loop quality control, to generate inputs designed to simulate and evaluate these conflicts in MLLMs. Using this framework, we have crafted a diagnostic benchmark consisting of 374 original images and 1,122 high-quality ques"&amp;"tion-answer (QA) pairs. The benchmark covers two aspects of conflict and three question types, providing a thorough assessment tool. We apply this benchmark to assess the conflict-resolution capabilities of nine representative MLLMs from various model fam"&amp;"ilies. Our results indicate an evident over-reliance on parametric knowledge for approximately 20\% of all queries, especially among Yes-No and action-related problems. Based on these findings, we evaluate the effectiveness of existing approaches to mitig"&amp;"ating the conflicts and compare them to our ``Focus-on-Vision'' prompting strategy. Despite some improvement, the vision-knowledge conflict remains unresolved and can be further scaled through our data construction framework. Our proposed framework, bench"&amp;"mark, and analysis contribute to the understanding and mitigation of vision-knowledge conflicts in MLLMs.")</f>
        <v>This paper explores the problem of commonsense level vision-knowledge conflict in Multimodal Large Language Models (MLLMs), where visual information contradicts model's internal commonsense knowledge. To study this issue, we introduce an automated framework, augmented with human-in-the-loop quality control, to generate inputs designed to simulate and evaluate these conflicts in MLLMs. Using this framework, we have crafted a diagnostic benchmark consisting of 374 original images and 1,122 high-quality question-answer (QA) pairs. The benchmark covers two aspects of conflict and three question types, providing a thorough assessment tool. We apply this benchmark to assess the conflict-resolution capabilities of nine representative MLLMs from various model families. Our results indicate an evident over-reliance on parametric knowledge for approximately 20\% of all queries, especially among Yes-No and action-related problems. Based on these findings, we evaluate the effectiveness of existing approaches to mitigating the conflicts and compare them to our ``Focus-on-Vision'' prompting strategy. Despite some improvement, the vision-knowledge conflict remains unresolved and can be further scaled through our data construction framework. Our proposed framework, benchmark, and analysis contribute to the understanding and mitigation of vision-knowledge conflicts in MLLMs.</v>
      </c>
      <c r="D2502" s="7" t="str">
        <f>IFERROR(__xludf.DUMMYFUNCTION("""COMPUTED_VALUE"""),"Xiaoyuan Liu")</f>
        <v>Xiaoyuan Liu</v>
      </c>
      <c r="E2502" s="7" t="str">
        <f>IFERROR(__xludf.DUMMYFUNCTION("""COMPUTED_VALUE"""),"Yes")</f>
        <v>Yes</v>
      </c>
      <c r="F2502" s="7" t="str">
        <f>IFERROR(__xludf.DUMMYFUNCTION("""COMPUTED_VALUE"""),"IP-Poster")</f>
        <v>IP-Poster</v>
      </c>
      <c r="G2502" s="7" t="str">
        <f>IFERROR(__xludf.DUMMYFUNCTION("""COMPUTED_VALUE"""),"In-Person")</f>
        <v>In-Person</v>
      </c>
      <c r="H2502" s="7" t="str">
        <f>IFERROR(__xludf.DUMMYFUNCTION("""COMPUTED_VALUE"""),"Hall 4/5")</f>
        <v>Hall 4/5</v>
      </c>
      <c r="I2502" s="7" t="str">
        <f>IFERROR(__xludf.DUMMYFUNCTION("""COMPUTED_VALUE"""),"Session 10: IP-Posters")</f>
        <v>Session 10: IP-Posters</v>
      </c>
      <c r="J2502" s="7" t="str">
        <f>IFERROR(__xludf.DUMMYFUNCTION("""COMPUTED_VALUE"""),"Poster Session 3")</f>
        <v>Poster Session 3</v>
      </c>
      <c r="K2502" s="7"/>
      <c r="L2502" s="8">
        <f>IFERROR(__xludf.DUMMYFUNCTION("""COMPUTED_VALUE"""),45867.0)</f>
        <v>45867</v>
      </c>
      <c r="M2502" s="7" t="str">
        <f>IFERROR(__xludf.DUMMYFUNCTION("""COMPUTED_VALUE"""),"16:00-17:30")</f>
        <v>16:00-17:30</v>
      </c>
      <c r="N2502" s="7"/>
    </row>
    <row r="2503">
      <c r="A2503" s="7" t="str">
        <f>IFERROR(__xludf.DUMMYFUNCTION("""COMPUTED_VALUE"""),"2253-MAIN")</f>
        <v>2253-MAIN</v>
      </c>
      <c r="B2503" s="7" t="str">
        <f>IFERROR(__xludf.DUMMYFUNCTION("""COMPUTED_VALUE"""),"SceneGenAgent: Precise Industrial Scene Generation with Coding Agent")</f>
        <v>SceneGenAgent: Precise Industrial Scene Generation with Coding Agent</v>
      </c>
      <c r="C2503" s="7" t="str">
        <f>IFERROR(__xludf.DUMMYFUNCTION("""COMPUTED_VALUE"""),"The modeling of industrial scenes is essential for simulations in industrial manufacturing. While large language models (LLMs) have shown significant progress in generating general 3D scenes from textual descriptions, generating industrial scenes with LLM"&amp;"s poses a unique challenge due to their demand for precise measurements and positioning, requiring complex planning over spatial arrangement. To address this challenge, we introduce SceneGenAgent, an LLM-based agent for generating industrial scenes throug"&amp;"h C# code. SceneGenAgent ensures precise layout planning through a structured and calculable format, layout verification, and iterative refinement to meet the quantitative requirements of industrial scenarios. Experiment results demonstrate that LLMs powe"&amp;"red by SceneGenAgent exceed their original performance, reaching up to 81.0% success rate in real-world industrial scene generation tasks and effectively meeting most scene generation requirements. To further enhance accessibility, we construct SceneInstr"&amp;"uct, a dataset designed for fine-tuning open-source LLMs to integrate into SceneGenAgent. Experiments show that fine-tuning open-source LLMs on SceneInstruct yields significant performance improvements, with Llama3.1-70B approaching the capabilities of GP"&amp;"T-4o. Our code and dataset are available at https://github.com/THUDM/SceneGenAgent.")</f>
        <v>The modeling of industrial scenes is essential for simulations in industrial manufacturing. While large language models (LLMs) have shown significant progress in generating general 3D scenes from textual descriptions, generating industrial scenes with LLMs poses a unique challenge due to their demand for precise measurements and positioning, requiring complex planning over spatial arrangement. To address this challenge, we introduce SceneGenAgent, an LLM-based agent for generating industrial scenes through C# code. SceneGenAgent ensures precise layout planning through a structured and calculable format, layout verification, and iterative refinement to meet the quantitative requirements of industrial scenarios. Experiment results demonstrate that LLMs powered by SceneGenAgent exceed their original performance, reaching up to 81.0% success rate in real-world industrial scene generation tasks and effectively meeting most scene generation requirements. To further enhance accessibility, we construct SceneInstruct, a dataset designed for fine-tuning open-source LLMs to integrate into SceneGenAgent. Experiments show that fine-tuning open-source LLMs on SceneInstruct yields significant performance improvements, with Llama3.1-70B approaching the capabilities of GPT-4o. Our code and dataset are available at https://github.com/THUDM/SceneGenAgent.</v>
      </c>
      <c r="D2503" s="7" t="str">
        <f>IFERROR(__xludf.DUMMYFUNCTION("""COMPUTED_VALUE"""),"Xiao Xia")</f>
        <v>Xiao Xia</v>
      </c>
      <c r="E2503" s="7" t="str">
        <f>IFERROR(__xludf.DUMMYFUNCTION("""COMPUTED_VALUE"""),"Yes")</f>
        <v>Yes</v>
      </c>
      <c r="F2503" s="7" t="str">
        <f>IFERROR(__xludf.DUMMYFUNCTION("""COMPUTED_VALUE"""),"IP-Poster")</f>
        <v>IP-Poster</v>
      </c>
      <c r="G2503" s="7" t="str">
        <f>IFERROR(__xludf.DUMMYFUNCTION("""COMPUTED_VALUE"""),"In-Person")</f>
        <v>In-Person</v>
      </c>
      <c r="H2503" s="7" t="str">
        <f>IFERROR(__xludf.DUMMYFUNCTION("""COMPUTED_VALUE"""),"Hall 4/5")</f>
        <v>Hall 4/5</v>
      </c>
      <c r="I2503" s="7" t="str">
        <f>IFERROR(__xludf.DUMMYFUNCTION("""COMPUTED_VALUE"""),"Session 2: IP-Posters ")</f>
        <v>Session 2: IP-Posters </v>
      </c>
      <c r="J2503" s="7" t="str">
        <f>IFERROR(__xludf.DUMMYFUNCTION("""COMPUTED_VALUE"""),"Poster Session 1")</f>
        <v>Poster Session 1</v>
      </c>
      <c r="K2503" s="7"/>
      <c r="L2503" s="8">
        <f>IFERROR(__xludf.DUMMYFUNCTION("""COMPUTED_VALUE"""),45866.0)</f>
        <v>45866</v>
      </c>
      <c r="M2503" s="7" t="str">
        <f>IFERROR(__xludf.DUMMYFUNCTION("""COMPUTED_VALUE"""),"11:00-12:30")</f>
        <v>11:00-12:30</v>
      </c>
      <c r="N2503" s="7"/>
    </row>
    <row r="2504">
      <c r="A2504" s="7" t="str">
        <f>IFERROR(__xludf.DUMMYFUNCTION("""COMPUTED_VALUE"""),"2256-MAIN")</f>
        <v>2256-MAIN</v>
      </c>
      <c r="B2504" s="7" t="str">
        <f>IFERROR(__xludf.DUMMYFUNCTION("""COMPUTED_VALUE"""),"ToolCoder: A Systematic Code-Empowered Tool Learning Framework for Large Language Models")</f>
        <v>ToolCoder: A Systematic Code-Empowered Tool Learning Framework for Large Language Models</v>
      </c>
      <c r="C2504" s="7" t="str">
        <f>IFERROR(__xludf.DUMMYFUNCTION("""COMPUTED_VALUE"""),"Tool learning has emerged as a crucial capability for large language models (LLMs) to solve complex real-world tasks through interaction with external tools. Existing approaches face significant challenges, including reliance on hand-crafted prompts, diff"&amp;"iculty in multi-step planning, and lack of precise error diagnosis and reflection mechanisms. We propose $\texttt{ToolCoder}$, a novel framework that reformulates tool learning as a code generation task. Inspired by software engineering principles, $\text"&amp;"tt{ToolCoder}$ transforms natural language queries into structured Python function scaffold and systematically breaks down tasks with descriptive comments, enabling LLMs to leverage coding paradigms for complex reasoning and planning. It then generates an"&amp;"d executes function implementations to obtain final responses. Additionally, $\texttt{ToolCoder}$ stores successfully executed functions in a repository to promote code reuse, while leveraging error traceback mechanisms for systematic debugging, optimizin"&amp;"g both execution efficiency and robustness. Experiments demonstrate that $\texttt{ToolCoder}$ achieves superior performance in task completion accuracy and execution reliability compared to existing approaches, establishing the effectiveness of code-centr"&amp;"ic approaches in tool learning.")</f>
        <v>Tool learning has emerged as a crucial capability for large language models (LLMs) to solve complex real-world tasks through interaction with external tools. Existing approaches face significant challenges, including reliance on hand-crafted prompts, difficulty in multi-step planning, and lack of precise error diagnosis and reflection mechanisms. We propose $\texttt{ToolCoder}$, a novel framework that reformulates tool learning as a code generation task. Inspired by software engineering principles, $\texttt{ToolCoder}$ transforms natural language queries into structured Python function scaffold and systematically breaks down tasks with descriptive comments, enabling LLMs to leverage coding paradigms for complex reasoning and planning. It then generates and executes function implementations to obtain final responses. Additionally, $\texttt{ToolCoder}$ stores successfully executed functions in a repository to promote code reuse, while leveraging error traceback mechanisms for systematic debugging, optimizing both execution efficiency and robustness. Experiments demonstrate that $\texttt{ToolCoder}$ achieves superior performance in task completion accuracy and execution reliability compared to existing approaches, establishing the effectiveness of code-centric approaches in tool learning.</v>
      </c>
      <c r="D2504" s="7" t="str">
        <f>IFERROR(__xludf.DUMMYFUNCTION("""COMPUTED_VALUE"""),"Liang Pang")</f>
        <v>Liang Pang</v>
      </c>
      <c r="E2504" s="7" t="str">
        <f>IFERROR(__xludf.DUMMYFUNCTION("""COMPUTED_VALUE"""),"Yes")</f>
        <v>Yes</v>
      </c>
      <c r="F2504" s="7" t="str">
        <f>IFERROR(__xludf.DUMMYFUNCTION("""COMPUTED_VALUE"""),"V-Presentation")</f>
        <v>V-Presentation</v>
      </c>
      <c r="G2504" s="7" t="str">
        <f>IFERROR(__xludf.DUMMYFUNCTION("""COMPUTED_VALUE"""),"Virtual/Gather")</f>
        <v>Virtual/Gather</v>
      </c>
      <c r="H2504" s="7" t="str">
        <f>IFERROR(__xludf.DUMMYFUNCTION("""COMPUTED_VALUE"""),"Zoom")</f>
        <v>Zoom</v>
      </c>
      <c r="I2504" s="7" t="str">
        <f>IFERROR(__xludf.DUMMYFUNCTION("""COMPUTED_VALUE"""),"Session 10: V-Presenations")</f>
        <v>Session 10: V-Presenations</v>
      </c>
      <c r="J2504" s="7" t="str">
        <f>IFERROR(__xludf.DUMMYFUNCTION("""COMPUTED_VALUE"""),"Virtual Presentations 3")</f>
        <v>Virtual Presentations 3</v>
      </c>
      <c r="K2504" s="7"/>
      <c r="L2504" s="8">
        <f>IFERROR(__xludf.DUMMYFUNCTION("""COMPUTED_VALUE"""),45867.0)</f>
        <v>45867</v>
      </c>
      <c r="M2504" s="7" t="str">
        <f>IFERROR(__xludf.DUMMYFUNCTION("""COMPUTED_VALUE"""),"16:00-17:30")</f>
        <v>16:00-17:30</v>
      </c>
      <c r="N2504" s="7"/>
    </row>
    <row r="2505">
      <c r="A2505" s="7" t="str">
        <f>IFERROR(__xludf.DUMMYFUNCTION("""COMPUTED_VALUE"""),"2261-MAIN")</f>
        <v>2261-MAIN</v>
      </c>
      <c r="B2505" s="7" t="str">
        <f>IFERROR(__xludf.DUMMYFUNCTION("""COMPUTED_VALUE"""),"Human Alignment: How Much Do We Adapt to LLMs?")</f>
        <v>Human Alignment: How Much Do We Adapt to LLMs?</v>
      </c>
      <c r="C2505" s="7" t="str">
        <f>IFERROR(__xludf.DUMMYFUNCTION("""COMPUTED_VALUE"""),"Large Language Models (LLMs) are becoming a common part of our lives, yet few studies have examined how they influence our behavior. Using a cooperative language game in which players aim to converge on a shared word, we investigate how people adapt their"&amp;" communication strategies when paired with either an LLM or another human. Our study demonstrates that LLMs exert a measurable influence on human communication strategies and that humans notice and adapt to these differences irrespective of whether they a"&amp;"re aware they are interacting with an LLM. These findings highlight the reciprocal influence of human–AI dialogue and raise important questions about the long-term implications of embedding LLMs in everyday communication.")</f>
        <v>Large Language Models (LLMs) are becoming a common part of our lives, yet few studies have examined how they influence our behavior. Using a cooperative language game in which players aim to converge on a shared word, we investigate how people adapt their communication strategies when paired with either an LLM or another human. Our study demonstrates that LLMs exert a measurable influence on human communication strategies and that humans notice and adapt to these differences irrespective of whether they are aware they are interacting with an LLM. These findings highlight the reciprocal influence of human–AI dialogue and raise important questions about the long-term implications of embedding LLMs in everyday communication.</v>
      </c>
      <c r="D2505" s="7" t="str">
        <f>IFERROR(__xludf.DUMMYFUNCTION("""COMPUTED_VALUE"""),"CAZALET Tanguy")</f>
        <v>CAZALET Tanguy</v>
      </c>
      <c r="E2505" s="7" t="str">
        <f>IFERROR(__xludf.DUMMYFUNCTION("""COMPUTED_VALUE"""),"Yes")</f>
        <v>Yes</v>
      </c>
      <c r="F2505" s="7" t="str">
        <f>IFERROR(__xludf.DUMMYFUNCTION("""COMPUTED_VALUE"""),"IP-Poster")</f>
        <v>IP-Poster</v>
      </c>
      <c r="G2505" s="7" t="str">
        <f>IFERROR(__xludf.DUMMYFUNCTION("""COMPUTED_VALUE"""),"In-Person")</f>
        <v>In-Person</v>
      </c>
      <c r="H2505" s="7" t="str">
        <f>IFERROR(__xludf.DUMMYFUNCTION("""COMPUTED_VALUE"""),"Hall 4/5")</f>
        <v>Hall 4/5</v>
      </c>
      <c r="I2505" s="7" t="str">
        <f>IFERROR(__xludf.DUMMYFUNCTION("""COMPUTED_VALUE"""),"Session 2: IP-Posters ")</f>
        <v>Session 2: IP-Posters </v>
      </c>
      <c r="J2505" s="7" t="str">
        <f>IFERROR(__xludf.DUMMYFUNCTION("""COMPUTED_VALUE"""),"Poster Session 1")</f>
        <v>Poster Session 1</v>
      </c>
      <c r="K2505" s="7"/>
      <c r="L2505" s="8">
        <f>IFERROR(__xludf.DUMMYFUNCTION("""COMPUTED_VALUE"""),45866.0)</f>
        <v>45866</v>
      </c>
      <c r="M2505" s="7" t="str">
        <f>IFERROR(__xludf.DUMMYFUNCTION("""COMPUTED_VALUE"""),"11:00-12:30")</f>
        <v>11:00-12:30</v>
      </c>
      <c r="N2505" s="7"/>
    </row>
    <row r="2506">
      <c r="A2506" s="7" t="str">
        <f>IFERROR(__xludf.DUMMYFUNCTION("""COMPUTED_VALUE"""),"2263-MAIN")</f>
        <v>2263-MAIN</v>
      </c>
      <c r="B2506" s="7" t="str">
        <f>IFERROR(__xludf.DUMMYFUNCTION("""COMPUTED_VALUE"""),"Enhancing Text Editing for Grammatical Error Correction: Arabic as a Case Study")</f>
        <v>Enhancing Text Editing for Grammatical Error Correction: Arabic as a Case Study</v>
      </c>
      <c r="C2506" s="7" t="str">
        <f>IFERROR(__xludf.DUMMYFUNCTION("""COMPUTED_VALUE"""),"Text editing frames grammatical error correction (GEC) as a sequence tagging problem, where edit tags are assigned to input tokens, and applying these edits results in the corrected text. This approach has gained attention for its efficiency and interpret"&amp;"ability. However, while extensively explored for English, text editing remains largely underexplored for morphologically rich languages like Arabic. In this paper, we introduce a text editing approach that derives edit tags directly from data, eliminating"&amp;" the need for language-specific edits. We demonstrate its effectiveness on Arabic, a diglossic and morphologically rich language, and investigate the impact of different edit representations on model performance. Our approach achieves SOTA results on two "&amp;"Arabic GEC benchmarks and performs on par with SOTA on two others. Additionally, our models are over six times faster than existing Arabic GEC systems, making our approach more practical for real-world applications. Finally, we explore ensemble models, de"&amp;"monstrating how combining different models leads to further performance improvements. We make our code, data, and pretrained models publicly available.")</f>
        <v>Text editing frames grammatical error correction (GEC) as a sequence tagging problem, where edit tags are assigned to input tokens, and applying these edits results in the corrected text. This approach has gained attention for its efficiency and interpretability. However, while extensively explored for English, text editing remains largely underexplored for morphologically rich languages like Arabic. In this paper, we introduce a text editing approach that derives edit tags directly from data, eliminating the need for language-specific edits. We demonstrate its effectiveness on Arabic, a diglossic and morphologically rich language, and investigate the impact of different edit representations on model performance. Our approach achieves SOTA results on two Arabic GEC benchmarks and performs on par with SOTA on two others. Additionally, our models are over six times faster than existing Arabic GEC systems, making our approach more practical for real-world applications. Finally, we explore ensemble models, demonstrating how combining different models leads to further performance improvements. We make our code, data, and pretrained models publicly available.</v>
      </c>
      <c r="D2506" s="7" t="str">
        <f>IFERROR(__xludf.DUMMYFUNCTION("""COMPUTED_VALUE"""),"Bashar Alhafni")</f>
        <v>Bashar Alhafni</v>
      </c>
      <c r="E2506" s="7" t="str">
        <f>IFERROR(__xludf.DUMMYFUNCTION("""COMPUTED_VALUE"""),"Yes")</f>
        <v>Yes</v>
      </c>
      <c r="F2506" s="7" t="str">
        <f>IFERROR(__xludf.DUMMYFUNCTION("""COMPUTED_VALUE"""),"IP-Poster")</f>
        <v>IP-Poster</v>
      </c>
      <c r="G2506" s="7" t="str">
        <f>IFERROR(__xludf.DUMMYFUNCTION("""COMPUTED_VALUE"""),"In-Person")</f>
        <v>In-Person</v>
      </c>
      <c r="H2506" s="7" t="str">
        <f>IFERROR(__xludf.DUMMYFUNCTION("""COMPUTED_VALUE"""),"Hall 4/5")</f>
        <v>Hall 4/5</v>
      </c>
      <c r="I2506" s="7" t="str">
        <f>IFERROR(__xludf.DUMMYFUNCTION("""COMPUTED_VALUE"""),"Session 7: IP-Posters")</f>
        <v>Session 7: IP-Posters</v>
      </c>
      <c r="J2506" s="7" t="str">
        <f>IFERROR(__xludf.DUMMYFUNCTION("""COMPUTED_VALUE"""),"Poster Session 2")</f>
        <v>Poster Session 2</v>
      </c>
      <c r="K2506" s="7"/>
      <c r="L2506" s="8">
        <f>IFERROR(__xludf.DUMMYFUNCTION("""COMPUTED_VALUE"""),45867.0)</f>
        <v>45867</v>
      </c>
      <c r="M2506" s="7" t="str">
        <f>IFERROR(__xludf.DUMMYFUNCTION("""COMPUTED_VALUE"""),"10:30-12:00")</f>
        <v>10:30-12:00</v>
      </c>
      <c r="N2506" s="7"/>
    </row>
    <row r="2507">
      <c r="A2507" s="7" t="str">
        <f>IFERROR(__xludf.DUMMYFUNCTION("""COMPUTED_VALUE"""),"2264-MAIN")</f>
        <v>2264-MAIN</v>
      </c>
      <c r="B2507" s="7" t="str">
        <f>IFERROR(__xludf.DUMMYFUNCTION("""COMPUTED_VALUE"""),"From Isolates to Families: Using Neural Networks for Automated Language Affiliation")</f>
        <v>From Isolates to Families: Using Neural Networks for Automated Language Affiliation</v>
      </c>
      <c r="C2507" s="7" t="str">
        <f>IFERROR(__xludf.DUMMYFUNCTION("""COMPUTED_VALUE"""),"In historical linguistics, the affiliation of languages to a common language family is traditionally carried out using a complex workflow that relies on manually comparing individual languages. Large-scale standardized collections of multilingual wordlist"&amp;"s and grammatical language structures might help to improve this and open new avenues for developing automated language affiliation workflows. Here, we present neural network models that use lexical and grammatical data from a worldwide sample of more tha"&amp;"n 1,200 languages with known affiliations to classify individual languages into families. In line with the traditional assumption of most linguists, our results show that models trained on lexical data alone outperform models solely based on grammatical d"&amp;"ata, whereas combining both types of data yields even better performance. In additional experiments, we show how our models can identify long-ranging relations between entire subgroups, how they can be employed to investigate potential relatives of lingui"&amp;"stic isolates, and how they can help us to obtain first hints on the affiliation of so far unaffiliated languages. We conclude that models for automated language affiliation trained on lexical and grammatical data provide comparative linguists with a valu"&amp;"able tool for evaluating hypotheses about deep and unknown language relations.")</f>
        <v>In historical linguistics, the affiliation of languages to a common language family is traditionally carried out using a complex workflow that relies on manually comparing individual languages. Large-scale standardized collections of multilingual wordlists and grammatical language structures might help to improve this and open new avenues for developing automated language affiliation workflows. Here, we present neural network models that use lexical and grammatical data from a worldwide sample of more than 1,200 languages with known affiliations to classify individual languages into families. In line with the traditional assumption of most linguists, our results show that models trained on lexical data alone outperform models solely based on grammatical data, whereas combining both types of data yields even better performance. In additional experiments, we show how our models can identify long-ranging relations between entire subgroups, how they can be employed to investigate potential relatives of linguistic isolates, and how they can help us to obtain first hints on the affiliation of so far unaffiliated languages. We conclude that models for automated language affiliation trained on lexical and grammatical data provide comparative linguists with a valuable tool for evaluating hypotheses about deep and unknown language relations.</v>
      </c>
      <c r="D2507" s="7" t="str">
        <f>IFERROR(__xludf.DUMMYFUNCTION("""COMPUTED_VALUE"""),"Frederic Blum")</f>
        <v>Frederic Blum</v>
      </c>
      <c r="E2507" s="7" t="str">
        <f>IFERROR(__xludf.DUMMYFUNCTION("""COMPUTED_VALUE"""),"Yes")</f>
        <v>Yes</v>
      </c>
      <c r="F2507" s="7" t="str">
        <f>IFERROR(__xludf.DUMMYFUNCTION("""COMPUTED_VALUE"""),"IP-Oral")</f>
        <v>IP-Oral</v>
      </c>
      <c r="G2507" s="7" t="str">
        <f>IFERROR(__xludf.DUMMYFUNCTION("""COMPUTED_VALUE"""),"In-Person")</f>
        <v>In-Person</v>
      </c>
      <c r="H2507" s="7" t="str">
        <f>IFERROR(__xludf.DUMMYFUNCTION("""COMPUTED_VALUE"""),"Room 1.15-16")</f>
        <v>Room 1.15-16</v>
      </c>
      <c r="I2507" s="7" t="str">
        <f>IFERROR(__xludf.DUMMYFUNCTION("""COMPUTED_VALUE"""),"Session 9: IP-Orals")</f>
        <v>Session 9: IP-Orals</v>
      </c>
      <c r="J2507" s="7" t="str">
        <f>IFERROR(__xludf.DUMMYFUNCTION("""COMPUTED_VALUE"""),"Multilingualism and Cross-Lingual NLP")</f>
        <v>Multilingualism and Cross-Lingual NLP</v>
      </c>
      <c r="K2507" s="7"/>
      <c r="L2507" s="8">
        <f>IFERROR(__xludf.DUMMYFUNCTION("""COMPUTED_VALUE"""),45867.0)</f>
        <v>45867</v>
      </c>
      <c r="M2507" s="7" t="str">
        <f>IFERROR(__xludf.DUMMYFUNCTION("""COMPUTED_VALUE"""),"14:00-15:30")</f>
        <v>14:00-15:30</v>
      </c>
      <c r="N2507" s="7">
        <f>IFERROR(__xludf.DUMMYFUNCTION("""COMPUTED_VALUE"""),6.0)</f>
        <v>6</v>
      </c>
    </row>
    <row r="2508">
      <c r="A2508" s="7" t="str">
        <f>IFERROR(__xludf.DUMMYFUNCTION("""COMPUTED_VALUE"""),"2265-MAIN")</f>
        <v>2265-MAIN</v>
      </c>
      <c r="B2508" s="7" t="str">
        <f>IFERROR(__xludf.DUMMYFUNCTION("""COMPUTED_VALUE"""),"ELBA-Bench: An Efficient Learning Backdoor Attacks Benchmark for Large Language Models")</f>
        <v>ELBA-Bench: An Efficient Learning Backdoor Attacks Benchmark for Large Language Models</v>
      </c>
      <c r="C2508" s="7" t="str">
        <f>IFERROR(__xludf.DUMMYFUNCTION("""COMPUTED_VALUE"""),"Generative large language models are crucial in natural language processing, but they are vulnerable to backdoor attacks, where subtle triggers compromise their behavior. Although backdoor attacks against LLMs are constantly emerging, existing benchmarks "&amp;"remain limited in terms of sufficient coverage of attack, metric system integrity, backdoor attack alignment. And existing pre-trained backdoor attacks are idealized in practice due to resource access constraints. Therefore we establish $\textit{ELBA-Benc"&amp;"h}$, a comprehensive and unified framework that allows attackers to inject backdoor through parameter efficient fine-tuning ($\textit{e.g.,}$ LoRA) or without fine-tuning techniques ($\textit{e.g.,}$ In-context-learning). $\textit{ELBA-Bench}$ provides ov"&amp;"er 1300 experiments encompassing the implementations of 12 attack methods, 18 datasets, and 12 LLMs. Extensive experiments provide new invaluable findings into the strengths and limitations of various attack strategies. For instance, PEFT attack consisten"&amp;"tly outperform without fine-tuning approaches in classification tasks while showing strong cross-dataset generalization with optimized triggers boosting robustness; Task-relevant backdoor optimization techniques or attack prompts along with clean and adve"&amp;"rsarial demonstrations can enhance backdoor attack success while preserving model performance on clean samples. Additionally, we introduce a universal toolbox designed for standardized backdoor attack research at https://github.com/NWPUliuxx/ELBA_Bench, w"&amp;"ith the goal of propelling further progress in this vital area.")</f>
        <v>Generative large language models are crucial in natural language processing, but they are vulnerable to backdoor attacks, where subtle triggers compromise their behavior. Although backdoor attacks against LLMs are constantly emerging, existing benchmarks remain limited in terms of sufficient coverage of attack, metric system integrity, backdoor attack alignment. And existing pre-trained backdoor attacks are idealized in practice due to resource access constraints. Therefore we establish $\textit{ELBA-Bench}$, a comprehensive and unified framework that allows attackers to inject backdoor through parameter efficient fine-tuning ($\textit{e.g.,}$ LoRA) or without fine-tuning techniques ($\textit{e.g.,}$ In-context-learning). $\textit{ELBA-Bench}$ provides over 1300 experiments encompassing the implementations of 12 attack methods, 18 datasets, and 12 LLMs. Extensive experiments provide new invaluable findings into the strengths and limitations of various attack strategies. For instance, PEFT attack consistently outperform without fine-tuning approaches in classification tasks while showing strong cross-dataset generalization with optimized triggers boosting robustness; Task-relevant backdoor optimization techniques or attack prompts along with clean and adversarial demonstrations can enhance backdoor attack success while preserving model performance on clean samples. Additionally, we introduce a universal toolbox designed for standardized backdoor attack research at https://github.com/NWPUliuxx/ELBA_Bench, with the goal of propelling further progress in this vital area.</v>
      </c>
      <c r="D2508" s="7" t="str">
        <f>IFERROR(__xludf.DUMMYFUNCTION("""COMPUTED_VALUE"""),"Xuxu Liu")</f>
        <v>Xuxu Liu</v>
      </c>
      <c r="E2508" s="7" t="str">
        <f>IFERROR(__xludf.DUMMYFUNCTION("""COMPUTED_VALUE"""),"Yes")</f>
        <v>Yes</v>
      </c>
      <c r="F2508" s="7" t="str">
        <f>IFERROR(__xludf.DUMMYFUNCTION("""COMPUTED_VALUE"""),"IP-Poster")</f>
        <v>IP-Poster</v>
      </c>
      <c r="G2508" s="7" t="str">
        <f>IFERROR(__xludf.DUMMYFUNCTION("""COMPUTED_VALUE"""),"In-Person")</f>
        <v>In-Person</v>
      </c>
      <c r="H2508" s="7" t="str">
        <f>IFERROR(__xludf.DUMMYFUNCTION("""COMPUTED_VALUE"""),"Hall 4/5")</f>
        <v>Hall 4/5</v>
      </c>
      <c r="I2508" s="7" t="str">
        <f>IFERROR(__xludf.DUMMYFUNCTION("""COMPUTED_VALUE"""),"Session 7: IP-Posters")</f>
        <v>Session 7: IP-Posters</v>
      </c>
      <c r="J2508" s="7" t="str">
        <f>IFERROR(__xludf.DUMMYFUNCTION("""COMPUTED_VALUE"""),"Poster Session 2")</f>
        <v>Poster Session 2</v>
      </c>
      <c r="K2508" s="7"/>
      <c r="L2508" s="8">
        <f>IFERROR(__xludf.DUMMYFUNCTION("""COMPUTED_VALUE"""),45867.0)</f>
        <v>45867</v>
      </c>
      <c r="M2508" s="7" t="str">
        <f>IFERROR(__xludf.DUMMYFUNCTION("""COMPUTED_VALUE"""),"10:30-12:00")</f>
        <v>10:30-12:00</v>
      </c>
      <c r="N2508" s="7"/>
    </row>
    <row r="2509">
      <c r="A2509" s="7" t="str">
        <f>IFERROR(__xludf.DUMMYFUNCTION("""COMPUTED_VALUE"""),"2267-MAIN")</f>
        <v>2267-MAIN</v>
      </c>
      <c r="B2509" s="7" t="str">
        <f>IFERROR(__xludf.DUMMYFUNCTION("""COMPUTED_VALUE"""),"Less, but Better: Efficient Multilingual Expansion for LLMs via Layer-wise Mixture-of-Experts")</f>
        <v>Less, but Better: Efficient Multilingual Expansion for LLMs via Layer-wise Mixture-of-Experts</v>
      </c>
      <c r="C2509" s="7" t="str">
        <f>IFERROR(__xludf.DUMMYFUNCTION("""COMPUTED_VALUE"""),"Continually expanding new languages for existing large language models (LLMs) is a promising yet challenging approach to building powerful multilingual LLMs.
The biggest challenge is to make the model continuously learn new languages while preserving the "&amp;"proficient ability of old languages.
To achieve this, recent work utilizes the Mixture-of-Experts (MoE) architecture to expand new languages by adding new experts and avoid catastrophic forgetting of old languages by routing corresponding tokens to the or"&amp;"iginal model backbone (old experts).
Although intuitive, this kind of method is parameter-costly when expanding new languages and still inevitably impacts the performance of old languages.
To address these limitations, we analyze the language characterist"&amp;"ics of different layers in LLMs and propose a layer-wise expert allocation algorithm (LayerMoE) to determine the appropriate number of new experts for each layer.
Specifically, we find different layers in LLMs exhibit different representation similarities"&amp;" between languages and then utilize the similarity as the indicator to allocate experts for each layer, i.e., the higher similarity, the fewer experts.
Additionally, to further mitigate the forgetting of old languages, we add a classifier in front of the "&amp;"router network on the layers with higher similarity to guide the routing of old language tokens.
Experimental results show that our method outperforms the previous state-of-the-art baseline with 60\% fewer experts in the single-expansion setting and with "&amp;"33.3\% fewer experts in the lifelong-expansion setting, demonstrating the effectiveness of our method.")</f>
        <v>Continually expanding new languages for existing large language models (LLMs) is a promising yet challenging approach to building powerful multilingual LLMs.
The biggest challenge is to make the model continuously learn new languages while preserving the proficient ability of old languages.
To achieve this, recent work utilizes the Mixture-of-Experts (MoE) architecture to expand new languages by adding new experts and avoid catastrophic forgetting of old languages by routing corresponding tokens to the original model backbone (old experts).
Although intuitive, this kind of method is parameter-costly when expanding new languages and still inevitably impacts the performance of old languages.
To address these limitations, we analyze the language characteristics of different layers in LLMs and propose a layer-wise expert allocation algorithm (LayerMoE) to determine the appropriate number of new experts for each layer.
Specifically, we find different layers in LLMs exhibit different representation similarities between languages and then utilize the similarity as the indicator to allocate experts for each layer, i.e., the higher similarity, the fewer experts.
Additionally, to further mitigate the forgetting of old languages, we add a classifier in front of the router network on the layers with higher similarity to guide the routing of old language tokens.
Experimental results show that our method outperforms the previous state-of-the-art baseline with 60\% fewer experts in the single-expansion setting and with 33.3\% fewer experts in the lifelong-expansion setting, demonstrating the effectiveness of our method.</v>
      </c>
      <c r="D2509" s="7" t="str">
        <f>IFERROR(__xludf.DUMMYFUNCTION("""COMPUTED_VALUE"""),"Xue Zhang")</f>
        <v>Xue Zhang</v>
      </c>
      <c r="E2509" s="7" t="str">
        <f>IFERROR(__xludf.DUMMYFUNCTION("""COMPUTED_VALUE"""),"Yes")</f>
        <v>Yes</v>
      </c>
      <c r="F2509" s="7" t="str">
        <f>IFERROR(__xludf.DUMMYFUNCTION("""COMPUTED_VALUE"""),"IP-Poster")</f>
        <v>IP-Poster</v>
      </c>
      <c r="G2509" s="7" t="str">
        <f>IFERROR(__xludf.DUMMYFUNCTION("""COMPUTED_VALUE"""),"In-Person")</f>
        <v>In-Person</v>
      </c>
      <c r="H2509" s="7" t="str">
        <f>IFERROR(__xludf.DUMMYFUNCTION("""COMPUTED_VALUE"""),"Hall 4/5")</f>
        <v>Hall 4/5</v>
      </c>
      <c r="I2509" s="7" t="str">
        <f>IFERROR(__xludf.DUMMYFUNCTION("""COMPUTED_VALUE"""),"Session 7: IP-Posters")</f>
        <v>Session 7: IP-Posters</v>
      </c>
      <c r="J2509" s="7" t="str">
        <f>IFERROR(__xludf.DUMMYFUNCTION("""COMPUTED_VALUE"""),"Poster Session 2")</f>
        <v>Poster Session 2</v>
      </c>
      <c r="K2509" s="7"/>
      <c r="L2509" s="8">
        <f>IFERROR(__xludf.DUMMYFUNCTION("""COMPUTED_VALUE"""),45867.0)</f>
        <v>45867</v>
      </c>
      <c r="M2509" s="7" t="str">
        <f>IFERROR(__xludf.DUMMYFUNCTION("""COMPUTED_VALUE"""),"10:30-12:00")</f>
        <v>10:30-12:00</v>
      </c>
      <c r="N2509" s="7"/>
    </row>
    <row r="2510">
      <c r="A2510" s="7" t="str">
        <f>IFERROR(__xludf.DUMMYFUNCTION("""COMPUTED_VALUE"""),"2269-MAIN")</f>
        <v>2269-MAIN</v>
      </c>
      <c r="B2510" s="7" t="str">
        <f>IFERROR(__xludf.DUMMYFUNCTION("""COMPUTED_VALUE"""),"When Harry Meets Superman: The Role of The Interlocutor in Persona-Based Dialogue Generation")</f>
        <v>When Harry Meets Superman: The Role of The Interlocutor in Persona-Based Dialogue Generation</v>
      </c>
      <c r="C2510" s="7" t="str">
        <f>IFERROR(__xludf.DUMMYFUNCTION("""COMPUTED_VALUE"""),"Endowing dialogue agents with persona information has proven to significantly improve the consistency and diversity of their generations. While much focus has been placed on aligning dialogues with provided personas, the adaptation to the interlocutor’s p"&amp;"rofile remains largely underexplored. In this work, we investigate three key aspects: (1) a model's ability to align responses with both the provided persona and the interlocutor’s; (2) its robustness when dealing with familiar versus unfamiliar interlocu"&amp;"tors and topics, and (3) the impact of additional fine-tuning on specific persona-based dialogues. We evaluate dialogues generated with diverse speaker pairings and topics, framing the evaluation as an author identification task and employing both LLM-as-"&amp;"a-judge and human evaluations. By systematically masking or disclosing information about interlocutor, we assess its impact on dialogue generation. Results show that access to the interlocutor's persona improves the recognition of the target speaker, whil"&amp;"e masking it does the opposite. Although models generalise well across topics, they struggle with unfamiliar interlocutors. Finally, we found that in zero-shot settings, LLMs often copy biographical details, facilitating identification but trivialising th"&amp;"e task.")</f>
        <v>Endowing dialogue agents with persona information has proven to significantly improve the consistency and diversity of their generations. While much focus has been placed on aligning dialogues with provided personas, the adaptation to the interlocutor’s profile remains largely underexplored. In this work, we investigate three key aspects: (1) a model's ability to align responses with both the provided persona and the interlocutor’s; (2) its robustness when dealing with familiar versus unfamiliar interlocutors and topics, and (3) the impact of additional fine-tuning on specific persona-based dialogues. We evaluate dialogues generated with diverse speaker pairings and topics, framing the evaluation as an author identification task and employing both LLM-as-a-judge and human evaluations. By systematically masking or disclosing information about interlocutor, we assess its impact on dialogue generation. Results show that access to the interlocutor's persona improves the recognition of the target speaker, while masking it does the opposite. Although models generalise well across topics, they struggle with unfamiliar interlocutors. Finally, we found that in zero-shot settings, LLMs often copy biographical details, facilitating identification but trivialising the task.</v>
      </c>
      <c r="D2510" s="7" t="str">
        <f>IFERROR(__xludf.DUMMYFUNCTION("""COMPUTED_VALUE"""),"Marco Guerini")</f>
        <v>Marco Guerini</v>
      </c>
      <c r="E2510" s="7" t="str">
        <f>IFERROR(__xludf.DUMMYFUNCTION("""COMPUTED_VALUE"""),"Yes")</f>
        <v>Yes</v>
      </c>
      <c r="F2510" s="7" t="str">
        <f>IFERROR(__xludf.DUMMYFUNCTION("""COMPUTED_VALUE"""),"IP-Poster")</f>
        <v>IP-Poster</v>
      </c>
      <c r="G2510" s="7" t="str">
        <f>IFERROR(__xludf.DUMMYFUNCTION("""COMPUTED_VALUE"""),"In-Person")</f>
        <v>In-Person</v>
      </c>
      <c r="H2510" s="7" t="str">
        <f>IFERROR(__xludf.DUMMYFUNCTION("""COMPUTED_VALUE"""),"Hall 4/5")</f>
        <v>Hall 4/5</v>
      </c>
      <c r="I2510" s="7" t="str">
        <f>IFERROR(__xludf.DUMMYFUNCTION("""COMPUTED_VALUE"""),"Session 2: IP-Posters ")</f>
        <v>Session 2: IP-Posters </v>
      </c>
      <c r="J2510" s="7" t="str">
        <f>IFERROR(__xludf.DUMMYFUNCTION("""COMPUTED_VALUE"""),"Poster Session 1")</f>
        <v>Poster Session 1</v>
      </c>
      <c r="K2510" s="7"/>
      <c r="L2510" s="8">
        <f>IFERROR(__xludf.DUMMYFUNCTION("""COMPUTED_VALUE"""),45866.0)</f>
        <v>45866</v>
      </c>
      <c r="M2510" s="7" t="str">
        <f>IFERROR(__xludf.DUMMYFUNCTION("""COMPUTED_VALUE"""),"11:00-12:30")</f>
        <v>11:00-12:30</v>
      </c>
      <c r="N2510" s="7"/>
    </row>
    <row r="2511">
      <c r="A2511" s="7" t="str">
        <f>IFERROR(__xludf.DUMMYFUNCTION("""COMPUTED_VALUE"""),"2270-MAIN")</f>
        <v>2270-MAIN</v>
      </c>
      <c r="B2511" s="7" t="str">
        <f>IFERROR(__xludf.DUMMYFUNCTION("""COMPUTED_VALUE"""),"ICR Probe: Tracking Hidden State Dynamics for Reliable Hallucination Detection in LLMs")</f>
        <v>ICR Probe: Tracking Hidden State Dynamics for Reliable Hallucination Detection in LLMs</v>
      </c>
      <c r="C2511" s="7" t="str">
        <f>IFERROR(__xludf.DUMMYFUNCTION("""COMPUTED_VALUE"""),"Large language models (LLMs) excel at various natural language processing tasks, but their tendency to generate hallucinations undermines their reliability. Existing hallucination detection methods leveraging hidden states predominantly focus on static an"&amp;"d isolated representations, overlooking their dynamic evolution across layers, which limits efficacy. To address this limitation, we shift the focus to the hidden state update process and introduce a novel metric, the **ICR** Score (**I**nformation **C**o"&amp;"ntribution to **R**esidual Stream), which quantifies the contribution of modules to the hidden states' update. We empirically validate that the ICR Score is effective and reliable in distinguishing hallucinations. Building on these insights, we propose a "&amp;"hallucination detection method, the ICR Probe, which captures the cross-layer evolution of hidden states. Experimental results show that the ICR Probe achieves superior performance with significantly fewer parameters. Furthermore, ablation studies and cas"&amp;"e analyses offer deeper insights into the underlying mechanism of this method, improving its interpretability.")</f>
        <v>Large language models (LLMs) excel at various natural language processing tasks, but their tendency to generate hallucinations undermines their reliability. Existing hallucination detection methods leveraging hidden states predominantly focus on static and isolated representations, overlooking their dynamic evolution across layers, which limits efficacy. To address this limitation, we shift the focus to the hidden state update process and introduce a novel metric, the **ICR** Score (**I**nformation **C**ontribution to **R**esidual Stream), which quantifies the contribution of modules to the hidden states' update. We empirically validate that the ICR Score is effective and reliable in distinguishing hallucinations. Building on these insights, we propose a hallucination detection method, the ICR Probe, which captures the cross-layer evolution of hidden states. Experimental results show that the ICR Probe achieves superior performance with significantly fewer parameters. Furthermore, ablation studies and case analyses offer deeper insights into the underlying mechanism of this method, improving its interpretability.</v>
      </c>
      <c r="D2511" s="7" t="str">
        <f>IFERROR(__xludf.DUMMYFUNCTION("""COMPUTED_VALUE"""),"Zhenliang Zhang")</f>
        <v>Zhenliang Zhang</v>
      </c>
      <c r="E2511" s="7" t="str">
        <f>IFERROR(__xludf.DUMMYFUNCTION("""COMPUTED_VALUE"""),"Yes")</f>
        <v>Yes</v>
      </c>
      <c r="F2511" s="7" t="str">
        <f>IFERROR(__xludf.DUMMYFUNCTION("""COMPUTED_VALUE"""),"IP-Poster")</f>
        <v>IP-Poster</v>
      </c>
      <c r="G2511" s="7" t="str">
        <f>IFERROR(__xludf.DUMMYFUNCTION("""COMPUTED_VALUE"""),"In-Person")</f>
        <v>In-Person</v>
      </c>
      <c r="H2511" s="7" t="str">
        <f>IFERROR(__xludf.DUMMYFUNCTION("""COMPUTED_VALUE"""),"Hall 4/5")</f>
        <v>Hall 4/5</v>
      </c>
      <c r="I2511" s="7" t="str">
        <f>IFERROR(__xludf.DUMMYFUNCTION("""COMPUTED_VALUE"""),"Session 12: IP-Posters")</f>
        <v>Session 12: IP-Posters</v>
      </c>
      <c r="J2511" s="7" t="str">
        <f>IFERROR(__xludf.DUMMYFUNCTION("""COMPUTED_VALUE"""),"Poster Session 4")</f>
        <v>Poster Session 4</v>
      </c>
      <c r="K2511" s="7"/>
      <c r="L2511" s="8">
        <f>IFERROR(__xludf.DUMMYFUNCTION("""COMPUTED_VALUE"""),45868.0)</f>
        <v>45868</v>
      </c>
      <c r="M2511" s="7" t="str">
        <f>IFERROR(__xludf.DUMMYFUNCTION("""COMPUTED_VALUE"""),"11:00-12:30")</f>
        <v>11:00-12:30</v>
      </c>
      <c r="N2511" s="7"/>
    </row>
    <row r="2512">
      <c r="A2512" s="7" t="str">
        <f>IFERROR(__xludf.DUMMYFUNCTION("""COMPUTED_VALUE"""),"2272-MAIN")</f>
        <v>2272-MAIN</v>
      </c>
      <c r="B2512" s="7" t="str">
        <f>IFERROR(__xludf.DUMMYFUNCTION("""COMPUTED_VALUE"""),"Revisit Self-Debugging with Self-Generated Tests for Code Generation")</f>
        <v>Revisit Self-Debugging with Self-Generated Tests for Code Generation</v>
      </c>
      <c r="C2512" s="7" t="str">
        <f>IFERROR(__xludf.DUMMYFUNCTION("""COMPUTED_VALUE"""),"Large language models (LLMs) have demonstrated significant advancements in code generation, yet they still face challenges when tackling tasks that extend beyond their basic capabilities. Recently, the concept of self-debugging has been proposed as a way "&amp;"to enhance code generation performance by leveraging execution feedback from tests. However, the availability of high-quality tests in real-world scenarios is often limited. In this context, self-debugging with self-generated tests emerges as a promising "&amp;"solution, though its limitations and practical potential have not been fully explored. To address this gap, we investigate the efficacy of self-debugging in code generation tasks. We propose and analyze two distinct paradigms for the self-debugging proces"&amp;"s: post-execution and in-execution self-debugging. Our findings reveal that post-execution self-debugging struggles with the test bias introduced by self-generated tests, which can lead to misleading feedback. In contrast, in-execution self-debugging enab"&amp;"les LLMs to mitigate this bias and leverage intermediate states during program execution. By focusing on runtime information rather than relying solely on potentially flawed self-generated tests, this approach demonstrates significant promise for improvin"&amp;"g the robustness and accuracy of LLMs in code generation tasks.")</f>
        <v>Large language models (LLMs) have demonstrated significant advancements in code generation, yet they still face challenges when tackling tasks that extend beyond their basic capabilities. Recently, the concept of self-debugging has been proposed as a way to enhance code generation performance by leveraging execution feedback from tests. However, the availability of high-quality tests in real-world scenarios is often limited. In this context, self-debugging with self-generated tests emerges as a promising solution, though its limitations and practical potential have not been fully explored. To address this gap, we investigate the efficacy of self-debugging in code generation tasks. We propose and analyze two distinct paradigms for the self-debugging process: post-execution and in-execution self-debugging. Our findings reveal that post-execution self-debugging struggles with the test bias introduced by self-generated tests, which can lead to misleading feedback. In contrast, in-execution self-debugging enables LLMs to mitigate this bias and leverage intermediate states during program execution. By focusing on runtime information rather than relying solely on potentially flawed self-generated tests, this approach demonstrates significant promise for improving the robustness and accuracy of LLMs in code generation tasks.</v>
      </c>
      <c r="D2512" s="7" t="str">
        <f>IFERROR(__xludf.DUMMYFUNCTION("""COMPUTED_VALUE"""),"Xiancai Chen")</f>
        <v>Xiancai Chen</v>
      </c>
      <c r="E2512" s="7" t="str">
        <f>IFERROR(__xludf.DUMMYFUNCTION("""COMPUTED_VALUE"""),"Yes")</f>
        <v>Yes</v>
      </c>
      <c r="F2512" s="7" t="str">
        <f>IFERROR(__xludf.DUMMYFUNCTION("""COMPUTED_VALUE"""),"IP-Poster")</f>
        <v>IP-Poster</v>
      </c>
      <c r="G2512" s="7" t="str">
        <f>IFERROR(__xludf.DUMMYFUNCTION("""COMPUTED_VALUE"""),"In-Person")</f>
        <v>In-Person</v>
      </c>
      <c r="H2512" s="7" t="str">
        <f>IFERROR(__xludf.DUMMYFUNCTION("""COMPUTED_VALUE"""),"Hall 4/5")</f>
        <v>Hall 4/5</v>
      </c>
      <c r="I2512" s="7" t="str">
        <f>IFERROR(__xludf.DUMMYFUNCTION("""COMPUTED_VALUE"""),"Session 7: IP-Posters")</f>
        <v>Session 7: IP-Posters</v>
      </c>
      <c r="J2512" s="7" t="str">
        <f>IFERROR(__xludf.DUMMYFUNCTION("""COMPUTED_VALUE"""),"Poster Session 2")</f>
        <v>Poster Session 2</v>
      </c>
      <c r="K2512" s="7"/>
      <c r="L2512" s="8">
        <f>IFERROR(__xludf.DUMMYFUNCTION("""COMPUTED_VALUE"""),45867.0)</f>
        <v>45867</v>
      </c>
      <c r="M2512" s="7" t="str">
        <f>IFERROR(__xludf.DUMMYFUNCTION("""COMPUTED_VALUE"""),"10:30-12:00")</f>
        <v>10:30-12:00</v>
      </c>
      <c r="N2512" s="7"/>
    </row>
    <row r="2513">
      <c r="A2513" s="7" t="str">
        <f>IFERROR(__xludf.DUMMYFUNCTION("""COMPUTED_VALUE"""),"2276-MAIN")</f>
        <v>2276-MAIN</v>
      </c>
      <c r="B2513" s="7" t="str">
        <f>IFERROR(__xludf.DUMMYFUNCTION("""COMPUTED_VALUE"""),"InSerter: Speech Instruction Following with Unsupervised Interleaved Pre-training")</f>
        <v>InSerter: Speech Instruction Following with Unsupervised Interleaved Pre-training</v>
      </c>
      <c r="C2513" s="7" t="str">
        <f>IFERROR(__xludf.DUMMYFUNCTION("""COMPUTED_VALUE"""),"Recent advancements in speech large language models (SpeechLLMs) have attracted considerable attention. Nonetheless, current methods exhibit suboptimal performance in adhering to speech instructions. Notably, the intelligence of models significantly dimin"&amp;"ishes when processing speech-form input as compared to direct text-form input. Prior work has attempted to mitigate this semantic inconsistency between speech and text representations through techniques such as representation and behavior alignment, which"&amp;" involve the meticulous design of data pairs during the post-training phase. In this paper, we introduce a simple and scalable training method called InSerter, which stands for Interleaved Speech-Text Representation Pre-training. InSerter is designed to p"&amp;"re-train large-scale unsupervised speech-text sequences, where the speech is synthesized from randomly selected segments of an extensive text corpus using text-to-speech conversion. Consequently, the model acquires the ability to generate textual continua"&amp;"tions corresponding to the provided speech segments, obviating the need for intensive data design endeavors. To systematically evaluate speech instruction-following capabilities, we introduce SpeechInstructBench, the first comprehensive benchmark specific"&amp;"ally designed for speech-oriented instruction-following tasks. Our proposed model InSerter achieves SOTA performance in SpeechInstructBench and demonstrates superior or competitive results across diverse speech processing tasks.")</f>
        <v>Recent advancements in speech large language models (SpeechLLMs) have attracted considerable attention. Nonetheless, current methods exhibit suboptimal performance in adhering to speech instructions. Notably, the intelligence of models significantly diminishes when processing speech-form input as compared to direct text-form input. Prior work has attempted to mitigate this semantic inconsistency between speech and text representations through techniques such as representation and behavior alignment, which involve the meticulous design of data pairs during the post-training phase. In this paper, we introduce a simple and scalable training method called InSerter, which stands for Interleaved Speech-Text Representation Pre-training. InSerter is designed to pre-train large-scale unsupervised speech-text sequences, where the speech is synthesized from randomly selected segments of an extensive text corpus using text-to-speech conversion. Consequently, the model acquires the ability to generate textual continuations corresponding to the provided speech segments, obviating the need for intensive data design endeavors. To systematically evaluate speech instruction-following capabilities, we introduce SpeechInstructBench, the first comprehensive benchmark specifically designed for speech-oriented instruction-following tasks. Our proposed model InSerter achieves SOTA performance in SpeechInstructBench and demonstrates superior or competitive results across diverse speech processing tasks.</v>
      </c>
      <c r="D2513" s="7" t="str">
        <f>IFERROR(__xludf.DUMMYFUNCTION("""COMPUTED_VALUE"""),"Dingdong Wang")</f>
        <v>Dingdong Wang</v>
      </c>
      <c r="E2513" s="7" t="str">
        <f>IFERROR(__xludf.DUMMYFUNCTION("""COMPUTED_VALUE"""),"Yes")</f>
        <v>Yes</v>
      </c>
      <c r="F2513" s="7" t="str">
        <f>IFERROR(__xludf.DUMMYFUNCTION("""COMPUTED_VALUE"""),"IP-Poster")</f>
        <v>IP-Poster</v>
      </c>
      <c r="G2513" s="7" t="str">
        <f>IFERROR(__xludf.DUMMYFUNCTION("""COMPUTED_VALUE"""),"In-Person")</f>
        <v>In-Person</v>
      </c>
      <c r="H2513" s="7" t="str">
        <f>IFERROR(__xludf.DUMMYFUNCTION("""COMPUTED_VALUE"""),"Hall 4/5")</f>
        <v>Hall 4/5</v>
      </c>
      <c r="I2513" s="7" t="str">
        <f>IFERROR(__xludf.DUMMYFUNCTION("""COMPUTED_VALUE"""),"Session 2: IP-Posters ")</f>
        <v>Session 2: IP-Posters </v>
      </c>
      <c r="J2513" s="7" t="str">
        <f>IFERROR(__xludf.DUMMYFUNCTION("""COMPUTED_VALUE"""),"Poster Session 1")</f>
        <v>Poster Session 1</v>
      </c>
      <c r="K2513" s="7"/>
      <c r="L2513" s="8">
        <f>IFERROR(__xludf.DUMMYFUNCTION("""COMPUTED_VALUE"""),45866.0)</f>
        <v>45866</v>
      </c>
      <c r="M2513" s="7" t="str">
        <f>IFERROR(__xludf.DUMMYFUNCTION("""COMPUTED_VALUE"""),"11:00-12:30")</f>
        <v>11:00-12:30</v>
      </c>
      <c r="N2513" s="7"/>
    </row>
    <row r="2514">
      <c r="A2514" s="7" t="str">
        <f>IFERROR(__xludf.DUMMYFUNCTION("""COMPUTED_VALUE"""),"2279-MAIN")</f>
        <v>2279-MAIN</v>
      </c>
      <c r="B2514" s="7" t="str">
        <f>IFERROR(__xludf.DUMMYFUNCTION("""COMPUTED_VALUE"""),"Exploring LLMs' Ability to Spontaneously and Conditionally Modify Moral Expressions through Text Manipulation")</f>
        <v>Exploring LLMs' Ability to Spontaneously and Conditionally Modify Moral Expressions through Text Manipulation</v>
      </c>
      <c r="C2514" s="7" t="str">
        <f>IFERROR(__xludf.DUMMYFUNCTION("""COMPUTED_VALUE"""),"Morality serves as the foundation of societal structure, guiding legal systems, shaping cultural values, and influencing individual self-perception. With the rise and pervasiveness of generative AI tools, and particularly Large Language Models (LLMs), con"&amp;"cerns arise regarding how these tools capture and potentially alter moral dimensions through  machine-generated text  manipulation. Based on the Moral Foundation Theory, our work investigates this topic by analyzing the behavior of 12 LLMs among the most "&amp;"widely used Open and uncensored (i.e., ''abliterated'') models, and leveraging human-annotated datasets used in moral-related analysis. Results have shown varying levels of alteration of moral expressions depending on the type of text modification task an"&amp;"d moral-related conditioning prompt.")</f>
        <v>Morality serves as the foundation of societal structure, guiding legal systems, shaping cultural values, and influencing individual self-perception. With the rise and pervasiveness of generative AI tools, and particularly Large Language Models (LLMs), concerns arise regarding how these tools capture and potentially alter moral dimensions through  machine-generated text  manipulation. Based on the Moral Foundation Theory, our work investigates this topic by analyzing the behavior of 12 LLMs among the most widely used Open and uncensored (i.e., ''abliterated'') models, and leveraging human-annotated datasets used in moral-related analysis. Results have shown varying levels of alteration of moral expressions depending on the type of text modification task and moral-related conditioning prompt.</v>
      </c>
      <c r="D2514" s="7" t="str">
        <f>IFERROR(__xludf.DUMMYFUNCTION("""COMPUTED_VALUE"""),"Andrea Tagarelli")</f>
        <v>Andrea Tagarelli</v>
      </c>
      <c r="E2514" s="7" t="str">
        <f>IFERROR(__xludf.DUMMYFUNCTION("""COMPUTED_VALUE"""),"Yes")</f>
        <v>Yes</v>
      </c>
      <c r="F2514" s="7" t="str">
        <f>IFERROR(__xludf.DUMMYFUNCTION("""COMPUTED_VALUE"""),"IP-Poster")</f>
        <v>IP-Poster</v>
      </c>
      <c r="G2514" s="7" t="str">
        <f>IFERROR(__xludf.DUMMYFUNCTION("""COMPUTED_VALUE"""),"In-Person")</f>
        <v>In-Person</v>
      </c>
      <c r="H2514" s="7" t="str">
        <f>IFERROR(__xludf.DUMMYFUNCTION("""COMPUTED_VALUE"""),"Hall 4/5")</f>
        <v>Hall 4/5</v>
      </c>
      <c r="I2514" s="7" t="str">
        <f>IFERROR(__xludf.DUMMYFUNCTION("""COMPUTED_VALUE"""),"Session 12: IP-Posters")</f>
        <v>Session 12: IP-Posters</v>
      </c>
      <c r="J2514" s="7" t="str">
        <f>IFERROR(__xludf.DUMMYFUNCTION("""COMPUTED_VALUE"""),"Poster Session 4")</f>
        <v>Poster Session 4</v>
      </c>
      <c r="K2514" s="7"/>
      <c r="L2514" s="8">
        <f>IFERROR(__xludf.DUMMYFUNCTION("""COMPUTED_VALUE"""),45868.0)</f>
        <v>45868</v>
      </c>
      <c r="M2514" s="7" t="str">
        <f>IFERROR(__xludf.DUMMYFUNCTION("""COMPUTED_VALUE"""),"11:00-12:30")</f>
        <v>11:00-12:30</v>
      </c>
      <c r="N2514" s="7"/>
    </row>
    <row r="2515">
      <c r="A2515" s="7" t="str">
        <f>IFERROR(__xludf.DUMMYFUNCTION("""COMPUTED_VALUE"""),"2285-MAIN")</f>
        <v>2285-MAIN</v>
      </c>
      <c r="B2515" s="7" t="str">
        <f>IFERROR(__xludf.DUMMYFUNCTION("""COMPUTED_VALUE"""),"Mixture of Ordered Scoring Experts for Cross-prompt Essay Trait Scoring")</f>
        <v>Mixture of Ordered Scoring Experts for Cross-prompt Essay Trait Scoring</v>
      </c>
      <c r="C2515" s="7" t="str">
        <f>IFERROR(__xludf.DUMMYFUNCTION("""COMPUTED_VALUE"""),"Automated Essay Scoring (AES) plays a crucial role in language assessment. In particular, cross-prompt essay trait scoring provides learners with valuable feedback to improve their writing skills. However, due to the scarcity of prompts, most existing met"&amp;"hods overlook critical information, such as content from prompts or essays, resulting in incomplete assessment perspectives. In this paper, we propose a robust AES framework, the Mixture of Ordered Scoring Experts (MOOSE), which integrates information fro"&amp;"m both prompts and essays. MOOSE employs three specialized experts to evaluate (1) the overall quality of an essay, (2) the relative quality across multiple essays, and (3) the relevance between an essay and its prompt. MOOSE introduces the ordered aggreg"&amp;"ation of assessment results from these experts along with effective feature learning techniques. Experimental results demonstrate that MOOSE achieves exceptionally stable and state-of-the-art performance in both cross-prompt scoring and multi-trait scorin"&amp;"g on the ASAP++ dataset. The source code is released at https://github.com/antslabtw/MOOSE-AES.")</f>
        <v>Automated Essay Scoring (AES) plays a crucial role in language assessment. In particular, cross-prompt essay trait scoring provides learners with valuable feedback to improve their writing skills. However, due to the scarcity of prompts, most existing methods overlook critical information, such as content from prompts or essays, resulting in incomplete assessment perspectives. In this paper, we propose a robust AES framework, the Mixture of Ordered Scoring Experts (MOOSE), which integrates information from both prompts and essays. MOOSE employs three specialized experts to evaluate (1) the overall quality of an essay, (2) the relative quality across multiple essays, and (3) the relevance between an essay and its prompt. MOOSE introduces the ordered aggregation of assessment results from these experts along with effective feature learning techniques. Experimental results demonstrate that MOOSE achieves exceptionally stable and state-of-the-art performance in both cross-prompt scoring and multi-trait scoring on the ASAP++ dataset. The source code is released at https://github.com/antslabtw/MOOSE-AES.</v>
      </c>
      <c r="D2515" s="7" t="str">
        <f>IFERROR(__xludf.DUMMYFUNCTION("""COMPUTED_VALUE"""),"Yi-Ting Huang")</f>
        <v>Yi-Ting Huang</v>
      </c>
      <c r="E2515" s="7" t="str">
        <f>IFERROR(__xludf.DUMMYFUNCTION("""COMPUTED_VALUE"""),"Yes")</f>
        <v>Yes</v>
      </c>
      <c r="F2515" s="7" t="str">
        <f>IFERROR(__xludf.DUMMYFUNCTION("""COMPUTED_VALUE"""),"IP-Poster")</f>
        <v>IP-Poster</v>
      </c>
      <c r="G2515" s="7" t="str">
        <f>IFERROR(__xludf.DUMMYFUNCTION("""COMPUTED_VALUE"""),"In-Person")</f>
        <v>In-Person</v>
      </c>
      <c r="H2515" s="7" t="str">
        <f>IFERROR(__xludf.DUMMYFUNCTION("""COMPUTED_VALUE"""),"Hall 4/5")</f>
        <v>Hall 4/5</v>
      </c>
      <c r="I2515" s="7" t="str">
        <f>IFERROR(__xludf.DUMMYFUNCTION("""COMPUTED_VALUE"""),"Session 7: IP-Posters")</f>
        <v>Session 7: IP-Posters</v>
      </c>
      <c r="J2515" s="7" t="str">
        <f>IFERROR(__xludf.DUMMYFUNCTION("""COMPUTED_VALUE"""),"Poster Session 2")</f>
        <v>Poster Session 2</v>
      </c>
      <c r="K2515" s="7"/>
      <c r="L2515" s="8">
        <f>IFERROR(__xludf.DUMMYFUNCTION("""COMPUTED_VALUE"""),45867.0)</f>
        <v>45867</v>
      </c>
      <c r="M2515" s="7" t="str">
        <f>IFERROR(__xludf.DUMMYFUNCTION("""COMPUTED_VALUE"""),"10:30-12:00")</f>
        <v>10:30-12:00</v>
      </c>
      <c r="N2515" s="7"/>
    </row>
    <row r="2516">
      <c r="A2516" s="7" t="str">
        <f>IFERROR(__xludf.DUMMYFUNCTION("""COMPUTED_VALUE"""),"2288-MAIN")</f>
        <v>2288-MAIN</v>
      </c>
      <c r="B2516" s="7" t="str">
        <f>IFERROR(__xludf.DUMMYFUNCTION("""COMPUTED_VALUE"""),"A Sample Offline Saves Time: Knowledge Distillation in the LLM Era")</f>
        <v>A Sample Offline Saves Time: Knowledge Distillation in the LLM Era</v>
      </c>
      <c r="C2516" s="7" t="str">
        <f>IFERROR(__xludf.DUMMYFUNCTION("""COMPUTED_VALUE"""),"Knowledge distillation can be a cost-effective technique to distill knowledge in Large Language Models, if the teacher output logits can be pre-computed and cached. However, successfully applying this to pre-training remains largely unexplored. In this wo"&amp;"rk, we prove that naive approaches for sparse knowledge distillation such as caching Top-K probabilities, while intuitive, provide biased estimates of teacher probability distribution to the student, resulting in suboptimal performance and calibration. We"&amp;" propose an importance-sampling-based method 'Random Sampling Knowledge Distillation', which provides unbiased estimates, preserves the gradient in expectation, and requires storing significantly sparser logits. Our method enables faster training of stude"&amp;"nt models with marginal overhead (&lt;10%) compared to cross-entropy based training, while maintaining competitive performance compared to full distillation, across a range of model sizes from 300M to 3B.")</f>
        <v>Knowledge distillation can be a cost-effective technique to distill knowledge in Large Language Models, if the teacher output logits can be pre-computed and cached. However, successfully applying this to pre-training remains largely unexplored. In this work, we prove that naive approaches for sparse knowledge distillation such as caching Top-K probabilities, while intuitive, provide biased estimates of teacher probability distribution to the student, resulting in suboptimal performance and calibration. We propose an importance-sampling-based method 'Random Sampling Knowledge Distillation', which provides unbiased estimates, preserves the gradient in expectation, and requires storing significantly sparser logits. Our method enables faster training of student models with marginal overhead (&lt;10%) compared to cross-entropy based training, while maintaining competitive performance compared to full distillation, across a range of model sizes from 300M to 3B.</v>
      </c>
      <c r="D2516" s="7" t="str">
        <f>IFERROR(__xludf.DUMMYFUNCTION("""COMPUTED_VALUE"""),"Akhil Kedia")</f>
        <v>Akhil Kedia</v>
      </c>
      <c r="E2516" s="7" t="str">
        <f>IFERROR(__xludf.DUMMYFUNCTION("""COMPUTED_VALUE"""),"Yes")</f>
        <v>Yes</v>
      </c>
      <c r="F2516" s="7" t="str">
        <f>IFERROR(__xludf.DUMMYFUNCTION("""COMPUTED_VALUE"""),"IP-Oral")</f>
        <v>IP-Oral</v>
      </c>
      <c r="G2516" s="7" t="str">
        <f>IFERROR(__xludf.DUMMYFUNCTION("""COMPUTED_VALUE"""),"In-Person")</f>
        <v>In-Person</v>
      </c>
      <c r="H2516" s="7" t="str">
        <f>IFERROR(__xludf.DUMMYFUNCTION("""COMPUTED_VALUE"""),"Room 1.61")</f>
        <v>Room 1.61</v>
      </c>
      <c r="I2516" s="7" t="str">
        <f>IFERROR(__xludf.DUMMYFUNCTION("""COMPUTED_VALUE"""),"Session 11: IP-Orals ")</f>
        <v>Session 11: IP-Orals </v>
      </c>
      <c r="J2516" s="7" t="str">
        <f>IFERROR(__xludf.DUMMYFUNCTION("""COMPUTED_VALUE"""),"Machine Learning for NLP")</f>
        <v>Machine Learning for NLP</v>
      </c>
      <c r="K2516" s="7"/>
      <c r="L2516" s="8">
        <f>IFERROR(__xludf.DUMMYFUNCTION("""COMPUTED_VALUE"""),45868.0)</f>
        <v>45868</v>
      </c>
      <c r="M2516" s="7" t="str">
        <f>IFERROR(__xludf.DUMMYFUNCTION("""COMPUTED_VALUE"""),"09:00-10:30")</f>
        <v>09:00-10:30</v>
      </c>
      <c r="N2516" s="7">
        <f>IFERROR(__xludf.DUMMYFUNCTION("""COMPUTED_VALUE"""),4.0)</f>
        <v>4</v>
      </c>
    </row>
    <row r="2517">
      <c r="A2517" s="7" t="str">
        <f>IFERROR(__xludf.DUMMYFUNCTION("""COMPUTED_VALUE"""),"2290-MAIN")</f>
        <v>2290-MAIN</v>
      </c>
      <c r="B2517" s="7" t="str">
        <f>IFERROR(__xludf.DUMMYFUNCTION("""COMPUTED_VALUE"""),"Enhancing Spoken Discourse Modeling in Language Models Using Gestural Cues")</f>
        <v>Enhancing Spoken Discourse Modeling in Language Models Using Gestural Cues</v>
      </c>
      <c r="C2517" s="7" t="str">
        <f>IFERROR(__xludf.DUMMYFUNCTION("""COMPUTED_VALUE"""),"Research in linguistics shows that non-verbal cues, such as gestures, play a crucial role in spoken discourse. For example, speakers perform hand gestures to indicate topic shifts, helping listeners identify transitions in discourse. In this work, we inve"&amp;"stigate whether the joint modeling of gestures using human motion sequences and language can improve spoken discourse modeling in language models. To integrate gestures into language models, we first encode 3D human motion sequences into discrete gesture "&amp;"tokens using a VQ-VAE. These gesture token embeddings are then aligned with text embeddings through feature alignment, mapping them into the text embedding space. To evaluate the gesture-aligned language model on spoken discourse, we construct text infill"&amp;"ing tasks targeting three key discourse cues grounded in linguistic research: discourse connectives, stance markers, and quantifiers. Results show that incorporating gestures enhances marker prediction accuracy across the three tasks, highlighting the com"&amp;"plementary information that gestures can offer in modeling spoken discourse. We view this work as an initial step toward leveraging non-verbal cues to advance spoken language modeling in language models.")</f>
        <v>Research in linguistics shows that non-verbal cues, such as gestures, play a crucial role in spoken discourse. For example, speakers perform hand gestures to indicate topic shifts, helping listeners identify transitions in discourse. In this work, we investigate whether the joint modeling of gestures using human motion sequences and language can improve spoken discourse modeling in language models. To integrate gestures into language models, we first encode 3D human motion sequences into discrete gesture tokens using a VQ-VAE. These gesture token embeddings are then aligned with text embeddings through feature alignment, mapping them into the text embedding space. To evaluate the gesture-aligned language model on spoken discourse, we construct text infilling tasks targeting three key discourse cues grounded in linguistic research: discourse connectives, stance markers, and quantifiers. Results show that incorporating gestures enhances marker prediction accuracy across the three tasks, highlighting the complementary information that gestures can offer in modeling spoken discourse. We view this work as an initial step toward leveraging non-verbal cues to advance spoken language modeling in language models.</v>
      </c>
      <c r="D2517" s="7" t="str">
        <f>IFERROR(__xludf.DUMMYFUNCTION("""COMPUTED_VALUE"""),"Varsha Suresh")</f>
        <v>Varsha Suresh</v>
      </c>
      <c r="E2517" s="7" t="str">
        <f>IFERROR(__xludf.DUMMYFUNCTION("""COMPUTED_VALUE"""),"Yes")</f>
        <v>Yes</v>
      </c>
      <c r="F2517" s="7" t="str">
        <f>IFERROR(__xludf.DUMMYFUNCTION("""COMPUTED_VALUE"""),"IP-Oral")</f>
        <v>IP-Oral</v>
      </c>
      <c r="G2517" s="7" t="str">
        <f>IFERROR(__xludf.DUMMYFUNCTION("""COMPUTED_VALUE"""),"In-Person")</f>
        <v>In-Person</v>
      </c>
      <c r="H2517" s="7" t="str">
        <f>IFERROR(__xludf.DUMMYFUNCTION("""COMPUTED_VALUE"""),"Hall M.2")</f>
        <v>Hall M.2</v>
      </c>
      <c r="I2517" s="7" t="str">
        <f>IFERROR(__xludf.DUMMYFUNCTION("""COMPUTED_VALUE"""),"Session 11: IP-Orals ")</f>
        <v>Session 11: IP-Orals </v>
      </c>
      <c r="J2517" s="7" t="str">
        <f>IFERROR(__xludf.DUMMYFUNCTION("""COMPUTED_VALUE"""),"Multimodality and Language Grounding 2")</f>
        <v>Multimodality and Language Grounding 2</v>
      </c>
      <c r="K2517" s="7"/>
      <c r="L2517" s="8">
        <f>IFERROR(__xludf.DUMMYFUNCTION("""COMPUTED_VALUE"""),45868.0)</f>
        <v>45868</v>
      </c>
      <c r="M2517" s="7" t="str">
        <f>IFERROR(__xludf.DUMMYFUNCTION("""COMPUTED_VALUE"""),"09:00-10:30")</f>
        <v>09:00-10:30</v>
      </c>
      <c r="N2517" s="7">
        <f>IFERROR(__xludf.DUMMYFUNCTION("""COMPUTED_VALUE"""),5.0)</f>
        <v>5</v>
      </c>
    </row>
    <row r="2518">
      <c r="A2518" s="7" t="str">
        <f>IFERROR(__xludf.DUMMYFUNCTION("""COMPUTED_VALUE"""),"2295-MAIN")</f>
        <v>2295-MAIN</v>
      </c>
      <c r="B2518" s="7" t="str">
        <f>IFERROR(__xludf.DUMMYFUNCTION("""COMPUTED_VALUE"""),"ExploraCoder: Advancing Code Generation for Multiple Unseen APIs via Planning and Chained Exploration")</f>
        <v>ExploraCoder: Advancing Code Generation for Multiple Unseen APIs via Planning and Chained Exploration</v>
      </c>
      <c r="C2518" s="7" t="str">
        <f>IFERROR(__xludf.DUMMYFUNCTION("""COMPUTED_VALUE"""),"Large language models face intrinsic limitations in coding with APIs that are unseen in their training corpora. As libraries continuously evolve, it becomes impractical to exhaustively retrain LLMs with new API knowledge. This limitation hampers LLMs from"&amp;" solving programming problems which require newly introduced or privately maintained libraries. Inspired by exploratory programming paradigm in human behavior, we propose **ExploraCoder**, a training-free framework that empowers LLMs to invoke multiple un"&amp;"seen APIs in code solution by (1) planning a complex problem into several API invocation subtasks, and (2) experimenting with correct API usage at intermediate steps through a novel chain-of-API-exploration. We conduct evaluation on program synthesizing t"&amp;"asks involving complex API interactions. Experimental results demonstrate that ExploraCoder significantly improves performance for models lacking prior API knowledge, achieving absolute increases of up to 11.99\% over retrieval-based approaches and 17.28\"&amp;"% over pretraining-based methods in pass@10.")</f>
        <v>Large language models face intrinsic limitations in coding with APIs that are unseen in their training corpora. As libraries continuously evolve, it becomes impractical to exhaustively retrain LLMs with new API knowledge. This limitation hampers LLMs from solving programming problems which require newly introduced or privately maintained libraries. Inspired by exploratory programming paradigm in human behavior, we propose **ExploraCoder**, a training-free framework that empowers LLMs to invoke multiple unseen APIs in code solution by (1) planning a complex problem into several API invocation subtasks, and (2) experimenting with correct API usage at intermediate steps through a novel chain-of-API-exploration. We conduct evaluation on program synthesizing tasks involving complex API interactions. Experimental results demonstrate that ExploraCoder significantly improves performance for models lacking prior API knowledge, achieving absolute increases of up to 11.99\% over retrieval-based approaches and 17.28\% over pretraining-based methods in pass@10.</v>
      </c>
      <c r="D2518" s="7" t="str">
        <f>IFERROR(__xludf.DUMMYFUNCTION("""COMPUTED_VALUE"""),"Yunkun Wang")</f>
        <v>Yunkun Wang</v>
      </c>
      <c r="E2518" s="7" t="str">
        <f>IFERROR(__xludf.DUMMYFUNCTION("""COMPUTED_VALUE"""),"Yes")</f>
        <v>Yes</v>
      </c>
      <c r="F2518" s="7" t="str">
        <f>IFERROR(__xludf.DUMMYFUNCTION("""COMPUTED_VALUE"""),"IP-Poster")</f>
        <v>IP-Poster</v>
      </c>
      <c r="G2518" s="7" t="str">
        <f>IFERROR(__xludf.DUMMYFUNCTION("""COMPUTED_VALUE"""),"In-Person")</f>
        <v>In-Person</v>
      </c>
      <c r="H2518" s="7" t="str">
        <f>IFERROR(__xludf.DUMMYFUNCTION("""COMPUTED_VALUE"""),"Hall 4/5")</f>
        <v>Hall 4/5</v>
      </c>
      <c r="I2518" s="7" t="str">
        <f>IFERROR(__xludf.DUMMYFUNCTION("""COMPUTED_VALUE"""),"Session 10: IP-Posters")</f>
        <v>Session 10: IP-Posters</v>
      </c>
      <c r="J2518" s="7" t="str">
        <f>IFERROR(__xludf.DUMMYFUNCTION("""COMPUTED_VALUE"""),"Poster Session 3")</f>
        <v>Poster Session 3</v>
      </c>
      <c r="K2518" s="7"/>
      <c r="L2518" s="8">
        <f>IFERROR(__xludf.DUMMYFUNCTION("""COMPUTED_VALUE"""),45867.0)</f>
        <v>45867</v>
      </c>
      <c r="M2518" s="7" t="str">
        <f>IFERROR(__xludf.DUMMYFUNCTION("""COMPUTED_VALUE"""),"16:00-17:30")</f>
        <v>16:00-17:30</v>
      </c>
      <c r="N2518" s="7"/>
    </row>
    <row r="2519">
      <c r="A2519" s="7" t="str">
        <f>IFERROR(__xludf.DUMMYFUNCTION("""COMPUTED_VALUE"""),"2298-MAIN")</f>
        <v>2298-MAIN</v>
      </c>
      <c r="B2519" s="7" t="str">
        <f>IFERROR(__xludf.DUMMYFUNCTION("""COMPUTED_VALUE"""),"Segment First or Comprehend First? Explore the Limit of Unsupervised Word Segmentation with Large Language Models")</f>
        <v>Segment First or Comprehend First? Explore the Limit of Unsupervised Word Segmentation with Large Language Models</v>
      </c>
      <c r="C2519" s="7" t="str">
        <f>IFERROR(__xludf.DUMMYFUNCTION("""COMPUTED_VALUE"""),"Word segmentation stands as a cornerstone of Natural Language Processing (NLP). Based on the concept of ""comprehend first, segment later"", we propose a new framework to explore the limit of unsupervised word segmentation with Large Language Models (LLMs"&amp;") and evaluate the semantic understanding capabilities of LLMs based on word segmentation. We employ current mainstream LLMs to perform word segmentation across multiple languages to assess LLMs' ""comprehension"". Our findings reveal that LLMs are capabl"&amp;"e of following simple prompts to segment raw text into words. There is a trend suggesting that models with more parameters tend to perform better on multiple languages. Additionally, we introduce a novel unsupervised method, termed LLACA ($\textbf{L}$arge"&amp;" $\textbf{L}$anguage Model-Inspired $\textbf{A}$ho-$\textbf{C}$orasick $\textbf{A}$utomaton). Leveraging the advanced pattern recognition capabilities of Aho-Corasick automata, LLACA innovatively combines these with the deep insights of well-pretrained LL"&amp;"Ms. This approach not only enables the construction of a dynamic $n$-gram model that adjusts based on contextual information but also integrates the nuanced understanding of LLMs, offering significant improvements over traditional methods. Our source code"&amp;" is available at https://github.com/hkr04/LLACA")</f>
        <v>Word segmentation stands as a cornerstone of Natural Language Processing (NLP). Based on the concept of "comprehend first, segment later", we propose a new framework to explore the limit of unsupervised word segmentation with Large Language Models (LLMs) and evaluate the semantic understanding capabilities of LLMs based on word segmentation. We employ current mainstream LLMs to perform word segmentation across multiple languages to assess LLMs' "comprehension". Our findings reveal that LLMs are capable of following simple prompts to segment raw text into words. There is a trend suggesting that models with more parameters tend to perform better on multiple languages. Additionally, we introduce a novel unsupervised method, termed LLACA ($\textbf{L}$arge $\textbf{L}$anguage Model-Inspired $\textbf{A}$ho-$\textbf{C}$orasick $\textbf{A}$utomaton). Leveraging the advanced pattern recognition capabilities of Aho-Corasick automata, LLACA innovatively combines these with the deep insights of well-pretrained LLMs. This approach not only enables the construction of a dynamic $n$-gram model that adjusts based on contextual information but also integrates the nuanced understanding of LLMs, offering significant improvements over traditional methods. Our source code is available at https://github.com/hkr04/LLACA</v>
      </c>
      <c r="D2519" s="7" t="str">
        <f>IFERROR(__xludf.DUMMYFUNCTION("""COMPUTED_VALUE"""),"Zihong Zhang")</f>
        <v>Zihong Zhang</v>
      </c>
      <c r="E2519" s="7" t="str">
        <f>IFERROR(__xludf.DUMMYFUNCTION("""COMPUTED_VALUE"""),"Yes")</f>
        <v>Yes</v>
      </c>
      <c r="F2519" s="7" t="str">
        <f>IFERROR(__xludf.DUMMYFUNCTION("""COMPUTED_VALUE"""),"IP-Oral")</f>
        <v>IP-Oral</v>
      </c>
      <c r="G2519" s="7" t="str">
        <f>IFERROR(__xludf.DUMMYFUNCTION("""COMPUTED_VALUE"""),"In-Person")</f>
        <v>In-Person</v>
      </c>
      <c r="H2519" s="7" t="str">
        <f>IFERROR(__xludf.DUMMYFUNCTION("""COMPUTED_VALUE"""),"Room 1.86")</f>
        <v>Room 1.86</v>
      </c>
      <c r="I2519" s="7" t="str">
        <f>IFERROR(__xludf.DUMMYFUNCTION("""COMPUTED_VALUE"""),"Session 9: IP-Orals")</f>
        <v>Session 9: IP-Orals</v>
      </c>
      <c r="J2519" s="7" t="str">
        <f>IFERROR(__xludf.DUMMYFUNCTION("""COMPUTED_VALUE"""),"Phonology, Morphology, and Syntax")</f>
        <v>Phonology, Morphology, and Syntax</v>
      </c>
      <c r="K2519" s="7"/>
      <c r="L2519" s="8">
        <f>IFERROR(__xludf.DUMMYFUNCTION("""COMPUTED_VALUE"""),45867.0)</f>
        <v>45867</v>
      </c>
      <c r="M2519" s="7" t="str">
        <f>IFERROR(__xludf.DUMMYFUNCTION("""COMPUTED_VALUE"""),"14:00-15:30")</f>
        <v>14:00-15:30</v>
      </c>
      <c r="N2519" s="7">
        <f>IFERROR(__xludf.DUMMYFUNCTION("""COMPUTED_VALUE"""),4.0)</f>
        <v>4</v>
      </c>
    </row>
    <row r="2520">
      <c r="A2520" s="7" t="str">
        <f>IFERROR(__xludf.DUMMYFUNCTION("""COMPUTED_VALUE"""),"2303-MAIN")</f>
        <v>2303-MAIN</v>
      </c>
      <c r="B2520" s="7" t="str">
        <f>IFERROR(__xludf.DUMMYFUNCTION("""COMPUTED_VALUE"""),"RUBY: An Effective Framework for Multi-Constraint Multi-Hop Question Generation")</f>
        <v>RUBY: An Effective Framework for Multi-Constraint Multi-Hop Question Generation</v>
      </c>
      <c r="C2520" s="7" t="str">
        <f>IFERROR(__xludf.DUMMYFUNCTION("""COMPUTED_VALUE"""),"Inspired by theories in language psychology, it is natural to consider more constraints, such as intentions, logic, knowledge, etc., when a complex or multi-hop question is generated. As the subtask of Multi-Hop Question Generation (MHQG), the task of Mul"&amp;"ti-Constraint Multi-Hop Question Generation (MCHQG) is more aligned with human question theories. However, it is hard to determine how to bring various high-dimensional semantic constraints, and how to integrate each constraint across all hops when a mult"&amp;"i-hop question is being generating. To address these challenges, we introduce an effective framework which includes constraint dimensionality reduction and divide-and-conquer-based dynamic projection; we call it RUBY. The proposed RUBY contains a module o"&amp;"f high-dimensional semantic constraint dimension reduction and a module of sub-question answer pairs-based multi-hop question generation. Meanwhile, a Reasoning Dynamic Projection strategy is tailored to effectively incorporate the constraints into every "&amp;"hop of the multi-hop question. The experimental results demonstrate that RUBY consistently outperforms baseline models, which suggest that RUBY is able to effectively capture and integrate semantic constraints, leading to more accurate and human-like mult"&amp;"i-hop question generation. Our code and data are available.")</f>
        <v>Inspired by theories in language psychology, it is natural to consider more constraints, such as intentions, logic, knowledge, etc., when a complex or multi-hop question is generated. As the subtask of Multi-Hop Question Generation (MHQG), the task of Multi-Constraint Multi-Hop Question Generation (MCHQG) is more aligned with human question theories. However, it is hard to determine how to bring various high-dimensional semantic constraints, and how to integrate each constraint across all hops when a multi-hop question is being generating. To address these challenges, we introduce an effective framework which includes constraint dimensionality reduction and divide-and-conquer-based dynamic projection; we call it RUBY. The proposed RUBY contains a module of high-dimensional semantic constraint dimension reduction and a module of sub-question answer pairs-based multi-hop question generation. Meanwhile, a Reasoning Dynamic Projection strategy is tailored to effectively incorporate the constraints into every hop of the multi-hop question. The experimental results demonstrate that RUBY consistently outperforms baseline models, which suggest that RUBY is able to effectively capture and integrate semantic constraints, leading to more accurate and human-like multi-hop question generation. Our code and data are available.</v>
      </c>
      <c r="D2520" s="7" t="str">
        <f>IFERROR(__xludf.DUMMYFUNCTION("""COMPUTED_VALUE"""),"Wenzhuo Zhao")</f>
        <v>Wenzhuo Zhao</v>
      </c>
      <c r="E2520" s="7" t="str">
        <f>IFERROR(__xludf.DUMMYFUNCTION("""COMPUTED_VALUE"""),"Yes")</f>
        <v>Yes</v>
      </c>
      <c r="F2520" s="7" t="str">
        <f>IFERROR(__xludf.DUMMYFUNCTION("""COMPUTED_VALUE"""),"IP-Poster")</f>
        <v>IP-Poster</v>
      </c>
      <c r="G2520" s="7" t="str">
        <f>IFERROR(__xludf.DUMMYFUNCTION("""COMPUTED_VALUE"""),"In-Person")</f>
        <v>In-Person</v>
      </c>
      <c r="H2520" s="7" t="str">
        <f>IFERROR(__xludf.DUMMYFUNCTION("""COMPUTED_VALUE"""),"Hall 4/5")</f>
        <v>Hall 4/5</v>
      </c>
      <c r="I2520" s="7" t="str">
        <f>IFERROR(__xludf.DUMMYFUNCTION("""COMPUTED_VALUE"""),"Session 7: IP-Posters")</f>
        <v>Session 7: IP-Posters</v>
      </c>
      <c r="J2520" s="7" t="str">
        <f>IFERROR(__xludf.DUMMYFUNCTION("""COMPUTED_VALUE"""),"Poster Session 2")</f>
        <v>Poster Session 2</v>
      </c>
      <c r="K2520" s="7"/>
      <c r="L2520" s="8">
        <f>IFERROR(__xludf.DUMMYFUNCTION("""COMPUTED_VALUE"""),45867.0)</f>
        <v>45867</v>
      </c>
      <c r="M2520" s="7" t="str">
        <f>IFERROR(__xludf.DUMMYFUNCTION("""COMPUTED_VALUE"""),"10:30-12:00")</f>
        <v>10:30-12:00</v>
      </c>
      <c r="N2520" s="7"/>
    </row>
    <row r="2521">
      <c r="A2521" s="7" t="str">
        <f>IFERROR(__xludf.DUMMYFUNCTION("""COMPUTED_VALUE"""),"2305-MAIN")</f>
        <v>2305-MAIN</v>
      </c>
      <c r="B2521" s="7" t="str">
        <f>IFERROR(__xludf.DUMMYFUNCTION("""COMPUTED_VALUE"""),"Can Indirect Prompt Injection Attacks Be Detected and Removed?")</f>
        <v>Can Indirect Prompt Injection Attacks Be Detected and Removed?</v>
      </c>
      <c r="C2521" s="7" t="str">
        <f>IFERROR(__xludf.DUMMYFUNCTION("""COMPUTED_VALUE"""),"Prompt injection attacks manipulate large language models (LLMs) by misleading them to deviate from the original input instructions and execute maliciously injected instructions, because of their instruction-following capabilities and inability to disting"&amp;"uish between the original input instructions and maliciously injected instructions. 
To defend against such attacks, recent studies have developed various detection mechanisms. 
If we restrict ourselves specifically to works which perform detection rather"&amp;" than direct defense, most of them focus on direct prompt injection attacks, while there are few works for the indirect scenario, where injected instructions are indirectly from external tools, such as a search engine. Moreover, current works mainly inves"&amp;"tigate injection detection methods and pay less attention to the post-processing method that aims to mitigate the injection after detection.
In this paper, we investigate the feasibility of detecting and removing indirect prompt injection attacks, and we "&amp;"construct a benchmark dataset for evaluation. For detection, we assess the performance of existing LLMs and open-source detection models, and we further train detection models using our crafted training datasets. For removal, we evaluate two intuitive met"&amp;"hods: (1) the *segmentation removal method*, which segments the injected document and removes parts containing injected instructions, and (2) the *extraction removal method*, which trains an extraction model to identify and remove injected instructions.")</f>
        <v>Prompt injection attacks manipulate large language models (LLMs) by misleading them to deviate from the original input instructions and execute maliciously injected instructions, because of their instruction-following capabilities and inability to distinguish between the original input instructions and maliciously injected instructions. 
To defend against such attacks, recent studies have developed various detection mechanisms. 
If we restrict ourselves specifically to works which perform detection rather than direct defense, most of them focus on direct prompt injection attacks, while there are few works for the indirect scenario, where injected instructions are indirectly from external tools, such as a search engine. Moreover, current works mainly investigate injection detection methods and pay less attention to the post-processing method that aims to mitigate the injection after detection.
In this paper, we investigate the feasibility of detecting and removing indirect prompt injection attacks, and we construct a benchmark dataset for evaluation. For detection, we assess the performance of existing LLMs and open-source detection models, and we further train detection models using our crafted training datasets. For removal, we evaluate two intuitive methods: (1) the *segmentation removal method*, which segments the injected document and removes parts containing injected instructions, and (2) the *extraction removal method*, which trains an extraction model to identify and remove injected instructions.</v>
      </c>
      <c r="D2521" s="7" t="str">
        <f>IFERROR(__xludf.DUMMYFUNCTION("""COMPUTED_VALUE"""),"Yulin Chen")</f>
        <v>Yulin Chen</v>
      </c>
      <c r="E2521" s="7" t="str">
        <f>IFERROR(__xludf.DUMMYFUNCTION("""COMPUTED_VALUE"""),"Yes")</f>
        <v>Yes</v>
      </c>
      <c r="F2521" s="7" t="str">
        <f>IFERROR(__xludf.DUMMYFUNCTION("""COMPUTED_VALUE"""),"IP-Poster")</f>
        <v>IP-Poster</v>
      </c>
      <c r="G2521" s="7" t="str">
        <f>IFERROR(__xludf.DUMMYFUNCTION("""COMPUTED_VALUE"""),"In-Person")</f>
        <v>In-Person</v>
      </c>
      <c r="H2521" s="7" t="str">
        <f>IFERROR(__xludf.DUMMYFUNCTION("""COMPUTED_VALUE"""),"Hall 4/5")</f>
        <v>Hall 4/5</v>
      </c>
      <c r="I2521" s="7" t="str">
        <f>IFERROR(__xludf.DUMMYFUNCTION("""COMPUTED_VALUE"""),"Session 7: IP-Posters")</f>
        <v>Session 7: IP-Posters</v>
      </c>
      <c r="J2521" s="7" t="str">
        <f>IFERROR(__xludf.DUMMYFUNCTION("""COMPUTED_VALUE"""),"Poster Session 2")</f>
        <v>Poster Session 2</v>
      </c>
      <c r="K2521" s="7"/>
      <c r="L2521" s="8">
        <f>IFERROR(__xludf.DUMMYFUNCTION("""COMPUTED_VALUE"""),45867.0)</f>
        <v>45867</v>
      </c>
      <c r="M2521" s="7" t="str">
        <f>IFERROR(__xludf.DUMMYFUNCTION("""COMPUTED_VALUE"""),"10:30-12:00")</f>
        <v>10:30-12:00</v>
      </c>
      <c r="N2521" s="7"/>
    </row>
    <row r="2522">
      <c r="A2522" s="7" t="str">
        <f>IFERROR(__xludf.DUMMYFUNCTION("""COMPUTED_VALUE"""),"2309-MAIN")</f>
        <v>2309-MAIN</v>
      </c>
      <c r="B2522" s="7" t="str">
        <f>IFERROR(__xludf.DUMMYFUNCTION("""COMPUTED_VALUE"""),"Identifying Open Challenges in Language Identification")</f>
        <v>Identifying Open Challenges in Language Identification</v>
      </c>
      <c r="C2522" s="7" t="str">
        <f>IFERROR(__xludf.DUMMYFUNCTION("""COMPUTED_VALUE"""),"Automatic language identification is a core problem of many Natural Language
Processing (NLP) pipelines. A wide variety of architectures and benchmarks have
been proposed with often near-perfect performance. Although previous
studies have focused on certa"&amp;"in challenging setups (i.e. cross-domain, short
inputs), a systematic comparison is missing. We propose a benchmark that 
allows us to test for the effect of input size, training data size, domain, number of
languages, scripts, and language families on pe"&amp;"rformance. We evaluate
five popular models on this benchmark and identify which open challenges
remain for this task as well as which architectures achieve robust performance.  We
find that cross-domain setups are the most challenging (although arguably m"&amp;"ost
relevant), and that number of languages, variety in scripts, and variety in
language families have only a small impact on performance. We also contribute
practical takeaways: training with 1,000 instances per language and a maximum
input length of 100"&amp;" characters is enough for robust language identification.
Based on our findings, we train an accurate (94.41%) multi-domain language
identification model on 2,034 languages, for which we also provide an analysis
of the remaining errors.")</f>
        <v>Automatic language identification is a core problem of many Natural Language
Processing (NLP) pipelines. A wide variety of architectures and benchmarks have
been proposed with often near-perfect performance. Although previous
studies have focused on certain challenging setups (i.e. cross-domain, short
inputs), a systematic comparison is missing. We propose a benchmark that 
allows us to test for the effect of input size, training data size, domain, number of
languages, scripts, and language families on performance. We evaluate
five popular models on this benchmark and identify which open challenges
remain for this task as well as which architectures achieve robust performance.  We
find that cross-domain setups are the most challenging (although arguably most
relevant), and that number of languages, variety in scripts, and variety in
language families have only a small impact on performance. We also contribute
practical takeaways: training with 1,000 instances per language and a maximum
input length of 100 characters is enough for robust language identification.
Based on our findings, we train an accurate (94.41%) multi-domain language
identification model on 2,034 languages, for which we also provide an analysis
of the remaining errors.</v>
      </c>
      <c r="D2522" s="7" t="str">
        <f>IFERROR(__xludf.DUMMYFUNCTION("""COMPUTED_VALUE"""),"Rob van der Goot")</f>
        <v>Rob van der Goot</v>
      </c>
      <c r="E2522" s="7" t="str">
        <f>IFERROR(__xludf.DUMMYFUNCTION("""COMPUTED_VALUE"""),"Yes")</f>
        <v>Yes</v>
      </c>
      <c r="F2522" s="7" t="str">
        <f>IFERROR(__xludf.DUMMYFUNCTION("""COMPUTED_VALUE"""),"IP-Oral")</f>
        <v>IP-Oral</v>
      </c>
      <c r="G2522" s="7" t="str">
        <f>IFERROR(__xludf.DUMMYFUNCTION("""COMPUTED_VALUE"""),"In-Person")</f>
        <v>In-Person</v>
      </c>
      <c r="H2522" s="7" t="str">
        <f>IFERROR(__xludf.DUMMYFUNCTION("""COMPUTED_VALUE"""),"Room 1.15-16")</f>
        <v>Room 1.15-16</v>
      </c>
      <c r="I2522" s="7" t="str">
        <f>IFERROR(__xludf.DUMMYFUNCTION("""COMPUTED_VALUE"""),"Session 9: IP-Orals")</f>
        <v>Session 9: IP-Orals</v>
      </c>
      <c r="J2522" s="7" t="str">
        <f>IFERROR(__xludf.DUMMYFUNCTION("""COMPUTED_VALUE"""),"Multilingualism and Cross-Lingual NLP")</f>
        <v>Multilingualism and Cross-Lingual NLP</v>
      </c>
      <c r="K2522" s="7"/>
      <c r="L2522" s="8">
        <f>IFERROR(__xludf.DUMMYFUNCTION("""COMPUTED_VALUE"""),45867.0)</f>
        <v>45867</v>
      </c>
      <c r="M2522" s="7" t="str">
        <f>IFERROR(__xludf.DUMMYFUNCTION("""COMPUTED_VALUE"""),"14:00-15:30")</f>
        <v>14:00-15:30</v>
      </c>
      <c r="N2522" s="7">
        <f>IFERROR(__xludf.DUMMYFUNCTION("""COMPUTED_VALUE"""),7.0)</f>
        <v>7</v>
      </c>
    </row>
    <row r="2523">
      <c r="A2523" s="7" t="str">
        <f>IFERROR(__xludf.DUMMYFUNCTION("""COMPUTED_VALUE"""),"2310-MAIN")</f>
        <v>2310-MAIN</v>
      </c>
      <c r="B2523" s="7" t="str">
        <f>IFERROR(__xludf.DUMMYFUNCTION("""COMPUTED_VALUE"""),"The Distracting Effect: Understanding Irrelevant Passages in RAG")</f>
        <v>The Distracting Effect: Understanding Irrelevant Passages in RAG</v>
      </c>
      <c r="C2523" s="7" t="str">
        <f>IFERROR(__xludf.DUMMYFUNCTION("""COMPUTED_VALUE"""),"A well-known issue with Retrieval Augmented Generation (RAG) is that retrieved passages that are irrelevant to the query sometimes distract the answer-generating LLM, causing it to provide an incorrect response. In this paper, we shed light on this core i"&amp;"ssue and formulate the distracting effect of a passage w.r.t. a query (and an LLM). We provide a quantifiable measure of the distracting effect of a passage and demonstrate its robustness across LLMs. Our research introduces novel methods for identifying "&amp;"and using hard distracting passages to improve RAG systems. By fine-tuning LLMs with these carefully selected distracting passages, we achieve up to a 7.5% increase in answering accuracy compared to counterparts fine-tuned on conventional RAG datasets. Ou"&amp;"r contribution is two-fold: first, we move beyond the simple binary classification of irrelevant passages as either completely unrelated vs. distracting, and second, we develop and analyze multiple methods for finding hard distracting passages. To our kno"&amp;"wledge, no other research has provided such a comprehensive framework for identifying and utilizing hard distracting passages.")</f>
        <v>A well-known issue with Retrieval Augmented Generation (RAG) is that retrieved passages that are irrelevant to the query sometimes distract the answer-generating LLM, causing it to provide an incorrect response. In this paper, we shed light on this core issue and formulate the distracting effect of a passage w.r.t. a query (and an LLM). We provide a quantifiable measure of the distracting effect of a passage and demonstrate its robustness across LLMs. Our research introduces novel methods for identifying and using hard distracting passages to improve RAG systems. By fine-tuning LLMs with these carefully selected distracting passages, we achieve up to a 7.5% increase in answering accuracy compared to counterparts fine-tuned on conventional RAG datasets. Our contribution is two-fold: first, we move beyond the simple binary classification of irrelevant passages as either completely unrelated vs. distracting, and second, we develop and analyze multiple methods for finding hard distracting passages. To our knowledge, no other research has provided such a comprehensive framework for identifying and utilizing hard distracting passages.</v>
      </c>
      <c r="D2523" s="7" t="str">
        <f>IFERROR(__xludf.DUMMYFUNCTION("""COMPUTED_VALUE"""),"Chen Amiraz")</f>
        <v>Chen Amiraz</v>
      </c>
      <c r="E2523" s="7" t="str">
        <f>IFERROR(__xludf.DUMMYFUNCTION("""COMPUTED_VALUE"""),"Yes")</f>
        <v>Yes</v>
      </c>
      <c r="F2523" s="7" t="str">
        <f>IFERROR(__xludf.DUMMYFUNCTION("""COMPUTED_VALUE"""),"IP-Oral")</f>
        <v>IP-Oral</v>
      </c>
      <c r="G2523" s="7" t="str">
        <f>IFERROR(__xludf.DUMMYFUNCTION("""COMPUTED_VALUE"""),"In-Person")</f>
        <v>In-Person</v>
      </c>
      <c r="H2523" s="7" t="str">
        <f>IFERROR(__xludf.DUMMYFUNCTION("""COMPUTED_VALUE"""),"Room 1.86")</f>
        <v>Room 1.86</v>
      </c>
      <c r="I2523" s="7" t="str">
        <f>IFERROR(__xludf.DUMMYFUNCTION("""COMPUTED_VALUE"""),"Session 11: IP-Orals ")</f>
        <v>Session 11: IP-Orals </v>
      </c>
      <c r="J2523" s="7" t="str">
        <f>IFERROR(__xludf.DUMMYFUNCTION("""COMPUTED_VALUE"""),"Question Answering ")</f>
        <v>Question Answering </v>
      </c>
      <c r="K2523" s="7"/>
      <c r="L2523" s="8">
        <f>IFERROR(__xludf.DUMMYFUNCTION("""COMPUTED_VALUE"""),45868.0)</f>
        <v>45868</v>
      </c>
      <c r="M2523" s="7" t="str">
        <f>IFERROR(__xludf.DUMMYFUNCTION("""COMPUTED_VALUE"""),"09:00-10:30")</f>
        <v>09:00-10:30</v>
      </c>
      <c r="N2523" s="7">
        <f>IFERROR(__xludf.DUMMYFUNCTION("""COMPUTED_VALUE"""),5.0)</f>
        <v>5</v>
      </c>
    </row>
    <row r="2524">
      <c r="A2524" s="7" t="str">
        <f>IFERROR(__xludf.DUMMYFUNCTION("""COMPUTED_VALUE"""),"2311-MAIN")</f>
        <v>2311-MAIN</v>
      </c>
      <c r="B2524" s="7" t="str">
        <f>IFERROR(__xludf.DUMMYFUNCTION("""COMPUTED_VALUE"""),"Multilingual Encoder Knows more than You Realize: Shared Weights Pretraining for Extremely Low-Resource Languages")</f>
        <v>Multilingual Encoder Knows more than You Realize: Shared Weights Pretraining for Extremely Low-Resource Languages</v>
      </c>
      <c r="C2524" s="7" t="str">
        <f>IFERROR(__xludf.DUMMYFUNCTION("""COMPUTED_VALUE"""),"While multilingual language models like XLM-R have advanced multilingualism in NLP, they still perform poorly in extremely low-resource languages. This situation is exacerbated by the fact that modern LLMs such as LLaMA and Qwen support far fewer language"&amp;"s than XLM-R, making text generation models non-existent for many languages in the world. To tackle this challenge, we propose a novel framework for adapting multilingual encoders to text generation in extremely low-resource languages. By reusing the weig"&amp;"hts between the encoder and the decoder, our framework allows the model to leverage the learned semantic space of the encoder, enabling efficient learning and effective generalization in low-resource languages. Applying this framework to four Chinese mino"&amp;"rity languages, we present XLM-SWCM, and demonstrate its superior performance on various downstream tasks even when compared with much larger models.")</f>
        <v>While multilingual language models like XLM-R have advanced multilingualism in NLP, they still perform poorly in extremely low-resource languages. This situation is exacerbated by the fact that modern LLMs such as LLaMA and Qwen support far fewer languages than XLM-R, making text generation models non-existent for many languages in the world. To tackle this challenge, we propose a novel framework for adapting multilingual encoders to text generation in extremely low-resource languages. By reusing the weights between the encoder and the decoder, our framework allows the model to leverage the learned semantic space of the encoder, enabling efficient learning and effective generalization in low-resource languages. Applying this framework to four Chinese minority languages, we present XLM-SWCM, and demonstrate its superior performance on various downstream tasks even when compared with much larger models.</v>
      </c>
      <c r="D2524" s="7" t="str">
        <f>IFERROR(__xludf.DUMMYFUNCTION("""COMPUTED_VALUE"""),"Zeli Su")</f>
        <v>Zeli Su</v>
      </c>
      <c r="E2524" s="7" t="str">
        <f>IFERROR(__xludf.DUMMYFUNCTION("""COMPUTED_VALUE"""),"Yes")</f>
        <v>Yes</v>
      </c>
      <c r="F2524" s="7" t="str">
        <f>IFERROR(__xludf.DUMMYFUNCTION("""COMPUTED_VALUE"""),"IP-Poster")</f>
        <v>IP-Poster</v>
      </c>
      <c r="G2524" s="7" t="str">
        <f>IFERROR(__xludf.DUMMYFUNCTION("""COMPUTED_VALUE"""),"In-Person")</f>
        <v>In-Person</v>
      </c>
      <c r="H2524" s="7" t="str">
        <f>IFERROR(__xludf.DUMMYFUNCTION("""COMPUTED_VALUE"""),"Hall 4/5")</f>
        <v>Hall 4/5</v>
      </c>
      <c r="I2524" s="7" t="str">
        <f>IFERROR(__xludf.DUMMYFUNCTION("""COMPUTED_VALUE"""),"Session 10: IP-Posters")</f>
        <v>Session 10: IP-Posters</v>
      </c>
      <c r="J2524" s="7" t="str">
        <f>IFERROR(__xludf.DUMMYFUNCTION("""COMPUTED_VALUE"""),"Poster Session 3")</f>
        <v>Poster Session 3</v>
      </c>
      <c r="K2524" s="7"/>
      <c r="L2524" s="8">
        <f>IFERROR(__xludf.DUMMYFUNCTION("""COMPUTED_VALUE"""),45867.0)</f>
        <v>45867</v>
      </c>
      <c r="M2524" s="7" t="str">
        <f>IFERROR(__xludf.DUMMYFUNCTION("""COMPUTED_VALUE"""),"16:00-17:30")</f>
        <v>16:00-17:30</v>
      </c>
      <c r="N2524" s="7"/>
    </row>
    <row r="2525">
      <c r="A2525" s="7" t="str">
        <f>IFERROR(__xludf.DUMMYFUNCTION("""COMPUTED_VALUE"""),"2321-MAIN")</f>
        <v>2321-MAIN</v>
      </c>
      <c r="B2525" s="7" t="str">
        <f>IFERROR(__xludf.DUMMYFUNCTION("""COMPUTED_VALUE"""),"Graphically Speaking: Unmasking Abuse in Social Media with Conversation Insights")</f>
        <v>Graphically Speaking: Unmasking Abuse in Social Media with Conversation Insights</v>
      </c>
      <c r="C2525" s="7" t="str">
        <f>IFERROR(__xludf.DUMMYFUNCTION("""COMPUTED_VALUE"""),"Detecting abusive language in social media conversations poses significant challenges, as identifying abusiveness often depends on the conversational context, characterized by the content and topology of preceding comments. Traditional Abusive Language De"&amp;"tection (ALD) models often overlook this context, which can lead to unreliable performance metrics. Recent Natural Language Processing (NLP) approaches that incorporate conversational context often rely on limited or overly simplified representations of t"&amp;"his context, leading to inconsistent and sometimes inconclusive results. In this paper, we propose a novel approach that utilizes graph neural networks (GNNs) to model social media conversations as graphs, where nodes represent comments, and edges capture"&amp;" reply structures. We systematically investigate various graph representations and context windows to identify the optimal configurations for ALD. Our GNN model outperforms both context-agnostic baselines and linear context-aware methods, achieving signif"&amp;"icant improvements in F1 scores. These findings demonstrate the critical role of structured conversational context and establish GNNs as a robust framework for advancing context-aware ALD.")</f>
        <v>Detecting abusive language in social media conversations poses significant challenges, as identifying abusiveness often depends on the conversational context, characterized by the content and topology of preceding comments. Traditional Abusive Language Detection (ALD) models often overlook this context, which can lead to unreliable performance metrics. Recent Natural Language Processing (NLP) approaches that incorporate conversational context often rely on limited or overly simplified representations of this context, leading to inconsistent and sometimes inconclusive results. In this paper, we propose a novel approach that utilizes graph neural networks (GNNs) to model social media conversations as graphs, where nodes represent comments, and edges capture reply structures. We systematically investigate various graph representations and context windows to identify the optimal configurations for ALD. Our GNN model outperforms both context-agnostic baselines and linear context-aware methods, achieving significant improvements in F1 scores. These findings demonstrate the critical role of structured conversational context and establish GNNs as a robust framework for advancing context-aware ALD.</v>
      </c>
      <c r="D2525" s="7" t="str">
        <f>IFERROR(__xludf.DUMMYFUNCTION("""COMPUTED_VALUE"""),"Célia Nouri")</f>
        <v>Célia Nouri</v>
      </c>
      <c r="E2525" s="7" t="str">
        <f>IFERROR(__xludf.DUMMYFUNCTION("""COMPUTED_VALUE"""),"Yes")</f>
        <v>Yes</v>
      </c>
      <c r="F2525" s="7" t="str">
        <f>IFERROR(__xludf.DUMMYFUNCTION("""COMPUTED_VALUE"""),"IP-Poster")</f>
        <v>IP-Poster</v>
      </c>
      <c r="G2525" s="7" t="str">
        <f>IFERROR(__xludf.DUMMYFUNCTION("""COMPUTED_VALUE"""),"In-Person")</f>
        <v>In-Person</v>
      </c>
      <c r="H2525" s="7" t="str">
        <f>IFERROR(__xludf.DUMMYFUNCTION("""COMPUTED_VALUE"""),"Hall 4/5")</f>
        <v>Hall 4/5</v>
      </c>
      <c r="I2525" s="7" t="str">
        <f>IFERROR(__xludf.DUMMYFUNCTION("""COMPUTED_VALUE"""),"Session 12: IP-Posters")</f>
        <v>Session 12: IP-Posters</v>
      </c>
      <c r="J2525" s="7" t="str">
        <f>IFERROR(__xludf.DUMMYFUNCTION("""COMPUTED_VALUE"""),"Poster Session 4")</f>
        <v>Poster Session 4</v>
      </c>
      <c r="K2525" s="7"/>
      <c r="L2525" s="8">
        <f>IFERROR(__xludf.DUMMYFUNCTION("""COMPUTED_VALUE"""),45868.0)</f>
        <v>45868</v>
      </c>
      <c r="M2525" s="7" t="str">
        <f>IFERROR(__xludf.DUMMYFUNCTION("""COMPUTED_VALUE"""),"11:00-12:30")</f>
        <v>11:00-12:30</v>
      </c>
      <c r="N2525" s="7"/>
    </row>
    <row r="2526">
      <c r="A2526" s="7" t="str">
        <f>IFERROR(__xludf.DUMMYFUNCTION("""COMPUTED_VALUE"""),"2322-MAIN")</f>
        <v>2322-MAIN</v>
      </c>
      <c r="B2526" s="7" t="str">
        <f>IFERROR(__xludf.DUMMYFUNCTION("""COMPUTED_VALUE"""),"CodeTool: Enhancing Programmatic Tool Invocation of LLMs via Process Supervision")</f>
        <v>CodeTool: Enhancing Programmatic Tool Invocation of LLMs via Process Supervision</v>
      </c>
      <c r="C2526" s="7" t="str">
        <f>IFERROR(__xludf.DUMMYFUNCTION("""COMPUTED_VALUE"""),"Tool invocation significantly enhances the capabilities of Large Language Models (LLMs), yet challenges persist, particularly in complex task scenarios. Current methods, such as instruction-enhanced reasoning and supervised fine-tuning, often result in un"&amp;"necessarily long reasoning paths and face difficulties in verifying the correctness of intermediate steps. In this paper, we propose CodeTool, a novel framework for stepwise code generation that improves LLM tool invocation by leveraging the concise and e"&amp;"asily verifiable nature of code. CodeTool incorporates two distinct process rewards: the On-the-spot Reward, which provides immediate feedback on the accuracy of each tool invocation, and the Latent Reward, which assesses the contribution of each step tow"&amp;"ard overall task completion. By maximizing the cumulative reward of the On-the-spot and Latend Rewards at each step, LLMs are guided to follow efficient and accurate reasoning paths. Extensive experiments on StableToolBench and RestBench-TMDB demonstrate "&amp;"the superiority of CodeTool over existing approaches.")</f>
        <v>Tool invocation significantly enhances the capabilities of Large Language Models (LLMs), yet challenges persist, particularly in complex task scenarios. Current methods, such as instruction-enhanced reasoning and supervised fine-tuning, often result in unnecessarily long reasoning paths and face difficulties in verifying the correctness of intermediate steps. In this paper, we propose CodeTool, a novel framework for stepwise code generation that improves LLM tool invocation by leveraging the concise and easily verifiable nature of code. CodeTool incorporates two distinct process rewards: the On-the-spot Reward, which provides immediate feedback on the accuracy of each tool invocation, and the Latent Reward, which assesses the contribution of each step toward overall task completion. By maximizing the cumulative reward of the On-the-spot and Latend Rewards at each step, LLMs are guided to follow efficient and accurate reasoning paths. Extensive experiments on StableToolBench and RestBench-TMDB demonstrate the superiority of CodeTool over existing approaches.</v>
      </c>
      <c r="D2526" s="7" t="str">
        <f>IFERROR(__xludf.DUMMYFUNCTION("""COMPUTED_VALUE"""),"Yifei Lu")</f>
        <v>Yifei Lu</v>
      </c>
      <c r="E2526" s="7" t="str">
        <f>IFERROR(__xludf.DUMMYFUNCTION("""COMPUTED_VALUE"""),"Yes")</f>
        <v>Yes</v>
      </c>
      <c r="F2526" s="7" t="str">
        <f>IFERROR(__xludf.DUMMYFUNCTION("""COMPUTED_VALUE"""),"IP-Poster")</f>
        <v>IP-Poster</v>
      </c>
      <c r="G2526" s="7" t="str">
        <f>IFERROR(__xludf.DUMMYFUNCTION("""COMPUTED_VALUE"""),"In-Person")</f>
        <v>In-Person</v>
      </c>
      <c r="H2526" s="7" t="str">
        <f>IFERROR(__xludf.DUMMYFUNCTION("""COMPUTED_VALUE"""),"Hall 4/5")</f>
        <v>Hall 4/5</v>
      </c>
      <c r="I2526" s="7" t="str">
        <f>IFERROR(__xludf.DUMMYFUNCTION("""COMPUTED_VALUE"""),"Session 12: IP-Posters")</f>
        <v>Session 12: IP-Posters</v>
      </c>
      <c r="J2526" s="7" t="str">
        <f>IFERROR(__xludf.DUMMYFUNCTION("""COMPUTED_VALUE"""),"Poster Session 4")</f>
        <v>Poster Session 4</v>
      </c>
      <c r="K2526" s="7"/>
      <c r="L2526" s="8">
        <f>IFERROR(__xludf.DUMMYFUNCTION("""COMPUTED_VALUE"""),45868.0)</f>
        <v>45868</v>
      </c>
      <c r="M2526" s="7" t="str">
        <f>IFERROR(__xludf.DUMMYFUNCTION("""COMPUTED_VALUE"""),"11:00-12:30")</f>
        <v>11:00-12:30</v>
      </c>
      <c r="N2526" s="7"/>
    </row>
    <row r="2527">
      <c r="A2527" s="7" t="str">
        <f>IFERROR(__xludf.DUMMYFUNCTION("""COMPUTED_VALUE"""),"2328-MAIN")</f>
        <v>2328-MAIN</v>
      </c>
      <c r="B2527" s="7" t="str">
        <f>IFERROR(__xludf.DUMMYFUNCTION("""COMPUTED_VALUE"""),"RARE: Retrieval-Augmented Reasoning Enhancement for Large Language Models")</f>
        <v>RARE: Retrieval-Augmented Reasoning Enhancement for Large Language Models</v>
      </c>
      <c r="C2527" s="7" t="str">
        <f>IFERROR(__xludf.DUMMYFUNCTION("""COMPUTED_VALUE"""),"This work introduces RARE (Retrieval-Augmented Reasoning Enhancement), a versatile extension to the mutual reasoning framework (rStar), aimed at enhancing reasoning accuracy and factual integrity across large language models (LLMs) for complex, knowledge-"&amp;"intensive tasks such as medical and commonsense reasoning. RARE incorporates two innovative actions within the Monte Carlo Tree Search (MCTS) framework: (A6), which generates search queries based on the initial problem statement, performs information retr"&amp;"ieval using those queries, and augments reasoning with the retrieved data to formulate the final answer; and (A7), which leverages information retrieval specifically for generated sub-questions and re-answers these sub-questions with the relevant contextu"&amp;"al information. Additionally, a Retrieval-Augmented Factuality Scorer is proposed to replace the original discriminator, prioritizing reasoning paths that meet high standards of factuality. Experimental results with LLaMA 3.1 show that RARE enables open-s"&amp;"ource LLMs to achieve competitive performance with top closed-source models like GPT-4 and GPT-4o. This research establishes RARE as a scalable solution for improving LLMs in domains where logical coherence and factual integrity are critical.")</f>
        <v>This work introduces RARE (Retrieval-Augmented Reasoning Enhancement), a versatile extension to the mutual reasoning framework (rStar), aimed at enhancing reasoning accuracy and factual integrity across large language models (LLMs) for complex, knowledge-intensive tasks such as medical and commonsense reasoning. RARE incorporates two innovative actions within the Monte Carlo Tree Search (MCTS) framework: (A6), which generates search queries based on the initial problem statement, performs information retrieval using those queries, and augments reasoning with the retrieved data to formulate the final answer; and (A7), which leverages information retrieval specifically for generated sub-questions and re-answers these sub-questions with the relevant contextual information. Additionally, a Retrieval-Augmented Factuality Scorer is proposed to replace the original discriminator, prioritizing reasoning paths that meet high standards of factuality. Experimental results with LLaMA 3.1 show that RARE enables open-source LLMs to achieve competitive performance with top closed-source models like GPT-4 and GPT-4o. This research establishes RARE as a scalable solution for improving LLMs in domains where logical coherence and factual integrity are critical.</v>
      </c>
      <c r="D2527" s="7" t="str">
        <f>IFERROR(__xludf.DUMMYFUNCTION("""COMPUTED_VALUE"""),"Hieu Tran")</f>
        <v>Hieu Tran</v>
      </c>
      <c r="E2527" s="7" t="str">
        <f>IFERROR(__xludf.DUMMYFUNCTION("""COMPUTED_VALUE"""),"Yes")</f>
        <v>Yes</v>
      </c>
      <c r="F2527" s="7" t="str">
        <f>IFERROR(__xludf.DUMMYFUNCTION("""COMPUTED_VALUE"""),"IP-Poster")</f>
        <v>IP-Poster</v>
      </c>
      <c r="G2527" s="7" t="str">
        <f>IFERROR(__xludf.DUMMYFUNCTION("""COMPUTED_VALUE"""),"In-Person")</f>
        <v>In-Person</v>
      </c>
      <c r="H2527" s="7" t="str">
        <f>IFERROR(__xludf.DUMMYFUNCTION("""COMPUTED_VALUE"""),"Hall 4/5")</f>
        <v>Hall 4/5</v>
      </c>
      <c r="I2527" s="7" t="str">
        <f>IFERROR(__xludf.DUMMYFUNCTION("""COMPUTED_VALUE"""),"Session 7: IP-Posters")</f>
        <v>Session 7: IP-Posters</v>
      </c>
      <c r="J2527" s="7" t="str">
        <f>IFERROR(__xludf.DUMMYFUNCTION("""COMPUTED_VALUE"""),"Poster Session 2")</f>
        <v>Poster Session 2</v>
      </c>
      <c r="K2527" s="7"/>
      <c r="L2527" s="8">
        <f>IFERROR(__xludf.DUMMYFUNCTION("""COMPUTED_VALUE"""),45867.0)</f>
        <v>45867</v>
      </c>
      <c r="M2527" s="7" t="str">
        <f>IFERROR(__xludf.DUMMYFUNCTION("""COMPUTED_VALUE"""),"10:30-12:00")</f>
        <v>10:30-12:00</v>
      </c>
      <c r="N2527" s="7"/>
    </row>
    <row r="2528">
      <c r="A2528" s="7" t="str">
        <f>IFERROR(__xludf.DUMMYFUNCTION("""COMPUTED_VALUE"""),"2329-MAIN")</f>
        <v>2329-MAIN</v>
      </c>
      <c r="B2528" s="7" t="str">
        <f>IFERROR(__xludf.DUMMYFUNCTION("""COMPUTED_VALUE"""),"Defense Against Prompt Injection Attack by Leveraging Attack Techniques")</f>
        <v>Defense Against Prompt Injection Attack by Leveraging Attack Techniques</v>
      </c>
      <c r="C2528" s="7" t="str">
        <f>IFERROR(__xludf.DUMMYFUNCTION("""COMPUTED_VALUE"""),"With the advancement of technology, large language models (LLMs) have achieved remarkable performance across various natural language processing (NLP) tasks, powering LLM-integrated applications like Microsoft Copilot. However, as LLMs continue to evolve,"&amp;" new vulnerabilities, especially prompt injection attacks arise. These attacks trick LLMs into deviating from the original input instructions and executing the attacker's instructions injected in data content, such as retrieved results. Recent attack meth"&amp;"ods leverage LLMs’ instruction-following abilities and their inabilities to distinguish instructions injected in the data content, and achieve a high attack success rate (ASR). When comparing the attack and defense methods, we interestingly find that they"&amp;" share similar design goals, of inducing the model to ignore unwanted instructions and instead to execute wanted instructions. Therefore, we raise an intuitive question: *Could these attack techniques be utilized for defensive purposes?* In this paper, we"&amp;" invert the intention of prompt injection methods to develop novel defense methods based on previous training-free attack methods, by repeating the attack process but with the original input instruction rather than the injected instruction. Our comprehens"&amp;"ive experiments demonstrate that our defense techniques outperform existing defense approaches, achieving state-of-the-art results.")</f>
        <v>With the advancement of technology, large language models (LLMs) have achieved remarkable performance across various natural language processing (NLP) tasks, powering LLM-integrated applications like Microsoft Copilot. However, as LLMs continue to evolve, new vulnerabilities, especially prompt injection attacks arise. These attacks trick LLMs into deviating from the original input instructions and executing the attacker's instructions injected in data content, such as retrieved results. Recent attack methods leverage LLMs’ instruction-following abilities and their inabilities to distinguish instructions injected in the data content, and achieve a high attack success rate (ASR). When comparing the attack and defense methods, we interestingly find that they share similar design goals, of inducing the model to ignore unwanted instructions and instead to execute wanted instructions. Therefore, we raise an intuitive question: *Could these attack techniques be utilized for defensive purposes?* In this paper, we invert the intention of prompt injection methods to develop novel defense methods based on previous training-free attack methods, by repeating the attack process but with the original input instruction rather than the injected instruction. Our comprehensive experiments demonstrate that our defense techniques outperform existing defense approaches, achieving state-of-the-art results.</v>
      </c>
      <c r="D2528" s="7" t="str">
        <f>IFERROR(__xludf.DUMMYFUNCTION("""COMPUTED_VALUE"""),"Yulin Chen")</f>
        <v>Yulin Chen</v>
      </c>
      <c r="E2528" s="7" t="str">
        <f>IFERROR(__xludf.DUMMYFUNCTION("""COMPUTED_VALUE"""),"Yes")</f>
        <v>Yes</v>
      </c>
      <c r="F2528" s="7" t="str">
        <f>IFERROR(__xludf.DUMMYFUNCTION("""COMPUTED_VALUE"""),"IP-Poster")</f>
        <v>IP-Poster</v>
      </c>
      <c r="G2528" s="7" t="str">
        <f>IFERROR(__xludf.DUMMYFUNCTION("""COMPUTED_VALUE"""),"In-Person")</f>
        <v>In-Person</v>
      </c>
      <c r="H2528" s="7" t="str">
        <f>IFERROR(__xludf.DUMMYFUNCTION("""COMPUTED_VALUE"""),"Hall 4/5")</f>
        <v>Hall 4/5</v>
      </c>
      <c r="I2528" s="7" t="str">
        <f>IFERROR(__xludf.DUMMYFUNCTION("""COMPUTED_VALUE"""),"Session 12: IP-Posters")</f>
        <v>Session 12: IP-Posters</v>
      </c>
      <c r="J2528" s="7" t="str">
        <f>IFERROR(__xludf.DUMMYFUNCTION("""COMPUTED_VALUE"""),"Poster Session 4")</f>
        <v>Poster Session 4</v>
      </c>
      <c r="K2528" s="7"/>
      <c r="L2528" s="8">
        <f>IFERROR(__xludf.DUMMYFUNCTION("""COMPUTED_VALUE"""),45868.0)</f>
        <v>45868</v>
      </c>
      <c r="M2528" s="7" t="str">
        <f>IFERROR(__xludf.DUMMYFUNCTION("""COMPUTED_VALUE"""),"11:00-12:30")</f>
        <v>11:00-12:30</v>
      </c>
      <c r="N2528" s="7"/>
    </row>
    <row r="2529">
      <c r="A2529" s="7" t="str">
        <f>IFERROR(__xludf.DUMMYFUNCTION("""COMPUTED_VALUE"""),"2330-MAIN")</f>
        <v>2330-MAIN</v>
      </c>
      <c r="B2529" s="7" t="str">
        <f>IFERROR(__xludf.DUMMYFUNCTION("""COMPUTED_VALUE"""),"Acquisition and Application of Novel Knowledge in Large Language Models")</f>
        <v>Acquisition and Application of Novel Knowledge in Large Language Models</v>
      </c>
      <c r="C2529" s="7" t="str">
        <f>IFERROR(__xludf.DUMMYFUNCTION("""COMPUTED_VALUE"""),"Recent advancements in large language models (LLMs) have demonstrated their impressive generative capabilities, primarily due to their extensive parameterization, which enables them to encode vast knowledge. However, effectively integrating new knowledge "&amp;"into LLMs remains a major challenge. Current research typically first constructs novel knowledge datasets and then injects this knowledge into LLMs through various techniques. However, existing methods for constructing new datasets either rely on timestam"&amp;"ps, which lack rigor, or use simple templates for synthesis, which are simplistic and do not accurately reflect the real world. To address this issue, we propose a novel knowledge dataset construction approach that simulates biological evolution using kno"&amp;"wledge graphs to generate synthetic entities with diverse attributes, resulting in a dataset, NovelHuman. Systematic analysis on NovelHuman reveals that the intra-sentence position of knowledge significantly affects the acquisition of knowledge. Therefore"&amp;", we introduce an intra-sentence permutation to enhance knowledge acquisition. Furthermore, given that potential conflicts exist between autoregressive (AR) training objectives and permutation-based learning, we propose PermAR, a permutation-based languag"&amp;"e modeling framework for AR models. PermAR seamlessly integrates with mainstream AR architectures, endowing them with bidirectional knowledge acquisition capabilities. Extensive experiments demonstrate the superiority of PermAR, outperforming knowledge au"&amp;"gmentation methods by 3.3%-38%.")</f>
        <v>Recent advancements in large language models (LLMs) have demonstrated their impressive generative capabilities, primarily due to their extensive parameterization, which enables them to encode vast knowledge. However, effectively integrating new knowledge into LLMs remains a major challenge. Current research typically first constructs novel knowledge datasets and then injects this knowledge into LLMs through various techniques. However, existing methods for constructing new datasets either rely on timestamps, which lack rigor, or use simple templates for synthesis, which are simplistic and do not accurately reflect the real world. To address this issue, we propose a novel knowledge dataset construction approach that simulates biological evolution using knowledge graphs to generate synthetic entities with diverse attributes, resulting in a dataset, NovelHuman. Systematic analysis on NovelHuman reveals that the intra-sentence position of knowledge significantly affects the acquisition of knowledge. Therefore, we introduce an intra-sentence permutation to enhance knowledge acquisition. Furthermore, given that potential conflicts exist between autoregressive (AR) training objectives and permutation-based learning, we propose PermAR, a permutation-based language modeling framework for AR models. PermAR seamlessly integrates with mainstream AR architectures, endowing them with bidirectional knowledge acquisition capabilities. Extensive experiments demonstrate the superiority of PermAR, outperforming knowledge augmentation methods by 3.3%-38%.</v>
      </c>
      <c r="D2529" s="7" t="str">
        <f>IFERROR(__xludf.DUMMYFUNCTION("""COMPUTED_VALUE"""),"Ziyu Shang")</f>
        <v>Ziyu Shang</v>
      </c>
      <c r="E2529" s="7" t="str">
        <f>IFERROR(__xludf.DUMMYFUNCTION("""COMPUTED_VALUE"""),"Yes")</f>
        <v>Yes</v>
      </c>
      <c r="F2529" s="7" t="str">
        <f>IFERROR(__xludf.DUMMYFUNCTION("""COMPUTED_VALUE"""),"IP-Oral")</f>
        <v>IP-Oral</v>
      </c>
      <c r="G2529" s="7" t="str">
        <f>IFERROR(__xludf.DUMMYFUNCTION("""COMPUTED_VALUE"""),"In-Person")</f>
        <v>In-Person</v>
      </c>
      <c r="H2529" s="7" t="str">
        <f>IFERROR(__xludf.DUMMYFUNCTION("""COMPUTED_VALUE"""),"Room 1.15-16")</f>
        <v>Room 1.15-16</v>
      </c>
      <c r="I2529" s="7" t="str">
        <f>IFERROR(__xludf.DUMMYFUNCTION("""COMPUTED_VALUE"""),"Session 11: IP-Orals ")</f>
        <v>Session 11: IP-Orals </v>
      </c>
      <c r="J2529" s="7" t="str">
        <f>IFERROR(__xludf.DUMMYFUNCTION("""COMPUTED_VALUE"""),"Language Modeling 2")</f>
        <v>Language Modeling 2</v>
      </c>
      <c r="K2529" s="7"/>
      <c r="L2529" s="8">
        <f>IFERROR(__xludf.DUMMYFUNCTION("""COMPUTED_VALUE"""),45868.0)</f>
        <v>45868</v>
      </c>
      <c r="M2529" s="7" t="str">
        <f>IFERROR(__xludf.DUMMYFUNCTION("""COMPUTED_VALUE"""),"09:00-10:30")</f>
        <v>09:00-10:30</v>
      </c>
      <c r="N2529" s="7">
        <f>IFERROR(__xludf.DUMMYFUNCTION("""COMPUTED_VALUE"""),6.0)</f>
        <v>6</v>
      </c>
    </row>
    <row r="2530">
      <c r="A2530" s="7" t="str">
        <f>IFERROR(__xludf.DUMMYFUNCTION("""COMPUTED_VALUE"""),"2333-MAIN")</f>
        <v>2333-MAIN</v>
      </c>
      <c r="B2530" s="7" t="str">
        <f>IFERROR(__xludf.DUMMYFUNCTION("""COMPUTED_VALUE"""),"DNCASR: End-to-End Training for Speaker-Attributed ASR")</f>
        <v>DNCASR: End-to-End Training for Speaker-Attributed ASR</v>
      </c>
      <c r="C2530" s="7" t="str">
        <f>IFERROR(__xludf.DUMMYFUNCTION("""COMPUTED_VALUE"""),"This paper introduces DNCASR, a novel end-to-end trainable system designed for joint neural speaker clustering and automatic speech recognition (ASR), enabling speaker-attributed transcription of long multi-party meetings. DNCASR uses two separate encoder"&amp;"s to independently encode global speaker characteristics and local waveform information, along with two linked decoders to generate speaker-attributed transcriptions. The use of linked decoders allows the entire system to be jointly trained under a unifie"&amp;"d loss function. By employing a serialised training approach, DNCASR effectively addresses overlapping speech in real-world meetings, where the link improves the prediction of speaker indices in overlapping segments. Experiments on the AMI-MDM meeting cor"&amp;"pus demonstrate that the jointly trained DNCASR outperforms a parallel system that does not have links between the speaker and ASR decoders. Using cpWER to measure the speaker-attributed word error rate, DNCASR achieves a 9.0% relative reduction on the AM"&amp;"I-MDM Eval set.")</f>
        <v>This paper introduces DNCASR, a novel end-to-end trainable system designed for joint neural speaker clustering and automatic speech recognition (ASR), enabling speaker-attributed transcription of long multi-party meetings. DNCASR uses two separate encoders to independently encode global speaker characteristics and local waveform information, along with two linked decoders to generate speaker-attributed transcriptions. The use of linked decoders allows the entire system to be jointly trained under a unified loss function. By employing a serialised training approach, DNCASR effectively addresses overlapping speech in real-world meetings, where the link improves the prediction of speaker indices in overlapping segments. Experiments on the AMI-MDM meeting corpus demonstrate that the jointly trained DNCASR outperforms a parallel system that does not have links between the speaker and ASR decoders. Using cpWER to measure the speaker-attributed word error rate, DNCASR achieves a 9.0% relative reduction on the AMI-MDM Eval set.</v>
      </c>
      <c r="D2530" s="7" t="str">
        <f>IFERROR(__xludf.DUMMYFUNCTION("""COMPUTED_VALUE"""),"Xianrui Zheng")</f>
        <v>Xianrui Zheng</v>
      </c>
      <c r="E2530" s="7" t="str">
        <f>IFERROR(__xludf.DUMMYFUNCTION("""COMPUTED_VALUE"""),"Yes")</f>
        <v>Yes</v>
      </c>
      <c r="F2530" s="7" t="str">
        <f>IFERROR(__xludf.DUMMYFUNCTION("""COMPUTED_VALUE"""),"IP-Poster")</f>
        <v>IP-Poster</v>
      </c>
      <c r="G2530" s="7" t="str">
        <f>IFERROR(__xludf.DUMMYFUNCTION("""COMPUTED_VALUE"""),"In-Person")</f>
        <v>In-Person</v>
      </c>
      <c r="H2530" s="7" t="str">
        <f>IFERROR(__xludf.DUMMYFUNCTION("""COMPUTED_VALUE"""),"Hall 4/5")</f>
        <v>Hall 4/5</v>
      </c>
      <c r="I2530" s="7" t="str">
        <f>IFERROR(__xludf.DUMMYFUNCTION("""COMPUTED_VALUE"""),"Session 2: IP-Posters ")</f>
        <v>Session 2: IP-Posters </v>
      </c>
      <c r="J2530" s="7" t="str">
        <f>IFERROR(__xludf.DUMMYFUNCTION("""COMPUTED_VALUE"""),"Poster Session 1")</f>
        <v>Poster Session 1</v>
      </c>
      <c r="K2530" s="7"/>
      <c r="L2530" s="8">
        <f>IFERROR(__xludf.DUMMYFUNCTION("""COMPUTED_VALUE"""),45866.0)</f>
        <v>45866</v>
      </c>
      <c r="M2530" s="7" t="str">
        <f>IFERROR(__xludf.DUMMYFUNCTION("""COMPUTED_VALUE"""),"11:00-12:30")</f>
        <v>11:00-12:30</v>
      </c>
      <c r="N2530" s="7"/>
    </row>
    <row r="2531">
      <c r="A2531" s="7" t="str">
        <f>IFERROR(__xludf.DUMMYFUNCTION("""COMPUTED_VALUE"""),"2335-MAIN")</f>
        <v>2335-MAIN</v>
      </c>
      <c r="B2531" s="7" t="str">
        <f>IFERROR(__xludf.DUMMYFUNCTION("""COMPUTED_VALUE"""),"Exploring Persona Sentiment Sensitivity in Personalized Dialogue Generation")</f>
        <v>Exploring Persona Sentiment Sensitivity in Personalized Dialogue Generation</v>
      </c>
      <c r="C2531" s="7" t="str">
        <f>IFERROR(__xludf.DUMMYFUNCTION("""COMPUTED_VALUE"""),"Personalized dialogue systems have advanced considerably with the integration of user-specific personas into large language models (LLMs). However, while LLMs can effectively generate personalized responses, the influence of persona sentiment on dialogue "&amp;"quality remains underexplored. In this work, we conduct a large-scale analysis of dialogues generated using a range of polarized user profiles. Our experiments reveal that dialogues involving negatively polarized users tend to overemphasize persona attrib"&amp;"utes. In contrast, positively polarized profiles yield dialogues that selectively incorporate persona information, resulting in smoother interactions. Furthermore, we find that personas with weak or neutral sentiment generally produce lower-quality dialog"&amp;"ues. Motivated by these findings, we propose a dialogue generation approach that explicitly accounts for persona polarity by combining a turn-based generation strategy with a profile ordering mechanism and sentiment-aware prompting. Our study provides new"&amp;" insights into the sensitivity of LLMs to persona sentiment and offers guidance for developing more robust and nuanced personalized dialogue systems.")</f>
        <v>Personalized dialogue systems have advanced considerably with the integration of user-specific personas into large language models (LLMs). However, while LLMs can effectively generate personalized responses, the influence of persona sentiment on dialogue quality remains underexplored. In this work, we conduct a large-scale analysis of dialogues generated using a range of polarized user profiles. Our experiments reveal that dialogues involving negatively polarized users tend to overemphasize persona attributes. In contrast, positively polarized profiles yield dialogues that selectively incorporate persona information, resulting in smoother interactions. Furthermore, we find that personas with weak or neutral sentiment generally produce lower-quality dialogues. Motivated by these findings, we propose a dialogue generation approach that explicitly accounts for persona polarity by combining a turn-based generation strategy with a profile ordering mechanism and sentiment-aware prompting. Our study provides new insights into the sensitivity of LLMs to persona sentiment and offers guidance for developing more robust and nuanced personalized dialogue systems.</v>
      </c>
      <c r="D2531" s="7" t="str">
        <f>IFERROR(__xludf.DUMMYFUNCTION("""COMPUTED_VALUE"""),"Yonghyun Jun")</f>
        <v>Yonghyun Jun</v>
      </c>
      <c r="E2531" s="7" t="str">
        <f>IFERROR(__xludf.DUMMYFUNCTION("""COMPUTED_VALUE"""),"Yes")</f>
        <v>Yes</v>
      </c>
      <c r="F2531" s="7" t="str">
        <f>IFERROR(__xludf.DUMMYFUNCTION("""COMPUTED_VALUE"""),"IP-Poster")</f>
        <v>IP-Poster</v>
      </c>
      <c r="G2531" s="7" t="str">
        <f>IFERROR(__xludf.DUMMYFUNCTION("""COMPUTED_VALUE"""),"In-Person")</f>
        <v>In-Person</v>
      </c>
      <c r="H2531" s="7" t="str">
        <f>IFERROR(__xludf.DUMMYFUNCTION("""COMPUTED_VALUE"""),"Hall 4/5")</f>
        <v>Hall 4/5</v>
      </c>
      <c r="I2531" s="7" t="str">
        <f>IFERROR(__xludf.DUMMYFUNCTION("""COMPUTED_VALUE"""),"Session 2: IP-Posters ")</f>
        <v>Session 2: IP-Posters </v>
      </c>
      <c r="J2531" s="7" t="str">
        <f>IFERROR(__xludf.DUMMYFUNCTION("""COMPUTED_VALUE"""),"Poster Session 1")</f>
        <v>Poster Session 1</v>
      </c>
      <c r="K2531" s="7"/>
      <c r="L2531" s="8">
        <f>IFERROR(__xludf.DUMMYFUNCTION("""COMPUTED_VALUE"""),45866.0)</f>
        <v>45866</v>
      </c>
      <c r="M2531" s="7" t="str">
        <f>IFERROR(__xludf.DUMMYFUNCTION("""COMPUTED_VALUE"""),"11:00-12:30")</f>
        <v>11:00-12:30</v>
      </c>
      <c r="N2531" s="7"/>
    </row>
    <row r="2532">
      <c r="A2532" s="7" t="str">
        <f>IFERROR(__xludf.DUMMYFUNCTION("""COMPUTED_VALUE"""),"2336-MAIN")</f>
        <v>2336-MAIN</v>
      </c>
      <c r="B2532" s="7" t="str">
        <f>IFERROR(__xludf.DUMMYFUNCTION("""COMPUTED_VALUE"""),"AntiLeakBench: Preventing Data Contamination by Automatically Constructing Benchmarks with Updated Real-World Knowledge")</f>
        <v>AntiLeakBench: Preventing Data Contamination by Automatically Constructing Benchmarks with Updated Real-World Knowledge</v>
      </c>
      <c r="C2532" s="7" t="str">
        <f>IFERROR(__xludf.DUMMYFUNCTION("""COMPUTED_VALUE"""),"Data contamination hinders fair LLM evaluation by introducing test data into newer models' training sets. Existing studies solve this challenge by updating benchmarks with newly collected data. However, they fail to guarantee contamination-free evaluation"&amp;" as the newly collected data may contain pre-existing knowledge, and their benchmark updates rely on intensive human labor. To address these issues, we in this paper propose AntiLeak-Bench, an automated anti-leakage benchmarking framework. Instead of simp"&amp;"ly using newly collected data, we construct samples with explicitly new knowledge absent from LLMs' training sets, which thus ensures strictly contamination-free evaluation. We further design a fully automated workflow to build and update our benchmark wi"&amp;"thout human labor. This significantly reduces the cost of benchmark maintenance to accommodate emerging LLMs. Through extensive experiments, we highlight that data contamination likely exists before LLMs' cutoff time and demonstrate that AntiLeak-Bench ef"&amp;"fectively overcomes this challenge.")</f>
        <v>Data contamination hinders fair LLM evaluation by introducing test data into newer models' training sets. Existing studies solve this challenge by updating benchmarks with newly collected data. However, they fail to guarantee contamination-free evaluation as the newly collected data may contain pre-existing knowledge, and their benchmark updates rely on intensive human labor. To address these issues, we in this paper propose AntiLeak-Bench, an automated anti-leakage benchmarking framework. Instead of simply using newly collected data, we construct samples with explicitly new knowledge absent from LLMs' training sets, which thus ensures strictly contamination-free evaluation. We further design a fully automated workflow to build and update our benchmark without human labor. This significantly reduces the cost of benchmark maintenance to accommodate emerging LLMs. Through extensive experiments, we highlight that data contamination likely exists before LLMs' cutoff time and demonstrate that AntiLeak-Bench effectively overcomes this challenge.</v>
      </c>
      <c r="D2532" s="7" t="str">
        <f>IFERROR(__xludf.DUMMYFUNCTION("""COMPUTED_VALUE"""),"Xiaobao Wu")</f>
        <v>Xiaobao Wu</v>
      </c>
      <c r="E2532" s="7" t="str">
        <f>IFERROR(__xludf.DUMMYFUNCTION("""COMPUTED_VALUE"""),"Yes")</f>
        <v>Yes</v>
      </c>
      <c r="F2532" s="7" t="str">
        <f>IFERROR(__xludf.DUMMYFUNCTION("""COMPUTED_VALUE"""),"IP-Oral")</f>
        <v>IP-Oral</v>
      </c>
      <c r="G2532" s="7" t="str">
        <f>IFERROR(__xludf.DUMMYFUNCTION("""COMPUTED_VALUE"""),"In-Person")</f>
        <v>In-Person</v>
      </c>
      <c r="H2532" s="7" t="str">
        <f>IFERROR(__xludf.DUMMYFUNCTION("""COMPUTED_VALUE"""),"Hall B")</f>
        <v>Hall B</v>
      </c>
      <c r="I2532" s="7" t="str">
        <f>IFERROR(__xludf.DUMMYFUNCTION("""COMPUTED_VALUE"""),"Session 9: IP-Orals")</f>
        <v>Session 9: IP-Orals</v>
      </c>
      <c r="J2532" s="7" t="str">
        <f>IFERROR(__xludf.DUMMYFUNCTION("""COMPUTED_VALUE"""),"Resources and Evaluation 2")</f>
        <v>Resources and Evaluation 2</v>
      </c>
      <c r="K2532" s="7"/>
      <c r="L2532" s="8">
        <f>IFERROR(__xludf.DUMMYFUNCTION("""COMPUTED_VALUE"""),45867.0)</f>
        <v>45867</v>
      </c>
      <c r="M2532" s="7" t="str">
        <f>IFERROR(__xludf.DUMMYFUNCTION("""COMPUTED_VALUE"""),"14:00-15:30")</f>
        <v>14:00-15:30</v>
      </c>
      <c r="N2532" s="7">
        <f>IFERROR(__xludf.DUMMYFUNCTION("""COMPUTED_VALUE"""),3.0)</f>
        <v>3</v>
      </c>
    </row>
    <row r="2533">
      <c r="A2533" s="7" t="str">
        <f>IFERROR(__xludf.DUMMYFUNCTION("""COMPUTED_VALUE"""),"2337-MAIN")</f>
        <v>2337-MAIN</v>
      </c>
      <c r="B2533" s="7" t="str">
        <f>IFERROR(__xludf.DUMMYFUNCTION("""COMPUTED_VALUE"""),"LLM-Guided Semantic-Aware Clustering for Topic Modeling")</f>
        <v>LLM-Guided Semantic-Aware Clustering for Topic Modeling</v>
      </c>
      <c r="C2533" s="7" t="str">
        <f>IFERROR(__xludf.DUMMYFUNCTION("""COMPUTED_VALUE"""),"Topic modeling aims to discover the distribution of topics within a corpus. The advanced comprehension and generative capabilities of large language models (LLMs) have introduced new avenues for topic modeling, particularly by prompting LLMs to generate t"&amp;"opics and refine them by merging similar ones. However, this approach necessitates that LLMs generate topics with consistent granularity, thus relying on the exceptional instruction-following capabilities of closed-source LLMs (such as GPT-4) or requiring"&amp;" additional training. Moreover, merging based only on topic words and neglecting the fine-grained semantics within documents might fail to fully uncover the underlying topic structure. In this work, we propose a semi-supervised topic modeling method, LiSA"&amp;", that combines LLMs with clustering to improve topic generation and distribution. Specifically, we begin with prompting LLMs to generate a candidate topic word for each document, thereby constructing a topic-level semantic space. To further utilize the m"&amp;"utual complementarity between them, we first cluster documents and candidate topic words, and then establish a mapping from document to topic in the LLM-guided assignment stage. Subsequently, we introduce a collaborative enhancement strategy to align the "&amp;"two semantic spaces and establish a better topic distribution. Experimental results demonstrate that LiSA outperforms state-of-the-art methods that utilize GPT-4 on topic alignment, and exhibits competitive performance compared to Neural Topic Models on t"&amp;"opic quality. The codes are available at https://github.com/ljh986/LiSA.")</f>
        <v>Topic modeling aims to discover the distribution of topics within a corpus. The advanced comprehension and generative capabilities of large language models (LLMs) have introduced new avenues for topic modeling, particularly by prompting LLMs to generate topics and refine them by merging similar ones. However, this approach necessitates that LLMs generate topics with consistent granularity, thus relying on the exceptional instruction-following capabilities of closed-source LLMs (such as GPT-4) or requiring additional training. Moreover, merging based only on topic words and neglecting the fine-grained semantics within documents might fail to fully uncover the underlying topic structure. In this work, we propose a semi-supervised topic modeling method, LiSA, that combines LLMs with clustering to improve topic generation and distribution. Specifically, we begin with prompting LLMs to generate a candidate topic word for each document, thereby constructing a topic-level semantic space. To further utilize the mutual complementarity between them, we first cluster documents and candidate topic words, and then establish a mapping from document to topic in the LLM-guided assignment stage. Subsequently, we introduce a collaborative enhancement strategy to align the two semantic spaces and establish a better topic distribution. Experimental results demonstrate that LiSA outperforms state-of-the-art methods that utilize GPT-4 on topic alignment, and exhibits competitive performance compared to Neural Topic Models on topic quality. The codes are available at https://github.com/ljh986/LiSA.</v>
      </c>
      <c r="D2533" s="7" t="str">
        <f>IFERROR(__xludf.DUMMYFUNCTION("""COMPUTED_VALUE"""),"Jianghan Liu")</f>
        <v>Jianghan Liu</v>
      </c>
      <c r="E2533" s="7" t="str">
        <f>IFERROR(__xludf.DUMMYFUNCTION("""COMPUTED_VALUE"""),"Yes")</f>
        <v>Yes</v>
      </c>
      <c r="F2533" s="7" t="str">
        <f>IFERROR(__xludf.DUMMYFUNCTION("""COMPUTED_VALUE"""),"IP-Oral")</f>
        <v>IP-Oral</v>
      </c>
      <c r="G2533" s="7" t="str">
        <f>IFERROR(__xludf.DUMMYFUNCTION("""COMPUTED_VALUE"""),"In-Person")</f>
        <v>In-Person</v>
      </c>
      <c r="H2533" s="7" t="str">
        <f>IFERROR(__xludf.DUMMYFUNCTION("""COMPUTED_VALUE"""),"Hall M.2")</f>
        <v>Hall M.2</v>
      </c>
      <c r="I2533" s="7" t="str">
        <f>IFERROR(__xludf.DUMMYFUNCTION("""COMPUTED_VALUE"""),"Session 9: IP-Orals")</f>
        <v>Session 9: IP-Orals</v>
      </c>
      <c r="J2533" s="7" t="str">
        <f>IFERROR(__xludf.DUMMYFUNCTION("""COMPUTED_VALUE"""),"Interpretability and Model Analysis 1")</f>
        <v>Interpretability and Model Analysis 1</v>
      </c>
      <c r="K2533" s="7"/>
      <c r="L2533" s="8">
        <f>IFERROR(__xludf.DUMMYFUNCTION("""COMPUTED_VALUE"""),45867.0)</f>
        <v>45867</v>
      </c>
      <c r="M2533" s="7" t="str">
        <f>IFERROR(__xludf.DUMMYFUNCTION("""COMPUTED_VALUE"""),"14:00-15:30")</f>
        <v>14:00-15:30</v>
      </c>
      <c r="N2533" s="7">
        <f>IFERROR(__xludf.DUMMYFUNCTION("""COMPUTED_VALUE"""),4.0)</f>
        <v>4</v>
      </c>
    </row>
    <row r="2534">
      <c r="A2534" s="7" t="str">
        <f>IFERROR(__xludf.DUMMYFUNCTION("""COMPUTED_VALUE"""),"2339-MAIN")</f>
        <v>2339-MAIN</v>
      </c>
      <c r="B2534" s="7" t="str">
        <f>IFERROR(__xludf.DUMMYFUNCTION("""COMPUTED_VALUE"""),"Hierarchical Bracketing Encodings for Dependency Parsing as Tagging")</f>
        <v>Hierarchical Bracketing Encodings for Dependency Parsing as Tagging</v>
      </c>
      <c r="C2534" s="7" t="str">
        <f>IFERROR(__xludf.DUMMYFUNCTION("""COMPUTED_VALUE"""),"We present a family of encodings for sequence labeling dependency parsing, based on the concept of hierarchical bracketing. We show that the existing 4-bit projective encoding belongs to this family, but it is suboptimal in the number of labels used to en"&amp;"code a tree. We derive an optimal hierarchical bracketing, which minimizes the number of symbols used and encodes projective trees using only 12 distinct labels (vs. 16 for the 4-bit encoding). We also extend optimal hierarchical bracketing to support arb"&amp;"itrary non-projectivity in a more compact way than previous encodings. Our new encodings yield competitive accuracy on a diverse set of treebanks.")</f>
        <v>We present a family of encodings for sequence labeling dependency parsing, based on the concept of hierarchical bracketing. We show that the existing 4-bit projective encoding belongs to this family, but it is suboptimal in the number of labels used to encode a tree. We derive an optimal hierarchical bracketing, which minimizes the number of symbols used and encodes projective trees using only 12 distinct labels (vs. 16 for the 4-bit encoding). We also extend optimal hierarchical bracketing to support arbitrary non-projectivity in a more compact way than previous encodings. Our new encodings yield competitive accuracy on a diverse set of treebanks.</v>
      </c>
      <c r="D2534" s="7" t="str">
        <f>IFERROR(__xludf.DUMMYFUNCTION("""COMPUTED_VALUE"""),"Ana Ezquerro")</f>
        <v>Ana Ezquerro</v>
      </c>
      <c r="E2534" s="7" t="str">
        <f>IFERROR(__xludf.DUMMYFUNCTION("""COMPUTED_VALUE"""),"Yes")</f>
        <v>Yes</v>
      </c>
      <c r="F2534" s="7" t="str">
        <f>IFERROR(__xludf.DUMMYFUNCTION("""COMPUTED_VALUE"""),"IP-Oral")</f>
        <v>IP-Oral</v>
      </c>
      <c r="G2534" s="7" t="str">
        <f>IFERROR(__xludf.DUMMYFUNCTION("""COMPUTED_VALUE"""),"In-Person")</f>
        <v>In-Person</v>
      </c>
      <c r="H2534" s="7" t="str">
        <f>IFERROR(__xludf.DUMMYFUNCTION("""COMPUTED_VALUE"""),"Room 1.86")</f>
        <v>Room 1.86</v>
      </c>
      <c r="I2534" s="7" t="str">
        <f>IFERROR(__xludf.DUMMYFUNCTION("""COMPUTED_VALUE"""),"Session 9: IP-Orals")</f>
        <v>Session 9: IP-Orals</v>
      </c>
      <c r="J2534" s="7" t="str">
        <f>IFERROR(__xludf.DUMMYFUNCTION("""COMPUTED_VALUE"""),"Phonology, Morphology, and Syntax")</f>
        <v>Phonology, Morphology, and Syntax</v>
      </c>
      <c r="K2534" s="7"/>
      <c r="L2534" s="8">
        <f>IFERROR(__xludf.DUMMYFUNCTION("""COMPUTED_VALUE"""),45867.0)</f>
        <v>45867</v>
      </c>
      <c r="M2534" s="7" t="str">
        <f>IFERROR(__xludf.DUMMYFUNCTION("""COMPUTED_VALUE"""),"14:00-15:30")</f>
        <v>14:00-15:30</v>
      </c>
      <c r="N2534" s="7">
        <f>IFERROR(__xludf.DUMMYFUNCTION("""COMPUTED_VALUE"""),5.0)</f>
        <v>5</v>
      </c>
    </row>
    <row r="2535">
      <c r="A2535" s="7" t="str">
        <f>IFERROR(__xludf.DUMMYFUNCTION("""COMPUTED_VALUE"""),"2340-MAIN")</f>
        <v>2340-MAIN</v>
      </c>
      <c r="B2535" s="7" t="str">
        <f>IFERROR(__xludf.DUMMYFUNCTION("""COMPUTED_VALUE"""),"OASIS: Order-Augmented Strategy for Improved Code Search")</f>
        <v>OASIS: Order-Augmented Strategy for Improved Code Search</v>
      </c>
      <c r="C2535" s="7" t="str">
        <f>IFERROR(__xludf.DUMMYFUNCTION("""COMPUTED_VALUE"""),"Code embeddings capture the semantic representations of code and are crucial for various code-related large language model (LLM) applications, such as code search. Previous training primarily relies on optimizing the InfoNCE loss by comparing positive nat"&amp;"ural language (NL)-code pairs with in-batch negatives. However, due to the sparse nature of code contexts, training solely by comparing the major differences between positive and negative pairs may fail to capture deeper semantic nuances. To address this "&amp;"issue, we propose a novel order-augmented strategy for improved code search (OASIS). It leverages order-based similarity labels to train models to capture subtle differences in similarity among negative pairs. Extensive benchmark evaluations demonstrate t"&amp;"hat our OASIS model significantly outperforms previous state-of-the-art models focusing solely on major positive-negative differences. It underscores the value of exploiting subtle differences among negative pairs with order labels for effective code embe"&amp;"dding training.")</f>
        <v>Code embeddings capture the semantic representations of code and are crucial for various code-related large language model (LLM) applications, such as code search. Previous training primarily relies on optimizing the InfoNCE loss by comparing positive natural language (NL)-code pairs with in-batch negatives. However, due to the sparse nature of code contexts, training solely by comparing the major differences between positive and negative pairs may fail to capture deeper semantic nuances. To address this issue, we propose a novel order-augmented strategy for improved code search (OASIS). It leverages order-based similarity labels to train models to capture subtle differences in similarity among negative pairs. Extensive benchmark evaluations demonstrate that our OASIS model significantly outperforms previous state-of-the-art models focusing solely on major positive-negative differences. It underscores the value of exploiting subtle differences among negative pairs with order labels for effective code embedding training.</v>
      </c>
      <c r="D2535" s="7" t="str">
        <f>IFERROR(__xludf.DUMMYFUNCTION("""COMPUTED_VALUE"""),"Zuchen Gao")</f>
        <v>Zuchen Gao</v>
      </c>
      <c r="E2535" s="7" t="str">
        <f>IFERROR(__xludf.DUMMYFUNCTION("""COMPUTED_VALUE"""),"Yes")</f>
        <v>Yes</v>
      </c>
      <c r="F2535" s="7" t="str">
        <f>IFERROR(__xludf.DUMMYFUNCTION("""COMPUTED_VALUE"""),"IP-Poster")</f>
        <v>IP-Poster</v>
      </c>
      <c r="G2535" s="7" t="str">
        <f>IFERROR(__xludf.DUMMYFUNCTION("""COMPUTED_VALUE"""),"In-Person")</f>
        <v>In-Person</v>
      </c>
      <c r="H2535" s="7" t="str">
        <f>IFERROR(__xludf.DUMMYFUNCTION("""COMPUTED_VALUE"""),"Hall 4/5")</f>
        <v>Hall 4/5</v>
      </c>
      <c r="I2535" s="7" t="str">
        <f>IFERROR(__xludf.DUMMYFUNCTION("""COMPUTED_VALUE"""),"Session 2: IP-Posters ")</f>
        <v>Session 2: IP-Posters </v>
      </c>
      <c r="J2535" s="7" t="str">
        <f>IFERROR(__xludf.DUMMYFUNCTION("""COMPUTED_VALUE"""),"Poster Session 1")</f>
        <v>Poster Session 1</v>
      </c>
      <c r="K2535" s="7"/>
      <c r="L2535" s="8">
        <f>IFERROR(__xludf.DUMMYFUNCTION("""COMPUTED_VALUE"""),45866.0)</f>
        <v>45866</v>
      </c>
      <c r="M2535" s="7" t="str">
        <f>IFERROR(__xludf.DUMMYFUNCTION("""COMPUTED_VALUE"""),"11:00-12:30")</f>
        <v>11:00-12:30</v>
      </c>
      <c r="N2535" s="7"/>
    </row>
    <row r="2536">
      <c r="A2536" s="7" t="str">
        <f>IFERROR(__xludf.DUMMYFUNCTION("""COMPUTED_VALUE"""),"2341-MAIN")</f>
        <v>2341-MAIN</v>
      </c>
      <c r="B2536" s="7" t="str">
        <f>IFERROR(__xludf.DUMMYFUNCTION("""COMPUTED_VALUE"""),"Can Large Language Models Detect Errors in Long Chain-of-Thought Reasoning?")</f>
        <v>Can Large Language Models Detect Errors in Long Chain-of-Thought Reasoning?</v>
      </c>
      <c r="C2536" s="7" t="str">
        <f>IFERROR(__xludf.DUMMYFUNCTION("""COMPUTED_VALUE"""),"Recently, o1-like models have drawn significant attention, where these models produce the long Chain-of-Thought (CoT) reasoning steps to improve the reasoning abilities of existing Large Language Models (LLMs). In this paper, to understand the qualities o"&amp;"f these long CoTs and measure the critique abilities of existing LLMs on these long CoTs, we introduce the DeltaBench including the generated long CoTs from different o1-like models (e.g., QwQ, DeepSeek-R1) for different reasoning tasks (e.g., Math, Code,"&amp;" General Reasoning), to measure the ability to detect errors in long COT reasoning. Based on DeltaBench, we first perform fine-grained analysis of the generated long CoTs to discover the effectiveness and efficiency of different o1-like models. Then, we c"&amp;"onduct extensive evaluations of existing process reward models (PRMs) and critic models to detect the errors of each annotated process, which aims to investigate the boundaries and limitations of existing PRMs and critic models. Finally, we hope that Delt"&amp;"aBench could guide developers to better understand the long CoT reasoning abilities of their models.")</f>
        <v>Recently, o1-like models have drawn significant attention, where these models produce the long Chain-of-Thought (CoT) reasoning steps to improve the reasoning abilities of existing Large Language Models (LLMs). In this paper, to understand the qualities of these long CoTs and measure the critique abilities of existing LLMs on these long CoTs, we introduce the DeltaBench including the generated long CoTs from different o1-like models (e.g., QwQ, DeepSeek-R1) for different reasoning tasks (e.g., Math, Code, General Reasoning), to measure the ability to detect errors in long COT reasoning. Based on DeltaBench, we first perform fine-grained analysis of the generated long CoTs to discover the effectiveness and efficiency of different o1-like models. Then, we conduct extensive evaluations of existing process reward models (PRMs) and critic models to detect the errors of each annotated process, which aims to investigate the boundaries and limitations of existing PRMs and critic models. Finally, we hope that DeltaBench could guide developers to better understand the long CoT reasoning abilities of their models.</v>
      </c>
      <c r="D2536" s="7" t="str">
        <f>IFERROR(__xludf.DUMMYFUNCTION("""COMPUTED_VALUE"""),"Yancheng He")</f>
        <v>Yancheng He</v>
      </c>
      <c r="E2536" s="7" t="str">
        <f>IFERROR(__xludf.DUMMYFUNCTION("""COMPUTED_VALUE"""),"Yes")</f>
        <v>Yes</v>
      </c>
      <c r="F2536" s="7" t="str">
        <f>IFERROR(__xludf.DUMMYFUNCTION("""COMPUTED_VALUE"""),"IP-Oral")</f>
        <v>IP-Oral</v>
      </c>
      <c r="G2536" s="7" t="str">
        <f>IFERROR(__xludf.DUMMYFUNCTION("""COMPUTED_VALUE"""),"In-Person")</f>
        <v>In-Person</v>
      </c>
      <c r="H2536" s="7" t="str">
        <f>IFERROR(__xludf.DUMMYFUNCTION("""COMPUTED_VALUE"""),"Hall A ")</f>
        <v>Hall A </v>
      </c>
      <c r="I2536" s="7" t="str">
        <f>IFERROR(__xludf.DUMMYFUNCTION("""COMPUTED_VALUE"""),"Session 3: IP-Orals")</f>
        <v>Session 3: IP-Orals</v>
      </c>
      <c r="J2536" s="7" t="str">
        <f>IFERROR(__xludf.DUMMYFUNCTION("""COMPUTED_VALUE"""),"Resources and Evaluation 1")</f>
        <v>Resources and Evaluation 1</v>
      </c>
      <c r="K2536" s="7"/>
      <c r="L2536" s="8">
        <f>IFERROR(__xludf.DUMMYFUNCTION("""COMPUTED_VALUE"""),45866.0)</f>
        <v>45866</v>
      </c>
      <c r="M2536" s="7" t="str">
        <f>IFERROR(__xludf.DUMMYFUNCTION("""COMPUTED_VALUE"""),"14:00-15:30")</f>
        <v>14:00-15:30</v>
      </c>
      <c r="N2536" s="7">
        <f>IFERROR(__xludf.DUMMYFUNCTION("""COMPUTED_VALUE"""),6.0)</f>
        <v>6</v>
      </c>
    </row>
    <row r="2537">
      <c r="A2537" s="7" t="str">
        <f>IFERROR(__xludf.DUMMYFUNCTION("""COMPUTED_VALUE"""),"2345-MAIN")</f>
        <v>2345-MAIN</v>
      </c>
      <c r="B2537" s="7" t="str">
        <f>IFERROR(__xludf.DUMMYFUNCTION("""COMPUTED_VALUE"""),"OmniAlign-V: Towards Enhanced Alignment of MLLMs with Human Preference")</f>
        <v>OmniAlign-V: Towards Enhanced Alignment of MLLMs with Human Preference</v>
      </c>
      <c r="C2537" s="7" t="str">
        <f>IFERROR(__xludf.DUMMYFUNCTION("""COMPUTED_VALUE"""),"Recent advancements in open-source multi-modal large language models (MLLMs) have primarily focused on enhancing foundational capabilities, leaving a significant gap in human preference alignment. This paper introduces OmniAlign-V, a comprehensive dataset"&amp;" of 200K high-quality training samples featuring diverse images, complex questions, and varied response formats to improve MLLMs' alignment with human preferences. We also present MM-AlignBench, a human-annotated benchmark specifically designed to evaluat"&amp;"e MLLMs' alignment with human values. Experimental results show that finetuning MLLMs with OmniAlign-V, using Supervised Fine-Tuning (SFT) or Direct Preference Optimization (DPO), significantly enhances human preference alignment while maintaining or enha"&amp;"ncing performance on standard VQA benchmarks, preserving their fundamental capabilities.")</f>
        <v>Recent advancements in open-source multi-modal large language models (MLLMs) have primarily focused on enhancing foundational capabilities, leaving a significant gap in human preference alignment. This paper introduces OmniAlign-V, a comprehensive dataset of 200K high-quality training samples featuring diverse images, complex questions, and varied response formats to improve MLLMs' alignment with human preferences. We also present MM-AlignBench, a human-annotated benchmark specifically designed to evaluate MLLMs' alignment with human values. Experimental results show that finetuning MLLMs with OmniAlign-V, using Supervised Fine-Tuning (SFT) or Direct Preference Optimization (DPO), significantly enhances human preference alignment while maintaining or enhancing performance on standard VQA benchmarks, preserving their fundamental capabilities.</v>
      </c>
      <c r="D2537" s="7" t="str">
        <f>IFERROR(__xludf.DUMMYFUNCTION("""COMPUTED_VALUE"""),"Xiangyu Zhao")</f>
        <v>Xiangyu Zhao</v>
      </c>
      <c r="E2537" s="7" t="str">
        <f>IFERROR(__xludf.DUMMYFUNCTION("""COMPUTED_VALUE"""),"Yes")</f>
        <v>Yes</v>
      </c>
      <c r="F2537" s="7" t="str">
        <f>IFERROR(__xludf.DUMMYFUNCTION("""COMPUTED_VALUE"""),"IP-Poster")</f>
        <v>IP-Poster</v>
      </c>
      <c r="G2537" s="7" t="str">
        <f>IFERROR(__xludf.DUMMYFUNCTION("""COMPUTED_VALUE"""),"In-Person")</f>
        <v>In-Person</v>
      </c>
      <c r="H2537" s="7" t="str">
        <f>IFERROR(__xludf.DUMMYFUNCTION("""COMPUTED_VALUE"""),"Hall 4/5")</f>
        <v>Hall 4/5</v>
      </c>
      <c r="I2537" s="7" t="str">
        <f>IFERROR(__xludf.DUMMYFUNCTION("""COMPUTED_VALUE"""),"Session 2: IP-Posters ")</f>
        <v>Session 2: IP-Posters </v>
      </c>
      <c r="J2537" s="7" t="str">
        <f>IFERROR(__xludf.DUMMYFUNCTION("""COMPUTED_VALUE"""),"Poster Session 1")</f>
        <v>Poster Session 1</v>
      </c>
      <c r="K2537" s="7"/>
      <c r="L2537" s="8">
        <f>IFERROR(__xludf.DUMMYFUNCTION("""COMPUTED_VALUE"""),45866.0)</f>
        <v>45866</v>
      </c>
      <c r="M2537" s="7" t="str">
        <f>IFERROR(__xludf.DUMMYFUNCTION("""COMPUTED_VALUE"""),"11:00-12:30")</f>
        <v>11:00-12:30</v>
      </c>
      <c r="N2537" s="7"/>
    </row>
    <row r="2538">
      <c r="A2538" s="7" t="str">
        <f>IFERROR(__xludf.DUMMYFUNCTION("""COMPUTED_VALUE"""),"2354-MAIN")</f>
        <v>2354-MAIN</v>
      </c>
      <c r="B2538" s="7" t="str">
        <f>IFERROR(__xludf.DUMMYFUNCTION("""COMPUTED_VALUE"""),"Dynamic Order Template Prediction for Generative Aspect-Based Sentiment Analysis")</f>
        <v>Dynamic Order Template Prediction for Generative Aspect-Based Sentiment Analysis</v>
      </c>
      <c r="C2538" s="7" t="str">
        <f>IFERROR(__xludf.DUMMYFUNCTION("""COMPUTED_VALUE"""),"Aspect-based sentiment analysis (ABSA) assesses sentiments towards specific aspects within texts, resulting in detailed sentiment tuples.
Previous ABSA models often used static templates to predict all the elements in the tuples, and these models often fa"&amp;"iled to accurately capture dependencies between elements. Multi-view prompting method improves the performance of ABSA by predicting tuples with various templates and then assembling the results. However, this method suffers from inefficiencies and out-of"&amp;"-distribution errors. In this paper, we propose a Dynamic Order Template (DOT) method for ABSA, which dynamically creates an order template that contains only the necessary views for each instance.  Ensuring the diverse and relevant view generation, our p"&amp;"roposed method improves F1 scores on ASQP and ACOS datasets while significantly reducing inference time.")</f>
        <v>Aspect-based sentiment analysis (ABSA) assesses sentiments towards specific aspects within texts, resulting in detailed sentiment tuples.
Previous ABSA models often used static templates to predict all the elements in the tuples, and these models often failed to accurately capture dependencies between elements. Multi-view prompting method improves the performance of ABSA by predicting tuples with various templates and then assembling the results. However, this method suffers from inefficiencies and out-of-distribution errors. In this paper, we propose a Dynamic Order Template (DOT) method for ABSA, which dynamically creates an order template that contains only the necessary views for each instance.  Ensuring the diverse and relevant view generation, our proposed method improves F1 scores on ASQP and ACOS datasets while significantly reducing inference time.</v>
      </c>
      <c r="D2538" s="7" t="str">
        <f>IFERROR(__xludf.DUMMYFUNCTION("""COMPUTED_VALUE"""),"Hwanhee Lee")</f>
        <v>Hwanhee Lee</v>
      </c>
      <c r="E2538" s="7" t="str">
        <f>IFERROR(__xludf.DUMMYFUNCTION("""COMPUTED_VALUE"""),"Yes")</f>
        <v>Yes</v>
      </c>
      <c r="F2538" s="7" t="str">
        <f>IFERROR(__xludf.DUMMYFUNCTION("""COMPUTED_VALUE"""),"IP-Poster")</f>
        <v>IP-Poster</v>
      </c>
      <c r="G2538" s="7" t="str">
        <f>IFERROR(__xludf.DUMMYFUNCTION("""COMPUTED_VALUE"""),"In-Person")</f>
        <v>In-Person</v>
      </c>
      <c r="H2538" s="7" t="str">
        <f>IFERROR(__xludf.DUMMYFUNCTION("""COMPUTED_VALUE"""),"Hall 4/5")</f>
        <v>Hall 4/5</v>
      </c>
      <c r="I2538" s="7" t="str">
        <f>IFERROR(__xludf.DUMMYFUNCTION("""COMPUTED_VALUE"""),"Session 2: IP-Posters ")</f>
        <v>Session 2: IP-Posters </v>
      </c>
      <c r="J2538" s="7" t="str">
        <f>IFERROR(__xludf.DUMMYFUNCTION("""COMPUTED_VALUE"""),"Poster Session 1")</f>
        <v>Poster Session 1</v>
      </c>
      <c r="K2538" s="7"/>
      <c r="L2538" s="8">
        <f>IFERROR(__xludf.DUMMYFUNCTION("""COMPUTED_VALUE"""),45866.0)</f>
        <v>45866</v>
      </c>
      <c r="M2538" s="7" t="str">
        <f>IFERROR(__xludf.DUMMYFUNCTION("""COMPUTED_VALUE"""),"11:00-12:30")</f>
        <v>11:00-12:30</v>
      </c>
      <c r="N2538" s="7"/>
    </row>
    <row r="2539">
      <c r="A2539" s="7" t="str">
        <f>IFERROR(__xludf.DUMMYFUNCTION("""COMPUTED_VALUE"""),"2355-MAIN")</f>
        <v>2355-MAIN</v>
      </c>
      <c r="B2539" s="7" t="str">
        <f>IFERROR(__xludf.DUMMYFUNCTION("""COMPUTED_VALUE"""),"Tree-KG: An Expandable KG Construction Framework for Knowledge-intensive Domains")</f>
        <v>Tree-KG: An Expandable KG Construction Framework for Knowledge-intensive Domains</v>
      </c>
      <c r="C2539" s="7" t="str">
        <f>IFERROR(__xludf.DUMMYFUNCTION("""COMPUTED_VALUE"""),"In knowledge-intensive domains like scientific research, effective decisions rely on organizing and retrieving intricate data. Knowledge graphs (KGs) help by structuring entities, relations, and contextual dependencies, but building KGs in such domains is"&amp;" challenging due to inherent complexity, manual effort, and rapid evolution. Inspired by how humans organize knowledge hierarchically, we propose Tree-KG, an expandable framework that combines structured domain texts with advanced semantic techniques. Fir"&amp;"st, Tree-KG builds a tree-like graph from textbook structures using large language models (LLMs) and domain-specific entities, creating an \emph{explicit KG}. Then, through iterative expansion with flexible, predefined operators, it uncovers \emph{hidden "&amp;"KG} while preserving semantic coherence. Experiments demonstrate that Tree-KG consistently surpasses competing methods, achieving the highest F1 scores (12–16\% above the second-best), with notable performance (F1 0.81) on the Text-Annotated dataset, high"&amp;"lighting its effectiveness in extracting high-quality information from source texts. Additionally, Tree-KG provides superior structural alignment, domain-specific extraction, and cost-efficiency, delivering robust results with reduced token usage and adap"&amp;"table, resource-conscious deployment. \footnote{\url{https://github.com/thu-pacman/Tree-KG}}")</f>
        <v>In knowledge-intensive domains like scientific research, effective decisions rely on organizing and retrieving intricate data. Knowledge graphs (KGs) help by structuring entities, relations, and contextual dependencies, but building KGs in such domains is challenging due to inherent complexity, manual effort, and rapid evolution. Inspired by how humans organize knowledge hierarchically, we propose Tree-KG, an expandable framework that combines structured domain texts with advanced semantic techniques. First, Tree-KG builds a tree-like graph from textbook structures using large language models (LLMs) and domain-specific entities, creating an \emph{explicit KG}. Then, through iterative expansion with flexible, predefined operators, it uncovers \emph{hidden KG} while preserving semantic coherence. Experiments demonstrate that Tree-KG consistently surpasses competing methods, achieving the highest F1 scores (12–16\% above the second-best), with notable performance (F1 0.81) on the Text-Annotated dataset, highlighting its effectiveness in extracting high-quality information from source texts. Additionally, Tree-KG provides superior structural alignment, domain-specific extraction, and cost-efficiency, delivering robust results with reduced token usage and adaptable, resource-conscious deployment. \footnote{\url{https://github.com/thu-pacman/Tree-KG}}</v>
      </c>
      <c r="D2539" s="7" t="str">
        <f>IFERROR(__xludf.DUMMYFUNCTION("""COMPUTED_VALUE"""),"Songjie Niu")</f>
        <v>Songjie Niu</v>
      </c>
      <c r="E2539" s="7" t="str">
        <f>IFERROR(__xludf.DUMMYFUNCTION("""COMPUTED_VALUE"""),"Yes")</f>
        <v>Yes</v>
      </c>
      <c r="F2539" s="7" t="str">
        <f>IFERROR(__xludf.DUMMYFUNCTION("""COMPUTED_VALUE"""),"IP-Poster")</f>
        <v>IP-Poster</v>
      </c>
      <c r="G2539" s="7" t="str">
        <f>IFERROR(__xludf.DUMMYFUNCTION("""COMPUTED_VALUE"""),"In-Person")</f>
        <v>In-Person</v>
      </c>
      <c r="H2539" s="7" t="str">
        <f>IFERROR(__xludf.DUMMYFUNCTION("""COMPUTED_VALUE"""),"Hall 4/5")</f>
        <v>Hall 4/5</v>
      </c>
      <c r="I2539" s="7" t="str">
        <f>IFERROR(__xludf.DUMMYFUNCTION("""COMPUTED_VALUE"""),"Session 7: IP-Posters")</f>
        <v>Session 7: IP-Posters</v>
      </c>
      <c r="J2539" s="7" t="str">
        <f>IFERROR(__xludf.DUMMYFUNCTION("""COMPUTED_VALUE"""),"Poster Session 2")</f>
        <v>Poster Session 2</v>
      </c>
      <c r="K2539" s="7"/>
      <c r="L2539" s="8">
        <f>IFERROR(__xludf.DUMMYFUNCTION("""COMPUTED_VALUE"""),45867.0)</f>
        <v>45867</v>
      </c>
      <c r="M2539" s="7" t="str">
        <f>IFERROR(__xludf.DUMMYFUNCTION("""COMPUTED_VALUE"""),"10:30-12:00")</f>
        <v>10:30-12:00</v>
      </c>
      <c r="N2539" s="7"/>
    </row>
    <row r="2540">
      <c r="A2540" s="7" t="str">
        <f>IFERROR(__xludf.DUMMYFUNCTION("""COMPUTED_VALUE"""),"2357-MAIN")</f>
        <v>2357-MAIN</v>
      </c>
      <c r="B2540" s="7" t="str">
        <f>IFERROR(__xludf.DUMMYFUNCTION("""COMPUTED_VALUE"""),"Measuring Data Diversity for Instruction Tuning: A Systematic Analysis and A Reliable Metric")</f>
        <v>Measuring Data Diversity for Instruction Tuning: A Systematic Analysis and A Reliable Metric</v>
      </c>
      <c r="C2540" s="7" t="str">
        <f>IFERROR(__xludf.DUMMYFUNCTION("""COMPUTED_VALUE"""),"Data diversity is crucial for the instruction tuning of large language models. Existing studies have explored various diversity-aware data selection methods to construct high-quality datasets and enhance model performance. However, the fundamental problem"&amp;" of precisely defining and measuring data diversity remains underexplored, limiting clear guidance for data engineering. To address this, we systematically analyze 11 existing diversity measurement methods by evaluating their correlation with model perfor"&amp;"mance through extensive fine-tuning experiments. Our results indicate that a reliable diversity measure should properly account for both inter-sample differences and the information density in the sample space. Building on this, we propose NovelSum, a new"&amp;" diversity metric based on sample-level ""novelty."" Experiments on both simulated and real-world data show that NovelSum accurately captures diversity variations and achieves a 0.97 correlation with instruction-tuned model performance, highlighting its v"&amp;"alue in guiding data engineering practices. With NovelSum as an optimization objective, we further develop a greedy, diversity-oriented data selection strategy that outperforms existing approaches, validating both the effectiveness and practical significa"&amp;"nce of our metric.")</f>
        <v>Data diversity is crucial for the instruction tuning of large language models. Existing studies have explored various diversity-aware data selection methods to construct high-quality datasets and enhance model performance. However, the fundamental problem of precisely defining and measuring data diversity remains underexplored, limiting clear guidance for data engineering. To address this, we systematically analyze 11 existing diversity measurement methods by evaluating their correlation with model performance through extensive fine-tuning experiments. Our results indicate that a reliable diversity measure should properly account for both inter-sample differences and the information density in the sample space. Building on this, we propose NovelSum, a new diversity metric based on sample-level "novelty." Experiments on both simulated and real-world data show that NovelSum accurately captures diversity variations and achieves a 0.97 correlation with instruction-tuned model performance, highlighting its value in guiding data engineering practices. With NovelSum as an optimization objective, we further develop a greedy, diversity-oriented data selection strategy that outperforms existing approaches, validating both the effectiveness and practical significance of our metric.</v>
      </c>
      <c r="D2540" s="7" t="str">
        <f>IFERROR(__xludf.DUMMYFUNCTION("""COMPUTED_VALUE"""),"Yuming Yang")</f>
        <v>Yuming Yang</v>
      </c>
      <c r="E2540" s="7" t="str">
        <f>IFERROR(__xludf.DUMMYFUNCTION("""COMPUTED_VALUE"""),"Yes")</f>
        <v>Yes</v>
      </c>
      <c r="F2540" s="7" t="str">
        <f>IFERROR(__xludf.DUMMYFUNCTION("""COMPUTED_VALUE"""),"IP-Poster")</f>
        <v>IP-Poster</v>
      </c>
      <c r="G2540" s="7" t="str">
        <f>IFERROR(__xludf.DUMMYFUNCTION("""COMPUTED_VALUE"""),"In-Person")</f>
        <v>In-Person</v>
      </c>
      <c r="H2540" s="7" t="str">
        <f>IFERROR(__xludf.DUMMYFUNCTION("""COMPUTED_VALUE"""),"Hall 4/5")</f>
        <v>Hall 4/5</v>
      </c>
      <c r="I2540" s="7" t="str">
        <f>IFERROR(__xludf.DUMMYFUNCTION("""COMPUTED_VALUE"""),"Session 2: IP-Posters ")</f>
        <v>Session 2: IP-Posters </v>
      </c>
      <c r="J2540" s="7" t="str">
        <f>IFERROR(__xludf.DUMMYFUNCTION("""COMPUTED_VALUE"""),"Poster Session 1")</f>
        <v>Poster Session 1</v>
      </c>
      <c r="K2540" s="7"/>
      <c r="L2540" s="8">
        <f>IFERROR(__xludf.DUMMYFUNCTION("""COMPUTED_VALUE"""),45866.0)</f>
        <v>45866</v>
      </c>
      <c r="M2540" s="7" t="str">
        <f>IFERROR(__xludf.DUMMYFUNCTION("""COMPUTED_VALUE"""),"11:00-12:30")</f>
        <v>11:00-12:30</v>
      </c>
      <c r="N2540" s="7"/>
    </row>
    <row r="2541">
      <c r="A2541" s="7" t="str">
        <f>IFERROR(__xludf.DUMMYFUNCTION("""COMPUTED_VALUE"""),"2360-MAIN")</f>
        <v>2360-MAIN</v>
      </c>
      <c r="B2541" s="7" t="str">
        <f>IFERROR(__xludf.DUMMYFUNCTION("""COMPUTED_VALUE"""),"Micro-Act: Mitigate Knowledge Conflict in Question Answering via Actionable Self-Reasoning")</f>
        <v>Micro-Act: Mitigate Knowledge Conflict in Question Answering via Actionable Self-Reasoning</v>
      </c>
      <c r="C2541" s="7" t="str">
        <f>IFERROR(__xludf.DUMMYFUNCTION("""COMPUTED_VALUE"""),"Retrieval-Augmented Generation (RAG) systems commonly suffer from **Knowledge Conflicts**, where retrieved external knowledge contradicts the inherent, parametric knowledge of large language models (LLMs). It adversely affects performance on downstream ta"&amp;"sks such as question answering (QA). Existing approaches often attempt to mitigate conflicts by directly comparing two knowledge sources in a side-by-side manner, but this can overwhelm LLMs with extraneous or lengthy contexts, ultimately hindering their "&amp;"ability to identify and mitigate inconsistencies. To address this issue, we propose **Micro-Act** a framework with a hierarchical action space that automatically perceives context complexity and adaptively decomposes each knowledge source into a sequence "&amp;"of fine-grained comparisons. These comparisons are represented as actionable steps, enabling reasoning beyond the superficial context. Through extensive experiments on five benchmark datasets, Micro-Act consistently achieves significant increase in QA acc"&amp;"uracy over state-of-the-art baselines across all 5 datasets and 3 conflict types, especially in temporal and semantic types where all baselines fail significantly. More importantly, Micro-Act exhibits robust performance on non-conflict questions simultane"&amp;"ously, highlighting its practical value in real-world RAG applications.")</f>
        <v>Retrieval-Augmented Generation (RAG) systems commonly suffer from **Knowledge Conflicts**, where retrieved external knowledge contradicts the inherent, parametric knowledge of large language models (LLMs). It adversely affects performance on downstream tasks such as question answering (QA). Existing approaches often attempt to mitigate conflicts by directly comparing two knowledge sources in a side-by-side manner, but this can overwhelm LLMs with extraneous or lengthy contexts, ultimately hindering their ability to identify and mitigate inconsistencies. To address this issue, we propose **Micro-Act** a framework with a hierarchical action space that automatically perceives context complexity and adaptively decomposes each knowledge source into a sequence of fine-grained comparisons. These comparisons are represented as actionable steps, enabling reasoning beyond the superficial context. Through extensive experiments on five benchmark datasets, Micro-Act consistently achieves significant increase in QA accuracy over state-of-the-art baselines across all 5 datasets and 3 conflict types, especially in temporal and semantic types where all baselines fail significantly. More importantly, Micro-Act exhibits robust performance on non-conflict questions simultaneously, highlighting its practical value in real-world RAG applications.</v>
      </c>
      <c r="D2541" s="7" t="str">
        <f>IFERROR(__xludf.DUMMYFUNCTION("""COMPUTED_VALUE"""),"Nan Huo")</f>
        <v>Nan Huo</v>
      </c>
      <c r="E2541" s="7" t="str">
        <f>IFERROR(__xludf.DUMMYFUNCTION("""COMPUTED_VALUE"""),"Yes")</f>
        <v>Yes</v>
      </c>
      <c r="F2541" s="7" t="str">
        <f>IFERROR(__xludf.DUMMYFUNCTION("""COMPUTED_VALUE"""),"IP-Poster")</f>
        <v>IP-Poster</v>
      </c>
      <c r="G2541" s="7" t="str">
        <f>IFERROR(__xludf.DUMMYFUNCTION("""COMPUTED_VALUE"""),"In-Person")</f>
        <v>In-Person</v>
      </c>
      <c r="H2541" s="7" t="str">
        <f>IFERROR(__xludf.DUMMYFUNCTION("""COMPUTED_VALUE"""),"Hall 4/5")</f>
        <v>Hall 4/5</v>
      </c>
      <c r="I2541" s="7" t="str">
        <f>IFERROR(__xludf.DUMMYFUNCTION("""COMPUTED_VALUE"""),"Session 7: IP-Posters")</f>
        <v>Session 7: IP-Posters</v>
      </c>
      <c r="J2541" s="7" t="str">
        <f>IFERROR(__xludf.DUMMYFUNCTION("""COMPUTED_VALUE"""),"Poster Session 2")</f>
        <v>Poster Session 2</v>
      </c>
      <c r="K2541" s="7"/>
      <c r="L2541" s="8">
        <f>IFERROR(__xludf.DUMMYFUNCTION("""COMPUTED_VALUE"""),45867.0)</f>
        <v>45867</v>
      </c>
      <c r="M2541" s="7" t="str">
        <f>IFERROR(__xludf.DUMMYFUNCTION("""COMPUTED_VALUE"""),"10:30-12:00")</f>
        <v>10:30-12:00</v>
      </c>
      <c r="N2541" s="7"/>
    </row>
    <row r="2542">
      <c r="A2542" s="7" t="str">
        <f>IFERROR(__xludf.DUMMYFUNCTION("""COMPUTED_VALUE"""),"2363-MAIN")</f>
        <v>2363-MAIN</v>
      </c>
      <c r="B2542" s="7" t="str">
        <f>IFERROR(__xludf.DUMMYFUNCTION("""COMPUTED_VALUE"""),"Minimal Pair-Based Evaluation of Code-Switching")</f>
        <v>Minimal Pair-Based Evaluation of Code-Switching</v>
      </c>
      <c r="C2542" s="7" t="str">
        <f>IFERROR(__xludf.DUMMYFUNCTION("""COMPUTED_VALUE"""),"There is a lack of an evaluation methodology that estimates the extent to which large language models (LLMs) use code-switching (CS) in the same way as bilinguals. Existing methods do not have wide language coverage, fail to account for the diverse range "&amp;"of CS phenomena, or do not scale. We propose an intervention based on minimal pairs of CS. Each minimal pair contains one naturally occurring CS sentence and one minimally manipulated variant. We collect up to 1,000 such pairs each for 11 language pairs. "&amp;"Our human experiments show that, for every language pair, bilinguals consistently prefer the naturally occurring CS sentence. Meanwhile our experiments with current LLMs show that the larger the model, the more consistently it assigns higher probability t"&amp;"o the naturally occurring CS sentence than to the variant. In accordance with theoretical claims, the largest probability differences arise in those pairs where the manipulated material consisted of closed-class words.")</f>
        <v>There is a lack of an evaluation methodology that estimates the extent to which large language models (LLMs) use code-switching (CS) in the same way as bilinguals. Existing methods do not have wide language coverage, fail to account for the diverse range of CS phenomena, or do not scale. We propose an intervention based on minimal pairs of CS. Each minimal pair contains one naturally occurring CS sentence and one minimally manipulated variant. We collect up to 1,000 such pairs each for 11 language pairs. Our human experiments show that, for every language pair, bilinguals consistently prefer the naturally occurring CS sentence. Meanwhile our experiments with current LLMs show that the larger the model, the more consistently it assigns higher probability to the naturally occurring CS sentence than to the variant. In accordance with theoretical claims, the largest probability differences arise in those pairs where the manipulated material consisted of closed-class words.</v>
      </c>
      <c r="D2542" s="7" t="str">
        <f>IFERROR(__xludf.DUMMYFUNCTION("""COMPUTED_VALUE"""),"Igor Sterner")</f>
        <v>Igor Sterner</v>
      </c>
      <c r="E2542" s="7" t="str">
        <f>IFERROR(__xludf.DUMMYFUNCTION("""COMPUTED_VALUE"""),"Yes")</f>
        <v>Yes</v>
      </c>
      <c r="F2542" s="7" t="str">
        <f>IFERROR(__xludf.DUMMYFUNCTION("""COMPUTED_VALUE"""),"IP-Poster")</f>
        <v>IP-Poster</v>
      </c>
      <c r="G2542" s="7" t="str">
        <f>IFERROR(__xludf.DUMMYFUNCTION("""COMPUTED_VALUE"""),"In-Person")</f>
        <v>In-Person</v>
      </c>
      <c r="H2542" s="7" t="str">
        <f>IFERROR(__xludf.DUMMYFUNCTION("""COMPUTED_VALUE"""),"Hall 4/5")</f>
        <v>Hall 4/5</v>
      </c>
      <c r="I2542" s="7" t="str">
        <f>IFERROR(__xludf.DUMMYFUNCTION("""COMPUTED_VALUE"""),"Session 7: IP-Posters")</f>
        <v>Session 7: IP-Posters</v>
      </c>
      <c r="J2542" s="7" t="str">
        <f>IFERROR(__xludf.DUMMYFUNCTION("""COMPUTED_VALUE"""),"Poster Session 2")</f>
        <v>Poster Session 2</v>
      </c>
      <c r="K2542" s="7"/>
      <c r="L2542" s="8">
        <f>IFERROR(__xludf.DUMMYFUNCTION("""COMPUTED_VALUE"""),45867.0)</f>
        <v>45867</v>
      </c>
      <c r="M2542" s="7" t="str">
        <f>IFERROR(__xludf.DUMMYFUNCTION("""COMPUTED_VALUE"""),"10:30-12:00")</f>
        <v>10:30-12:00</v>
      </c>
      <c r="N2542" s="7"/>
    </row>
    <row r="2543">
      <c r="A2543" s="7" t="str">
        <f>IFERROR(__xludf.DUMMYFUNCTION("""COMPUTED_VALUE"""),"2364-MAIN")</f>
        <v>2364-MAIN</v>
      </c>
      <c r="B2543" s="7" t="str">
        <f>IFERROR(__xludf.DUMMYFUNCTION("""COMPUTED_VALUE"""),"DNASpeech: A Contextualized and Situated Text-to-Speech Dataset with Dialogues, Narratives and Actions")</f>
        <v>DNASpeech: A Contextualized and Situated Text-to-Speech Dataset with Dialogues, Narratives and Actions</v>
      </c>
      <c r="C2543" s="7" t="str">
        <f>IFERROR(__xludf.DUMMYFUNCTION("""COMPUTED_VALUE"""),"In this paper, we propose contextualized and situated text-to-speech (CS-TTS), a novel TTS task to promote more accurate and customized speech generation using prompts with Dialogues, Narratives, and Actions (DNA). While prompt-based TTS methods facilitat"&amp;"e controllable speech generation, existing TTS datasets lack situated descriptive prompts aligned with speech data. To address this data scarcity, we develop an automatic annotation pipeline enabling multifaceted alignment among speech clips, content text"&amp;", and their respective descriptions. Based on this pipeline, we present DNASpeech, a novel CS-TTS dataset with high-quality speeches with DNA prompt annotations. DNASpeech contains 2,395 distinct characters, 4,452 scenes, and 22,975 dialogue utterances, a"&amp;"long with over 18 hours of high-quality speech recordings. To accommodate more specific task scenarios, we establish a leaderboard featuring two new subtasks for evaluation: CS-TTS with narratives and CS-TTS with dialogues. We also design an intuitive bas"&amp;"eline model for comparison with existing state-of-the-art TTS methods on our leaderboard. Comprehensive experimental results demonstrate the quality and effectiveness of DNASpeech, validating its potential to drive advancements in the TTS field.")</f>
        <v>In this paper, we propose contextualized and situated text-to-speech (CS-TTS), a novel TTS task to promote more accurate and customized speech generation using prompts with Dialogues, Narratives, and Actions (DNA). While prompt-based TTS methods facilitate controllable speech generation, existing TTS datasets lack situated descriptive prompts aligned with speech data. To address this data scarcity, we develop an automatic annotation pipeline enabling multifaceted alignment among speech clips, content text, and their respective descriptions. Based on this pipeline, we present DNASpeech, a novel CS-TTS dataset with high-quality speeches with DNA prompt annotations. DNASpeech contains 2,395 distinct characters, 4,452 scenes, and 22,975 dialogue utterances, along with over 18 hours of high-quality speech recordings. To accommodate more specific task scenarios, we establish a leaderboard featuring two new subtasks for evaluation: CS-TTS with narratives and CS-TTS with dialogues. We also design an intuitive baseline model for comparison with existing state-of-the-art TTS methods on our leaderboard. Comprehensive experimental results demonstrate the quality and effectiveness of DNASpeech, validating its potential to drive advancements in the TTS field.</v>
      </c>
      <c r="D2543" s="7" t="str">
        <f>IFERROR(__xludf.DUMMYFUNCTION("""COMPUTED_VALUE"""),"Chuanqi Cheng")</f>
        <v>Chuanqi Cheng</v>
      </c>
      <c r="E2543" s="7" t="str">
        <f>IFERROR(__xludf.DUMMYFUNCTION("""COMPUTED_VALUE"""),"Yes")</f>
        <v>Yes</v>
      </c>
      <c r="F2543" s="7" t="str">
        <f>IFERROR(__xludf.DUMMYFUNCTION("""COMPUTED_VALUE"""),"IP-Poster")</f>
        <v>IP-Poster</v>
      </c>
      <c r="G2543" s="7" t="str">
        <f>IFERROR(__xludf.DUMMYFUNCTION("""COMPUTED_VALUE"""),"In-Person")</f>
        <v>In-Person</v>
      </c>
      <c r="H2543" s="7" t="str">
        <f>IFERROR(__xludf.DUMMYFUNCTION("""COMPUTED_VALUE"""),"Hall 4/5")</f>
        <v>Hall 4/5</v>
      </c>
      <c r="I2543" s="7" t="str">
        <f>IFERROR(__xludf.DUMMYFUNCTION("""COMPUTED_VALUE"""),"Session 12: IP-Posters")</f>
        <v>Session 12: IP-Posters</v>
      </c>
      <c r="J2543" s="7" t="str">
        <f>IFERROR(__xludf.DUMMYFUNCTION("""COMPUTED_VALUE"""),"Poster Session 4")</f>
        <v>Poster Session 4</v>
      </c>
      <c r="K2543" s="7"/>
      <c r="L2543" s="8">
        <f>IFERROR(__xludf.DUMMYFUNCTION("""COMPUTED_VALUE"""),45868.0)</f>
        <v>45868</v>
      </c>
      <c r="M2543" s="7" t="str">
        <f>IFERROR(__xludf.DUMMYFUNCTION("""COMPUTED_VALUE"""),"11:00-12:30")</f>
        <v>11:00-12:30</v>
      </c>
      <c r="N2543" s="7"/>
    </row>
    <row r="2544">
      <c r="A2544" s="7" t="str">
        <f>IFERROR(__xludf.DUMMYFUNCTION("""COMPUTED_VALUE"""),"2365-MAIN")</f>
        <v>2365-MAIN</v>
      </c>
      <c r="B2544" s="7" t="str">
        <f>IFERROR(__xludf.DUMMYFUNCTION("""COMPUTED_VALUE"""),"LLaMA-Omni 2: LLM-based Real-time Spoken Chatbot with Autoregressive Streaming Speech Synthesis")</f>
        <v>LLaMA-Omni 2: LLM-based Real-time Spoken Chatbot with Autoregressive Streaming Speech Synthesis</v>
      </c>
      <c r="C2544" s="7" t="str">
        <f>IFERROR(__xludf.DUMMYFUNCTION("""COMPUTED_VALUE"""),"Real-time, intelligent, and natural speech interaction is an essential part of the next-generation human-computer interaction. Recent advancements have showcased the potential of building intelligent spoken chatbots based on large language models (LLMs). "&amp;"In this paper, we introduce LLaMA-Omni 2, a series of speech language models (SpeechLMs) ranging from 0.5B to 14B parameters, capable of achieving high-quality real-time speech interaction. LLaMA-Omni 2 is built upon the Qwen2.5 series models, integrating"&amp;" a speech encoder and an autoregressive streaming speech decoder. Despite being trained on only 200K multi-turn speech dialogue samples, LLaMA-Omni 2 demonstrates strong performance on several spoken question answering and speech instruction following ben"&amp;"chmarks, surpassing previous state-of-the-art SpeechLMs like GLM-4-Voice, which was trained on millions of hours of speech data.")</f>
        <v>Real-time, intelligent, and natural speech interaction is an essential part of the next-generation human-computer interaction. Recent advancements have showcased the potential of building intelligent spoken chatbots based on large language models (LLMs). In this paper, we introduce LLaMA-Omni 2, a series of speech language models (SpeechLMs) ranging from 0.5B to 14B parameters, capable of achieving high-quality real-time speech interaction. LLaMA-Omni 2 is built upon the Qwen2.5 series models, integrating a speech encoder and an autoregressive streaming speech decoder. Despite being trained on only 200K multi-turn speech dialogue samples, LLaMA-Omni 2 demonstrates strong performance on several spoken question answering and speech instruction following benchmarks, surpassing previous state-of-the-art SpeechLMs like GLM-4-Voice, which was trained on millions of hours of speech data.</v>
      </c>
      <c r="D2544" s="7" t="str">
        <f>IFERROR(__xludf.DUMMYFUNCTION("""COMPUTED_VALUE"""),"Qingkai Fang")</f>
        <v>Qingkai Fang</v>
      </c>
      <c r="E2544" s="7" t="str">
        <f>IFERROR(__xludf.DUMMYFUNCTION("""COMPUTED_VALUE"""),"Yes")</f>
        <v>Yes</v>
      </c>
      <c r="F2544" s="7" t="str">
        <f>IFERROR(__xludf.DUMMYFUNCTION("""COMPUTED_VALUE"""),"IP-Poster")</f>
        <v>IP-Poster</v>
      </c>
      <c r="G2544" s="7" t="str">
        <f>IFERROR(__xludf.DUMMYFUNCTION("""COMPUTED_VALUE"""),"In-Person")</f>
        <v>In-Person</v>
      </c>
      <c r="H2544" s="7" t="str">
        <f>IFERROR(__xludf.DUMMYFUNCTION("""COMPUTED_VALUE"""),"Hall 4/5")</f>
        <v>Hall 4/5</v>
      </c>
      <c r="I2544" s="7" t="str">
        <f>IFERROR(__xludf.DUMMYFUNCTION("""COMPUTED_VALUE"""),"Session 2: IP-Posters ")</f>
        <v>Session 2: IP-Posters </v>
      </c>
      <c r="J2544" s="7" t="str">
        <f>IFERROR(__xludf.DUMMYFUNCTION("""COMPUTED_VALUE"""),"Poster Session 1")</f>
        <v>Poster Session 1</v>
      </c>
      <c r="K2544" s="7"/>
      <c r="L2544" s="8">
        <f>IFERROR(__xludf.DUMMYFUNCTION("""COMPUTED_VALUE"""),45866.0)</f>
        <v>45866</v>
      </c>
      <c r="M2544" s="7" t="str">
        <f>IFERROR(__xludf.DUMMYFUNCTION("""COMPUTED_VALUE"""),"11:00-12:30")</f>
        <v>11:00-12:30</v>
      </c>
      <c r="N2544" s="7"/>
    </row>
    <row r="2545">
      <c r="A2545" s="7" t="str">
        <f>IFERROR(__xludf.DUMMYFUNCTION("""COMPUTED_VALUE"""),"2374-MAIN")</f>
        <v>2374-MAIN</v>
      </c>
      <c r="B2545" s="7" t="str">
        <f>IFERROR(__xludf.DUMMYFUNCTION("""COMPUTED_VALUE"""),"Error Comparison Optimization for Large Language Models on Aspect-Based Sentiment Analysis")</f>
        <v>Error Comparison Optimization for Large Language Models on Aspect-Based Sentiment Analysis</v>
      </c>
      <c r="C2545" s="7" t="str">
        <f>IFERROR(__xludf.DUMMYFUNCTION("""COMPUTED_VALUE"""),"Supervised fine-tuning (SFT) has enabled large language models (LLMs) to exhibit promising performance on various tasks. However, this fine-tuning process only compares current predictions and labels on each sample, yet fails to perceive and understand it"&amp;"s error outputs from different degrees, which may potentially produce a large percentage of serious errors. This poses a problem for aspect-based sentiment analysis (ABSA) in that these serious errors bring a greater negative impact than acceptable ones. "&amp;"Humans tend to compare mistakes to understand the varying degrees of mistakes, thus avoiding major bad decisions. Inspired by this, we propose a simple yet effective framework that could perceive and understand the degree of different errors by learning f"&amp;"rom comparative error pairs. It utilizes the SFT model to yield multiple outputs on each sample and selects acceptable and severe errors based on the acceptable scores. Together with the labels, we construct two comparative error pairs and exploit their c"&amp;"alibration losses to optimize parameters. We conduct comprehensive experiments on ABSA datasets to demonstrate the effectiveness of our framework over baselines.")</f>
        <v>Supervised fine-tuning (SFT) has enabled large language models (LLMs) to exhibit promising performance on various tasks. However, this fine-tuning process only compares current predictions and labels on each sample, yet fails to perceive and understand its error outputs from different degrees, which may potentially produce a large percentage of serious errors. This poses a problem for aspect-based sentiment analysis (ABSA) in that these serious errors bring a greater negative impact than acceptable ones. Humans tend to compare mistakes to understand the varying degrees of mistakes, thus avoiding major bad decisions. Inspired by this, we propose a simple yet effective framework that could perceive and understand the degree of different errors by learning from comparative error pairs. It utilizes the SFT model to yield multiple outputs on each sample and selects acceptable and severe errors based on the acceptable scores. Together with the labels, we construct two comparative error pairs and exploit their calibration losses to optimize parameters. We conduct comprehensive experiments on ABSA datasets to demonstrate the effectiveness of our framework over baselines.</v>
      </c>
      <c r="D2545" s="7" t="str">
        <f>IFERROR(__xludf.DUMMYFUNCTION("""COMPUTED_VALUE"""),"Qianlong Wang")</f>
        <v>Qianlong Wang</v>
      </c>
      <c r="E2545" s="7" t="str">
        <f>IFERROR(__xludf.DUMMYFUNCTION("""COMPUTED_VALUE"""),"Yes")</f>
        <v>Yes</v>
      </c>
      <c r="F2545" s="7" t="str">
        <f>IFERROR(__xludf.DUMMYFUNCTION("""COMPUTED_VALUE"""),"V-Presentation")</f>
        <v>V-Presentation</v>
      </c>
      <c r="G2545" s="7" t="str">
        <f>IFERROR(__xludf.DUMMYFUNCTION("""COMPUTED_VALUE"""),"Virtual/Gather")</f>
        <v>Virtual/Gather</v>
      </c>
      <c r="H2545" s="7" t="str">
        <f>IFERROR(__xludf.DUMMYFUNCTION("""COMPUTED_VALUE"""),"Zoom")</f>
        <v>Zoom</v>
      </c>
      <c r="I2545" s="7" t="str">
        <f>IFERROR(__xludf.DUMMYFUNCTION("""COMPUTED_VALUE"""),"Session 2: V-Presentations")</f>
        <v>Session 2: V-Presentations</v>
      </c>
      <c r="J2545" s="7" t="str">
        <f>IFERROR(__xludf.DUMMYFUNCTION("""COMPUTED_VALUE"""),"Virtual Presentations 1")</f>
        <v>Virtual Presentations 1</v>
      </c>
      <c r="K2545" s="7"/>
      <c r="L2545" s="8">
        <f>IFERROR(__xludf.DUMMYFUNCTION("""COMPUTED_VALUE"""),45866.0)</f>
        <v>45866</v>
      </c>
      <c r="M2545" s="7" t="str">
        <f>IFERROR(__xludf.DUMMYFUNCTION("""COMPUTED_VALUE"""),"11:00-12:30")</f>
        <v>11:00-12:30</v>
      </c>
      <c r="N2545" s="7"/>
    </row>
    <row r="2546">
      <c r="A2546" s="7" t="str">
        <f>IFERROR(__xludf.DUMMYFUNCTION("""COMPUTED_VALUE"""),"2382-MAIN")</f>
        <v>2382-MAIN</v>
      </c>
      <c r="B2546" s="7" t="str">
        <f>IFERROR(__xludf.DUMMYFUNCTION("""COMPUTED_VALUE"""),"The AI Gap: How Socioeconomic Status Affects Language Technology Interactions")</f>
        <v>The AI Gap: How Socioeconomic Status Affects Language Technology Interactions</v>
      </c>
      <c r="C2546" s="7" t="str">
        <f>IFERROR(__xludf.DUMMYFUNCTION("""COMPUTED_VALUE"""),"Socioeconomic status (SES) fundamentally influences how people interact with each other and, more recently, with digital technologies like large language models (LLMs). While previous research has highlighted the interaction between SES and language techn"&amp;"ology, it was limited by reliance on proxy metrics and synthetic data. We survey 1,000 individuals from 'diverse socioeconomic backgrounds' about their use of language technologies and generative AI, and collect 6,482 prompts from their previous interacti"&amp;"ons with LLMs. We find systematic differences across SES groups in language technology usage (i.e., frequency, performed tasks), interaction styles, and topics. Higher SES entail a higher level of abstraction, convey requests more concisely, and topics li"&amp;"ke 'inclusivity' and 'travel'. Lower SES correlates with higher anthropomorphization of LLMs (using ''hello'' and ''thank you'') and more concrete language. Our findings suggest that while generative language technologies are becoming more accessible to e"&amp;"veryone, socioeconomic linguistic differences still stratify their use to create a digital divide. These differences underscore the importance of considering SES in developing language technologies to accommodate varying linguistic needs rooted in socioec"&amp;"onomic factors and limit the AI Gap across SES groups.")</f>
        <v>Socioeconomic status (SES) fundamentally influences how people interact with each other and, more recently, with digital technologies like large language models (LLMs). While previous research has highlighted the interaction between SES and language technology, it was limited by reliance on proxy metrics and synthetic data. We survey 1,000 individuals from 'diverse socioeconomic backgrounds' about their use of language technologies and generative AI, and collect 6,482 prompts from their previous interactions with LLMs. We find systematic differences across SES groups in language technology usage (i.e., frequency, performed tasks), interaction styles, and topics. Higher SES entail a higher level of abstraction, convey requests more concisely, and topics like 'inclusivity' and 'travel'. Lower SES correlates with higher anthropomorphization of LLMs (using ''hello'' and ''thank you'') and more concrete language. Our findings suggest that while generative language technologies are becoming more accessible to everyone, socioeconomic linguistic differences still stratify their use to create a digital divide. These differences underscore the importance of considering SES in developing language technologies to accommodate varying linguistic needs rooted in socioeconomic factors and limit the AI Gap across SES groups.</v>
      </c>
      <c r="D2546" s="7" t="str">
        <f>IFERROR(__xludf.DUMMYFUNCTION("""COMPUTED_VALUE"""),"Elisa Bassignana")</f>
        <v>Elisa Bassignana</v>
      </c>
      <c r="E2546" s="7" t="str">
        <f>IFERROR(__xludf.DUMMYFUNCTION("""COMPUTED_VALUE"""),"Yes")</f>
        <v>Yes</v>
      </c>
      <c r="F2546" s="7" t="str">
        <f>IFERROR(__xludf.DUMMYFUNCTION("""COMPUTED_VALUE"""),"IP-Oral")</f>
        <v>IP-Oral</v>
      </c>
      <c r="G2546" s="7" t="str">
        <f>IFERROR(__xludf.DUMMYFUNCTION("""COMPUTED_VALUE"""),"In-Person")</f>
        <v>In-Person</v>
      </c>
      <c r="H2546" s="7" t="str">
        <f>IFERROR(__xludf.DUMMYFUNCTION("""COMPUTED_VALUE"""),"Hall C")</f>
        <v>Hall C</v>
      </c>
      <c r="I2546" s="7" t="str">
        <f>IFERROR(__xludf.DUMMYFUNCTION("""COMPUTED_VALUE"""),"Session 11: IP-Orals ")</f>
        <v>Session 11: IP-Orals </v>
      </c>
      <c r="J2546" s="7" t="str">
        <f>IFERROR(__xludf.DUMMYFUNCTION("""COMPUTED_VALUE"""),"Panel 3: Human-centred NLP")</f>
        <v>Panel 3: Human-centred NLP</v>
      </c>
      <c r="K2546" s="7"/>
      <c r="L2546" s="8">
        <f>IFERROR(__xludf.DUMMYFUNCTION("""COMPUTED_VALUE"""),45868.0)</f>
        <v>45868</v>
      </c>
      <c r="M2546" s="7" t="str">
        <f>IFERROR(__xludf.DUMMYFUNCTION("""COMPUTED_VALUE"""),"09:00-10:30")</f>
        <v>09:00-10:30</v>
      </c>
      <c r="N2546" s="7">
        <f>IFERROR(__xludf.DUMMYFUNCTION("""COMPUTED_VALUE"""),3.0)</f>
        <v>3</v>
      </c>
    </row>
    <row r="2547">
      <c r="A2547" s="7" t="str">
        <f>IFERROR(__xludf.DUMMYFUNCTION("""COMPUTED_VALUE"""),"2386-MAIN")</f>
        <v>2386-MAIN</v>
      </c>
      <c r="B2547" s="7" t="str">
        <f>IFERROR(__xludf.DUMMYFUNCTION("""COMPUTED_VALUE"""),"Probing LLMs for Multilingual Discourse Generalization Through a Unified Label Set")</f>
        <v>Probing LLMs for Multilingual Discourse Generalization Through a Unified Label Set</v>
      </c>
      <c r="C2547" s="7" t="str">
        <f>IFERROR(__xludf.DUMMYFUNCTION("""COMPUTED_VALUE"""),"Discourse understanding is essential for many NLP tasks, yet most existing work remains constrained by framework-dependent discourse representations. This work investigates whether large language models (LLMs) capture discourse knowledge that generalizes "&amp;"across languages and frameworks. We address this question along two dimensions: (1) developing a unified discourse relation label set to facilitate cross-lingual and cross-framework discourse analysis, and (2) probing LLMs to assess whether they encode ge"&amp;"neralizable discourse abstractions. Using multilingual discourse relation classification as a testbed, we examine a comprehensive set of 23 LLMs of varying sizes and multilingual capabilities. Our results show that LLMs, especially those with multilingual"&amp;" training corpora, can generalize discourse information across languages and frameworks. Further layer-wise analyses reveal that language generalization at the discourse level is most salient in the intermediate layers. Lastly, our error analysis provides"&amp;" an account of challenging relation classes.")</f>
        <v>Discourse understanding is essential for many NLP tasks, yet most existing work remains constrained by framework-dependent discourse representations. This work investigates whether large language models (LLMs) capture discourse knowledge that generalizes across languages and frameworks. We address this question along two dimensions: (1) developing a unified discourse relation label set to facilitate cross-lingual and cross-framework discourse analysis, and (2) probing LLMs to assess whether they encode generalizable discourse abstractions. Using multilingual discourse relation classification as a testbed, we examine a comprehensive set of 23 LLMs of varying sizes and multilingual capabilities. Our results show that LLMs, especially those with multilingual training corpora, can generalize discourse information across languages and frameworks. Further layer-wise analyses reveal that language generalization at the discourse level is most salient in the intermediate layers. Lastly, our error analysis provides an account of challenging relation classes.</v>
      </c>
      <c r="D2547" s="7" t="str">
        <f>IFERROR(__xludf.DUMMYFUNCTION("""COMPUTED_VALUE"""),"Florian Eichin")</f>
        <v>Florian Eichin</v>
      </c>
      <c r="E2547" s="7" t="str">
        <f>IFERROR(__xludf.DUMMYFUNCTION("""COMPUTED_VALUE"""),"Yes")</f>
        <v>Yes</v>
      </c>
      <c r="F2547" s="7" t="str">
        <f>IFERROR(__xludf.DUMMYFUNCTION("""COMPUTED_VALUE"""),"IP-Poster")</f>
        <v>IP-Poster</v>
      </c>
      <c r="G2547" s="7" t="str">
        <f>IFERROR(__xludf.DUMMYFUNCTION("""COMPUTED_VALUE"""),"In-Person")</f>
        <v>In-Person</v>
      </c>
      <c r="H2547" s="7" t="str">
        <f>IFERROR(__xludf.DUMMYFUNCTION("""COMPUTED_VALUE"""),"Hall 4/5")</f>
        <v>Hall 4/5</v>
      </c>
      <c r="I2547" s="7" t="str">
        <f>IFERROR(__xludf.DUMMYFUNCTION("""COMPUTED_VALUE"""),"Session 12: IP-Posters")</f>
        <v>Session 12: IP-Posters</v>
      </c>
      <c r="J2547" s="7" t="str">
        <f>IFERROR(__xludf.DUMMYFUNCTION("""COMPUTED_VALUE"""),"Poster Session 4")</f>
        <v>Poster Session 4</v>
      </c>
      <c r="K2547" s="7"/>
      <c r="L2547" s="8">
        <f>IFERROR(__xludf.DUMMYFUNCTION("""COMPUTED_VALUE"""),45868.0)</f>
        <v>45868</v>
      </c>
      <c r="M2547" s="7" t="str">
        <f>IFERROR(__xludf.DUMMYFUNCTION("""COMPUTED_VALUE"""),"11:00-12:30")</f>
        <v>11:00-12:30</v>
      </c>
      <c r="N2547" s="7"/>
    </row>
    <row r="2548">
      <c r="A2548" s="7" t="str">
        <f>IFERROR(__xludf.DUMMYFUNCTION("""COMPUTED_VALUE"""),"2392-MAIN")</f>
        <v>2392-MAIN</v>
      </c>
      <c r="B2548" s="7" t="str">
        <f>IFERROR(__xludf.DUMMYFUNCTION("""COMPUTED_VALUE"""),"Crowdsource, Crawl, or Generate? Creating SEA-VL, a Multicultural Vision-Language Dataset for Southeast Asia")</f>
        <v>Crowdsource, Crawl, or Generate? Creating SEA-VL, a Multicultural Vision-Language Dataset for Southeast Asia</v>
      </c>
      <c r="C2548" s="7" t="str">
        <f>IFERROR(__xludf.DUMMYFUNCTION("""COMPUTED_VALUE"""),"Despite Southeast Asia's (SEA) extraordinary linguistic and cultural diversity, the region remains significantly underrepresented in vision-language (VL) research, resulting in AI models that inadequately capture SEA cultural nuances. To fill this gap, we"&amp;" present SEA-VL, an open-source initiative dedicated to developing culturally relevant high-quality datasets for SEA languages. By involving contributors from SEA countries, SEA-VL ensures better cultural relevance and diversity, fostering greater inclusi"&amp;"vity of underrepresented languages and cultural depictions in VL research. Our methodology employed three approaches: community-driven crowdsourcing with SEA contributors, automated image crawling, and synthetic image generation. We evaluated each method'"&amp;"s effectiveness in capturing cultural relevance. We found that image crawling achieves approximately ~85% cultural relevance while being more cost- and time-efficient than crowdsourcing, whereas synthetic image generation failed to accurately reflect SEA "&amp;"cultural nuances and contexts. Collectively, we gathered 1.28 million SEA culturally relevant images, more than 50 times larger than other existing datasets. This work bridges the representation gap in SEA, establishes a foundation for developing cultural"&amp;"ly aware AI systems for this region, and provides a replicable framework for addressing representation gaps in other underrepresented regions.")</f>
        <v>Despite Southeast Asia's (SEA) extraordinary linguistic and cultural diversity, the region remains significantly underrepresented in vision-language (VL) research, resulting in AI models that inadequately capture SEA cultural nuances. To fill this gap, we present SEA-VL, an open-source initiative dedicated to developing culturally relevant high-quality datasets for SEA languages. By involving contributors from SEA countries, SEA-VL ensures better cultural relevance and diversity, fostering greater inclusivity of underrepresented languages and cultural depictions in VL research. Our methodology employed three approaches: community-driven crowdsourcing with SEA contributors, automated image crawling, and synthetic image generation. We evaluated each method's effectiveness in capturing cultural relevance. We found that image crawling achieves approximately ~85% cultural relevance while being more cost- and time-efficient than crowdsourcing, whereas synthetic image generation failed to accurately reflect SEA cultural nuances and contexts. Collectively, we gathered 1.28 million SEA culturally relevant images, more than 50 times larger than other existing datasets. This work bridges the representation gap in SEA, establishes a foundation for developing culturally aware AI systems for this region, and provides a replicable framework for addressing representation gaps in other underrepresented regions.</v>
      </c>
      <c r="D2548" s="7" t="str">
        <f>IFERROR(__xludf.DUMMYFUNCTION("""COMPUTED_VALUE"""),"Samuel Cahyawijaya")</f>
        <v>Samuel Cahyawijaya</v>
      </c>
      <c r="E2548" s="7" t="str">
        <f>IFERROR(__xludf.DUMMYFUNCTION("""COMPUTED_VALUE"""),"Yes")</f>
        <v>Yes</v>
      </c>
      <c r="F2548" s="7" t="str">
        <f>IFERROR(__xludf.DUMMYFUNCTION("""COMPUTED_VALUE"""),"IP-Poster")</f>
        <v>IP-Poster</v>
      </c>
      <c r="G2548" s="7" t="str">
        <f>IFERROR(__xludf.DUMMYFUNCTION("""COMPUTED_VALUE"""),"In-Person")</f>
        <v>In-Person</v>
      </c>
      <c r="H2548" s="7" t="str">
        <f>IFERROR(__xludf.DUMMYFUNCTION("""COMPUTED_VALUE"""),"Hall 4/5")</f>
        <v>Hall 4/5</v>
      </c>
      <c r="I2548" s="7" t="str">
        <f>IFERROR(__xludf.DUMMYFUNCTION("""COMPUTED_VALUE"""),"Session 7: IP-Posters")</f>
        <v>Session 7: IP-Posters</v>
      </c>
      <c r="J2548" s="7" t="str">
        <f>IFERROR(__xludf.DUMMYFUNCTION("""COMPUTED_VALUE"""),"Poster Session 2")</f>
        <v>Poster Session 2</v>
      </c>
      <c r="K2548" s="7"/>
      <c r="L2548" s="8">
        <f>IFERROR(__xludf.DUMMYFUNCTION("""COMPUTED_VALUE"""),45867.0)</f>
        <v>45867</v>
      </c>
      <c r="M2548" s="7" t="str">
        <f>IFERROR(__xludf.DUMMYFUNCTION("""COMPUTED_VALUE"""),"10:30-12:00")</f>
        <v>10:30-12:00</v>
      </c>
      <c r="N2548" s="7"/>
    </row>
    <row r="2549">
      <c r="A2549" s="7" t="str">
        <f>IFERROR(__xludf.DUMMYFUNCTION("""COMPUTED_VALUE"""),"2394-MAIN")</f>
        <v>2394-MAIN</v>
      </c>
      <c r="B2549" s="7" t="str">
        <f>IFERROR(__xludf.DUMMYFUNCTION("""COMPUTED_VALUE"""),"Soundwave: Less is More for Speech-Text Alignment in LLMs")</f>
        <v>Soundwave: Less is More for Speech-Text Alignment in LLMs</v>
      </c>
      <c r="C2549" s="7" t="str">
        <f>IFERROR(__xludf.DUMMYFUNCTION("""COMPUTED_VALUE"""),"Existing end-to-end speech large language models (LLMs) usually rely on large-scale annotated data for training, while data-efficient training has not been discussed in depth. We focus on two fundamental problems between speech and text: the representatio"&amp;"n space gap and sequence length inconsistency. We propose Soundwave, which utilizes an efficient training strategy and a novel architecture to address these issues. Results show that Soundwave outperforms other advanced speech LLMs in speech translation a"&amp;"nd AIR-Bench speech tasks with only a fraction of the training data. Further analysis shows that Soundwave still retains its intelligence during conversation.")</f>
        <v>Existing end-to-end speech large language models (LLMs) usually rely on large-scale annotated data for training, while data-efficient training has not been discussed in depth. We focus on two fundamental problems between speech and text: the representation space gap and sequence length inconsistency. We propose Soundwave, which utilizes an efficient training strategy and a novel architecture to address these issues. Results show that Soundwave outperforms other advanced speech LLMs in speech translation and AIR-Bench speech tasks with only a fraction of the training data. Further analysis shows that Soundwave still retains its intelligence during conversation.</v>
      </c>
      <c r="D2549" s="7" t="str">
        <f>IFERROR(__xludf.DUMMYFUNCTION("""COMPUTED_VALUE"""),"Yuhao Zhang")</f>
        <v>Yuhao Zhang</v>
      </c>
      <c r="E2549" s="7" t="str">
        <f>IFERROR(__xludf.DUMMYFUNCTION("""COMPUTED_VALUE"""),"Yes")</f>
        <v>Yes</v>
      </c>
      <c r="F2549" s="7" t="str">
        <f>IFERROR(__xludf.DUMMYFUNCTION("""COMPUTED_VALUE"""),"V-Presentation")</f>
        <v>V-Presentation</v>
      </c>
      <c r="G2549" s="7" t="str">
        <f>IFERROR(__xludf.DUMMYFUNCTION("""COMPUTED_VALUE"""),"Virtual/Gather")</f>
        <v>Virtual/Gather</v>
      </c>
      <c r="H2549" s="7" t="str">
        <f>IFERROR(__xludf.DUMMYFUNCTION("""COMPUTED_VALUE"""),"Zoom")</f>
        <v>Zoom</v>
      </c>
      <c r="I2549" s="7" t="str">
        <f>IFERROR(__xludf.DUMMYFUNCTION("""COMPUTED_VALUE"""),"Session 12: V-Presentations")</f>
        <v>Session 12: V-Presentations</v>
      </c>
      <c r="J2549" s="7" t="str">
        <f>IFERROR(__xludf.DUMMYFUNCTION("""COMPUTED_VALUE"""),"Virtual Presentations 4")</f>
        <v>Virtual Presentations 4</v>
      </c>
      <c r="K2549" s="7"/>
      <c r="L2549" s="8">
        <f>IFERROR(__xludf.DUMMYFUNCTION("""COMPUTED_VALUE"""),45868.0)</f>
        <v>45868</v>
      </c>
      <c r="M2549" s="7" t="str">
        <f>IFERROR(__xludf.DUMMYFUNCTION("""COMPUTED_VALUE"""),"11:00-12:30")</f>
        <v>11:00-12:30</v>
      </c>
      <c r="N2549" s="7"/>
    </row>
    <row r="2550">
      <c r="A2550" s="7" t="str">
        <f>IFERROR(__xludf.DUMMYFUNCTION("""COMPUTED_VALUE"""),"2396-MAIN")</f>
        <v>2396-MAIN</v>
      </c>
      <c r="B2550" s="7" t="str">
        <f>IFERROR(__xludf.DUMMYFUNCTION("""COMPUTED_VALUE"""),"RoToR: Towards More Reliable Responses for Order-Invariant Inputs")</f>
        <v>RoToR: Towards More Reliable Responses for Order-Invariant Inputs</v>
      </c>
      <c r="C2550" s="7" t="str">
        <f>IFERROR(__xludf.DUMMYFUNCTION("""COMPUTED_VALUE"""),"Mitigating positional bias of language models (LMs) for listwise inputs is a well-known and important problem (e.g., lost-in-the-middle). While zero-shot order-invariant LMs have been proposed to solve this issue, their success on practical listwise probl"&amp;"ems has been limited. In this work, as a first contribution, we identify and overcome two limitations to make zero-shot invariant LMs more practical: (1) training and inference distribution mismatch arising from modifying positional ID assignments to enfo"&amp;"rce invariance, and (2) failure to adapt to mixture of order-invariant and sensitive inputs in practical listwise problems. Then, to overcome these issues we propose (1) RoToR, a zero-shot invariant LM for genuinely order-invariant inputs with minimal mod"&amp;"ifications of positional IDs, and (2) Selective Routing, an adaptive framework that handles both order-invariant and order-sensitive inputs in listwise tasks. On the Lost in the middle (LitM), Knowledge Graph QA (KGQA), and MMLU benchmarks, we show that R"&amp;"oToR with Selective Routing can effectively handle practical listwise input tasks in a zero-shot manner (https://github.com/soyoung97/RoToR)")</f>
        <v>Mitigating positional bias of language models (LMs) for listwise inputs is a well-known and important problem (e.g., lost-in-the-middle). While zero-shot order-invariant LMs have been proposed to solve this issue, their success on practical listwise problems has been limited. In this work, as a first contribution, we identify and overcome two limitations to make zero-shot invariant LMs more practical: (1) training and inference distribution mismatch arising from modifying positional ID assignments to enforce invariance, and (2) failure to adapt to mixture of order-invariant and sensitive inputs in practical listwise problems. Then, to overcome these issues we propose (1) RoToR, a zero-shot invariant LM for genuinely order-invariant inputs with minimal modifications of positional IDs, and (2) Selective Routing, an adaptive framework that handles both order-invariant and order-sensitive inputs in listwise tasks. On the Lost in the middle (LitM), Knowledge Graph QA (KGQA), and MMLU benchmarks, we show that RoToR with Selective Routing can effectively handle practical listwise input tasks in a zero-shot manner (https://github.com/soyoung97/RoToR)</v>
      </c>
      <c r="D2550" s="7" t="str">
        <f>IFERROR(__xludf.DUMMYFUNCTION("""COMPUTED_VALUE"""),"Soyoung Yoon")</f>
        <v>Soyoung Yoon</v>
      </c>
      <c r="E2550" s="7" t="str">
        <f>IFERROR(__xludf.DUMMYFUNCTION("""COMPUTED_VALUE"""),"Yes")</f>
        <v>Yes</v>
      </c>
      <c r="F2550" s="7" t="str">
        <f>IFERROR(__xludf.DUMMYFUNCTION("""COMPUTED_VALUE"""),"IP-Oral")</f>
        <v>IP-Oral</v>
      </c>
      <c r="G2550" s="7" t="str">
        <f>IFERROR(__xludf.DUMMYFUNCTION("""COMPUTED_VALUE"""),"In-Person")</f>
        <v>In-Person</v>
      </c>
      <c r="H2550" s="7" t="str">
        <f>IFERROR(__xludf.DUMMYFUNCTION("""COMPUTED_VALUE"""),"Hall M.1")</f>
        <v>Hall M.1</v>
      </c>
      <c r="I2550" s="7" t="str">
        <f>IFERROR(__xludf.DUMMYFUNCTION("""COMPUTED_VALUE"""),"Session 11: IP-Orals ")</f>
        <v>Session 11: IP-Orals </v>
      </c>
      <c r="J2550" s="7" t="str">
        <f>IFERROR(__xludf.DUMMYFUNCTION("""COMPUTED_VALUE"""),"NLP Applications 2")</f>
        <v>NLP Applications 2</v>
      </c>
      <c r="K2550" s="7"/>
      <c r="L2550" s="8">
        <f>IFERROR(__xludf.DUMMYFUNCTION("""COMPUTED_VALUE"""),45868.0)</f>
        <v>45868</v>
      </c>
      <c r="M2550" s="7" t="str">
        <f>IFERROR(__xludf.DUMMYFUNCTION("""COMPUTED_VALUE"""),"09:00-10:30")</f>
        <v>09:00-10:30</v>
      </c>
      <c r="N2550" s="7">
        <f>IFERROR(__xludf.DUMMYFUNCTION("""COMPUTED_VALUE"""),5.0)</f>
        <v>5</v>
      </c>
    </row>
    <row r="2551">
      <c r="A2551" s="7" t="str">
        <f>IFERROR(__xludf.DUMMYFUNCTION("""COMPUTED_VALUE"""),"2397-MAIN")</f>
        <v>2397-MAIN</v>
      </c>
      <c r="B2551" s="7" t="str">
        <f>IFERROR(__xludf.DUMMYFUNCTION("""COMPUTED_VALUE"""),"Global MMLU: Understanding and Addressing Cultural and Linguistic Biases in Multilingual Evaluation")</f>
        <v>Global MMLU: Understanding and Addressing Cultural and Linguistic Biases in Multilingual Evaluation</v>
      </c>
      <c r="C2551" s="7" t="str">
        <f>IFERROR(__xludf.DUMMYFUNCTION("""COMPUTED_VALUE"""),"Reliable multilingual evaluation is difficult, and culturally appropriate evaluation is even harder to achieve.
A common practice to fill this gap is to machine-translate English evaluation sets. However, translation introduces language bias and carries o"&amp;"ver cultural and regional assumptions from the original questions -- often testing knowledge irrelevant to the target audience.  
In this work, we highlight the extent and impact of these biases and present a multilingual evaluation framework that aims to"&amp;" mitigate them through improved translations and annotation practices.
Through a large-scale study involving professional and community translators and annotators, we show that state-of-the-art models excel primarily by learning Western-centric concepts. "&amp;"Notably, we find that model rankings on the full MMLU change when evaluated on a subset of questions explicitly marked as culturally sensitive.
We release Global MMLU, a multilingual extension of MMLU across 42 languages, featuring improved translation qu"&amp;"ality, expanded language coverage, and designated subsets labeled as culturally sensitive and culturally agnostic to enable a more comprehensive and equitable benchmark for evaluating language models across diverse linguistic and cultural contexts.")</f>
        <v>Reliable multilingual evaluation is difficult, and culturally appropriate evaluation is even harder to achieve.
A common practice to fill this gap is to machine-translate English evaluation sets. However, translation introduces language bias and carries over cultural and regional assumptions from the original questions -- often testing knowledge irrelevant to the target audience.  
In this work, we highlight the extent and impact of these biases and present a multilingual evaluation framework that aims to mitigate them through improved translations and annotation practices.
Through a large-scale study involving professional and community translators and annotators, we show that state-of-the-art models excel primarily by learning Western-centric concepts. Notably, we find that model rankings on the full MMLU change when evaluated on a subset of questions explicitly marked as culturally sensitive.
We release Global MMLU, a multilingual extension of MMLU across 42 languages, featuring improved translation quality, expanded language coverage, and designated subsets labeled as culturally sensitive and culturally agnostic to enable a more comprehensive and equitable benchmark for evaluating language models across diverse linguistic and cultural contexts.</v>
      </c>
      <c r="D2551" s="7" t="str">
        <f>IFERROR(__xludf.DUMMYFUNCTION("""COMPUTED_VALUE"""),"Shivalika Singh")</f>
        <v>Shivalika Singh</v>
      </c>
      <c r="E2551" s="7" t="str">
        <f>IFERROR(__xludf.DUMMYFUNCTION("""COMPUTED_VALUE"""),"Yes")</f>
        <v>Yes</v>
      </c>
      <c r="F2551" s="7" t="str">
        <f>IFERROR(__xludf.DUMMYFUNCTION("""COMPUTED_VALUE"""),"IP-Poster")</f>
        <v>IP-Poster</v>
      </c>
      <c r="G2551" s="7" t="str">
        <f>IFERROR(__xludf.DUMMYFUNCTION("""COMPUTED_VALUE"""),"In-Person")</f>
        <v>In-Person</v>
      </c>
      <c r="H2551" s="7" t="str">
        <f>IFERROR(__xludf.DUMMYFUNCTION("""COMPUTED_VALUE"""),"Hall 4/5")</f>
        <v>Hall 4/5</v>
      </c>
      <c r="I2551" s="7" t="str">
        <f>IFERROR(__xludf.DUMMYFUNCTION("""COMPUTED_VALUE"""),"Session 7: IP-Posters")</f>
        <v>Session 7: IP-Posters</v>
      </c>
      <c r="J2551" s="7" t="str">
        <f>IFERROR(__xludf.DUMMYFUNCTION("""COMPUTED_VALUE"""),"Poster Session 2")</f>
        <v>Poster Session 2</v>
      </c>
      <c r="K2551" s="7"/>
      <c r="L2551" s="8">
        <f>IFERROR(__xludf.DUMMYFUNCTION("""COMPUTED_VALUE"""),45867.0)</f>
        <v>45867</v>
      </c>
      <c r="M2551" s="7" t="str">
        <f>IFERROR(__xludf.DUMMYFUNCTION("""COMPUTED_VALUE"""),"10:30-12:00")</f>
        <v>10:30-12:00</v>
      </c>
      <c r="N2551" s="7"/>
    </row>
    <row r="2552">
      <c r="A2552" s="7" t="str">
        <f>IFERROR(__xludf.DUMMYFUNCTION("""COMPUTED_VALUE"""),"2401-MAIN")</f>
        <v>2401-MAIN</v>
      </c>
      <c r="B2552" s="7" t="str">
        <f>IFERROR(__xludf.DUMMYFUNCTION("""COMPUTED_VALUE"""),"Improving Dialogue Discourse Parsing through Discourse-aware Utterance Clarification")</f>
        <v>Improving Dialogue Discourse Parsing through Discourse-aware Utterance Clarification</v>
      </c>
      <c r="C2552" s="7" t="str">
        <f>IFERROR(__xludf.DUMMYFUNCTION("""COMPUTED_VALUE"""),"Dialogue discourse parsing aims to identify and analyze discourse relations between the utterances within dialogues. However, linguistic features in dialogues, such as omission and idiom, frequently introduce ambiguities that obscure the intended discours"&amp;"e relations, posing significant challenges for parsers. To address this issue, we propose a Discourse-aware Clarification Module (DCM) to enhance the performance of the dialogue discourse parser. DCM employs two distinct reasoning processes: clarification"&amp;" type reasoning and discourse goal reasoning. The former analyzes linguistic features, while the latter distinguishes the intended relation from the ambiguous one. Furthermore, we introduce Contribution-aware Preference Optimization (CPO) to mitigate the "&amp;"risk of erroneous clarifications, thereby reducing cascading errors. CPO enables the parser to assess the contributions of the clarifications from DCM and provide feedback to optimize the DCM, enhancing its adaptability and alignment with the parser’s req"&amp;"uirements. Extensive experiments on the STAC and Molweni datasets demonstrate that our approach effectively resolves ambiguities and significantly outperforms the state-of-the-art (SOTA) baselines.")</f>
        <v>Dialogue discourse parsing aims to identify and analyze discourse relations between the utterances within dialogues. However, linguistic features in dialogues, such as omission and idiom, frequently introduce ambiguities that obscure the intended discourse relations, posing significant challenges for parsers. To address this issue, we propose a Discourse-aware Clarification Module (DCM) to enhance the performance of the dialogue discourse parser. DCM employs two distinct reasoning processes: clarification type reasoning and discourse goal reasoning. The former analyzes linguistic features, while the latter distinguishes the intended relation from the ambiguous one. Furthermore, we introduce Contribution-aware Preference Optimization (CPO) to mitigate the risk of erroneous clarifications, thereby reducing cascading errors. CPO enables the parser to assess the contributions of the clarifications from DCM and provide feedback to optimize the DCM, enhancing its adaptability and alignment with the parser’s requirements. Extensive experiments on the STAC and Molweni datasets demonstrate that our approach effectively resolves ambiguities and significantly outperforms the state-of-the-art (SOTA) baselines.</v>
      </c>
      <c r="D2552" s="7" t="str">
        <f>IFERROR(__xludf.DUMMYFUNCTION("""COMPUTED_VALUE"""),"Yaxin Fan")</f>
        <v>Yaxin Fan</v>
      </c>
      <c r="E2552" s="7" t="str">
        <f>IFERROR(__xludf.DUMMYFUNCTION("""COMPUTED_VALUE"""),"Yes")</f>
        <v>Yes</v>
      </c>
      <c r="F2552" s="7" t="str">
        <f>IFERROR(__xludf.DUMMYFUNCTION("""COMPUTED_VALUE"""),"IP-Poster")</f>
        <v>IP-Poster</v>
      </c>
      <c r="G2552" s="7" t="str">
        <f>IFERROR(__xludf.DUMMYFUNCTION("""COMPUTED_VALUE"""),"In-Person")</f>
        <v>In-Person</v>
      </c>
      <c r="H2552" s="7" t="str">
        <f>IFERROR(__xludf.DUMMYFUNCTION("""COMPUTED_VALUE"""),"Hall 4/5")</f>
        <v>Hall 4/5</v>
      </c>
      <c r="I2552" s="7" t="str">
        <f>IFERROR(__xludf.DUMMYFUNCTION("""COMPUTED_VALUE"""),"Session 12: IP-Posters")</f>
        <v>Session 12: IP-Posters</v>
      </c>
      <c r="J2552" s="7" t="str">
        <f>IFERROR(__xludf.DUMMYFUNCTION("""COMPUTED_VALUE"""),"Poster Session 4")</f>
        <v>Poster Session 4</v>
      </c>
      <c r="K2552" s="7"/>
      <c r="L2552" s="8">
        <f>IFERROR(__xludf.DUMMYFUNCTION("""COMPUTED_VALUE"""),45868.0)</f>
        <v>45868</v>
      </c>
      <c r="M2552" s="7" t="str">
        <f>IFERROR(__xludf.DUMMYFUNCTION("""COMPUTED_VALUE"""),"11:00-12:30")</f>
        <v>11:00-12:30</v>
      </c>
      <c r="N2552" s="7"/>
    </row>
    <row r="2553">
      <c r="A2553" s="7" t="str">
        <f>IFERROR(__xludf.DUMMYFUNCTION("""COMPUTED_VALUE"""),"2410-MAIN")</f>
        <v>2410-MAIN</v>
      </c>
      <c r="B2553" s="7" t="str">
        <f>IFERROR(__xludf.DUMMYFUNCTION("""COMPUTED_VALUE"""),"ImPart: Importance-Aware Delta-Sparsification for Improved Model Compression and Merging in LLMs")</f>
        <v>ImPart: Importance-Aware Delta-Sparsification for Improved Model Compression and Merging in LLMs</v>
      </c>
      <c r="C2553" s="7" t="str">
        <f>IFERROR(__xludf.DUMMYFUNCTION("""COMPUTED_VALUE"""),"With the proliferation of task-specific large language models, delta compression has emerged as a method to mitigate the resource challenges of deploying numerous such models by effectively compressing the delta model parameters. Previous delta-sparsifica"&amp;"tion methods either remove parameters randomly or truncate singular vectors directly after singular value decomposition (SVD). However, these methods either disregard parameter importance entirely or evaluate it with too coarse a granularity. In this work"&amp;", we introduce ImPart, a novel importance-aware delta sparsification approach. Leveraging SVD, it dynamically adjusts sparsity ratios of different singular vectors based on their importance, effectively retaining crucial task-specific knowledge even at hi"&amp;"gh sparsity ratios. Experiments show that ImPart achieves state-of-the-art delta sparsification performance, demonstrating $2\times$ higher compression ratio than baselines at the same performance level. When integrated with existing methods, ImPart sets "&amp;"a new state-of-the-art on delta quantization and model merging.")</f>
        <v>With the proliferation of task-specific large language models, delta compression has emerged as a method to mitigate the resource challenges of deploying numerous such models by effectively compressing the delta model parameters. Previous delta-sparsification methods either remove parameters randomly or truncate singular vectors directly after singular value decomposition (SVD). However, these methods either disregard parameter importance entirely or evaluate it with too coarse a granularity. In this work, we introduce ImPart, a novel importance-aware delta sparsification approach. Leveraging SVD, it dynamically adjusts sparsity ratios of different singular vectors based on their importance, effectively retaining crucial task-specific knowledge even at high sparsity ratios. Experiments show that ImPart achieves state-of-the-art delta sparsification performance, demonstrating $2\times$ higher compression ratio than baselines at the same performance level. When integrated with existing methods, ImPart sets a new state-of-the-art on delta quantization and model merging.</v>
      </c>
      <c r="D2553" s="7" t="str">
        <f>IFERROR(__xludf.DUMMYFUNCTION("""COMPUTED_VALUE"""),"Guanhua Chen")</f>
        <v>Guanhua Chen</v>
      </c>
      <c r="E2553" s="7" t="str">
        <f>IFERROR(__xludf.DUMMYFUNCTION("""COMPUTED_VALUE"""),"Yes")</f>
        <v>Yes</v>
      </c>
      <c r="F2553" s="7" t="str">
        <f>IFERROR(__xludf.DUMMYFUNCTION("""COMPUTED_VALUE"""),"IP-Poster")</f>
        <v>IP-Poster</v>
      </c>
      <c r="G2553" s="7" t="str">
        <f>IFERROR(__xludf.DUMMYFUNCTION("""COMPUTED_VALUE"""),"In-Person")</f>
        <v>In-Person</v>
      </c>
      <c r="H2553" s="7" t="str">
        <f>IFERROR(__xludf.DUMMYFUNCTION("""COMPUTED_VALUE"""),"Hall 4/5")</f>
        <v>Hall 4/5</v>
      </c>
      <c r="I2553" s="7" t="str">
        <f>IFERROR(__xludf.DUMMYFUNCTION("""COMPUTED_VALUE"""),"Session 2: IP-Posters ")</f>
        <v>Session 2: IP-Posters </v>
      </c>
      <c r="J2553" s="7" t="str">
        <f>IFERROR(__xludf.DUMMYFUNCTION("""COMPUTED_VALUE"""),"Poster Session 1")</f>
        <v>Poster Session 1</v>
      </c>
      <c r="K2553" s="7"/>
      <c r="L2553" s="8">
        <f>IFERROR(__xludf.DUMMYFUNCTION("""COMPUTED_VALUE"""),45866.0)</f>
        <v>45866</v>
      </c>
      <c r="M2553" s="7" t="str">
        <f>IFERROR(__xludf.DUMMYFUNCTION("""COMPUTED_VALUE"""),"11:00-12:30")</f>
        <v>11:00-12:30</v>
      </c>
      <c r="N2553" s="7"/>
    </row>
    <row r="2554">
      <c r="A2554" s="7" t="str">
        <f>IFERROR(__xludf.DUMMYFUNCTION("""COMPUTED_VALUE"""),"2411-MAIN")</f>
        <v>2411-MAIN</v>
      </c>
      <c r="B2554" s="7" t="str">
        <f>IFERROR(__xludf.DUMMYFUNCTION("""COMPUTED_VALUE"""),"Words of Warmth: Trust and Sociability Norms for over 26k English Words")</f>
        <v>Words of Warmth: Trust and Sociability Norms for over 26k English Words</v>
      </c>
      <c r="C2554" s="7" t="str">
        <f>IFERROR(__xludf.DUMMYFUNCTION("""COMPUTED_VALUE"""),"Social psychologists have shown that Warmth (W) and Competence (C) are the primary dimensions along which we assess other people and groups. These dimensions impact various aspects of our lives from social competence and emotion regulation to success in t"&amp;"he work place and how we view the world. More recent work has started to explore how these dimensions develop, why they have developed, and what they constitute. Of particular note, is the finding that warmth has two distinct components: Trust (T) and Soc"&amp;"iability (S). In this work, we introduce Words of Warmth, the first large-scale repository of manually derived word--warmth (as well as word--trust and word--sociability) associations for over 26k English words. We show that the associations are highly re"&amp;"liable. We use the lexicons to study the rate at which children acquire WCTS words with age. Finally, we show that the lexicon enables a wide variety of bias and stereotype research through case studies on various target entities. Words of Warmth is freel"&amp;"y available at: http://saifmohammad.com/warmth.html")</f>
        <v>Social psychologists have shown that Warmth (W) and Competence (C) are the primary dimensions along which we assess other people and groups. These dimensions impact various aspects of our lives from social competence and emotion regulation to success in the work place and how we view the world. More recent work has started to explore how these dimensions develop, why they have developed, and what they constitute. Of particular note, is the finding that warmth has two distinct components: Trust (T) and Sociability (S). In this work, we introduce Words of Warmth, the first large-scale repository of manually derived word--warmth (as well as word--trust and word--sociability) associations for over 26k English words. We show that the associations are highly reliable. We use the lexicons to study the rate at which children acquire WCTS words with age. Finally, we show that the lexicon enables a wide variety of bias and stereotype research through case studies on various target entities. Words of Warmth is freely available at: http://saifmohammad.com/warmth.html</v>
      </c>
      <c r="D2554" s="7" t="str">
        <f>IFERROR(__xludf.DUMMYFUNCTION("""COMPUTED_VALUE"""),"Saif M. Mohammad")</f>
        <v>Saif M. Mohammad</v>
      </c>
      <c r="E2554" s="7" t="str">
        <f>IFERROR(__xludf.DUMMYFUNCTION("""COMPUTED_VALUE"""),"Yes")</f>
        <v>Yes</v>
      </c>
      <c r="F2554" s="7" t="str">
        <f>IFERROR(__xludf.DUMMYFUNCTION("""COMPUTED_VALUE"""),"IP-Poster")</f>
        <v>IP-Poster</v>
      </c>
      <c r="G2554" s="7" t="str">
        <f>IFERROR(__xludf.DUMMYFUNCTION("""COMPUTED_VALUE"""),"In-Person")</f>
        <v>In-Person</v>
      </c>
      <c r="H2554" s="7" t="str">
        <f>IFERROR(__xludf.DUMMYFUNCTION("""COMPUTED_VALUE"""),"Hall 4/5")</f>
        <v>Hall 4/5</v>
      </c>
      <c r="I2554" s="7" t="str">
        <f>IFERROR(__xludf.DUMMYFUNCTION("""COMPUTED_VALUE"""),"Session 7: IP-Posters")</f>
        <v>Session 7: IP-Posters</v>
      </c>
      <c r="J2554" s="7" t="str">
        <f>IFERROR(__xludf.DUMMYFUNCTION("""COMPUTED_VALUE"""),"Poster Session 2")</f>
        <v>Poster Session 2</v>
      </c>
      <c r="K2554" s="7"/>
      <c r="L2554" s="8">
        <f>IFERROR(__xludf.DUMMYFUNCTION("""COMPUTED_VALUE"""),45867.0)</f>
        <v>45867</v>
      </c>
      <c r="M2554" s="7" t="str">
        <f>IFERROR(__xludf.DUMMYFUNCTION("""COMPUTED_VALUE"""),"10:30-12:00")</f>
        <v>10:30-12:00</v>
      </c>
      <c r="N2554" s="7"/>
    </row>
    <row r="2555">
      <c r="A2555" s="7" t="str">
        <f>IFERROR(__xludf.DUMMYFUNCTION("""COMPUTED_VALUE"""),"2412-MAIN")</f>
        <v>2412-MAIN</v>
      </c>
      <c r="B2555" s="7" t="str">
        <f>IFERROR(__xludf.DUMMYFUNCTION("""COMPUTED_VALUE"""),"BehaviorBox: Automated Behavioral Comparison of Language Models")</f>
        <v>BehaviorBox: Automated Behavioral Comparison of Language Models</v>
      </c>
      <c r="C2555" s="7" t="str">
        <f>IFERROR(__xludf.DUMMYFUNCTION("""COMPUTED_VALUE"""),"Language model evaluation is a daunting task: prompts are brittle, corpus-level perplexities are vague, and the choice of benchmarks are endless. Finding examples that show meaningful, generalizable differences between two LMs is crucial to understanding "&amp;"where one model succeeds and another fails. Can this process be done automatically? In this work, we propose methodology for automated comparison of language models that uses performance-aware contextual embeddings to find fine-grained features of text wh"&amp;"ere one LM outperforms another. Our method, which we name BehaviorBox, extracts coherent features that demonstrate differences with respect to the ease of generation between two LMs. Specifically, BehaviorBox finds features that describe groups of words i"&amp;"n fine-grained contexts, such as ""conditional 'were' in the phrase 'if you were'"" and ""exclamation marks after emotional statements"", where one model outperforms another within a particular datatset. We apply BehaviorBox to compare models that vary in"&amp;" size, model family, and post-training, and enumerate insights into specific contexts that illustrate meaningful differences in performance which cannot be found by measures such as corpus-level perplexity alone.")</f>
        <v>Language model evaluation is a daunting task: prompts are brittle, corpus-level perplexities are vague, and the choice of benchmarks are endless. Finding examples that show meaningful, generalizable differences between two LMs is crucial to understanding where one model succeeds and another fails. Can this process be done automatically? In this work, we propose methodology for automated comparison of language models that uses performance-aware contextual embeddings to find fine-grained features of text where one LM outperforms another. Our method, which we name BehaviorBox, extracts coherent features that demonstrate differences with respect to the ease of generation between two LMs. Specifically, BehaviorBox finds features that describe groups of words in fine-grained contexts, such as "conditional 'were' in the phrase 'if you were'" and "exclamation marks after emotional statements", where one model outperforms another within a particular datatset. We apply BehaviorBox to compare models that vary in size, model family, and post-training, and enumerate insights into specific contexts that illustrate meaningful differences in performance which cannot be found by measures such as corpus-level perplexity alone.</v>
      </c>
      <c r="D2555" s="7" t="str">
        <f>IFERROR(__xludf.DUMMYFUNCTION("""COMPUTED_VALUE"""),"Lindia Tjuatja")</f>
        <v>Lindia Tjuatja</v>
      </c>
      <c r="E2555" s="7" t="str">
        <f>IFERROR(__xludf.DUMMYFUNCTION("""COMPUTED_VALUE"""),"Yes")</f>
        <v>Yes</v>
      </c>
      <c r="F2555" s="7" t="str">
        <f>IFERROR(__xludf.DUMMYFUNCTION("""COMPUTED_VALUE"""),"IP-Poster")</f>
        <v>IP-Poster</v>
      </c>
      <c r="G2555" s="7" t="str">
        <f>IFERROR(__xludf.DUMMYFUNCTION("""COMPUTED_VALUE"""),"In-Person")</f>
        <v>In-Person</v>
      </c>
      <c r="H2555" s="7" t="str">
        <f>IFERROR(__xludf.DUMMYFUNCTION("""COMPUTED_VALUE"""),"Hall 4/5")</f>
        <v>Hall 4/5</v>
      </c>
      <c r="I2555" s="7" t="str">
        <f>IFERROR(__xludf.DUMMYFUNCTION("""COMPUTED_VALUE"""),"Session 12: IP-Posters")</f>
        <v>Session 12: IP-Posters</v>
      </c>
      <c r="J2555" s="7" t="str">
        <f>IFERROR(__xludf.DUMMYFUNCTION("""COMPUTED_VALUE"""),"Poster Session 4")</f>
        <v>Poster Session 4</v>
      </c>
      <c r="K2555" s="7"/>
      <c r="L2555" s="8">
        <f>IFERROR(__xludf.DUMMYFUNCTION("""COMPUTED_VALUE"""),45868.0)</f>
        <v>45868</v>
      </c>
      <c r="M2555" s="7" t="str">
        <f>IFERROR(__xludf.DUMMYFUNCTION("""COMPUTED_VALUE"""),"11:00-12:30")</f>
        <v>11:00-12:30</v>
      </c>
      <c r="N2555" s="7"/>
    </row>
    <row r="2556">
      <c r="A2556" s="7" t="str">
        <f>IFERROR(__xludf.DUMMYFUNCTION("""COMPUTED_VALUE"""),"2413-MAIN")</f>
        <v>2413-MAIN</v>
      </c>
      <c r="B2556" s="7" t="str">
        <f>IFERROR(__xludf.DUMMYFUNCTION("""COMPUTED_VALUE"""),"HAF-RM: A Hybrid Alignment Framework for Reward Model Training")</f>
        <v>HAF-RM: A Hybrid Alignment Framework for Reward Model Training</v>
      </c>
      <c r="C2556" s="7" t="str">
        <f>IFERROR(__xludf.DUMMYFUNCTION("""COMPUTED_VALUE"""),"The reward model has become increasingly important in alignment, assessment, and data construction for large language models (LLMs). Most existing researchers focus on enhancing reward models through data improvements, following the conventional training "&amp;"framework for reward models that directly optimizes the predicted rewards.
In this paper, we propose a hybrid alignment framework **HAF-RM** for reward model training by introducing an additional constraint on token-level policy probabilities in addition "&amp;"to the reward score. 
It can simultaneously supervise the internal preference model at the token level and optimize the mapping layer of the reward model at the sequence level.
Experiment results on five datasets sufficiently show the validity and effecti"&amp;"veness of our proposed hybrid framework for training a high-quality reward model.
By decoupling the reward modeling procedure and incorporating hybrid supervision, our **HAF-RM** framework offers a principled and effective approach to enhancing the perfor"&amp;"mance and alignment of reward models, a critical component in the responsible development of powerful language models. We release our code at [https://haf-rm.github.io](https://haf-rm.github.io).")</f>
        <v>The reward model has become increasingly important in alignment, assessment, and data construction for large language models (LLMs). Most existing researchers focus on enhancing reward models through data improvements, following the conventional training framework for reward models that directly optimizes the predicted rewards.
In this paper, we propose a hybrid alignment framework **HAF-RM** for reward model training by introducing an additional constraint on token-level policy probabilities in addition to the reward score. 
It can simultaneously supervise the internal preference model at the token level and optimize the mapping layer of the reward model at the sequence level.
Experiment results on five datasets sufficiently show the validity and effectiveness of our proposed hybrid framework for training a high-quality reward model.
By decoupling the reward modeling procedure and incorporating hybrid supervision, our **HAF-RM** framework offers a principled and effective approach to enhancing the performance and alignment of reward models, a critical component in the responsible development of powerful language models. We release our code at [https://haf-rm.github.io](https://haf-rm.github.io).</v>
      </c>
      <c r="D2556" s="7" t="str">
        <f>IFERROR(__xludf.DUMMYFUNCTION("""COMPUTED_VALUE"""),"Shujun Liu")</f>
        <v>Shujun Liu</v>
      </c>
      <c r="E2556" s="7" t="str">
        <f>IFERROR(__xludf.DUMMYFUNCTION("""COMPUTED_VALUE"""),"Yes")</f>
        <v>Yes</v>
      </c>
      <c r="F2556" s="7" t="str">
        <f>IFERROR(__xludf.DUMMYFUNCTION("""COMPUTED_VALUE"""),"IP-Poster")</f>
        <v>IP-Poster</v>
      </c>
      <c r="G2556" s="7" t="str">
        <f>IFERROR(__xludf.DUMMYFUNCTION("""COMPUTED_VALUE"""),"In-Person")</f>
        <v>In-Person</v>
      </c>
      <c r="H2556" s="7" t="str">
        <f>IFERROR(__xludf.DUMMYFUNCTION("""COMPUTED_VALUE"""),"Hall 4/5")</f>
        <v>Hall 4/5</v>
      </c>
      <c r="I2556" s="7" t="str">
        <f>IFERROR(__xludf.DUMMYFUNCTION("""COMPUTED_VALUE"""),"Session 7: IP-Posters")</f>
        <v>Session 7: IP-Posters</v>
      </c>
      <c r="J2556" s="7" t="str">
        <f>IFERROR(__xludf.DUMMYFUNCTION("""COMPUTED_VALUE"""),"Poster Session 2")</f>
        <v>Poster Session 2</v>
      </c>
      <c r="K2556" s="7"/>
      <c r="L2556" s="8">
        <f>IFERROR(__xludf.DUMMYFUNCTION("""COMPUTED_VALUE"""),45867.0)</f>
        <v>45867</v>
      </c>
      <c r="M2556" s="7" t="str">
        <f>IFERROR(__xludf.DUMMYFUNCTION("""COMPUTED_VALUE"""),"10:30-12:00")</f>
        <v>10:30-12:00</v>
      </c>
      <c r="N2556" s="7"/>
    </row>
    <row r="2557">
      <c r="A2557" s="7" t="str">
        <f>IFERROR(__xludf.DUMMYFUNCTION("""COMPUTED_VALUE"""),"2414-MAIN")</f>
        <v>2414-MAIN</v>
      </c>
      <c r="B2557" s="7" t="str">
        <f>IFERROR(__xludf.DUMMYFUNCTION("""COMPUTED_VALUE"""),"CULEMO: Cultural Lenses on Emotion - Benchmarking LLMs for Cross-Cultural Emotion Understanding")</f>
        <v>CULEMO: Cultural Lenses on Emotion - Benchmarking LLMs for Cross-Cultural Emotion Understanding</v>
      </c>
      <c r="C2557" s="7" t="str">
        <f>IFERROR(__xludf.DUMMYFUNCTION("""COMPUTED_VALUE"""),"NLP research has increasingly focused on subjective tasks such as emotion analysis. However, existing emotion benchmarks suffer from
two major shortcomings: (1) they largely rely on keyword-based emotion recognition, overlooking crucial cultural dimension"&amp;"s required for
deeper emotion understanding, and (2) many are created by translating English-annotated data into other languages, leading to potentially unreliable evaluation. To address these issues, we introduce Cultural Lenses on Emotion (CuLEmo), the "&amp;"first benchmark designed
to evaluate culture-aware emotion prediction across six languages: Amharic, Arabic, English, German, Hindi, and Spanish. CuLEmo
comprises 400 crafted questions per language, each requiring nuanced cultural reasoning and understand"&amp;"ing. We use this benchmark to evaluate several state-of-the-art LLMs on culture-aware emotion prediction and sentiment analysis tasks. Our findings reveal that (1) emotion conceptualizations vary significantly across languages and cultures, (2) LLMs perfo"&amp;"rmance likewise varies by language and cultural context, and (3) prompting in English with explicit country context often outperforms in-language prompts for culture-aware emotion and sentiment understanding. The dataset and evaluation code is available.")</f>
        <v>NLP research has increasingly focused on subjective tasks such as emotion analysis. However, existing emotion benchmarks suffer from
two major shortcomings: (1) they largely rely on keyword-based emotion recognition, overlooking crucial cultural dimensions required for
deeper emotion understanding, and (2) many are created by translating English-annotated data into other languages, leading to potentially unreliable evaluation. To address these issues, we introduce Cultural Lenses on Emotion (CuLEmo), the first benchmark designed
to evaluate culture-aware emotion prediction across six languages: Amharic, Arabic, English, German, Hindi, and Spanish. CuLEmo
comprises 400 crafted questions per language, each requiring nuanced cultural reasoning and understanding. We use this benchmark to evaluate several state-of-the-art LLMs on culture-aware emotion prediction and sentiment analysis tasks. Our findings reveal that (1) emotion conceptualizations vary significantly across languages and cultures, (2) LLMs performance likewise varies by language and cultural context, and (3) prompting in English with explicit country context often outperforms in-language prompts for culture-aware emotion and sentiment understanding. The dataset and evaluation code is available.</v>
      </c>
      <c r="D2557" s="7" t="str">
        <f>IFERROR(__xludf.DUMMYFUNCTION("""COMPUTED_VALUE"""),"Tadesse Destaw Belay")</f>
        <v>Tadesse Destaw Belay</v>
      </c>
      <c r="E2557" s="7" t="str">
        <f>IFERROR(__xludf.DUMMYFUNCTION("""COMPUTED_VALUE"""),"Yes")</f>
        <v>Yes</v>
      </c>
      <c r="F2557" s="7" t="str">
        <f>IFERROR(__xludf.DUMMYFUNCTION("""COMPUTED_VALUE"""),"IP-Poster")</f>
        <v>IP-Poster</v>
      </c>
      <c r="G2557" s="7" t="str">
        <f>IFERROR(__xludf.DUMMYFUNCTION("""COMPUTED_VALUE"""),"In-Person")</f>
        <v>In-Person</v>
      </c>
      <c r="H2557" s="7" t="str">
        <f>IFERROR(__xludf.DUMMYFUNCTION("""COMPUTED_VALUE"""),"Hall 4/5")</f>
        <v>Hall 4/5</v>
      </c>
      <c r="I2557" s="7" t="str">
        <f>IFERROR(__xludf.DUMMYFUNCTION("""COMPUTED_VALUE"""),"Session 12: IP-Posters")</f>
        <v>Session 12: IP-Posters</v>
      </c>
      <c r="J2557" s="7" t="str">
        <f>IFERROR(__xludf.DUMMYFUNCTION("""COMPUTED_VALUE"""),"Poster Session 4")</f>
        <v>Poster Session 4</v>
      </c>
      <c r="K2557" s="7"/>
      <c r="L2557" s="8">
        <f>IFERROR(__xludf.DUMMYFUNCTION("""COMPUTED_VALUE"""),45868.0)</f>
        <v>45868</v>
      </c>
      <c r="M2557" s="7" t="str">
        <f>IFERROR(__xludf.DUMMYFUNCTION("""COMPUTED_VALUE"""),"11:00-12:30")</f>
        <v>11:00-12:30</v>
      </c>
      <c r="N2557" s="7"/>
    </row>
    <row r="2558">
      <c r="A2558" s="7" t="str">
        <f>IFERROR(__xludf.DUMMYFUNCTION("""COMPUTED_VALUE"""),"2416-MAIN")</f>
        <v>2416-MAIN</v>
      </c>
      <c r="B2558" s="7" t="str">
        <f>IFERROR(__xludf.DUMMYFUNCTION("""COMPUTED_VALUE"""),"DiffPO: Diffusion-styled Preference Optimization for Inference Time Alignment of Large Language Models")</f>
        <v>DiffPO: Diffusion-styled Preference Optimization for Inference Time Alignment of Large Language Models</v>
      </c>
      <c r="C2558" s="7" t="str">
        <f>IFERROR(__xludf.DUMMYFUNCTION("""COMPUTED_VALUE"""),"Inference-time alignment provides an efficient alternative for aligning LLMs with humans. However, these approaches still face challenges, such as limited scalability due to policy-specific value functions and latency during the inference phase. In this p"&amp;"aper, we propose a novel approach, Diffusion-styled Preference Optimization (DiffPO), which provides an efficient and policy-agnostic solution for aligning LLMs with humans. By directly performing alignment at sentence level, DiffPO avoids the time latenc"&amp;"y associated with token-level generation. Designed as a plug-and-play module, DiffPO can be seamlessly integrated with various base models to enhance their alignment. Extensive experiments on AlpacaEval 2, MT-bench, and HH-RLHF demonstrate that DiffPO ach"&amp;"ieves superior alignment performance across various settings, achieving a favorable trade-off between alignment quality and inference-time latency. Furthermore, DiffPO demonstrates model-agnostic scalability, significantly improving the performance of lar"&amp;"ge models such as Llama-3-70B.")</f>
        <v>Inference-time alignment provides an efficient alternative for aligning LLMs with humans. However, these approaches still face challenges, such as limited scalability due to policy-specific value functions and latency during the inference phase. In this paper, we propose a novel approach, Diffusion-styled Preference Optimization (DiffPO), which provides an efficient and policy-agnostic solution for aligning LLMs with humans. By directly performing alignment at sentence level, DiffPO avoids the time latency associated with token-level generation. Designed as a plug-and-play module, DiffPO can be seamlessly integrated with various base models to enhance their alignment. Extensive experiments on AlpacaEval 2, MT-bench, and HH-RLHF demonstrate that DiffPO achieves superior alignment performance across various settings, achieving a favorable trade-off between alignment quality and inference-time latency. Furthermore, DiffPO demonstrates model-agnostic scalability, significantly improving the performance of large models such as Llama-3-70B.</v>
      </c>
      <c r="D2558" s="7" t="str">
        <f>IFERROR(__xludf.DUMMYFUNCTION("""COMPUTED_VALUE"""),"Ruizhe Chen")</f>
        <v>Ruizhe Chen</v>
      </c>
      <c r="E2558" s="7" t="str">
        <f>IFERROR(__xludf.DUMMYFUNCTION("""COMPUTED_VALUE"""),"Yes")</f>
        <v>Yes</v>
      </c>
      <c r="F2558" s="7" t="str">
        <f>IFERROR(__xludf.DUMMYFUNCTION("""COMPUTED_VALUE"""),"IP-Poster")</f>
        <v>IP-Poster</v>
      </c>
      <c r="G2558" s="7" t="str">
        <f>IFERROR(__xludf.DUMMYFUNCTION("""COMPUTED_VALUE"""),"In-Person")</f>
        <v>In-Person</v>
      </c>
      <c r="H2558" s="7" t="str">
        <f>IFERROR(__xludf.DUMMYFUNCTION("""COMPUTED_VALUE"""),"Hall 4/5")</f>
        <v>Hall 4/5</v>
      </c>
      <c r="I2558" s="7" t="str">
        <f>IFERROR(__xludf.DUMMYFUNCTION("""COMPUTED_VALUE"""),"Session 2: IP-Posters ")</f>
        <v>Session 2: IP-Posters </v>
      </c>
      <c r="J2558" s="7" t="str">
        <f>IFERROR(__xludf.DUMMYFUNCTION("""COMPUTED_VALUE"""),"Poster Session 1")</f>
        <v>Poster Session 1</v>
      </c>
      <c r="K2558" s="7"/>
      <c r="L2558" s="8">
        <f>IFERROR(__xludf.DUMMYFUNCTION("""COMPUTED_VALUE"""),45866.0)</f>
        <v>45866</v>
      </c>
      <c r="M2558" s="7" t="str">
        <f>IFERROR(__xludf.DUMMYFUNCTION("""COMPUTED_VALUE"""),"11:00-12:30")</f>
        <v>11:00-12:30</v>
      </c>
      <c r="N2558" s="7"/>
    </row>
    <row r="2559">
      <c r="A2559" s="7" t="str">
        <f>IFERROR(__xludf.DUMMYFUNCTION("""COMPUTED_VALUE"""),"2418-MAIN")</f>
        <v>2418-MAIN</v>
      </c>
      <c r="B2559" s="7" t="str">
        <f>IFERROR(__xludf.DUMMYFUNCTION("""COMPUTED_VALUE"""),"MemeQA: Holistic Evaluation of Meme Understanding")</f>
        <v>MemeQA: Holistic Evaluation of Meme Understanding</v>
      </c>
      <c r="C2559" s="7" t="str">
        <f>IFERROR(__xludf.DUMMYFUNCTION("""COMPUTED_VALUE"""),"Automated meme understanding requires systems to demonstrate fine-grained visual recognition, commonsense reasoning, and extensive cultural knowledge. However, existing benchmarks for meme understanding only concern narrow aspects of meme semantics. To fi"&amp;"ll this gap, we present MemeQA, a dataset of over 9,000 multiple-choice questions designed to holistically evaluate meme comprehension across seven cognitive aspects. Experiments show that state-of-the-art Large Multimodal Models perform much worse than h"&amp;"umans on MemeQA. While fine-tuning improves their performance, they still make many errors on memes wherein proper understanding requires going beyond surface-level sentiment. Moreover, injecting ""None of the above"" into the available options makes the "&amp;"questions more challenging for the models. Our dataset is publicly available at https://github.com/npnkhoi/memeqa.")</f>
        <v>Automated meme understanding requires systems to demonstrate fine-grained visual recognition, commonsense reasoning, and extensive cultural knowledge. However, existing benchmarks for meme understanding only concern narrow aspects of meme semantics. To fill this gap, we present MemeQA, a dataset of over 9,000 multiple-choice questions designed to holistically evaluate meme comprehension across seven cognitive aspects. Experiments show that state-of-the-art Large Multimodal Models perform much worse than humans on MemeQA. While fine-tuning improves their performance, they still make many errors on memes wherein proper understanding requires going beyond surface-level sentiment. Moreover, injecting "None of the above" into the available options makes the questions more challenging for the models. Our dataset is publicly available at https://github.com/npnkhoi/memeqa.</v>
      </c>
      <c r="D2559" s="7" t="str">
        <f>IFERROR(__xludf.DUMMYFUNCTION("""COMPUTED_VALUE"""),"Khoi P. N. Nguyen")</f>
        <v>Khoi P. N. Nguyen</v>
      </c>
      <c r="E2559" s="7" t="str">
        <f>IFERROR(__xludf.DUMMYFUNCTION("""COMPUTED_VALUE"""),"Yes")</f>
        <v>Yes</v>
      </c>
      <c r="F2559" s="7" t="str">
        <f>IFERROR(__xludf.DUMMYFUNCTION("""COMPUTED_VALUE"""),"V-Presentation")</f>
        <v>V-Presentation</v>
      </c>
      <c r="G2559" s="7" t="str">
        <f>IFERROR(__xludf.DUMMYFUNCTION("""COMPUTED_VALUE"""),"Virtual/Gather")</f>
        <v>Virtual/Gather</v>
      </c>
      <c r="H2559" s="7" t="str">
        <f>IFERROR(__xludf.DUMMYFUNCTION("""COMPUTED_VALUE"""),"Zoom")</f>
        <v>Zoom</v>
      </c>
      <c r="I2559" s="7" t="str">
        <f>IFERROR(__xludf.DUMMYFUNCTION("""COMPUTED_VALUE"""),"Session 10: V-Presenations")</f>
        <v>Session 10: V-Presenations</v>
      </c>
      <c r="J2559" s="7" t="str">
        <f>IFERROR(__xludf.DUMMYFUNCTION("""COMPUTED_VALUE"""),"Virtual Presentations 3")</f>
        <v>Virtual Presentations 3</v>
      </c>
      <c r="K2559" s="7"/>
      <c r="L2559" s="8">
        <f>IFERROR(__xludf.DUMMYFUNCTION("""COMPUTED_VALUE"""),45867.0)</f>
        <v>45867</v>
      </c>
      <c r="M2559" s="7" t="str">
        <f>IFERROR(__xludf.DUMMYFUNCTION("""COMPUTED_VALUE"""),"16:00-17:30")</f>
        <v>16:00-17:30</v>
      </c>
      <c r="N2559" s="7"/>
    </row>
    <row r="2560">
      <c r="A2560" s="7" t="str">
        <f>IFERROR(__xludf.DUMMYFUNCTION("""COMPUTED_VALUE"""),"2421-MAIN")</f>
        <v>2421-MAIN</v>
      </c>
      <c r="B2560" s="7" t="str">
        <f>IFERROR(__xludf.DUMMYFUNCTION("""COMPUTED_VALUE"""),"LoGU: Long-form Generation with Uncertainty Expressions")</f>
        <v>LoGU: Long-form Generation with Uncertainty Expressions</v>
      </c>
      <c r="C2560" s="7" t="str">
        <f>IFERROR(__xludf.DUMMYFUNCTION("""COMPUTED_VALUE"""),"While Large Language Models (LLMs) demonstrate impressive capabilities, they still struggle with generating factually incorrect content (i.e., hallucinations). A promising approach to mitigate this issue is enabling models to express uncertainty when unsu"&amp;"re. Previous research on uncertainty modeling has primarily focused on short-form QA, but real-world applications often require much longer responses. In this work, we introduce the task of Long-form Generation with Uncertainty (LoGU). We identify two key"&amp;" challenges: Uncertainty Suppression, where models hesitate to express uncertainty, and Uncertainty Misalignment, where models convey uncertainty inaccurately. To tackle these challenges, we propose a refinement-based data collection framework and a two-s"&amp;"tage training pipeline. Our framework adopts a divide-and-conquer strategy, refining uncertainty based on atomic claims. The collected data are then used in training through supervised fine-tuning (SFT) and direct preference optimization (DPO) to enhance "&amp;"uncertainty expression. Extensive experiments on three long-form instruction following datasets show that our method significantly improves accuracy, reduces hallucinations, and maintains the comprehensiveness of responses.")</f>
        <v>While Large Language Models (LLMs) demonstrate impressive capabilities, they still struggle with generating factually incorrect content (i.e., hallucinations). A promising approach to mitigate this issue is enabling models to express uncertainty when unsure. Previous research on uncertainty modeling has primarily focused on short-form QA, but real-world applications often require much longer responses. In this work, we introduce the task of Long-form Generation with Uncertainty (LoGU). We identify two key challenges: Uncertainty Suppression, where models hesitate to express uncertainty, and Uncertainty Misalignment, where models convey uncertainty inaccurately. To tackle these challenges, we propose a refinement-based data collection framework and a two-stage training pipeline. Our framework adopts a divide-and-conquer strategy, refining uncertainty based on atomic claims. The collected data are then used in training through supervised fine-tuning (SFT) and direct preference optimization (DPO) to enhance uncertainty expression. Extensive experiments on three long-form instruction following datasets show that our method significantly improves accuracy, reduces hallucinations, and maintains the comprehensiveness of responses.</v>
      </c>
      <c r="D2560" s="7" t="str">
        <f>IFERROR(__xludf.DUMMYFUNCTION("""COMPUTED_VALUE"""),"Ruihan Yang")</f>
        <v>Ruihan Yang</v>
      </c>
      <c r="E2560" s="7" t="str">
        <f>IFERROR(__xludf.DUMMYFUNCTION("""COMPUTED_VALUE"""),"Yes")</f>
        <v>Yes</v>
      </c>
      <c r="F2560" s="7" t="str">
        <f>IFERROR(__xludf.DUMMYFUNCTION("""COMPUTED_VALUE"""),"IP-Poster")</f>
        <v>IP-Poster</v>
      </c>
      <c r="G2560" s="7" t="str">
        <f>IFERROR(__xludf.DUMMYFUNCTION("""COMPUTED_VALUE"""),"In-Person")</f>
        <v>In-Person</v>
      </c>
      <c r="H2560" s="7" t="str">
        <f>IFERROR(__xludf.DUMMYFUNCTION("""COMPUTED_VALUE"""),"Hall 4/5")</f>
        <v>Hall 4/5</v>
      </c>
      <c r="I2560" s="7" t="str">
        <f>IFERROR(__xludf.DUMMYFUNCTION("""COMPUTED_VALUE"""),"Session 2: IP-Posters ")</f>
        <v>Session 2: IP-Posters </v>
      </c>
      <c r="J2560" s="7" t="str">
        <f>IFERROR(__xludf.DUMMYFUNCTION("""COMPUTED_VALUE"""),"Poster Session 1")</f>
        <v>Poster Session 1</v>
      </c>
      <c r="K2560" s="7"/>
      <c r="L2560" s="8">
        <f>IFERROR(__xludf.DUMMYFUNCTION("""COMPUTED_VALUE"""),45866.0)</f>
        <v>45866</v>
      </c>
      <c r="M2560" s="7" t="str">
        <f>IFERROR(__xludf.DUMMYFUNCTION("""COMPUTED_VALUE"""),"11:00-12:30")</f>
        <v>11:00-12:30</v>
      </c>
      <c r="N2560" s="7"/>
    </row>
    <row r="2561">
      <c r="A2561" s="7" t="str">
        <f>IFERROR(__xludf.DUMMYFUNCTION("""COMPUTED_VALUE"""),"2424-MAIN")</f>
        <v>2424-MAIN</v>
      </c>
      <c r="B2561" s="7" t="str">
        <f>IFERROR(__xludf.DUMMYFUNCTION("""COMPUTED_VALUE"""),"KiRAG: Knowledge-Driven Iterative Retriever for Enhancing Retrieval-Augmented Generation")</f>
        <v>KiRAG: Knowledge-Driven Iterative Retriever for Enhancing Retrieval-Augmented Generation</v>
      </c>
      <c r="C2561" s="7" t="str">
        <f>IFERROR(__xludf.DUMMYFUNCTION("""COMPUTED_VALUE"""),"Iterative retrieval-augmented generation (iRAG) models offer an effective approach for multihop question answering (QA). However, their retrieval processes face two key challenges: (1) they can be disrupted by irrelevant documents or factually inaccurate "&amp;"chain-of-thoughts; (2) their retrievers are not designed to dynamically adapt to the evolving information needs in multi-step reasoning, making it difficult to identify and retrieve the missing information required at each iterative step. Therefore, we pr"&amp;"opose KiRAG, which uses a knowledge-driven iterative retriever model to enhance the retrieval process of iRAG. Specifically, KiRAG decomposes documents into knowledge triples and performs iterative retrieval with these triples to enable a factually reliab"&amp;"le retrieval process. Moreover, KiRAG integrates reasoning into the retrieval process to dynamically identify and retrieve knowledge that bridges information gaps, effectively adapting to the evolving information needs. Empirical results show that KiRAG s"&amp;"ignificantly outperforms existing iRAG models, with an average improvement of 9.40% in R@3 and 5.14% in F1 on multi-hop QA datasets.")</f>
        <v>Iterative retrieval-augmented generation (iRAG) models offer an effective approach for multihop question answering (QA). However, their retrieval processes face two key challenges: (1) they can be disrupted by irrelevant documents or factually inaccurate chain-of-thoughts; (2) their retrievers are not designed to dynamically adapt to the evolving information needs in multi-step reasoning, making it difficult to identify and retrieve the missing information required at each iterative step. Therefore, we propose KiRAG, which uses a knowledge-driven iterative retriever model to enhance the retrieval process of iRAG. Specifically, KiRAG decomposes documents into knowledge triples and performs iterative retrieval with these triples to enable a factually reliable retrieval process. Moreover, KiRAG integrates reasoning into the retrieval process to dynamically identify and retrieve knowledge that bridges information gaps, effectively adapting to the evolving information needs. Empirical results show that KiRAG significantly outperforms existing iRAG models, with an average improvement of 9.40% in R@3 and 5.14% in F1 on multi-hop QA datasets.</v>
      </c>
      <c r="D2561" s="7" t="str">
        <f>IFERROR(__xludf.DUMMYFUNCTION("""COMPUTED_VALUE"""),"Zaiqiao Meng ")</f>
        <v>Zaiqiao Meng </v>
      </c>
      <c r="E2561" s="7" t="str">
        <f>IFERROR(__xludf.DUMMYFUNCTION("""COMPUTED_VALUE"""),"Yes")</f>
        <v>Yes</v>
      </c>
      <c r="F2561" s="7" t="str">
        <f>IFERROR(__xludf.DUMMYFUNCTION("""COMPUTED_VALUE"""),"IP-Poster")</f>
        <v>IP-Poster</v>
      </c>
      <c r="G2561" s="7" t="str">
        <f>IFERROR(__xludf.DUMMYFUNCTION("""COMPUTED_VALUE"""),"In-Person")</f>
        <v>In-Person</v>
      </c>
      <c r="H2561" s="7" t="str">
        <f>IFERROR(__xludf.DUMMYFUNCTION("""COMPUTED_VALUE"""),"Hall 4/5")</f>
        <v>Hall 4/5</v>
      </c>
      <c r="I2561" s="7" t="str">
        <f>IFERROR(__xludf.DUMMYFUNCTION("""COMPUTED_VALUE"""),"Session 2: IP-Posters ")</f>
        <v>Session 2: IP-Posters </v>
      </c>
      <c r="J2561" s="7" t="str">
        <f>IFERROR(__xludf.DUMMYFUNCTION("""COMPUTED_VALUE"""),"Poster Session 1")</f>
        <v>Poster Session 1</v>
      </c>
      <c r="K2561" s="7"/>
      <c r="L2561" s="8">
        <f>IFERROR(__xludf.DUMMYFUNCTION("""COMPUTED_VALUE"""),45866.0)</f>
        <v>45866</v>
      </c>
      <c r="M2561" s="7" t="str">
        <f>IFERROR(__xludf.DUMMYFUNCTION("""COMPUTED_VALUE"""),"11:00-12:30")</f>
        <v>11:00-12:30</v>
      </c>
      <c r="N2561" s="7"/>
    </row>
    <row r="2562">
      <c r="A2562" s="7" t="str">
        <f>IFERROR(__xludf.DUMMYFUNCTION("""COMPUTED_VALUE"""),"2426-MAIN")</f>
        <v>2426-MAIN</v>
      </c>
      <c r="B2562" s="7" t="str">
        <f>IFERROR(__xludf.DUMMYFUNCTION("""COMPUTED_VALUE"""),"Enhancing Lexicon-Based Text Embeddings with Large Language Models")</f>
        <v>Enhancing Lexicon-Based Text Embeddings with Large Language Models</v>
      </c>
      <c r="C2562" s="7" t="str">
        <f>IFERROR(__xludf.DUMMYFUNCTION("""COMPUTED_VALUE"""),"Recent large language models (LLMs) have demonstrated exceptional performance on general-purpose text embedding tasks. While dense embeddings have dominated related research, we introduce the first lexicon-based embeddings (LENS) leveraging LLMs that achi"&amp;"eve competitive performance on these tasks. LENS consolidates the vocabulary space through token embedding clustering to handle the issue of token redundancy in LLM vocabularies. To further improve performance, we investigate bidirectional attention and v"&amp;"arious pooling strategies. Specifically, LENS simplifies lexical matching with redundant vocabularies by assigning each dimension to a specific token cluster, where semantically similar tokens are grouped together. Extensive experiments demonstrate that L"&amp;"ENS outperforms dense embeddings on the Massive Text Embedding Benchmark (MTEB), delivering compact representations with dimensionality comparable to dense counterparts. Furthermore, LENS inherently supports efficient embedding dimension pruning without a"&amp;"ny specialized objectives like Matryoshka Representation Learning. Notably, combining LENS with dense embeddings achieves state-of-the-art performance on the retrieval subset of MTEB (i.e., BEIR).")</f>
        <v>Recent large language models (LLMs) have demonstrated exceptional performance on general-purpose text embedding tasks. While dense embeddings have dominated related research, we introduce the first lexicon-based embeddings (LENS) leveraging LLMs that achieve competitive performance on these tasks. LENS consolidates the vocabulary space through token embedding clustering to handle the issue of token redundancy in LLM vocabularies. To further improve performance, we investigate bidirectional attention and various pooling strategies. Specifically, LENS simplifies lexical matching with redundant vocabularies by assigning each dimension to a specific token cluster, where semantically similar tokens are grouped together. Extensive experiments demonstrate that LENS outperforms dense embeddings on the Massive Text Embedding Benchmark (MTEB), delivering compact representations with dimensionality comparable to dense counterparts. Furthermore, LENS inherently supports efficient embedding dimension pruning without any specialized objectives like Matryoshka Representation Learning. Notably, combining LENS with dense embeddings achieves state-of-the-art performance on the retrieval subset of MTEB (i.e., BEIR).</v>
      </c>
      <c r="D2562" s="7" t="str">
        <f>IFERROR(__xludf.DUMMYFUNCTION("""COMPUTED_VALUE"""),"Yibin Lei")</f>
        <v>Yibin Lei</v>
      </c>
      <c r="E2562" s="7" t="str">
        <f>IFERROR(__xludf.DUMMYFUNCTION("""COMPUTED_VALUE"""),"Yes")</f>
        <v>Yes</v>
      </c>
      <c r="F2562" s="7" t="str">
        <f>IFERROR(__xludf.DUMMYFUNCTION("""COMPUTED_VALUE"""),"IP-Poster")</f>
        <v>IP-Poster</v>
      </c>
      <c r="G2562" s="7" t="str">
        <f>IFERROR(__xludf.DUMMYFUNCTION("""COMPUTED_VALUE"""),"In-Person")</f>
        <v>In-Person</v>
      </c>
      <c r="H2562" s="7" t="str">
        <f>IFERROR(__xludf.DUMMYFUNCTION("""COMPUTED_VALUE"""),"Hall 4/5")</f>
        <v>Hall 4/5</v>
      </c>
      <c r="I2562" s="7" t="str">
        <f>IFERROR(__xludf.DUMMYFUNCTION("""COMPUTED_VALUE"""),"Session 2: IP-Posters ")</f>
        <v>Session 2: IP-Posters </v>
      </c>
      <c r="J2562" s="7" t="str">
        <f>IFERROR(__xludf.DUMMYFUNCTION("""COMPUTED_VALUE"""),"Poster Session 1")</f>
        <v>Poster Session 1</v>
      </c>
      <c r="K2562" s="7"/>
      <c r="L2562" s="8">
        <f>IFERROR(__xludf.DUMMYFUNCTION("""COMPUTED_VALUE"""),45866.0)</f>
        <v>45866</v>
      </c>
      <c r="M2562" s="7" t="str">
        <f>IFERROR(__xludf.DUMMYFUNCTION("""COMPUTED_VALUE"""),"11:00-12:30")</f>
        <v>11:00-12:30</v>
      </c>
      <c r="N2562" s="7"/>
    </row>
    <row r="2563">
      <c r="A2563" s="7" t="str">
        <f>IFERROR(__xludf.DUMMYFUNCTION("""COMPUTED_VALUE"""),"2429-MAIN")</f>
        <v>2429-MAIN</v>
      </c>
      <c r="B2563" s="7" t="str">
        <f>IFERROR(__xludf.DUMMYFUNCTION("""COMPUTED_VALUE"""),"CoCoLex: Confidence-guided Copy-based Decoding for Grounded Legal Text Generation")</f>
        <v>CoCoLex: Confidence-guided Copy-based Decoding for Grounded Legal Text Generation</v>
      </c>
      <c r="C2563" s="7" t="str">
        <f>IFERROR(__xludf.DUMMYFUNCTION("""COMPUTED_VALUE"""),"Due to their ability to process long and complex contexts, LLMs can offer key benefits to the Legal domain, but their adoption has been hindered by their tendency to generate unfaithful, ungrounded, or hallucinatory outputs. While Retrieval-Augmented Gene"&amp;"ration offers a promising solution by grounding generations in external knowledge, it offers no guarantee that the provided context will be effectively integrated. To address this, context-aware decoding strategies have been proposed to amplify the influe"&amp;"nce of relevant context, but they usually do not explicitly enforce faithfulness to the context. In this work, we introduce Confidence-guided Copy-based Decoding for Legal Text Generation (CoCoLex)—a decoding strategy that dynamically interpolates the mod"&amp;"el produced vocabulary distribution with a distribution derived based on copying from the context. CoCoLex encourages direct copying based on models' confidence, ensuring greater fidelity to the source. Experimental results on five legal benchmarks demons"&amp;"trate that CoCoLex outperforms existing context-aware decoding methods, particularly in long-form generation tasks.")</f>
        <v>Due to their ability to process long and complex contexts, LLMs can offer key benefits to the Legal domain, but their adoption has been hindered by their tendency to generate unfaithful, ungrounded, or hallucinatory outputs. While Retrieval-Augmented Generation offers a promising solution by grounding generations in external knowledge, it offers no guarantee that the provided context will be effectively integrated. To address this, context-aware decoding strategies have been proposed to amplify the influence of relevant context, but they usually do not explicitly enforce faithfulness to the context. In this work, we introduce Confidence-guided Copy-based Decoding for Legal Text Generation (CoCoLex)—a decoding strategy that dynamically interpolates the model produced vocabulary distribution with a distribution derived based on copying from the context. CoCoLex encourages direct copying based on models' confidence, ensuring greater fidelity to the source. Experimental results on five legal benchmarks demonstrate that CoCoLex outperforms existing context-aware decoding methods, particularly in long-form generation tasks.</v>
      </c>
      <c r="D2563" s="7" t="str">
        <f>IFERROR(__xludf.DUMMYFUNCTION("""COMPUTED_VALUE"""),"Santosh T.Y.S.S")</f>
        <v>Santosh T.Y.S.S</v>
      </c>
      <c r="E2563" s="7" t="str">
        <f>IFERROR(__xludf.DUMMYFUNCTION("""COMPUTED_VALUE"""),"Yes")</f>
        <v>Yes</v>
      </c>
      <c r="F2563" s="7" t="str">
        <f>IFERROR(__xludf.DUMMYFUNCTION("""COMPUTED_VALUE"""),"V-Presentation")</f>
        <v>V-Presentation</v>
      </c>
      <c r="G2563" s="7" t="str">
        <f>IFERROR(__xludf.DUMMYFUNCTION("""COMPUTED_VALUE"""),"Virtual/Gather")</f>
        <v>Virtual/Gather</v>
      </c>
      <c r="H2563" s="7" t="str">
        <f>IFERROR(__xludf.DUMMYFUNCTION("""COMPUTED_VALUE"""),"Zoom")</f>
        <v>Zoom</v>
      </c>
      <c r="I2563" s="7" t="str">
        <f>IFERROR(__xludf.DUMMYFUNCTION("""COMPUTED_VALUE"""),"Session 10: V-Presenations")</f>
        <v>Session 10: V-Presenations</v>
      </c>
      <c r="J2563" s="7" t="str">
        <f>IFERROR(__xludf.DUMMYFUNCTION("""COMPUTED_VALUE"""),"Virtual Presentations 3")</f>
        <v>Virtual Presentations 3</v>
      </c>
      <c r="K2563" s="7"/>
      <c r="L2563" s="8">
        <f>IFERROR(__xludf.DUMMYFUNCTION("""COMPUTED_VALUE"""),45867.0)</f>
        <v>45867</v>
      </c>
      <c r="M2563" s="7" t="str">
        <f>IFERROR(__xludf.DUMMYFUNCTION("""COMPUTED_VALUE"""),"16:00-17:30")</f>
        <v>16:00-17:30</v>
      </c>
      <c r="N2563" s="7"/>
    </row>
    <row r="2564">
      <c r="A2564" s="7" t="str">
        <f>IFERROR(__xludf.DUMMYFUNCTION("""COMPUTED_VALUE"""),"2430-MAIN")</f>
        <v>2430-MAIN</v>
      </c>
      <c r="B2564" s="7" t="str">
        <f>IFERROR(__xludf.DUMMYFUNCTION("""COMPUTED_VALUE"""),"Beyond N-Grams: Rethinking Evaluation Metrics and Strategies for Multilingual Abstractive Summarization")</f>
        <v>Beyond N-Grams: Rethinking Evaluation Metrics and Strategies for Multilingual Abstractive Summarization</v>
      </c>
      <c r="C2564" s="7" t="str">
        <f>IFERROR(__xludf.DUMMYFUNCTION("""COMPUTED_VALUE"""),"Automatic N-gram based metrics such as ROUGE are widely used for evaluating generative tasks such as summarization. While these metrics are considered indicative (even if imperfect), of human evaluation for English, their suitability for other languages r"&amp;"emains unclear. To address this, in this paper we systematically assess evaluation metrics for generation — both n-gram-based and neural-based— to assess their effectiveness across languages and tasks. Specifically, we design a large-scale evaluation suit"&amp;"e across eight languages from four typological families — agglutinative, isolating, low-fusional, and high-fusional — from both low- and high-resource languages, to analyze their correlations with human judgments. Our findings highlight the sensitivity of"&amp;" the evaluation metric to the language type at hand. For example, for fusional languages, n-gram-based metrics demonstrate a lower correlation with human assessments, compared to isolating and agglutinative languages. We also demonstrate that tokenization"&amp;" considerations can significantly mitigate this for fusional languages with rich morphology, up to reversing such negative correlations. Additionally, we show that neural-based metrics specifically trained for evaluation, such as COMET, consistently outpe"&amp;"rform other neural metrics and correlate better than ngrmas metrics with human judgments in low-resource languages. Overall, our analysis highlights the limitations of n-gram metrics for fusional languages and advocates for investment in neural-based metr"&amp;"ics trained for evaluation tasks.")</f>
        <v>Automatic N-gram based metrics such as ROUGE are widely used for evaluating generative tasks such as summarization. While these metrics are considered indicative (even if imperfect), of human evaluation for English, their suitability for other languages remains unclear. To address this, in this paper we systematically assess evaluation metrics for generation — both n-gram-based and neural-based— to assess their effectiveness across languages and tasks. Specifically, we design a large-scale evaluation suite across eight languages from four typological families — agglutinative, isolating, low-fusional, and high-fusional — from both low- and high-resource languages, to analyze their correlations with human judgments. Our findings highlight the sensitivity of the evaluation metric to the language type at hand. For example, for fusional languages, n-gram-based metrics demonstrate a lower correlation with human assessments, compared to isolating and agglutinative languages. We also demonstrate that tokenization considerations can significantly mitigate this for fusional languages with rich morphology, up to reversing such negative correlations. Additionally, we show that neural-based metrics specifically trained for evaluation, such as COMET, consistently outperform other neural metrics and correlate better than ngrmas metrics with human judgments in low-resource languages. Overall, our analysis highlights the limitations of n-gram metrics for fusional languages and advocates for investment in neural-based metrics trained for evaluation tasks.</v>
      </c>
      <c r="D2564" s="7" t="str">
        <f>IFERROR(__xludf.DUMMYFUNCTION("""COMPUTED_VALUE"""),"Itai Mondshine")</f>
        <v>Itai Mondshine</v>
      </c>
      <c r="E2564" s="7" t="str">
        <f>IFERROR(__xludf.DUMMYFUNCTION("""COMPUTED_VALUE"""),"Yes")</f>
        <v>Yes</v>
      </c>
      <c r="F2564" s="7" t="str">
        <f>IFERROR(__xludf.DUMMYFUNCTION("""COMPUTED_VALUE"""),"IP-Oral")</f>
        <v>IP-Oral</v>
      </c>
      <c r="G2564" s="7" t="str">
        <f>IFERROR(__xludf.DUMMYFUNCTION("""COMPUTED_VALUE"""),"In-Person")</f>
        <v>In-Person</v>
      </c>
      <c r="H2564" s="7" t="str">
        <f>IFERROR(__xludf.DUMMYFUNCTION("""COMPUTED_VALUE"""),"Hall N.2")</f>
        <v>Hall N.2</v>
      </c>
      <c r="I2564" s="7" t="str">
        <f>IFERROR(__xludf.DUMMYFUNCTION("""COMPUTED_VALUE"""),"Session 11: IP-Orals ")</f>
        <v>Session 11: IP-Orals </v>
      </c>
      <c r="J2564" s="7" t="str">
        <f>IFERROR(__xludf.DUMMYFUNCTION("""COMPUTED_VALUE"""),"Panel 5: Multilinguality and language diversity")</f>
        <v>Panel 5: Multilinguality and language diversity</v>
      </c>
      <c r="K2564" s="7"/>
      <c r="L2564" s="8">
        <f>IFERROR(__xludf.DUMMYFUNCTION("""COMPUTED_VALUE"""),45868.0)</f>
        <v>45868</v>
      </c>
      <c r="M2564" s="7" t="str">
        <f>IFERROR(__xludf.DUMMYFUNCTION("""COMPUTED_VALUE"""),"09:00-10:30")</f>
        <v>09:00-10:30</v>
      </c>
      <c r="N2564" s="7">
        <f>IFERROR(__xludf.DUMMYFUNCTION("""COMPUTED_VALUE"""),5.0)</f>
        <v>5</v>
      </c>
    </row>
    <row r="2565">
      <c r="A2565" s="7" t="str">
        <f>IFERROR(__xludf.DUMMYFUNCTION("""COMPUTED_VALUE"""),"2431-MAIN")</f>
        <v>2431-MAIN</v>
      </c>
      <c r="B2565" s="7" t="str">
        <f>IFERROR(__xludf.DUMMYFUNCTION("""COMPUTED_VALUE"""),"CC-Tuning: A Cross-Lingual Connection Mechanism for Improving Joint Multilingual Supervised Fine-Tuning")</f>
        <v>CC-Tuning: A Cross-Lingual Connection Mechanism for Improving Joint Multilingual Supervised Fine-Tuning</v>
      </c>
      <c r="C2565" s="7" t="str">
        <f>IFERROR(__xludf.DUMMYFUNCTION("""COMPUTED_VALUE"""),"Current large language models (LLMs) often exhibit imbalanced multilingual capabilities due to their English-centric training corpora. To address this, existing fine-tuning approaches operating at the data-level (e.g., through data augmentation or distill"&amp;"ation) typically introduce implicit cross-lingual alignment, overlooking the potential for more profound, latent-level cross-lingual interactions. In this work, we propose CC-Tuning, a novel multilingual fine-tuning paradigm that explicitly establishes a "&amp;"cross-lingual connection mechanism at the latent level. During training, CC-Tuning fuses the feed forward activations from both English and non-English inputs, enabling the model to benefit from both linguistic resources. This process is facilitated with "&amp;"a trainable Decision Maker that identifies beneficial activations. Furthermore, during inference, a Transform Matrix is utilized to simulate the cross-lingual connection under monolingual setting through representation transformation. Our experiments on s"&amp;"ix benchmarks covering 22 languages show that CC-Tuning outperforms vanilla SFT and offers a strong latent-level alternative to data-level augmentation methods. Further analysis also highlights the practicality of CC-Tuning and the potential of latent-lev"&amp;"el cross-lingual interactions in advancing the multilingual performance of LLMs.")</f>
        <v>Current large language models (LLMs) often exhibit imbalanced multilingual capabilities due to their English-centric training corpora. To address this, existing fine-tuning approaches operating at the data-level (e.g., through data augmentation or distillation) typically introduce implicit cross-lingual alignment, overlooking the potential for more profound, latent-level cross-lingual interactions. In this work, we propose CC-Tuning, a novel multilingual fine-tuning paradigm that explicitly establishes a cross-lingual connection mechanism at the latent level. During training, CC-Tuning fuses the feed forward activations from both English and non-English inputs, enabling the model to benefit from both linguistic resources. This process is facilitated with a trainable Decision Maker that identifies beneficial activations. Furthermore, during inference, a Transform Matrix is utilized to simulate the cross-lingual connection under monolingual setting through representation transformation. Our experiments on six benchmarks covering 22 languages show that CC-Tuning outperforms vanilla SFT and offers a strong latent-level alternative to data-level augmentation methods. Further analysis also highlights the practicality of CC-Tuning and the potential of latent-level cross-lingual interactions in advancing the multilingual performance of LLMs.</v>
      </c>
      <c r="D2565" s="7" t="str">
        <f>IFERROR(__xludf.DUMMYFUNCTION("""COMPUTED_VALUE"""),"Yangfan Ye")</f>
        <v>Yangfan Ye</v>
      </c>
      <c r="E2565" s="7" t="str">
        <f>IFERROR(__xludf.DUMMYFUNCTION("""COMPUTED_VALUE"""),"Yes")</f>
        <v>Yes</v>
      </c>
      <c r="F2565" s="7" t="str">
        <f>IFERROR(__xludf.DUMMYFUNCTION("""COMPUTED_VALUE"""),"IP-Poster")</f>
        <v>IP-Poster</v>
      </c>
      <c r="G2565" s="7" t="str">
        <f>IFERROR(__xludf.DUMMYFUNCTION("""COMPUTED_VALUE"""),"In-Person")</f>
        <v>In-Person</v>
      </c>
      <c r="H2565" s="7" t="str">
        <f>IFERROR(__xludf.DUMMYFUNCTION("""COMPUTED_VALUE"""),"Hall 4/5")</f>
        <v>Hall 4/5</v>
      </c>
      <c r="I2565" s="7" t="str">
        <f>IFERROR(__xludf.DUMMYFUNCTION("""COMPUTED_VALUE"""),"Session 7: IP-Posters")</f>
        <v>Session 7: IP-Posters</v>
      </c>
      <c r="J2565" s="7" t="str">
        <f>IFERROR(__xludf.DUMMYFUNCTION("""COMPUTED_VALUE"""),"Poster Session 2")</f>
        <v>Poster Session 2</v>
      </c>
      <c r="K2565" s="7"/>
      <c r="L2565" s="8">
        <f>IFERROR(__xludf.DUMMYFUNCTION("""COMPUTED_VALUE"""),45867.0)</f>
        <v>45867</v>
      </c>
      <c r="M2565" s="7" t="str">
        <f>IFERROR(__xludf.DUMMYFUNCTION("""COMPUTED_VALUE"""),"10:30-12:00")</f>
        <v>10:30-12:00</v>
      </c>
      <c r="N2565" s="7"/>
    </row>
    <row r="2566">
      <c r="A2566" s="7" t="str">
        <f>IFERROR(__xludf.DUMMYFUNCTION("""COMPUTED_VALUE"""),"2434-MAIN")</f>
        <v>2434-MAIN</v>
      </c>
      <c r="B2566" s="7" t="str">
        <f>IFERROR(__xludf.DUMMYFUNCTION("""COMPUTED_VALUE"""),"SConU: Selective Conformal Uncertainty in Large Language Models")</f>
        <v>SConU: Selective Conformal Uncertainty in Large Language Models</v>
      </c>
      <c r="C2566" s="7" t="str">
        <f>IFERROR(__xludf.DUMMYFUNCTION("""COMPUTED_VALUE"""),"As large language models are increasingly utilized in real-world applications, guarantees of task-specific metrics are essential for their reliable deployment. Previous studies have introduced various criteria of conformal uncertainty grounded in split co"&amp;"nformal prediction, which offer user-specified correctness coverage. However, existing frameworks often fail to identify uncertainty data outliers that violate the exchangeability assumption, leading to unbounded miscoverage rates and unactionable predict"&amp;"ion sets. In this paper, we propose a novel approach termed Selective Conformal Uncertainty (SConU), which, for the first time, implements significance tests, by developing two conformal p-values that are instrumental in determining whether a given sample"&amp;" deviates from the uncertainty distribution of the calibration set at a specific manageable risk level. Our approach not only facilitates rigorous management of miscoverage rates across both single-domain and interdisciplinary contexts, but also enhances "&amp;"the efficiency of predictions. Furthermore, we comprehensively analyze the components of the conformal procedures, aiming to approximate conditional coverage, particularly in high-stakes question-answering tasks.")</f>
        <v>As large language models are increasingly utilized in real-world applications, guarantees of task-specific metrics are essential for their reliable deployment. Previous studies have introduced various criteria of conformal uncertainty grounded in split conformal prediction, which offer user-specified correctness coverage. However, existing frameworks often fail to identify uncertainty data outliers that violate the exchangeability assumption, leading to unbounded miscoverage rates and unactionable prediction sets. In this paper, we propose a novel approach termed Selective Conformal Uncertainty (SConU), which, for the first time, implements significance tests, by developing two conformal p-values that are instrumental in determining whether a given sample deviates from the uncertainty distribution of the calibration set at a specific manageable risk level. Our approach not only facilitates rigorous management of miscoverage rates across both single-domain and interdisciplinary contexts, but also enhances the efficiency of predictions. Furthermore, we comprehensively analyze the components of the conformal procedures, aiming to approximate conditional coverage, particularly in high-stakes question-answering tasks.</v>
      </c>
      <c r="D2566" s="7" t="str">
        <f>IFERROR(__xludf.DUMMYFUNCTION("""COMPUTED_VALUE"""),"Zhiyuan Wang")</f>
        <v>Zhiyuan Wang</v>
      </c>
      <c r="E2566" s="7" t="str">
        <f>IFERROR(__xludf.DUMMYFUNCTION("""COMPUTED_VALUE"""),"Yes")</f>
        <v>Yes</v>
      </c>
      <c r="F2566" s="7" t="str">
        <f>IFERROR(__xludf.DUMMYFUNCTION("""COMPUTED_VALUE"""),"IP-Poster")</f>
        <v>IP-Poster</v>
      </c>
      <c r="G2566" s="7" t="str">
        <f>IFERROR(__xludf.DUMMYFUNCTION("""COMPUTED_VALUE"""),"In-Person")</f>
        <v>In-Person</v>
      </c>
      <c r="H2566" s="7" t="str">
        <f>IFERROR(__xludf.DUMMYFUNCTION("""COMPUTED_VALUE"""),"Hall 4/5")</f>
        <v>Hall 4/5</v>
      </c>
      <c r="I2566" s="7" t="str">
        <f>IFERROR(__xludf.DUMMYFUNCTION("""COMPUTED_VALUE"""),"Session 12: IP-Posters")</f>
        <v>Session 12: IP-Posters</v>
      </c>
      <c r="J2566" s="7" t="str">
        <f>IFERROR(__xludf.DUMMYFUNCTION("""COMPUTED_VALUE"""),"Poster Session 4")</f>
        <v>Poster Session 4</v>
      </c>
      <c r="K2566" s="7"/>
      <c r="L2566" s="8">
        <f>IFERROR(__xludf.DUMMYFUNCTION("""COMPUTED_VALUE"""),45868.0)</f>
        <v>45868</v>
      </c>
      <c r="M2566" s="7" t="str">
        <f>IFERROR(__xludf.DUMMYFUNCTION("""COMPUTED_VALUE"""),"11:00-12:30")</f>
        <v>11:00-12:30</v>
      </c>
      <c r="N2566" s="7"/>
    </row>
    <row r="2567">
      <c r="A2567" s="7" t="str">
        <f>IFERROR(__xludf.DUMMYFUNCTION("""COMPUTED_VALUE"""),"2436-MAIN")</f>
        <v>2436-MAIN</v>
      </c>
      <c r="B2567" s="7" t="str">
        <f>IFERROR(__xludf.DUMMYFUNCTION("""COMPUTED_VALUE"""),"MegaPairs: Massive Data Synthesis for Universal Multimodal Retrieval")</f>
        <v>MegaPairs: Massive Data Synthesis for Universal Multimodal Retrieval</v>
      </c>
      <c r="C2567" s="7" t="str">
        <f>IFERROR(__xludf.DUMMYFUNCTION("""COMPUTED_VALUE"""),"Despite the rapidly growing demand for multimodal retrieval, progress in this field remains severely constrained by a lack of training data. In this paper, we introduce MegaPairs, a novel data synthesis method that leverages vision language models (VLMs) "&amp;"and open-domain images, together with a massive synthetic dataset generated from this method. Our empirical analysis shows that MegaPairs generates high-quality data, enabling the multimodal retriever to significantly outperform the baseline model trained"&amp;" on 70$\times$ more data from existing datasets. Moreover, since MegaPairs solely relies on general image corpora and open-source VLMs, it can be easily scaled up, enabling continuous improvements in retrieval performance. In this stage, we produced more "&amp;"than 26 million training instances and trained several models of varying sizes using this data. These new models achieve state-of-the-art zero-shot performance across 4 popular composed image retrieval (CIR) benchmarks and the highest overall performance "&amp;"on the 36 datasets provided by MMEB. They also demonstrate notable performance improvements with additional downstream fine-tuning. Our code, synthesized dataset, and pre-trained models are publicly available at https://github.com/VectorSpaceLab/MegaPairs"&amp;".")</f>
        <v>Despite the rapidly growing demand for multimodal retrieval, progress in this field remains severely constrained by a lack of training data. In this paper, we introduce MegaPairs, a novel data synthesis method that leverages vision language models (VLMs) and open-domain images, together with a massive synthetic dataset generated from this method. Our empirical analysis shows that MegaPairs generates high-quality data, enabling the multimodal retriever to significantly outperform the baseline model trained on 70$\times$ more data from existing datasets. Moreover, since MegaPairs solely relies on general image corpora and open-source VLMs, it can be easily scaled up, enabling continuous improvements in retrieval performance. In this stage, we produced more than 26 million training instances and trained several models of varying sizes using this data. These new models achieve state-of-the-art zero-shot performance across 4 popular composed image retrieval (CIR) benchmarks and the highest overall performance on the 36 datasets provided by MMEB. They also demonstrate notable performance improvements with additional downstream fine-tuning. Our code, synthesized dataset, and pre-trained models are publicly available at https://github.com/VectorSpaceLab/MegaPairs.</v>
      </c>
      <c r="D2567" s="7" t="str">
        <f>IFERROR(__xludf.DUMMYFUNCTION("""COMPUTED_VALUE"""),"Junjie Zhou")</f>
        <v>Junjie Zhou</v>
      </c>
      <c r="E2567" s="7" t="str">
        <f>IFERROR(__xludf.DUMMYFUNCTION("""COMPUTED_VALUE"""),"Yes")</f>
        <v>Yes</v>
      </c>
      <c r="F2567" s="7" t="str">
        <f>IFERROR(__xludf.DUMMYFUNCTION("""COMPUTED_VALUE"""),"IP-Oral")</f>
        <v>IP-Oral</v>
      </c>
      <c r="G2567" s="7" t="str">
        <f>IFERROR(__xludf.DUMMYFUNCTION("""COMPUTED_VALUE"""),"In-Person")</f>
        <v>In-Person</v>
      </c>
      <c r="H2567" s="7" t="str">
        <f>IFERROR(__xludf.DUMMYFUNCTION("""COMPUTED_VALUE"""),"Hall N.1")</f>
        <v>Hall N.1</v>
      </c>
      <c r="I2567" s="7" t="str">
        <f>IFERROR(__xludf.DUMMYFUNCTION("""COMPUTED_VALUE"""),"Session 3: IP-Orals")</f>
        <v>Session 3: IP-Orals</v>
      </c>
      <c r="J2567" s="7" t="str">
        <f>IFERROR(__xludf.DUMMYFUNCTION("""COMPUTED_VALUE"""),"Information Retrieval and Text Mining")</f>
        <v>Information Retrieval and Text Mining</v>
      </c>
      <c r="K2567" s="7"/>
      <c r="L2567" s="8">
        <f>IFERROR(__xludf.DUMMYFUNCTION("""COMPUTED_VALUE"""),45866.0)</f>
        <v>45866</v>
      </c>
      <c r="M2567" s="7" t="str">
        <f>IFERROR(__xludf.DUMMYFUNCTION("""COMPUTED_VALUE"""),"14:00-15:30")</f>
        <v>14:00-15:30</v>
      </c>
      <c r="N2567" s="7">
        <f>IFERROR(__xludf.DUMMYFUNCTION("""COMPUTED_VALUE"""),2.0)</f>
        <v>2</v>
      </c>
    </row>
    <row r="2568">
      <c r="A2568" s="7" t="str">
        <f>IFERROR(__xludf.DUMMYFUNCTION("""COMPUTED_VALUE"""),"2439-MAIN")</f>
        <v>2439-MAIN</v>
      </c>
      <c r="B2568" s="7" t="str">
        <f>IFERROR(__xludf.DUMMYFUNCTION("""COMPUTED_VALUE"""),"When GPT Spills the Tea: Comprehensive Assessment of Knowledge File Leakage in GPTs")</f>
        <v>When GPT Spills the Tea: Comprehensive Assessment of Knowledge File Leakage in GPTs</v>
      </c>
      <c r="C2568" s="7" t="str">
        <f>IFERROR(__xludf.DUMMYFUNCTION("""COMPUTED_VALUE"""),"Knowledge files have been widely used in large language model (LLM)-powered agents, such as GPTs, to improve response quality. However, concerns over the potential leakage of knowledge files have grown significantly. Existing studies demonstrate that adve"&amp;"rsarial prompts can induce GPTs to leak knowledge file content. Yet, it remains uncertain whether additional leakage vectors exist, particularly given the complex data flows across clients, servers, and databases in GPTs. In this paper, we present a compr"&amp;"ehensive risk assessment of knowledge file leakage, leveraging a novel workflow inspired by Data Security Posture Management (DSPM). Through the analysis of 651,022 GPT metadata, 11,820 flows, and 1,466 responses, we identify five leakage vectors: metadat"&amp;"a, GPT initialization, retrieval, sandboxed execution environments, and prompts. These vectors enable adversaries to extract sensitive knowledge file data such as titles, content, types, and sizes. Notably, the activation of the built-in tool Code Interpr"&amp;"eter leads to a privilege escalation vulnerability, enabling adversaries to directly download original knowledge files with a 95.95% success rate. Further analysis reveals that 28.80% of leaked files are copyrighted, including digital copies from major pu"&amp;"blishers and internal materials from a listed company. In the end, we provide actionable solutions for GPT builders and platform providers to secure the GPT data supply chain.")</f>
        <v>Knowledge files have been widely used in large language model (LLM)-powered agents, such as GPTs, to improve response quality. However, concerns over the potential leakage of knowledge files have grown significantly. Existing studies demonstrate that adversarial prompts can induce GPTs to leak knowledge file content. Yet, it remains uncertain whether additional leakage vectors exist, particularly given the complex data flows across clients, servers, and databases in GPTs. In this paper, we present a comprehensive risk assessment of knowledge file leakage, leveraging a novel workflow inspired by Data Security Posture Management (DSPM). Through the analysis of 651,022 GPT metadata, 11,820 flows, and 1,466 responses, we identify five leakage vectors: metadata, GPT initialization, retrieval, sandboxed execution environments, and prompts. These vectors enable adversaries to extract sensitive knowledge file data such as titles, content, types, and sizes. Notably, the activation of the built-in tool Code Interpreter leads to a privilege escalation vulnerability, enabling adversaries to directly download original knowledge files with a 95.95% success rate. Further analysis reveals that 28.80% of leaked files are copyrighted, including digital copies from major publishers and internal materials from a listed company. In the end, we provide actionable solutions for GPT builders and platform providers to secure the GPT data supply chain.</v>
      </c>
      <c r="D2568" s="7" t="str">
        <f>IFERROR(__xludf.DUMMYFUNCTION("""COMPUTED_VALUE"""),"Xinyue Shen")</f>
        <v>Xinyue Shen</v>
      </c>
      <c r="E2568" s="7" t="str">
        <f>IFERROR(__xludf.DUMMYFUNCTION("""COMPUTED_VALUE"""),"Yes")</f>
        <v>Yes</v>
      </c>
      <c r="F2568" s="7" t="str">
        <f>IFERROR(__xludf.DUMMYFUNCTION("""COMPUTED_VALUE"""),"IP-Poster")</f>
        <v>IP-Poster</v>
      </c>
      <c r="G2568" s="7" t="str">
        <f>IFERROR(__xludf.DUMMYFUNCTION("""COMPUTED_VALUE"""),"In-Person")</f>
        <v>In-Person</v>
      </c>
      <c r="H2568" s="7" t="str">
        <f>IFERROR(__xludf.DUMMYFUNCTION("""COMPUTED_VALUE"""),"Hall 4/5")</f>
        <v>Hall 4/5</v>
      </c>
      <c r="I2568" s="7" t="str">
        <f>IFERROR(__xludf.DUMMYFUNCTION("""COMPUTED_VALUE"""),"Session 12: IP-Posters")</f>
        <v>Session 12: IP-Posters</v>
      </c>
      <c r="J2568" s="7" t="str">
        <f>IFERROR(__xludf.DUMMYFUNCTION("""COMPUTED_VALUE"""),"Poster Session 4")</f>
        <v>Poster Session 4</v>
      </c>
      <c r="K2568" s="7"/>
      <c r="L2568" s="8">
        <f>IFERROR(__xludf.DUMMYFUNCTION("""COMPUTED_VALUE"""),45868.0)</f>
        <v>45868</v>
      </c>
      <c r="M2568" s="7" t="str">
        <f>IFERROR(__xludf.DUMMYFUNCTION("""COMPUTED_VALUE"""),"11:00-12:30")</f>
        <v>11:00-12:30</v>
      </c>
      <c r="N2568" s="7"/>
    </row>
    <row r="2569">
      <c r="A2569" s="7" t="str">
        <f>IFERROR(__xludf.DUMMYFUNCTION("""COMPUTED_VALUE"""),"2441-MAIN")</f>
        <v>2441-MAIN</v>
      </c>
      <c r="B2569" s="7" t="str">
        <f>IFERROR(__xludf.DUMMYFUNCTION("""COMPUTED_VALUE"""),"UniCodec: Unified Audio Codec with Single Domain-Adaptive Codebook")</f>
        <v>UniCodec: Unified Audio Codec with Single Domain-Adaptive Codebook</v>
      </c>
      <c r="C2569" s="7" t="str">
        <f>IFERROR(__xludf.DUMMYFUNCTION("""COMPUTED_VALUE"""),"The emergence of audio language models is empowered by neural audio codecs, which establish critical mappings between continuous waveforms and discrete tokens compatible with language model paradigms. The evolutionary trends from multi-layer residual vect"&amp;"or quantizer to single-layer quantizer are beneficial for language-autoregressive decoding. However, the capability to handle multi-domain audio signals through a single codebook remains constrained by inter-domain distribution discrepancies. In this work"&amp;", we introduce UniCodec, a unified audio codec with a single codebook to support multi-domain audio data, including speech, music, and sound. To achieve this, we propose a partitioned domain-adaptive codebook method based on domain Mixture-of-Experts stra"&amp;"tegy to capture the distinct characteristics of each audio domain. Furthermore, to enrich the semantic density of the codec without auxiliary modules, we propose a self-supervised mask prediction modeling approach. Comprehensive objective and subjective e"&amp;"valuations demonstrate that UniCodec achieves excellent audio reconstruction performance across the three audio domains, outperforming existing unified neural codecs with a single codebook, and even surpasses state-of-the-art domain-specific codecs on bot"&amp;"h acoustic and semantic representation capabilities.")</f>
        <v>The emergence of audio language models is empowered by neural audio codecs, which establish critical mappings between continuous waveforms and discrete tokens compatible with language model paradigms. The evolutionary trends from multi-layer residual vector quantizer to single-layer quantizer are beneficial for language-autoregressive decoding. However, the capability to handle multi-domain audio signals through a single codebook remains constrained by inter-domain distribution discrepancies. In this work, we introduce UniCodec, a unified audio codec with a single codebook to support multi-domain audio data, including speech, music, and sound. To achieve this, we propose a partitioned domain-adaptive codebook method based on domain Mixture-of-Experts strategy to capture the distinct characteristics of each audio domain. Furthermore, to enrich the semantic density of the codec without auxiliary modules, we propose a self-supervised mask prediction modeling approach. Comprehensive objective and subjective evaluations demonstrate that UniCodec achieves excellent audio reconstruction performance across the three audio domains, outperforming existing unified neural codecs with a single codebook, and even surpasses state-of-the-art domain-specific codecs on both acoustic and semantic representation capabilities.</v>
      </c>
      <c r="D2569" s="7" t="str">
        <f>IFERROR(__xludf.DUMMYFUNCTION("""COMPUTED_VALUE"""),"Yidi Jiang")</f>
        <v>Yidi Jiang</v>
      </c>
      <c r="E2569" s="7" t="str">
        <f>IFERROR(__xludf.DUMMYFUNCTION("""COMPUTED_VALUE"""),"Yes")</f>
        <v>Yes</v>
      </c>
      <c r="F2569" s="7" t="str">
        <f>IFERROR(__xludf.DUMMYFUNCTION("""COMPUTED_VALUE"""),"IP-Poster")</f>
        <v>IP-Poster</v>
      </c>
      <c r="G2569" s="7" t="str">
        <f>IFERROR(__xludf.DUMMYFUNCTION("""COMPUTED_VALUE"""),"In-Person")</f>
        <v>In-Person</v>
      </c>
      <c r="H2569" s="7" t="str">
        <f>IFERROR(__xludf.DUMMYFUNCTION("""COMPUTED_VALUE"""),"Hall 4/5")</f>
        <v>Hall 4/5</v>
      </c>
      <c r="I2569" s="7" t="str">
        <f>IFERROR(__xludf.DUMMYFUNCTION("""COMPUTED_VALUE"""),"Session 2: IP-Posters ")</f>
        <v>Session 2: IP-Posters </v>
      </c>
      <c r="J2569" s="7" t="str">
        <f>IFERROR(__xludf.DUMMYFUNCTION("""COMPUTED_VALUE"""),"Poster Session 1")</f>
        <v>Poster Session 1</v>
      </c>
      <c r="K2569" s="7"/>
      <c r="L2569" s="8">
        <f>IFERROR(__xludf.DUMMYFUNCTION("""COMPUTED_VALUE"""),45866.0)</f>
        <v>45866</v>
      </c>
      <c r="M2569" s="7" t="str">
        <f>IFERROR(__xludf.DUMMYFUNCTION("""COMPUTED_VALUE"""),"11:00-12:30")</f>
        <v>11:00-12:30</v>
      </c>
      <c r="N2569" s="7"/>
    </row>
    <row r="2570">
      <c r="A2570" s="7" t="str">
        <f>IFERROR(__xludf.DUMMYFUNCTION("""COMPUTED_VALUE"""),"2453-MAIN")</f>
        <v>2453-MAIN</v>
      </c>
      <c r="B2570" s="7" t="str">
        <f>IFERROR(__xludf.DUMMYFUNCTION("""COMPUTED_VALUE"""),"KERL: Knowledge-Enhanced Personalized Recipe Recommendation using Large Language Models")</f>
        <v>KERL: Knowledge-Enhanced Personalized Recipe Recommendation using Large Language Models</v>
      </c>
      <c r="C2570" s="7" t="str">
        <f>IFERROR(__xludf.DUMMYFUNCTION("""COMPUTED_VALUE"""),"Recent advances in large language models (LLMs) and the abundance of food data have resulted in studies to improve food understanding using LLMs. Despite several recommendation systems utilizing LLMs and Knowledge Graphs (KGs), there has been limited rese"&amp;"arch on integrating food related KGs with LLMs. We introduce KERL, a unified system that leverages food KGs and LLMs to provide personalized food recommendations and generates recipes with associated micro-nutritional information. Given a natural language"&amp;" question, KERL extracts entities, retrieves subgraphs from the KG, which are then fed into the LLM as context to select the recipes that satisfy the constraints. Next, our system generates the cooking steps and nutritional information for each recipe. To"&amp;" evaluate our approach, we also develop a benchmark dataset by curating recipe related questions, combined with constraints and personal preferences. Through extensive experiments, we show that our proposed KG-augmented LLM significantly outperforms exist"&amp;"ing approaches, offering a complete and coherent solution for food recommendation, recipe generation, and nutritional analysis. Our code and benchmark datasets are publicly available at https://github.com/mohbattharani/KERL.")</f>
        <v>Recent advances in large language models (LLMs) and the abundance of food data have resulted in studies to improve food understanding using LLMs. Despite several recommendation systems utilizing LLMs and Knowledge Graphs (KGs), there has been limited research on integrating food related KGs with LLMs. We introduce KERL, a unified system that leverages food KGs and LLMs to provide personalized food recommendations and generates recipes with associated micro-nutritional information. Given a natural language question, KERL extracts entities, retrieves subgraphs from the KG, which are then fed into the LLM as context to select the recipes that satisfy the constraints. Next, our system generates the cooking steps and nutritional information for each recipe. To evaluate our approach, we also develop a benchmark dataset by curating recipe related questions, combined with constraints and personal preferences. Through extensive experiments, we show that our proposed KG-augmented LLM significantly outperforms existing approaches, offering a complete and coherent solution for food recommendation, recipe generation, and nutritional analysis. Our code and benchmark datasets are publicly available at https://github.com/mohbattharani/KERL.</v>
      </c>
      <c r="D2570" s="7" t="str">
        <f>IFERROR(__xludf.DUMMYFUNCTION("""COMPUTED_VALUE"""),"Fnu Mohbat")</f>
        <v>Fnu Mohbat</v>
      </c>
      <c r="E2570" s="7" t="str">
        <f>IFERROR(__xludf.DUMMYFUNCTION("""COMPUTED_VALUE"""),"Yes")</f>
        <v>Yes</v>
      </c>
      <c r="F2570" s="7" t="str">
        <f>IFERROR(__xludf.DUMMYFUNCTION("""COMPUTED_VALUE"""),"V-Presentation")</f>
        <v>V-Presentation</v>
      </c>
      <c r="G2570" s="7" t="str">
        <f>IFERROR(__xludf.DUMMYFUNCTION("""COMPUTED_VALUE"""),"Virtual/Gather")</f>
        <v>Virtual/Gather</v>
      </c>
      <c r="H2570" s="7" t="str">
        <f>IFERROR(__xludf.DUMMYFUNCTION("""COMPUTED_VALUE"""),"Zoom")</f>
        <v>Zoom</v>
      </c>
      <c r="I2570" s="7" t="str">
        <f>IFERROR(__xludf.DUMMYFUNCTION("""COMPUTED_VALUE"""),"Session 2: V-Presentations")</f>
        <v>Session 2: V-Presentations</v>
      </c>
      <c r="J2570" s="7" t="str">
        <f>IFERROR(__xludf.DUMMYFUNCTION("""COMPUTED_VALUE"""),"Virtual Presentations 1")</f>
        <v>Virtual Presentations 1</v>
      </c>
      <c r="K2570" s="7"/>
      <c r="L2570" s="8">
        <f>IFERROR(__xludf.DUMMYFUNCTION("""COMPUTED_VALUE"""),45866.0)</f>
        <v>45866</v>
      </c>
      <c r="M2570" s="7" t="str">
        <f>IFERROR(__xludf.DUMMYFUNCTION("""COMPUTED_VALUE"""),"11:00-12:30")</f>
        <v>11:00-12:30</v>
      </c>
      <c r="N2570" s="7"/>
    </row>
    <row r="2571">
      <c r="A2571" s="7" t="str">
        <f>IFERROR(__xludf.DUMMYFUNCTION("""COMPUTED_VALUE"""),"2460-MAIN")</f>
        <v>2460-MAIN</v>
      </c>
      <c r="B2571" s="7" t="str">
        <f>IFERROR(__xludf.DUMMYFUNCTION("""COMPUTED_VALUE"""),"Multilingual Arbitration: Optimizing Data Pools to Accelerate Multilingual Progress")</f>
        <v>Multilingual Arbitration: Optimizing Data Pools to Accelerate Multilingual Progress</v>
      </c>
      <c r="C2571" s="7" t="str">
        <f>IFERROR(__xludf.DUMMYFUNCTION("""COMPUTED_VALUE"""),"Synthetic data has driven recent state-of-the-art advancements, but reliance on a single oracle teacher model can lead to model collapse and bias propagation. These issues are particularly severe in multilingual settings, where no single model excels acro"&amp;"ss all languages. In this study, we propose multilingual arbitration, which exploits performance variations among multiple models for each language. By strategically routing samples through a diverse set of models, each with unique strengths, we mitigate "&amp;"these challenges and enhance multilingual performance. Extensive experiments with state-of-the-art models demonstrate that our approach significantly surpasses single-teacher distillation, achieving up to 80% win rates over proprietary and open-weight mod"&amp;"els like Gemma 2, Llama 3.1, and Mistral v0.3, with the largest improvements in low-resource languages.")</f>
        <v>Synthetic data has driven recent state-of-the-art advancements, but reliance on a single oracle teacher model can lead to model collapse and bias propagation. These issues are particularly severe in multilingual settings, where no single model excels across all languages. In this study, we propose multilingual arbitration, which exploits performance variations among multiple models for each language. By strategically routing samples through a diverse set of models, each with unique strengths, we mitigate these challenges and enhance multilingual performance. Extensive experiments with state-of-the-art models demonstrate that our approach significantly surpasses single-teacher distillation, achieving up to 80% win rates over proprietary and open-weight models like Gemma 2, Llama 3.1, and Mistral v0.3, with the largest improvements in low-resource languages.</v>
      </c>
      <c r="D2571" s="7" t="str">
        <f>IFERROR(__xludf.DUMMYFUNCTION("""COMPUTED_VALUE"""),"Ayomide Odumakinde")</f>
        <v>Ayomide Odumakinde</v>
      </c>
      <c r="E2571" s="7" t="str">
        <f>IFERROR(__xludf.DUMMYFUNCTION("""COMPUTED_VALUE"""),"Yes")</f>
        <v>Yes</v>
      </c>
      <c r="F2571" s="7" t="str">
        <f>IFERROR(__xludf.DUMMYFUNCTION("""COMPUTED_VALUE"""),"IP-Poster")</f>
        <v>IP-Poster</v>
      </c>
      <c r="G2571" s="7" t="str">
        <f>IFERROR(__xludf.DUMMYFUNCTION("""COMPUTED_VALUE"""),"In-Person")</f>
        <v>In-Person</v>
      </c>
      <c r="H2571" s="7" t="str">
        <f>IFERROR(__xludf.DUMMYFUNCTION("""COMPUTED_VALUE"""),"Hall 4/5")</f>
        <v>Hall 4/5</v>
      </c>
      <c r="I2571" s="7" t="str">
        <f>IFERROR(__xludf.DUMMYFUNCTION("""COMPUTED_VALUE"""),"Session 7: IP-Posters")</f>
        <v>Session 7: IP-Posters</v>
      </c>
      <c r="J2571" s="7" t="str">
        <f>IFERROR(__xludf.DUMMYFUNCTION("""COMPUTED_VALUE"""),"Poster Session 2")</f>
        <v>Poster Session 2</v>
      </c>
      <c r="K2571" s="7"/>
      <c r="L2571" s="8">
        <f>IFERROR(__xludf.DUMMYFUNCTION("""COMPUTED_VALUE"""),45867.0)</f>
        <v>45867</v>
      </c>
      <c r="M2571" s="7" t="str">
        <f>IFERROR(__xludf.DUMMYFUNCTION("""COMPUTED_VALUE"""),"10:30-12:00")</f>
        <v>10:30-12:00</v>
      </c>
      <c r="N2571" s="7"/>
    </row>
    <row r="2572">
      <c r="A2572" s="7" t="str">
        <f>IFERROR(__xludf.DUMMYFUNCTION("""COMPUTED_VALUE"""),"2463-MAIN")</f>
        <v>2463-MAIN</v>
      </c>
      <c r="B2572" s="7" t="str">
        <f>IFERROR(__xludf.DUMMYFUNCTION("""COMPUTED_VALUE"""),"Controlled Low-Rank Adaptation with Subspace Regularization for Continued Training on Large Language Models")</f>
        <v>Controlled Low-Rank Adaptation with Subspace Regularization for Continued Training on Large Language Models</v>
      </c>
      <c r="C2572" s="7" t="str">
        <f>IFERROR(__xludf.DUMMYFUNCTION("""COMPUTED_VALUE"""),"Large language models (LLMs) exhibit remarkable capabilities in natural language processing but face catastrophic forgetting when learning new tasks, where adaptation to a new domain leads to a substantial decline in performance on previous tasks. In this"&amp;" paper, we propose Controlled LoRA (CLoRA), a subspace regularization method on LoRA structure. Aiming to reduce the scale of output change while introducing minimal constraint on model capacity, CLoRA imposes constraints on the direction of updating matr"&amp;"ix’s null space. Experimental results on one-stage LLM finetuning tasks and continual learning settings highlight the superiority of CLoRA as an effective parameter-efficient finetuning method with catastrophic forgetting mitigating. Further investigation"&amp;" for model parameters indicates that CLoRA effectively balances the trade-off between model capacity and degree of forgetting. The code for implementing CLoRA will be publicly available.")</f>
        <v>Large language models (LLMs) exhibit remarkable capabilities in natural language processing but face catastrophic forgetting when learning new tasks, where adaptation to a new domain leads to a substantial decline in performance on previous tasks. In this paper, we propose Controlled LoRA (CLoRA), a subspace regularization method on LoRA structure. Aiming to reduce the scale of output change while introducing minimal constraint on model capacity, CLoRA imposes constraints on the direction of updating matrix’s null space. Experimental results on one-stage LLM finetuning tasks and continual learning settings highlight the superiority of CLoRA as an effective parameter-efficient finetuning method with catastrophic forgetting mitigating. Further investigation for model parameters indicates that CLoRA effectively balances the trade-off between model capacity and degree of forgetting. The code for implementing CLoRA will be publicly available.</v>
      </c>
      <c r="D2572" s="7" t="str">
        <f>IFERROR(__xludf.DUMMYFUNCTION("""COMPUTED_VALUE"""),"Yuheng Lu")</f>
        <v>Yuheng Lu</v>
      </c>
      <c r="E2572" s="7" t="str">
        <f>IFERROR(__xludf.DUMMYFUNCTION("""COMPUTED_VALUE"""),"Yes")</f>
        <v>Yes</v>
      </c>
      <c r="F2572" s="7" t="str">
        <f>IFERROR(__xludf.DUMMYFUNCTION("""COMPUTED_VALUE"""),"IP-Poster")</f>
        <v>IP-Poster</v>
      </c>
      <c r="G2572" s="7" t="str">
        <f>IFERROR(__xludf.DUMMYFUNCTION("""COMPUTED_VALUE"""),"In-Person")</f>
        <v>In-Person</v>
      </c>
      <c r="H2572" s="7" t="str">
        <f>IFERROR(__xludf.DUMMYFUNCTION("""COMPUTED_VALUE"""),"Hall 4/5")</f>
        <v>Hall 4/5</v>
      </c>
      <c r="I2572" s="7" t="str">
        <f>IFERROR(__xludf.DUMMYFUNCTION("""COMPUTED_VALUE"""),"Session 10: IP-Posters")</f>
        <v>Session 10: IP-Posters</v>
      </c>
      <c r="J2572" s="7" t="str">
        <f>IFERROR(__xludf.DUMMYFUNCTION("""COMPUTED_VALUE"""),"Poster Session 3")</f>
        <v>Poster Session 3</v>
      </c>
      <c r="K2572" s="7"/>
      <c r="L2572" s="8">
        <f>IFERROR(__xludf.DUMMYFUNCTION("""COMPUTED_VALUE"""),45867.0)</f>
        <v>45867</v>
      </c>
      <c r="M2572" s="7" t="str">
        <f>IFERROR(__xludf.DUMMYFUNCTION("""COMPUTED_VALUE"""),"16:00-17:30")</f>
        <v>16:00-17:30</v>
      </c>
      <c r="N2572" s="7"/>
    </row>
    <row r="2573">
      <c r="A2573" s="7" t="str">
        <f>IFERROR(__xludf.DUMMYFUNCTION("""COMPUTED_VALUE"""),"2465-MAIN")</f>
        <v>2465-MAIN</v>
      </c>
      <c r="B2573" s="7" t="str">
        <f>IFERROR(__xludf.DUMMYFUNCTION("""COMPUTED_VALUE"""),"Chinese SimpleQA: A Chinese Factuality Evaluation for Large Language Models")</f>
        <v>Chinese SimpleQA: A Chinese Factuality Evaluation for Large Language Models</v>
      </c>
      <c r="C2573" s="7" t="str">
        <f>IFERROR(__xludf.DUMMYFUNCTION("""COMPUTED_VALUE"""),"New LLM benchmarks are important to align with the rapid development of Large Language Models (LLMs). In this work, we present Chinese SimpleQA, the first comprehensive Chinese benchmark to evaluate the factuality ability of LLMs to answer short questions"&amp;", and Chinese SimpleQA mainly has five properties (i.e., Chinese, Diverse, High-quality, Static, Easy-to-evaluate). Specifically, first, we focus on the Chinese language over 6 major topics with 99 diverse subtopics. Second, we conduct a comprehensive qua"&amp;"lity control process to achieve high-quality questions and answers, where the reference answers are static and cannot be changed over time. Third, following SimpleQA, the questions and answers are very short, and the grading process is easy-to-evaluate. B"&amp;"ased on Chinese SimpleQA, we perform a comprehensive evaluation of the factuality abilities of existing LLMs. Finally, we hope that Chinese SimpleQA could guide the developers to better understand the Chinese factuality abilities of their models and facil"&amp;"itate the growth of LLMs.")</f>
        <v>New LLM benchmarks are important to align with the rapid development of Large Language Models (LLMs). In this work, we present Chinese SimpleQA, the first comprehensive Chinese benchmark to evaluate the factuality ability of LLMs to answer short questions, and Chinese SimpleQA mainly has five properties (i.e., Chinese, Diverse, High-quality, Static, Easy-to-evaluate). Specifically, first, we focus on the Chinese language over 6 major topics with 99 diverse subtopics. Second, we conduct a comprehensive quality control process to achieve high-quality questions and answers, where the reference answers are static and cannot be changed over time. Third, following SimpleQA, the questions and answers are very short, and the grading process is easy-to-evaluate. Based on Chinese SimpleQA, we perform a comprehensive evaluation of the factuality abilities of existing LLMs. Finally, we hope that Chinese SimpleQA could guide the developers to better understand the Chinese factuality abilities of their models and facilitate the growth of LLMs.</v>
      </c>
      <c r="D2573" s="7" t="str">
        <f>IFERROR(__xludf.DUMMYFUNCTION("""COMPUTED_VALUE"""),"Xingyuan Bu")</f>
        <v>Xingyuan Bu</v>
      </c>
      <c r="E2573" s="7" t="str">
        <f>IFERROR(__xludf.DUMMYFUNCTION("""COMPUTED_VALUE"""),"Yes")</f>
        <v>Yes</v>
      </c>
      <c r="F2573" s="7" t="str">
        <f>IFERROR(__xludf.DUMMYFUNCTION("""COMPUTED_VALUE"""),"IP-Poster")</f>
        <v>IP-Poster</v>
      </c>
      <c r="G2573" s="7" t="str">
        <f>IFERROR(__xludf.DUMMYFUNCTION("""COMPUTED_VALUE"""),"In-Person")</f>
        <v>In-Person</v>
      </c>
      <c r="H2573" s="7" t="str">
        <f>IFERROR(__xludf.DUMMYFUNCTION("""COMPUTED_VALUE"""),"Hall 4/5")</f>
        <v>Hall 4/5</v>
      </c>
      <c r="I2573" s="7" t="str">
        <f>IFERROR(__xludf.DUMMYFUNCTION("""COMPUTED_VALUE"""),"Session 2: IP-Posters ")</f>
        <v>Session 2: IP-Posters </v>
      </c>
      <c r="J2573" s="7" t="str">
        <f>IFERROR(__xludf.DUMMYFUNCTION("""COMPUTED_VALUE"""),"Poster Session 1")</f>
        <v>Poster Session 1</v>
      </c>
      <c r="K2573" s="7"/>
      <c r="L2573" s="8">
        <f>IFERROR(__xludf.DUMMYFUNCTION("""COMPUTED_VALUE"""),45866.0)</f>
        <v>45866</v>
      </c>
      <c r="M2573" s="7" t="str">
        <f>IFERROR(__xludf.DUMMYFUNCTION("""COMPUTED_VALUE"""),"11:00-12:30")</f>
        <v>11:00-12:30</v>
      </c>
      <c r="N2573" s="7"/>
    </row>
    <row r="2574">
      <c r="A2574" s="7" t="str">
        <f>IFERROR(__xludf.DUMMYFUNCTION("""COMPUTED_VALUE"""),"2467-MAIN")</f>
        <v>2467-MAIN</v>
      </c>
      <c r="B2574" s="7" t="str">
        <f>IFERROR(__xludf.DUMMYFUNCTION("""COMPUTED_VALUE"""),"PVP: An Image Dataset for Personalized Visual Persuasion with Persuasion Strategies, Viewer Characteristics, and Persuasiveness Ratings")</f>
        <v>PVP: An Image Dataset for Personalized Visual Persuasion with Persuasion Strategies, Viewer Characteristics, and Persuasiveness Ratings</v>
      </c>
      <c r="C2574" s="7" t="str">
        <f>IFERROR(__xludf.DUMMYFUNCTION("""COMPUTED_VALUE"""),"Visual persuasion, which uses visual elements to influence cognition and behaviors, is crucial in fields such as advertising and political
communication. With recent advancements in artificial intelligence, there is growing potential to develop persuasive"&amp;" systems that automatically generate persuasive images tailored to individuals. However, a significant bottleneck in this area is the lack of comprehensive
datasets that connect the persuasiveness of images with the personal information about those who ev"&amp;"aluated the images. To address this gap and facilitate technological advancements in personalized visual persuasion, we release the Personalized Visual Persuasion (PVP) dataset, comprising 28,454 persuasive images across 596 messages and 9 persuasion stra"&amp;"tegies. Importantly, the PVP dataset provides persuasiveness scores of images evaluated by 2,521 human annotators, along with their demographic and psychological characteristics (personality traits and values). We demonstrate the utility of our dataset by"&amp;" developing a persuasive image generator and an automated evaluator, and establish benchmark baselines. Our experiments reveal that incorporating psychological characteristics enhances the generation and evaluation of persuasive images, providing valuable"&amp;" insights for personalized visual persuasion.")</f>
        <v>Visual persuasion, which uses visual elements to influence cognition and behaviors, is crucial in fields such as advertising and political
communication. With recent advancements in artificial intelligence, there is growing potential to develop persuasive systems that automatically generate persuasive images tailored to individuals. However, a significant bottleneck in this area is the lack of comprehensive
datasets that connect the persuasiveness of images with the personal information about those who evaluated the images. To address this gap and facilitate technological advancements in personalized visual persuasion, we release the Personalized Visual Persuasion (PVP) dataset, comprising 28,454 persuasive images across 596 messages and 9 persuasion strategies. Importantly, the PVP dataset provides persuasiveness scores of images evaluated by 2,521 human annotators, along with their demographic and psychological characteristics (personality traits and values). We demonstrate the utility of our dataset by developing a persuasive image generator and an automated evaluator, and establish benchmark baselines. Our experiments reveal that incorporating psychological characteristics enhances the generation and evaluation of persuasive images, providing valuable insights for personalized visual persuasion.</v>
      </c>
      <c r="D2574" s="7" t="str">
        <f>IFERROR(__xludf.DUMMYFUNCTION("""COMPUTED_VALUE"""),"Junseo Kim")</f>
        <v>Junseo Kim</v>
      </c>
      <c r="E2574" s="7" t="str">
        <f>IFERROR(__xludf.DUMMYFUNCTION("""COMPUTED_VALUE"""),"Yes")</f>
        <v>Yes</v>
      </c>
      <c r="F2574" s="7" t="str">
        <f>IFERROR(__xludf.DUMMYFUNCTION("""COMPUTED_VALUE"""),"IP-Poster")</f>
        <v>IP-Poster</v>
      </c>
      <c r="G2574" s="7" t="str">
        <f>IFERROR(__xludf.DUMMYFUNCTION("""COMPUTED_VALUE"""),"In-Person")</f>
        <v>In-Person</v>
      </c>
      <c r="H2574" s="7" t="str">
        <f>IFERROR(__xludf.DUMMYFUNCTION("""COMPUTED_VALUE"""),"Hall 4/5")</f>
        <v>Hall 4/5</v>
      </c>
      <c r="I2574" s="7" t="str">
        <f>IFERROR(__xludf.DUMMYFUNCTION("""COMPUTED_VALUE"""),"Session 2: IP-Posters ")</f>
        <v>Session 2: IP-Posters </v>
      </c>
      <c r="J2574" s="7" t="str">
        <f>IFERROR(__xludf.DUMMYFUNCTION("""COMPUTED_VALUE"""),"Poster Session 1")</f>
        <v>Poster Session 1</v>
      </c>
      <c r="K2574" s="7"/>
      <c r="L2574" s="8">
        <f>IFERROR(__xludf.DUMMYFUNCTION("""COMPUTED_VALUE"""),45866.0)</f>
        <v>45866</v>
      </c>
      <c r="M2574" s="7" t="str">
        <f>IFERROR(__xludf.DUMMYFUNCTION("""COMPUTED_VALUE"""),"11:00-12:30")</f>
        <v>11:00-12:30</v>
      </c>
      <c r="N2574" s="7"/>
    </row>
    <row r="2575">
      <c r="A2575" s="7" t="str">
        <f>IFERROR(__xludf.DUMMYFUNCTION("""COMPUTED_VALUE"""),"2468-MAIN")</f>
        <v>2468-MAIN</v>
      </c>
      <c r="B2575" s="7" t="str">
        <f>IFERROR(__xludf.DUMMYFUNCTION("""COMPUTED_VALUE"""),"Any Information Is Just Worth One Single Screenshot: Unifying Search With Visualized Information Retrieval")</f>
        <v>Any Information Is Just Worth One Single Screenshot: Unifying Search With Visualized Information Retrieval</v>
      </c>
      <c r="C2575" s="7" t="str">
        <f>IFERROR(__xludf.DUMMYFUNCTION("""COMPUTED_VALUE"""),"With the popularity of multimodal techniques, it receives growing interests to acquire useful information in visual forms. In this work, we formally define an emerging IR paradigm called Visualized Information Retrieval, or Vis-IR, where multimodal inform"&amp;"ation, such as texts, images, tables and charts, is jointly represented by a unified visual format called Screenshots, for various retrieval applications. We further make three key contributions for Vis-IR. First, we create VIRA (Vis-IR Aggregation), a la"&amp;"rge-scale dataset comprising a vast collection of screenshots from diverse sources, carefully curated into captioned and question-answer formats. Second, we develop UniSE (Universal Screenshot Embeddings), a family of retrieval models that enable screensh"&amp;"ots to query or be queried across arbitrary data modalities. Finally, we construct MVRB (Massive Visualized IR Benchmark), a comprehensive benchmark covering a variety of task forms and application scenarios. Through extensive evaluations on MVRB, we high"&amp;"light the deficiency from existing multimodal retrievers and the substantial improvements made by UniSE. Our data, model and benchmark have been made publicly available, which lays a solid foundation for this emerging field.")</f>
        <v>With the popularity of multimodal techniques, it receives growing interests to acquire useful information in visual forms. In this work, we formally define an emerging IR paradigm called Visualized Information Retrieval, or Vis-IR, where multimodal information, such as texts, images, tables and charts, is jointly represented by a unified visual format called Screenshots, for various retrieval applications. We further make three key contributions for Vis-IR. First, we create VIRA (Vis-IR Aggregation), a large-scale dataset comprising a vast collection of screenshots from diverse sources, carefully curated into captioned and question-answer formats. Second, we develop UniSE (Universal Screenshot Embeddings), a family of retrieval models that enable screenshots to query or be queried across arbitrary data modalities. Finally, we construct MVRB (Massive Visualized IR Benchmark), a comprehensive benchmark covering a variety of task forms and application scenarios. Through extensive evaluations on MVRB, we highlight the deficiency from existing multimodal retrievers and the substantial improvements made by UniSE. Our data, model and benchmark have been made publicly available, which lays a solid foundation for this emerging field.</v>
      </c>
      <c r="D2575" s="7" t="str">
        <f>IFERROR(__xludf.DUMMYFUNCTION("""COMPUTED_VALUE"""),"Ze Liu")</f>
        <v>Ze Liu</v>
      </c>
      <c r="E2575" s="7" t="str">
        <f>IFERROR(__xludf.DUMMYFUNCTION("""COMPUTED_VALUE"""),"Yes")</f>
        <v>Yes</v>
      </c>
      <c r="F2575" s="7" t="str">
        <f>IFERROR(__xludf.DUMMYFUNCTION("""COMPUTED_VALUE"""),"IP-Poster")</f>
        <v>IP-Poster</v>
      </c>
      <c r="G2575" s="7" t="str">
        <f>IFERROR(__xludf.DUMMYFUNCTION("""COMPUTED_VALUE"""),"In-Person")</f>
        <v>In-Person</v>
      </c>
      <c r="H2575" s="7" t="str">
        <f>IFERROR(__xludf.DUMMYFUNCTION("""COMPUTED_VALUE"""),"Hall 4/5")</f>
        <v>Hall 4/5</v>
      </c>
      <c r="I2575" s="7" t="str">
        <f>IFERROR(__xludf.DUMMYFUNCTION("""COMPUTED_VALUE"""),"Session 2: IP-Posters ")</f>
        <v>Session 2: IP-Posters </v>
      </c>
      <c r="J2575" s="7" t="str">
        <f>IFERROR(__xludf.DUMMYFUNCTION("""COMPUTED_VALUE"""),"Poster Session 1")</f>
        <v>Poster Session 1</v>
      </c>
      <c r="K2575" s="7"/>
      <c r="L2575" s="8">
        <f>IFERROR(__xludf.DUMMYFUNCTION("""COMPUTED_VALUE"""),45866.0)</f>
        <v>45866</v>
      </c>
      <c r="M2575" s="7" t="str">
        <f>IFERROR(__xludf.DUMMYFUNCTION("""COMPUTED_VALUE"""),"11:00-12:30")</f>
        <v>11:00-12:30</v>
      </c>
      <c r="N2575" s="7"/>
    </row>
    <row r="2576">
      <c r="A2576" s="7" t="str">
        <f>IFERROR(__xludf.DUMMYFUNCTION("""COMPUTED_VALUE"""),"2469-MAIN")</f>
        <v>2469-MAIN</v>
      </c>
      <c r="B2576" s="7" t="str">
        <f>IFERROR(__xludf.DUMMYFUNCTION("""COMPUTED_VALUE"""),"Tunable LLM-based Proactive Recommendation Agent")</f>
        <v>Tunable LLM-based Proactive Recommendation Agent</v>
      </c>
      <c r="C2576" s="7" t="str">
        <f>IFERROR(__xludf.DUMMYFUNCTION("""COMPUTED_VALUE"""),"Recommender systems are indispensable on various digital platforms. However, traditional methods often reinforce existing user interests, which leads to echo chambers and limits diversity. Proactive Recommendation Systems (PRS) aim to address this issue b"&amp;"y cultivating users' latent interests through multi-step recommendations. Despite advancements, challenges persist particularly in optimizing long-term rewards and adapting to real-time user feedback. In this study, we propose an LLM-based Actor-Critic Ag"&amp;"ent framework to enhance PRS. This framework utilizes the LLM-based agent to adjust recommendations in real time based on feedback and employs agent-tuning methods to optimize long-term rewards using three proposed reward functions. Extensive experiments "&amp;"validate the significant superiority of this framework over existing methods by optimizing long-term rewards and dynamically evolving with user feedback.")</f>
        <v>Recommender systems are indispensable on various digital platforms. However, traditional methods often reinforce existing user interests, which leads to echo chambers and limits diversity. Proactive Recommendation Systems (PRS) aim to address this issue by cultivating users' latent interests through multi-step recommendations. Despite advancements, challenges persist particularly in optimizing long-term rewards and adapting to real-time user feedback. In this study, we propose an LLM-based Actor-Critic Agent framework to enhance PRS. This framework utilizes the LLM-based agent to adjust recommendations in real time based on feedback and employs agent-tuning methods to optimize long-term rewards using three proposed reward functions. Extensive experiments validate the significant superiority of this framework over existing methods by optimizing long-term rewards and dynamically evolving with user feedback.</v>
      </c>
      <c r="D2576" s="7" t="str">
        <f>IFERROR(__xludf.DUMMYFUNCTION("""COMPUTED_VALUE"""),"Mingze Wang")</f>
        <v>Mingze Wang</v>
      </c>
      <c r="E2576" s="7" t="str">
        <f>IFERROR(__xludf.DUMMYFUNCTION("""COMPUTED_VALUE"""),"Yes")</f>
        <v>Yes</v>
      </c>
      <c r="F2576" s="7" t="str">
        <f>IFERROR(__xludf.DUMMYFUNCTION("""COMPUTED_VALUE"""),"IP-Poster")</f>
        <v>IP-Poster</v>
      </c>
      <c r="G2576" s="7" t="str">
        <f>IFERROR(__xludf.DUMMYFUNCTION("""COMPUTED_VALUE"""),"In-Person")</f>
        <v>In-Person</v>
      </c>
      <c r="H2576" s="7" t="str">
        <f>IFERROR(__xludf.DUMMYFUNCTION("""COMPUTED_VALUE"""),"Hall 4/5")</f>
        <v>Hall 4/5</v>
      </c>
      <c r="I2576" s="7" t="str">
        <f>IFERROR(__xludf.DUMMYFUNCTION("""COMPUTED_VALUE"""),"Session 12: IP-Posters")</f>
        <v>Session 12: IP-Posters</v>
      </c>
      <c r="J2576" s="7" t="str">
        <f>IFERROR(__xludf.DUMMYFUNCTION("""COMPUTED_VALUE"""),"Poster Session 4")</f>
        <v>Poster Session 4</v>
      </c>
      <c r="K2576" s="7"/>
      <c r="L2576" s="8">
        <f>IFERROR(__xludf.DUMMYFUNCTION("""COMPUTED_VALUE"""),45868.0)</f>
        <v>45868</v>
      </c>
      <c r="M2576" s="7" t="str">
        <f>IFERROR(__xludf.DUMMYFUNCTION("""COMPUTED_VALUE"""),"11:00-12:30")</f>
        <v>11:00-12:30</v>
      </c>
      <c r="N2576" s="7"/>
    </row>
    <row r="2577">
      <c r="A2577" s="7" t="str">
        <f>IFERROR(__xludf.DUMMYFUNCTION("""COMPUTED_VALUE"""),"2473-MAIN")</f>
        <v>2473-MAIN</v>
      </c>
      <c r="B2577" s="7" t="str">
        <f>IFERROR(__xludf.DUMMYFUNCTION("""COMPUTED_VALUE"""),"AgentRM: Enhancing Agent Generalization with Reward Modeling")</f>
        <v>AgentRM: Enhancing Agent Generalization with Reward Modeling</v>
      </c>
      <c r="C2577" s="7" t="str">
        <f>IFERROR(__xludf.DUMMYFUNCTION("""COMPUTED_VALUE"""),"Existing LLM-based agents have achieved strong performance on held-in tasks, but their generalizability to unseen tasks remains poor. Hence, some recent work focus on fine-tuning the policy model with more diverse tasks to improve the generalizability. In"&amp;" this work, 
we find that finetuning a reward model to guide the policy model is more robust than directly finetuning the policy model.
Based on this finding, we propose AgentRM, a 8B generalizable reward model, to guide the policy model for effective tes"&amp;"t-time search.
We comprehensively investigate three approaches to construct the reward model, including explicit reward modeling, implicit reward modeling and LLM-as-a-judge.
We then use AgentRM to guide the answer generation with Best-of-N sampling and b"&amp;"eam search.
We show that AgentRM is robust to paraphrasings of task instructions and can generalize to unseen tasks that require novel optimal behavior.
Through extensive evaluation across nine tasks spanning four categories, AgentRM enhances the non-fine"&amp;"tuned 8B policy model by 8.8 points on average, surpassing the top general agent by 4.0.
Moreover, it demonstrates weak-to-strong generalization, yielding greater improvement on more powerful policy models.
As for the specializability, AgentRM can also bo"&amp;"ost a finetuned policy model and outperform the top specialized agent by 11.4 on three held-in tasks.
Further analysis verifies its effectiveness in test-time scaling.
We release the code and data at https://github.com/thunlp/AgentRM.")</f>
        <v>Existing LLM-based agents have achieved strong performance on held-in tasks, but their generalizability to unseen tasks remains poor. Hence, some recent work focus on fine-tuning the policy model with more diverse tasks to improve the generalizability. In this work, 
we find that finetuning a reward model to guide the policy model is more robust than directly finetuning the policy model.
Based on this finding, we propose AgentRM, a 8B generalizable reward model, to guide the policy model for effective test-time search.
We comprehensively investigate three approaches to construct the reward model, including explicit reward modeling, implicit reward modeling and LLM-as-a-judge.
We then use AgentRM to guide the answer generation with Best-of-N sampling and beam search.
We show that AgentRM is robust to paraphrasings of task instructions and can generalize to unseen tasks that require novel optimal behavior.
Through extensive evaluation across nine tasks spanning four categories, AgentRM enhances the non-finetuned 8B policy model by 8.8 points on average, surpassing the top general agent by 4.0.
Moreover, it demonstrates weak-to-strong generalization, yielding greater improvement on more powerful policy models.
As for the specializability, AgentRM can also boost a finetuned policy model and outperform the top specialized agent by 11.4 on three held-in tasks.
Further analysis verifies its effectiveness in test-time scaling.
We release the code and data at https://github.com/thunlp/AgentRM.</v>
      </c>
      <c r="D2577" s="7" t="str">
        <f>IFERROR(__xludf.DUMMYFUNCTION("""COMPUTED_VALUE"""),"Yu Xia")</f>
        <v>Yu Xia</v>
      </c>
      <c r="E2577" s="7" t="str">
        <f>IFERROR(__xludf.DUMMYFUNCTION("""COMPUTED_VALUE"""),"Yes")</f>
        <v>Yes</v>
      </c>
      <c r="F2577" s="7" t="str">
        <f>IFERROR(__xludf.DUMMYFUNCTION("""COMPUTED_VALUE"""),"IP-Poster")</f>
        <v>IP-Poster</v>
      </c>
      <c r="G2577" s="7" t="str">
        <f>IFERROR(__xludf.DUMMYFUNCTION("""COMPUTED_VALUE"""),"In-Person")</f>
        <v>In-Person</v>
      </c>
      <c r="H2577" s="7" t="str">
        <f>IFERROR(__xludf.DUMMYFUNCTION("""COMPUTED_VALUE"""),"Hall 4/5")</f>
        <v>Hall 4/5</v>
      </c>
      <c r="I2577" s="7" t="str">
        <f>IFERROR(__xludf.DUMMYFUNCTION("""COMPUTED_VALUE"""),"Session 7: IP-Posters")</f>
        <v>Session 7: IP-Posters</v>
      </c>
      <c r="J2577" s="7" t="str">
        <f>IFERROR(__xludf.DUMMYFUNCTION("""COMPUTED_VALUE"""),"Poster Session 2")</f>
        <v>Poster Session 2</v>
      </c>
      <c r="K2577" s="7"/>
      <c r="L2577" s="8">
        <f>IFERROR(__xludf.DUMMYFUNCTION("""COMPUTED_VALUE"""),45867.0)</f>
        <v>45867</v>
      </c>
      <c r="M2577" s="7" t="str">
        <f>IFERROR(__xludf.DUMMYFUNCTION("""COMPUTED_VALUE"""),"10:30-12:00")</f>
        <v>10:30-12:00</v>
      </c>
      <c r="N2577" s="7"/>
    </row>
    <row r="2578">
      <c r="A2578" s="7" t="str">
        <f>IFERROR(__xludf.DUMMYFUNCTION("""COMPUTED_VALUE"""),"2474-MAIN")</f>
        <v>2474-MAIN</v>
      </c>
      <c r="B2578" s="7" t="str">
        <f>IFERROR(__xludf.DUMMYFUNCTION("""COMPUTED_VALUE"""),"Score Consistency Meets Preference Alignment: Dual-Consistency for Partial Reward Modeling")</f>
        <v>Score Consistency Meets Preference Alignment: Dual-Consistency for Partial Reward Modeling</v>
      </c>
      <c r="C2578" s="7" t="str">
        <f>IFERROR(__xludf.DUMMYFUNCTION("""COMPUTED_VALUE"""),"Inference-time alignment methods have gained significant attention for their efficiency and effectiveness in aligning large language models (LLMs) with human preferences. However, existing dominant approaches, reward-guided search (RGS), suffer from a cri"&amp;"tical granularity mismatch: reward models (RMs) are trained on complete responses but applied to incomplete sequences during generation, leading to inconsistent scoring and suboptimal alignment. To combat the challenge, we argue that an ideal RM should sa"&amp;"tisfy two objectives: Score Consistency, ensuring coherent evaluation across partial and complete responses, and Preference Consistency, aligning partial sequence assessments with human preferences. To achieve these, we propose $\textbf{SPRM}$, a novel du"&amp;"al-consistency framework integrating score consistency-based and preference consistency-based partial evaluation modules, which leverage the Bradley-Terry model and entropy-based reweighting to predict cumulative rewards and prioritize human-aligned seque"&amp;"nces. Extensive experiments on dialogue, summarization, and reasoning tasks demonstrate the effectiveness of SPRM, significantly reducing granularity discrepancies by up to $\textbf{11.7\\%}$ on TL;DR Summarization and achieving a $\textbf{3.6\\%–10.3\\%}"&amp;"$ improvement in GPT-4 evaluation scores across all tasks. Code is publicly available at [this link](https://github.com/xiebin23/SPRM).")</f>
        <v>Inference-time alignment methods have gained significant attention for their efficiency and effectiveness in aligning large language models (LLMs) with human preferences. However, existing dominant approaches, reward-guided search (RGS), suffer from a critical granularity mismatch: reward models (RMs) are trained on complete responses but applied to incomplete sequences during generation, leading to inconsistent scoring and suboptimal alignment. To combat the challenge, we argue that an ideal RM should satisfy two objectives: Score Consistency, ensuring coherent evaluation across partial and complete responses, and Preference Consistency, aligning partial sequence assessments with human preferences. To achieve these, we propose $\textbf{SPRM}$, a novel dual-consistency framework integrating score consistency-based and preference consistency-based partial evaluation modules, which leverage the Bradley-Terry model and entropy-based reweighting to predict cumulative rewards and prioritize human-aligned sequences. Extensive experiments on dialogue, summarization, and reasoning tasks demonstrate the effectiveness of SPRM, significantly reducing granularity discrepancies by up to $\textbf{11.7\\%}$ on TL;DR Summarization and achieving a $\textbf{3.6\\%–10.3\\%}$ improvement in GPT-4 evaluation scores across all tasks. Code is publicly available at [this link](https://github.com/xiebin23/SPRM).</v>
      </c>
      <c r="D2578" s="7" t="str">
        <f>IFERROR(__xludf.DUMMYFUNCTION("""COMPUTED_VALUE"""),"Bin Xie")</f>
        <v>Bin Xie</v>
      </c>
      <c r="E2578" s="7" t="str">
        <f>IFERROR(__xludf.DUMMYFUNCTION("""COMPUTED_VALUE"""),"Yes")</f>
        <v>Yes</v>
      </c>
      <c r="F2578" s="7" t="str">
        <f>IFERROR(__xludf.DUMMYFUNCTION("""COMPUTED_VALUE"""),"IP-Poster")</f>
        <v>IP-Poster</v>
      </c>
      <c r="G2578" s="7" t="str">
        <f>IFERROR(__xludf.DUMMYFUNCTION("""COMPUTED_VALUE"""),"In-Person")</f>
        <v>In-Person</v>
      </c>
      <c r="H2578" s="7" t="str">
        <f>IFERROR(__xludf.DUMMYFUNCTION("""COMPUTED_VALUE"""),"Hall 4/5")</f>
        <v>Hall 4/5</v>
      </c>
      <c r="I2578" s="7" t="str">
        <f>IFERROR(__xludf.DUMMYFUNCTION("""COMPUTED_VALUE"""),"Session 2: IP-Posters ")</f>
        <v>Session 2: IP-Posters </v>
      </c>
      <c r="J2578" s="7" t="str">
        <f>IFERROR(__xludf.DUMMYFUNCTION("""COMPUTED_VALUE"""),"Poster Session 1")</f>
        <v>Poster Session 1</v>
      </c>
      <c r="K2578" s="7"/>
      <c r="L2578" s="8">
        <f>IFERROR(__xludf.DUMMYFUNCTION("""COMPUTED_VALUE"""),45866.0)</f>
        <v>45866</v>
      </c>
      <c r="M2578" s="7" t="str">
        <f>IFERROR(__xludf.DUMMYFUNCTION("""COMPUTED_VALUE"""),"11:00-12:30")</f>
        <v>11:00-12:30</v>
      </c>
      <c r="N2578" s="7"/>
    </row>
    <row r="2579">
      <c r="A2579" s="7" t="str">
        <f>IFERROR(__xludf.DUMMYFUNCTION("""COMPUTED_VALUE"""),"2475-MAIN")</f>
        <v>2475-MAIN</v>
      </c>
      <c r="B2579" s="7" t="str">
        <f>IFERROR(__xludf.DUMMYFUNCTION("""COMPUTED_VALUE"""),"Segment-Based Attention Masking for GPTs")</f>
        <v>Segment-Based Attention Masking for GPTs</v>
      </c>
      <c r="C2579" s="7" t="str">
        <f>IFERROR(__xludf.DUMMYFUNCTION("""COMPUTED_VALUE"""),"Causal masking is a fundamental component in Generative Pre-Trained Transformer (GPT) models, playing a crucial role during training. Although GPTs can process the entire user prompt at once, the causal masking is applied to all input tokens step-by-step,"&amp;" mimicking the generation process. This imposes an unnecessary constraint during the initial ""prefill"" phase when the model processes the input prompt and generates the internal representations before producing any output tokens. In this work, attention"&amp;" is masked based on the known block structure at the prefill phase, followed by the conventional token-by-token autoregressive process after that. For example, in a typical chat prompt, the system prompt is treated as one block, and the user prompt as the"&amp;" next one. Each of these is treated as a unit for the purpose of masking, such that the first tokens in each block can access the subsequent tokens in a non-causal manner. Then, the model answer is generated in the conventional causal manner. The Segment-"&amp;"by-Segment scheme entails no additional computational overhead. When integrated using a lightweight fine-tuning into already trained models such as Llama and Qwen, MAS quickly increases models' performances.")</f>
        <v>Causal masking is a fundamental component in Generative Pre-Trained Transformer (GPT) models, playing a crucial role during training. Although GPTs can process the entire user prompt at once, the causal masking is applied to all input tokens step-by-step, mimicking the generation process. This imposes an unnecessary constraint during the initial "prefill" phase when the model processes the input prompt and generates the internal representations before producing any output tokens. In this work, attention is masked based on the known block structure at the prefill phase, followed by the conventional token-by-token autoregressive process after that. For example, in a typical chat prompt, the system prompt is treated as one block, and the user prompt as the next one. Each of these is treated as a unit for the purpose of masking, such that the first tokens in each block can access the subsequent tokens in a non-causal manner. Then, the model answer is generated in the conventional causal manner. The Segment-by-Segment scheme entails no additional computational overhead. When integrated using a lightweight fine-tuning into already trained models such as Llama and Qwen, MAS quickly increases models' performances.</v>
      </c>
      <c r="D2579" s="7" t="str">
        <f>IFERROR(__xludf.DUMMYFUNCTION("""COMPUTED_VALUE"""),"Liran Ringel")</f>
        <v>Liran Ringel</v>
      </c>
      <c r="E2579" s="7" t="str">
        <f>IFERROR(__xludf.DUMMYFUNCTION("""COMPUTED_VALUE"""),"Yes")</f>
        <v>Yes</v>
      </c>
      <c r="F2579" s="7" t="str">
        <f>IFERROR(__xludf.DUMMYFUNCTION("""COMPUTED_VALUE"""),"IP-Poster")</f>
        <v>IP-Poster</v>
      </c>
      <c r="G2579" s="7" t="str">
        <f>IFERROR(__xludf.DUMMYFUNCTION("""COMPUTED_VALUE"""),"In-Person")</f>
        <v>In-Person</v>
      </c>
      <c r="H2579" s="7" t="str">
        <f>IFERROR(__xludf.DUMMYFUNCTION("""COMPUTED_VALUE"""),"Hall 4/5")</f>
        <v>Hall 4/5</v>
      </c>
      <c r="I2579" s="7" t="str">
        <f>IFERROR(__xludf.DUMMYFUNCTION("""COMPUTED_VALUE"""),"Session 7: IP-Posters")</f>
        <v>Session 7: IP-Posters</v>
      </c>
      <c r="J2579" s="7" t="str">
        <f>IFERROR(__xludf.DUMMYFUNCTION("""COMPUTED_VALUE"""),"Poster Session 2")</f>
        <v>Poster Session 2</v>
      </c>
      <c r="K2579" s="7"/>
      <c r="L2579" s="8">
        <f>IFERROR(__xludf.DUMMYFUNCTION("""COMPUTED_VALUE"""),45867.0)</f>
        <v>45867</v>
      </c>
      <c r="M2579" s="7" t="str">
        <f>IFERROR(__xludf.DUMMYFUNCTION("""COMPUTED_VALUE"""),"10:30-12:00")</f>
        <v>10:30-12:00</v>
      </c>
      <c r="N2579" s="7"/>
    </row>
    <row r="2580">
      <c r="A2580" s="7" t="str">
        <f>IFERROR(__xludf.DUMMYFUNCTION("""COMPUTED_VALUE"""),"2476-MAIN")</f>
        <v>2476-MAIN</v>
      </c>
      <c r="B2580" s="7" t="str">
        <f>IFERROR(__xludf.DUMMYFUNCTION("""COMPUTED_VALUE"""),"Cramming 1568 Tokens into a Single Vector and Back Again: Exploring the Limits of Embedding Space Capacity")</f>
        <v>Cramming 1568 Tokens into a Single Vector and Back Again: Exploring the Limits of Embedding Space Capacity</v>
      </c>
      <c r="C2580" s="7" t="str">
        <f>IFERROR(__xludf.DUMMYFUNCTION("""COMPUTED_VALUE"""),"A range of recent works addresses the problem of compression of sequence of tokens into a shorter sequence of real-valued vectors to be used as inputs instead of token embeddings or key-value cache. These approaches are focused on reduction of the amount "&amp;"of compute in existing language models rather than minimization of number of bits needed to store text. Despite relying on powerful models as encoders, the maximum attainable lossless compression ratio is typically not higher than x10. This fact is highly"&amp;" intriguing because, in theory, the maximum information capacity of large real-valued vectors is far beyond the presented rates even for 16-bit precision and a modest vector size. In this work, we explore the limits of compression by replacing the encoder"&amp;" with a per-sample optimization procedure. We show that vectors with compression ratios up to x1500 exist, which highlights two orders of magnitude gap between existing and practically attainable solutions. Furthermore, we empirically show that the compre"&amp;"ssion limits are determined not by the length of the input but by the amount of uncertainty to be reduced, namely, the cross-entropy loss on this sequence without any conditioning. The obtained limits highlight the substantial gap between the theoretical "&amp;"capacity of input embeddings and their practical utilization, suggesting significant room for optimization in model design.")</f>
        <v>A range of recent works addresses the problem of compression of sequence of tokens into a shorter sequence of real-valued vectors to be used as inputs instead of token embeddings or key-value cache. These approaches are focused on reduction of the amount of compute in existing language models rather than minimization of number of bits needed to store text. Despite relying on powerful models as encoders, the maximum attainable lossless compression ratio is typically not higher than x10. This fact is highly intriguing because, in theory, the maximum information capacity of large real-valued vectors is far beyond the presented rates even for 16-bit precision and a modest vector size. In this work, we explore the limits of compression by replacing the encoder with a per-sample optimization procedure. We show that vectors with compression ratios up to x1500 exist, which highlights two orders of magnitude gap between existing and practically attainable solutions. Furthermore, we empirically show that the compression limits are determined not by the length of the input but by the amount of uncertainty to be reduced, namely, the cross-entropy loss on this sequence without any conditioning. The obtained limits highlight the substantial gap between the theoretical capacity of input embeddings and their practical utilization, suggesting significant room for optimization in model design.</v>
      </c>
      <c r="D2580" s="7" t="str">
        <f>IFERROR(__xludf.DUMMYFUNCTION("""COMPUTED_VALUE"""),"Yuri Kuratov")</f>
        <v>Yuri Kuratov</v>
      </c>
      <c r="E2580" s="7" t="str">
        <f>IFERROR(__xludf.DUMMYFUNCTION("""COMPUTED_VALUE"""),"Yes")</f>
        <v>Yes</v>
      </c>
      <c r="F2580" s="7" t="str">
        <f>IFERROR(__xludf.DUMMYFUNCTION("""COMPUTED_VALUE"""),"IP-Oral")</f>
        <v>IP-Oral</v>
      </c>
      <c r="G2580" s="7" t="str">
        <f>IFERROR(__xludf.DUMMYFUNCTION("""COMPUTED_VALUE"""),"In-Person")</f>
        <v>In-Person</v>
      </c>
      <c r="H2580" s="7" t="str">
        <f>IFERROR(__xludf.DUMMYFUNCTION("""COMPUTED_VALUE"""),"Room 1.61")</f>
        <v>Room 1.61</v>
      </c>
      <c r="I2580" s="7" t="str">
        <f>IFERROR(__xludf.DUMMYFUNCTION("""COMPUTED_VALUE"""),"Session 11: IP-Orals ")</f>
        <v>Session 11: IP-Orals </v>
      </c>
      <c r="J2580" s="7" t="str">
        <f>IFERROR(__xludf.DUMMYFUNCTION("""COMPUTED_VALUE"""),"Machine Learning for NLP")</f>
        <v>Machine Learning for NLP</v>
      </c>
      <c r="K2580" s="7"/>
      <c r="L2580" s="8">
        <f>IFERROR(__xludf.DUMMYFUNCTION("""COMPUTED_VALUE"""),45868.0)</f>
        <v>45868</v>
      </c>
      <c r="M2580" s="7" t="str">
        <f>IFERROR(__xludf.DUMMYFUNCTION("""COMPUTED_VALUE"""),"09:00-10:30")</f>
        <v>09:00-10:30</v>
      </c>
      <c r="N2580" s="7">
        <f>IFERROR(__xludf.DUMMYFUNCTION("""COMPUTED_VALUE"""),5.0)</f>
        <v>5</v>
      </c>
    </row>
    <row r="2581">
      <c r="A2581" s="7" t="str">
        <f>IFERROR(__xludf.DUMMYFUNCTION("""COMPUTED_VALUE"""),"2480-MAIN")</f>
        <v>2480-MAIN</v>
      </c>
      <c r="B2581" s="7" t="str">
        <f>IFERROR(__xludf.DUMMYFUNCTION("""COMPUTED_VALUE"""),"Bi-Tuning with Collaborative Information for Controllable LLM-based Sequential Recommendation")</f>
        <v>Bi-Tuning with Collaborative Information for Controllable LLM-based Sequential Recommendation</v>
      </c>
      <c r="C2581" s="7" t="str">
        <f>IFERROR(__xludf.DUMMYFUNCTION("""COMPUTED_VALUE"""),"Sequential recommender systems, which leverage historical interactions to deliver targeted recommendations, have been significantly advanced by large language models (LLMs). However, LLM-based generative sequential recommendation often faces two key chall"&amp;"enges: the lack of collaborative knowledge and the limited controllability over the generated content. In this paper, we propose a simple Bi-Tuning framework with collaborative information for controllable Large Language Model-based Sequential Recommendat"&amp;"ion (Laser). Specifically, Bi-Tuning works through incorporating learnable virtual tokens at both the prefix and suffix of the input text, where the prefix tokens enable the adaptation of LLMs with collaborative information, while the suffix token transfo"&amp;"rms the LLM output into item/user embeddings for similarity comparison, thereby facilitating controllable recommendations. Furthermore, we introduce an MoE-based querying transformer that selectively activates experts to extract relevant information from "&amp;"varying collaborative signals of frozen ID-based recommenders into the prefix, coupled with a multi-task loss function incorporating the MoE load-balancing objective. Finally, a two-phase training strategy is employed to progressively obtain high-quality "&amp;"item and user embeddings through the learnable suffix. Experiments on real-world datasets show that Laser effectively adapts LLMs for sequential recommendation, outperforming state-of-the-art baselines.")</f>
        <v>Sequential recommender systems, which leverage historical interactions to deliver targeted recommendations, have been significantly advanced by large language models (LLMs). However, LLM-based generative sequential recommendation often faces two key challenges: the lack of collaborative knowledge and the limited controllability over the generated content. In this paper, we propose a simple Bi-Tuning framework with collaborative information for controllable Large Language Model-based Sequential Recommendation (Laser). Specifically, Bi-Tuning works through incorporating learnable virtual tokens at both the prefix and suffix of the input text, where the prefix tokens enable the adaptation of LLMs with collaborative information, while the suffix token transforms the LLM output into item/user embeddings for similarity comparison, thereby facilitating controllable recommendations. Furthermore, we introduce an MoE-based querying transformer that selectively activates experts to extract relevant information from varying collaborative signals of frozen ID-based recommenders into the prefix, coupled with a multi-task loss function incorporating the MoE load-balancing objective. Finally, a two-phase training strategy is employed to progressively obtain high-quality item and user embeddings through the learnable suffix. Experiments on real-world datasets show that Laser effectively adapts LLMs for sequential recommendation, outperforming state-of-the-art baselines.</v>
      </c>
      <c r="D2581" s="7" t="str">
        <f>IFERROR(__xludf.DUMMYFUNCTION("""COMPUTED_VALUE"""),"xinyu zhang")</f>
        <v>xinyu zhang</v>
      </c>
      <c r="E2581" s="7" t="str">
        <f>IFERROR(__xludf.DUMMYFUNCTION("""COMPUTED_VALUE"""),"Yes")</f>
        <v>Yes</v>
      </c>
      <c r="F2581" s="7" t="str">
        <f>IFERROR(__xludf.DUMMYFUNCTION("""COMPUTED_VALUE"""),"IP-Poster")</f>
        <v>IP-Poster</v>
      </c>
      <c r="G2581" s="7" t="str">
        <f>IFERROR(__xludf.DUMMYFUNCTION("""COMPUTED_VALUE"""),"In-Person")</f>
        <v>In-Person</v>
      </c>
      <c r="H2581" s="7" t="str">
        <f>IFERROR(__xludf.DUMMYFUNCTION("""COMPUTED_VALUE"""),"Hall 4/5")</f>
        <v>Hall 4/5</v>
      </c>
      <c r="I2581" s="7" t="str">
        <f>IFERROR(__xludf.DUMMYFUNCTION("""COMPUTED_VALUE"""),"Session 2: IP-Posters ")</f>
        <v>Session 2: IP-Posters </v>
      </c>
      <c r="J2581" s="7" t="str">
        <f>IFERROR(__xludf.DUMMYFUNCTION("""COMPUTED_VALUE"""),"Poster Session 1")</f>
        <v>Poster Session 1</v>
      </c>
      <c r="K2581" s="7"/>
      <c r="L2581" s="8">
        <f>IFERROR(__xludf.DUMMYFUNCTION("""COMPUTED_VALUE"""),45866.0)</f>
        <v>45866</v>
      </c>
      <c r="M2581" s="7" t="str">
        <f>IFERROR(__xludf.DUMMYFUNCTION("""COMPUTED_VALUE"""),"11:00-12:30")</f>
        <v>11:00-12:30</v>
      </c>
      <c r="N2581" s="7"/>
    </row>
    <row r="2582">
      <c r="A2582" s="7" t="str">
        <f>IFERROR(__xludf.DUMMYFUNCTION("""COMPUTED_VALUE"""),"2485-MAIN")</f>
        <v>2485-MAIN</v>
      </c>
      <c r="B2582" s="7" t="str">
        <f>IFERROR(__xludf.DUMMYFUNCTION("""COMPUTED_VALUE"""),"A Modular Approach for Clinical SLMs Driven by Synthetic Data with Pre-Instruction Tuning, Model Merging, and Clinical-Tasks Alignment")</f>
        <v>A Modular Approach for Clinical SLMs Driven by Synthetic Data with Pre-Instruction Tuning, Model Merging, and Clinical-Tasks Alignment</v>
      </c>
      <c r="C2582" s="7" t="str">
        <f>IFERROR(__xludf.DUMMYFUNCTION("""COMPUTED_VALUE"""),"High computation costs and latency of large language models such as GPT-4 have limited their deployment in clinical settings. Small language models (SLMs) offer a cost-effective alternative, but their limited capacity requires biomedical domain adaptation"&amp;", which remains challenging. An additional bottleneck is the unavailability and high sensitivity of clinical data. To address these challenges, we propose a novel framework for adapting SLMs into high-performing clinical models. We introduce the MediPhi c"&amp;"ollection of 3.8B-parameter SLMs developed with our novel framework: pre-instruction tuning of experts on relevant medical and clinical corpora (PMC, Medical Guideline, MedWiki, etc.), model merging, and clinical-tasks alignment. To cover most clinical ta"&amp;"sks, we extended the CLUE benchmark to CLUE+, doubling its size. Our expert models deliver relative improvements on this benchmark over the base model without any task-specific fine-tuning: 64.3% on medical entities, 49.5% on radiology reports, and 44% on"&amp;" ICD-10 coding (outperforming GPT-4-0125 by 14%). We unify the expert models into MediPhi via model merging, preserving gains across benchmarks. Furthermore, we built the MediFlow collection, a synthetic dataset of 2.5 million high-quality instructions on"&amp;" 14 medical NLP tasks, 98 fine-grained document types, and JSON format support. Alignment of MediPhi using supervised fine-tuning and direct preference optimization achieves further gains of 18.9% on average.")</f>
        <v>High computation costs and latency of large language models such as GPT-4 have limited their deployment in clinical settings. Small language models (SLMs) offer a cost-effective alternative, but their limited capacity requires biomedical domain adaptation, which remains challenging. An additional bottleneck is the unavailability and high sensitivity of clinical data. To address these challenges, we propose a novel framework for adapting SLMs into high-performing clinical models. We introduce the MediPhi collection of 3.8B-parameter SLMs developed with our novel framework: pre-instruction tuning of experts on relevant medical and clinical corpora (PMC, Medical Guideline, MedWiki, etc.), model merging, and clinical-tasks alignment. To cover most clinical tasks, we extended the CLUE benchmark to CLUE+, doubling its size. Our expert models deliver relative improvements on this benchmark over the base model without any task-specific fine-tuning: 64.3% on medical entities, 49.5% on radiology reports, and 44% on ICD-10 coding (outperforming GPT-4-0125 by 14%). We unify the expert models into MediPhi via model merging, preserving gains across benchmarks. Furthermore, we built the MediFlow collection, a synthetic dataset of 2.5 million high-quality instructions on 14 medical NLP tasks, 98 fine-grained document types, and JSON format support. Alignment of MediPhi using supervised fine-tuning and direct preference optimization achieves further gains of 18.9% on average.</v>
      </c>
      <c r="D2582" s="7" t="str">
        <f>IFERROR(__xludf.DUMMYFUNCTION("""COMPUTED_VALUE"""),"Jean-Philippe Corbeil")</f>
        <v>Jean-Philippe Corbeil</v>
      </c>
      <c r="E2582" s="7" t="str">
        <f>IFERROR(__xludf.DUMMYFUNCTION("""COMPUTED_VALUE"""),"Yes")</f>
        <v>Yes</v>
      </c>
      <c r="F2582" s="7" t="str">
        <f>IFERROR(__xludf.DUMMYFUNCTION("""COMPUTED_VALUE"""),"IP-Poster")</f>
        <v>IP-Poster</v>
      </c>
      <c r="G2582" s="7" t="str">
        <f>IFERROR(__xludf.DUMMYFUNCTION("""COMPUTED_VALUE"""),"In-Person")</f>
        <v>In-Person</v>
      </c>
      <c r="H2582" s="7" t="str">
        <f>IFERROR(__xludf.DUMMYFUNCTION("""COMPUTED_VALUE"""),"Hall 4/5")</f>
        <v>Hall 4/5</v>
      </c>
      <c r="I2582" s="7" t="str">
        <f>IFERROR(__xludf.DUMMYFUNCTION("""COMPUTED_VALUE"""),"Session 7: IP-Posters")</f>
        <v>Session 7: IP-Posters</v>
      </c>
      <c r="J2582" s="7" t="str">
        <f>IFERROR(__xludf.DUMMYFUNCTION("""COMPUTED_VALUE"""),"Poster Session 2")</f>
        <v>Poster Session 2</v>
      </c>
      <c r="K2582" s="7"/>
      <c r="L2582" s="8">
        <f>IFERROR(__xludf.DUMMYFUNCTION("""COMPUTED_VALUE"""),45867.0)</f>
        <v>45867</v>
      </c>
      <c r="M2582" s="7" t="str">
        <f>IFERROR(__xludf.DUMMYFUNCTION("""COMPUTED_VALUE"""),"10:30-12:00")</f>
        <v>10:30-12:00</v>
      </c>
      <c r="N2582" s="7"/>
    </row>
    <row r="2583">
      <c r="A2583" s="7" t="str">
        <f>IFERROR(__xludf.DUMMYFUNCTION("""COMPUTED_VALUE"""),"2490-MAIN")</f>
        <v>2490-MAIN</v>
      </c>
      <c r="B2583" s="7" t="str">
        <f>IFERROR(__xludf.DUMMYFUNCTION("""COMPUTED_VALUE"""),"DIVE into MoE: Diversity-Enhanced Reconstruction of Large Language Models from Dense into Mixture-of-Experts")</f>
        <v>DIVE into MoE: Diversity-Enhanced Reconstruction of Large Language Models from Dense into Mixture-of-Experts</v>
      </c>
      <c r="C2583" s="7" t="str">
        <f>IFERROR(__xludf.DUMMYFUNCTION("""COMPUTED_VALUE"""),"Large language models (LLMs) with the Mixture-of-Experts (MoE) architecture achieve high cost-efficiency by selectively activating a subset of the parameters. Despite the inference efficiency of MoE LLMs, the training of extensive experts from scratch inc"&amp;"urs substantial overhead, whereas reconstructing a dense LLM into an MoE LLM significantly reduces the training budget. However, existing reconstruction methods often overlook the diversity among experts, leading to potential redundancy. In this paper, we"&amp;" come up with the observation that a specific LLM exhibits notable diversity after being pruned on different calibration datasets, based on which we present a Diversity-Enhanced reconstruction method named DIVE. The recipe of DIVE includes domain affinity"&amp;" mining, pruning-based expert reconstruction, and efficient retraining. Specifically, the reconstruction includes pruning and reassembly of the feed-forward network (FFN) module. After reconstruction, we efficiently retrain the model on routers, experts a"&amp;"nd normalization modules. We implement DIVE on Llama-style LLMs with open-source training corpora. Experiments show that DIVE achieves training efficiency with minimal accuracy trade-offs, outperforming existing pruning and MoE reconstruction methods with"&amp;" the same number of activated parameters. Code is available at: https://github.com/yuchenblah/DIVE.")</f>
        <v>Large language models (LLMs) with the Mixture-of-Experts (MoE) architecture achieve high cost-efficiency by selectively activating a subset of the parameters. Despite the inference efficiency of MoE LLMs, the training of extensive experts from scratch incurs substantial overhead, whereas reconstructing a dense LLM into an MoE LLM significantly reduces the training budget. However, existing reconstruction methods often overlook the diversity among experts, leading to potential redundancy. In this paper, we come up with the observation that a specific LLM exhibits notable diversity after being pruned on different calibration datasets, based on which we present a Diversity-Enhanced reconstruction method named DIVE. The recipe of DIVE includes domain affinity mining, pruning-based expert reconstruction, and efficient retraining. Specifically, the reconstruction includes pruning and reassembly of the feed-forward network (FFN) module. After reconstruction, we efficiently retrain the model on routers, experts and normalization modules. We implement DIVE on Llama-style LLMs with open-source training corpora. Experiments show that DIVE achieves training efficiency with minimal accuracy trade-offs, outperforming existing pruning and MoE reconstruction methods with the same number of activated parameters. Code is available at: https://github.com/yuchenblah/DIVE.</v>
      </c>
      <c r="D2583" s="7" t="str">
        <f>IFERROR(__xludf.DUMMYFUNCTION("""COMPUTED_VALUE"""),"Yuchen Feng")</f>
        <v>Yuchen Feng</v>
      </c>
      <c r="E2583" s="7" t="str">
        <f>IFERROR(__xludf.DUMMYFUNCTION("""COMPUTED_VALUE"""),"Yes")</f>
        <v>Yes</v>
      </c>
      <c r="F2583" s="7" t="str">
        <f>IFERROR(__xludf.DUMMYFUNCTION("""COMPUTED_VALUE"""),"IP-Poster")</f>
        <v>IP-Poster</v>
      </c>
      <c r="G2583" s="7" t="str">
        <f>IFERROR(__xludf.DUMMYFUNCTION("""COMPUTED_VALUE"""),"In-Person")</f>
        <v>In-Person</v>
      </c>
      <c r="H2583" s="7" t="str">
        <f>IFERROR(__xludf.DUMMYFUNCTION("""COMPUTED_VALUE"""),"Hall 4/5")</f>
        <v>Hall 4/5</v>
      </c>
      <c r="I2583" s="7" t="str">
        <f>IFERROR(__xludf.DUMMYFUNCTION("""COMPUTED_VALUE"""),"Session 12: IP-Posters")</f>
        <v>Session 12: IP-Posters</v>
      </c>
      <c r="J2583" s="7" t="str">
        <f>IFERROR(__xludf.DUMMYFUNCTION("""COMPUTED_VALUE"""),"Poster Session 4")</f>
        <v>Poster Session 4</v>
      </c>
      <c r="K2583" s="7"/>
      <c r="L2583" s="8">
        <f>IFERROR(__xludf.DUMMYFUNCTION("""COMPUTED_VALUE"""),45868.0)</f>
        <v>45868</v>
      </c>
      <c r="M2583" s="7" t="str">
        <f>IFERROR(__xludf.DUMMYFUNCTION("""COMPUTED_VALUE"""),"11:00-12:30")</f>
        <v>11:00-12:30</v>
      </c>
      <c r="N2583" s="7"/>
    </row>
    <row r="2584">
      <c r="A2584" s="7" t="str">
        <f>IFERROR(__xludf.DUMMYFUNCTION("""COMPUTED_VALUE"""),"2496-MAIN")</f>
        <v>2496-MAIN</v>
      </c>
      <c r="B2584" s="7" t="str">
        <f>IFERROR(__xludf.DUMMYFUNCTION("""COMPUTED_VALUE"""),"DAC: A Dynamic Attention-aware Approach for Task-Agnostic Prompt Compression")</f>
        <v>DAC: A Dynamic Attention-aware Approach for Task-Agnostic Prompt Compression</v>
      </c>
      <c r="C2584" s="7" t="str">
        <f>IFERROR(__xludf.DUMMYFUNCTION("""COMPUTED_VALUE"""),"Task-agnostic prompt compression leverages the redundancy in natural language to reduce computational overhead and enhance information density within prompts, especially in long-context scenarios. Existing methods predominantly rely on information entropy"&amp;" as the metric to compress lexical units, aiming to achieve minimal information loss. However, these approaches overlook two critical aspects: (i) the importance of attention-critical tokens at the algorithmic level, and (ii) shifts in information entropy"&amp;" during the compression process. Motivated by these challenges, we propose a dynamic attention-aware approach for task-agnostic prompt compression (DAC). This approach effectively integrates entropy and attention information, dynamically sensing entropy s"&amp;"hifts during compression to achieve fine-grained prompt compression. Extensive experiments across various domains, including LongBench, GSM8K, and BBH, show that DAC consistently yields robust and substantial improvements across a diverse range of tasks a"&amp;"nd LLMs, offering compelling evidence of its efficacy.")</f>
        <v>Task-agnostic prompt compression leverages the redundancy in natural language to reduce computational overhead and enhance information density within prompts, especially in long-context scenarios. Existing methods predominantly rely on information entropy as the metric to compress lexical units, aiming to achieve minimal information loss. However, these approaches overlook two critical aspects: (i) the importance of attention-critical tokens at the algorithmic level, and (ii) shifts in information entropy during the compression process. Motivated by these challenges, we propose a dynamic attention-aware approach for task-agnostic prompt compression (DAC). This approach effectively integrates entropy and attention information, dynamically sensing entropy shifts during compression to achieve fine-grained prompt compression. Extensive experiments across various domains, including LongBench, GSM8K, and BBH, show that DAC consistently yields robust and substantial improvements across a diverse range of tasks and LLMs, offering compelling evidence of its efficacy.</v>
      </c>
      <c r="D2584" s="7" t="str">
        <f>IFERROR(__xludf.DUMMYFUNCTION("""COMPUTED_VALUE"""),"Yi Zhao")</f>
        <v>Yi Zhao</v>
      </c>
      <c r="E2584" s="7" t="str">
        <f>IFERROR(__xludf.DUMMYFUNCTION("""COMPUTED_VALUE"""),"Yes")</f>
        <v>Yes</v>
      </c>
      <c r="F2584" s="7" t="str">
        <f>IFERROR(__xludf.DUMMYFUNCTION("""COMPUTED_VALUE"""),"IP-Poster")</f>
        <v>IP-Poster</v>
      </c>
      <c r="G2584" s="7" t="str">
        <f>IFERROR(__xludf.DUMMYFUNCTION("""COMPUTED_VALUE"""),"In-Person")</f>
        <v>In-Person</v>
      </c>
      <c r="H2584" s="7" t="str">
        <f>IFERROR(__xludf.DUMMYFUNCTION("""COMPUTED_VALUE"""),"Hall 4/5")</f>
        <v>Hall 4/5</v>
      </c>
      <c r="I2584" s="7" t="str">
        <f>IFERROR(__xludf.DUMMYFUNCTION("""COMPUTED_VALUE"""),"Session 10: IP-Posters")</f>
        <v>Session 10: IP-Posters</v>
      </c>
      <c r="J2584" s="7" t="str">
        <f>IFERROR(__xludf.DUMMYFUNCTION("""COMPUTED_VALUE"""),"Poster Session 3")</f>
        <v>Poster Session 3</v>
      </c>
      <c r="K2584" s="7"/>
      <c r="L2584" s="8">
        <f>IFERROR(__xludf.DUMMYFUNCTION("""COMPUTED_VALUE"""),45867.0)</f>
        <v>45867</v>
      </c>
      <c r="M2584" s="7" t="str">
        <f>IFERROR(__xludf.DUMMYFUNCTION("""COMPUTED_VALUE"""),"16:00-17:30")</f>
        <v>16:00-17:30</v>
      </c>
      <c r="N2584" s="7"/>
    </row>
    <row r="2585">
      <c r="A2585" s="7" t="str">
        <f>IFERROR(__xludf.DUMMYFUNCTION("""COMPUTED_VALUE"""),"2498-MAIN")</f>
        <v>2498-MAIN</v>
      </c>
      <c r="B2585" s="7" t="str">
        <f>IFERROR(__xludf.DUMMYFUNCTION("""COMPUTED_VALUE"""),"Computation Mechanism Behind LLM Position Generalization")</f>
        <v>Computation Mechanism Behind LLM Position Generalization</v>
      </c>
      <c r="C2585" s="7" t="str">
        <f>IFERROR(__xludf.DUMMYFUNCTION("""COMPUTED_VALUE"""),"Most written natural languages are composed of sequences of words and sentences. Similar to humans, large language models (LLMs) exhibit flexibility in handling textual positions - a phenomenon we term Position Generalization. They can understand texts wi"&amp;"th position perturbations and generalize to longer texts than those encountered during training with the latest techniques. These phenomena suggest that LLMs handle positions in a tolerant manner, but how LLMs computationally process positional relevance "&amp;"remains largely unexplored. In this work, we show how LLMs enforce certain computational mechanisms to allow for the aforementioned tolerance in position perturbations. Despite the complex design of the self-attention mechanism, in this work, LLMs are rev"&amp;"ealed to learn a counterintuitive disentanglement of attention logits, where their values show a 0.959 linear correlation with an approximation of the arithmetic sum of positional relevance and semantic importance. Furthermore, we identify a prevalent pat"&amp;"tern in intermediate features that enables this effect, suggesting that it is a learned behavior rather than a natural result of the model architecture. Based on these findings, we provide computational explanations and criteria for the aforementioned pos"&amp;"ition flexibilities observed in LLMs.")</f>
        <v>Most written natural languages are composed of sequences of words and sentences. Similar to humans, large language models (LLMs) exhibit flexibility in handling textual positions - a phenomenon we term Position Generalization. They can understand texts with position perturbations and generalize to longer texts than those encountered during training with the latest techniques. These phenomena suggest that LLMs handle positions in a tolerant manner, but how LLMs computationally process positional relevance remains largely unexplored. In this work, we show how LLMs enforce certain computational mechanisms to allow for the aforementioned tolerance in position perturbations. Despite the complex design of the self-attention mechanism, in this work, LLMs are revealed to learn a counterintuitive disentanglement of attention logits, where their values show a 0.959 linear correlation with an approximation of the arithmetic sum of positional relevance and semantic importance. Furthermore, we identify a prevalent pattern in intermediate features that enables this effect, suggesting that it is a learned behavior rather than a natural result of the model architecture. Based on these findings, we provide computational explanations and criteria for the aforementioned position flexibilities observed in LLMs.</v>
      </c>
      <c r="D2585" s="7" t="str">
        <f>IFERROR(__xludf.DUMMYFUNCTION("""COMPUTED_VALUE"""),"Chi Han")</f>
        <v>Chi Han</v>
      </c>
      <c r="E2585" s="7" t="str">
        <f>IFERROR(__xludf.DUMMYFUNCTION("""COMPUTED_VALUE"""),"Yes")</f>
        <v>Yes</v>
      </c>
      <c r="F2585" s="7" t="str">
        <f>IFERROR(__xludf.DUMMYFUNCTION("""COMPUTED_VALUE"""),"V-Presentation")</f>
        <v>V-Presentation</v>
      </c>
      <c r="G2585" s="7" t="str">
        <f>IFERROR(__xludf.DUMMYFUNCTION("""COMPUTED_VALUE"""),"Virtual/Gather")</f>
        <v>Virtual/Gather</v>
      </c>
      <c r="H2585" s="7" t="str">
        <f>IFERROR(__xludf.DUMMYFUNCTION("""COMPUTED_VALUE"""),"Zoom")</f>
        <v>Zoom</v>
      </c>
      <c r="I2585" s="7" t="str">
        <f>IFERROR(__xludf.DUMMYFUNCTION("""COMPUTED_VALUE"""),"Session 7: V--Presentations ")</f>
        <v>Session 7: V--Presentations </v>
      </c>
      <c r="J2585" s="7" t="str">
        <f>IFERROR(__xludf.DUMMYFUNCTION("""COMPUTED_VALUE"""),"Virtual Presentations 2")</f>
        <v>Virtual Presentations 2</v>
      </c>
      <c r="K2585" s="7"/>
      <c r="L2585" s="8"/>
      <c r="M2585" s="7" t="str">
        <f>IFERROR(__xludf.DUMMYFUNCTION("""COMPUTED_VALUE"""),"10:30-12:00")</f>
        <v>10:30-12:00</v>
      </c>
      <c r="N2585" s="7"/>
    </row>
    <row r="2586">
      <c r="A2586" s="7" t="str">
        <f>IFERROR(__xludf.DUMMYFUNCTION("""COMPUTED_VALUE"""),"2499-MAIN")</f>
        <v>2499-MAIN</v>
      </c>
      <c r="B2586" s="7" t="str">
        <f>IFERROR(__xludf.DUMMYFUNCTION("""COMPUTED_VALUE"""),"IPO: Your Language Model is Secretly a Preference Classifier")</f>
        <v>IPO: Your Language Model is Secretly a Preference Classifier</v>
      </c>
      <c r="C2586" s="7" t="str">
        <f>IFERROR(__xludf.DUMMYFUNCTION("""COMPUTED_VALUE"""),"Reinforcement learning from human feedback (RLHF) has emerged as the primary method for aligning large language models (LLMs) with human preferences. While it enables LLMs to achieve human-level alignment, it often incurs significant computational and fin"&amp;"ancial costs due to its reliance on training external reward models or human-labeled preferences. In this work, we propose Implicit Preference Optimization (IPO), an alternative approach that leverages generative LLMs as preference classifiers, thereby re"&amp;"ducing the dependence on external human feedback or reward models to obtain preferences. We conduct a comprehensive evaluation on the preference classification ability of LLMs using RewardBench, assessing models across different sizes, architectures, and "&amp;"training levels to validate our hypothesis. Furthermore, we investigate the self-improvement capabilities of LLMs by generating multiple responses for a given instruction and employing the model itself as a preference classifier for Direct Preference Opti"&amp;"mization (DPO)-based training. Our findings demonstrate that models trained through IPO achieve performance comparable to those utilizing state-of-the-art reward models for obtaining preferences.")</f>
        <v>Reinforcement learning from human feedback (RLHF) has emerged as the primary method for aligning large language models (LLMs) with human preferences. While it enables LLMs to achieve human-level alignment, it often incurs significant computational and financial costs due to its reliance on training external reward models or human-labeled preferences. In this work, we propose Implicit Preference Optimization (IPO), an alternative approach that leverages generative LLMs as preference classifiers, thereby reducing the dependence on external human feedback or reward models to obtain preferences. We conduct a comprehensive evaluation on the preference classification ability of LLMs using RewardBench, assessing models across different sizes, architectures, and training levels to validate our hypothesis. Furthermore, we investigate the self-improvement capabilities of LLMs by generating multiple responses for a given instruction and employing the model itself as a preference classifier for Direct Preference Optimization (DPO)-based training. Our findings demonstrate that models trained through IPO achieve performance comparable to those utilizing state-of-the-art reward models for obtaining preferences.</v>
      </c>
      <c r="D2586" s="7" t="str">
        <f>IFERROR(__xludf.DUMMYFUNCTION("""COMPUTED_VALUE"""),"Paras Chopra")</f>
        <v>Paras Chopra</v>
      </c>
      <c r="E2586" s="7" t="str">
        <f>IFERROR(__xludf.DUMMYFUNCTION("""COMPUTED_VALUE"""),"Yes")</f>
        <v>Yes</v>
      </c>
      <c r="F2586" s="7" t="str">
        <f>IFERROR(__xludf.DUMMYFUNCTION("""COMPUTED_VALUE"""),"IP-Poster")</f>
        <v>IP-Poster</v>
      </c>
      <c r="G2586" s="7" t="str">
        <f>IFERROR(__xludf.DUMMYFUNCTION("""COMPUTED_VALUE"""),"In-Person")</f>
        <v>In-Person</v>
      </c>
      <c r="H2586" s="7" t="str">
        <f>IFERROR(__xludf.DUMMYFUNCTION("""COMPUTED_VALUE"""),"Hall 4/5")</f>
        <v>Hall 4/5</v>
      </c>
      <c r="I2586" s="7" t="str">
        <f>IFERROR(__xludf.DUMMYFUNCTION("""COMPUTED_VALUE"""),"Session 2: IP-Posters ")</f>
        <v>Session 2: IP-Posters </v>
      </c>
      <c r="J2586" s="7" t="str">
        <f>IFERROR(__xludf.DUMMYFUNCTION("""COMPUTED_VALUE"""),"Poster Session 1")</f>
        <v>Poster Session 1</v>
      </c>
      <c r="K2586" s="7"/>
      <c r="L2586" s="8">
        <f>IFERROR(__xludf.DUMMYFUNCTION("""COMPUTED_VALUE"""),45866.0)</f>
        <v>45866</v>
      </c>
      <c r="M2586" s="7" t="str">
        <f>IFERROR(__xludf.DUMMYFUNCTION("""COMPUTED_VALUE"""),"11:00-12:30")</f>
        <v>11:00-12:30</v>
      </c>
      <c r="N2586" s="7"/>
    </row>
    <row r="2587">
      <c r="A2587" s="7" t="str">
        <f>IFERROR(__xludf.DUMMYFUNCTION("""COMPUTED_VALUE"""),"2505-MAIN")</f>
        <v>2505-MAIN</v>
      </c>
      <c r="B2587" s="7" t="str">
        <f>IFERROR(__xludf.DUMMYFUNCTION("""COMPUTED_VALUE"""),"Reversal of Thought: Enhancing Large Language Models with Preference-Guided Reverse Reasoning Warm-up")</f>
        <v>Reversal of Thought: Enhancing Large Language Models with Preference-Guided Reverse Reasoning Warm-up</v>
      </c>
      <c r="C2587" s="7" t="str">
        <f>IFERROR(__xludf.DUMMYFUNCTION("""COMPUTED_VALUE"""),"Large language models (LLMs) have shown remarkable performance in reasoning tasks but face limitations in mathematical and complex logical reasoning. Existing methods to improve LLMs' logical capabilities either involve traceable or verifiable logical seq"&amp;"uences that generate more reliable responses by constructing logical structures yet increase computational costs, or introduces rigid logic template rules, reducing flexibility. In this paper, we propose Reversal of Thought (RoT), a plug-and-play and cost"&amp;"-effective reasoning framework designed to enhance the logical reasoning abilities of LLMs during the warm-up phase prior to batch inference. RoT utilizes a Preference-Guided Reverse Reasoning warm-up strategy, which integrates logical symbols for pseudoc"&amp;"ode planning through meta-cognitive mechanisms and pairwise preference self-evaluation to generate task-specific prompts solely through demonstrations, aligning with LLMs’ cognitive preferences shaped by RLHF. Through reverse reasoning, we utilize a Cogni"&amp;"tive Preference Manager to assess knowledge boundaries and further expand LLMs’ reasoning capabilities by aggregating solution logic for known tasks and stylistic templates for unknown tasks. Experiments across various tasks demonstrate that RoT surpasses"&amp;" existing baselines in both reasoning accuracy and efficiency.")</f>
        <v>Large language models (LLMs) have shown remarkable performance in reasoning tasks but face limitations in mathematical and complex logical reasoning. Existing methods to improve LLMs' logical capabilities either involve traceable or verifiable logical sequences that generate more reliable responses by constructing logical structures yet increase computational costs, or introduces rigid logic template rules, reducing flexibility. In this paper, we propose Reversal of Thought (RoT), a plug-and-play and cost-effective reasoning framework designed to enhance the logical reasoning abilities of LLMs during the warm-up phase prior to batch inference. RoT utilizes a Preference-Guided Reverse Reasoning warm-up strategy, which integrates logical symbols for pseudocode planning through meta-cognitive mechanisms and pairwise preference self-evaluation to generate task-specific prompts solely through demonstrations, aligning with LLMs’ cognitive preferences shaped by RLHF. Through reverse reasoning, we utilize a Cognitive Preference Manager to assess knowledge boundaries and further expand LLMs’ reasoning capabilities by aggregating solution logic for known tasks and stylistic templates for unknown tasks. Experiments across various tasks demonstrate that RoT surpasses existing baselines in both reasoning accuracy and efficiency.</v>
      </c>
      <c r="D2587" s="7" t="str">
        <f>IFERROR(__xludf.DUMMYFUNCTION("""COMPUTED_VALUE"""),"Jiahao Yuan")</f>
        <v>Jiahao Yuan</v>
      </c>
      <c r="E2587" s="7" t="str">
        <f>IFERROR(__xludf.DUMMYFUNCTION("""COMPUTED_VALUE"""),"Yes")</f>
        <v>Yes</v>
      </c>
      <c r="F2587" s="7" t="str">
        <f>IFERROR(__xludf.DUMMYFUNCTION("""COMPUTED_VALUE"""),"V-Presentation")</f>
        <v>V-Presentation</v>
      </c>
      <c r="G2587" s="7" t="str">
        <f>IFERROR(__xludf.DUMMYFUNCTION("""COMPUTED_VALUE"""),"Virtual/Gather")</f>
        <v>Virtual/Gather</v>
      </c>
      <c r="H2587" s="7" t="str">
        <f>IFERROR(__xludf.DUMMYFUNCTION("""COMPUTED_VALUE"""),"Zoom")</f>
        <v>Zoom</v>
      </c>
      <c r="I2587" s="7" t="str">
        <f>IFERROR(__xludf.DUMMYFUNCTION("""COMPUTED_VALUE"""),"Session 7: V--Presentations ")</f>
        <v>Session 7: V--Presentations </v>
      </c>
      <c r="J2587" s="7" t="str">
        <f>IFERROR(__xludf.DUMMYFUNCTION("""COMPUTED_VALUE"""),"Virtual Presentations 2")</f>
        <v>Virtual Presentations 2</v>
      </c>
      <c r="K2587" s="7"/>
      <c r="L2587" s="8"/>
      <c r="M2587" s="7" t="str">
        <f>IFERROR(__xludf.DUMMYFUNCTION("""COMPUTED_VALUE"""),"10:30-12:00")</f>
        <v>10:30-12:00</v>
      </c>
      <c r="N2587" s="7"/>
    </row>
    <row r="2588">
      <c r="A2588" s="7" t="str">
        <f>IFERROR(__xludf.DUMMYFUNCTION("""COMPUTED_VALUE"""),"2506-MAIN")</f>
        <v>2506-MAIN</v>
      </c>
      <c r="B2588" s="7" t="str">
        <f>IFERROR(__xludf.DUMMYFUNCTION("""COMPUTED_VALUE"""),"Déjà Vu? Decoding Repeated Reading from Eye Movements")</f>
        <v>Déjà Vu? Decoding Repeated Reading from Eye Movements</v>
      </c>
      <c r="C2588" s="7" t="str">
        <f>IFERROR(__xludf.DUMMYFUNCTION("""COMPUTED_VALUE"""),"Be it your favorite novel, a newswire article, a cooking recipe or an academic paper -- in many daily situations we read the same text more than once. In this work, we ask whether it is possible to automatically determine whether the reader has previously"&amp;" encountered a text based on their eye movement patterns during reading. We introduce two variants of this task and address them using both feature-based and neural models. We further introduce a general strategy for enhancing these models with machine ge"&amp;"nerated simulations of eye movements from a cognitive model. Finally, we present an analysis of model performance which on the one hand yields insights on the information used by the models, and on the other hand leverages predictive modeling as an analyt"&amp;"ic tool for better characterization of the role of memory in repeated reading. Our work advances the understanding of the extent and manner in which eye movements in reading capture memory effects from prior text exposure, and paves the way for future app"&amp;"lications that involve predictive modeling of repeated reading.")</f>
        <v>Be it your favorite novel, a newswire article, a cooking recipe or an academic paper -- in many daily situations we read the same text more than once. In this work, we ask whether it is possible to automatically determine whether the reader has previously encountered a text based on their eye movement patterns during reading. We introduce two variants of this task and address them using both feature-based and neural models. We further introduce a general strategy for enhancing these models with machine generated simulations of eye movements from a cognitive model. Finally, we present an analysis of model performance which on the one hand yields insights on the information used by the models, and on the other hand leverages predictive modeling as an analytic tool for better characterization of the role of memory in repeated reading. Our work advances the understanding of the extent and manner in which eye movements in reading capture memory effects from prior text exposure, and paves the way for future applications that involve predictive modeling of repeated reading.</v>
      </c>
      <c r="D2588" s="7" t="str">
        <f>IFERROR(__xludf.DUMMYFUNCTION("""COMPUTED_VALUE"""),"Omer Shubi")</f>
        <v>Omer Shubi</v>
      </c>
      <c r="E2588" s="7" t="str">
        <f>IFERROR(__xludf.DUMMYFUNCTION("""COMPUTED_VALUE"""),"Yes")</f>
        <v>Yes</v>
      </c>
      <c r="F2588" s="7" t="str">
        <f>IFERROR(__xludf.DUMMYFUNCTION("""COMPUTED_VALUE"""),"IP-Oral")</f>
        <v>IP-Oral</v>
      </c>
      <c r="G2588" s="7" t="str">
        <f>IFERROR(__xludf.DUMMYFUNCTION("""COMPUTED_VALUE"""),"In-Person")</f>
        <v>In-Person</v>
      </c>
      <c r="H2588" s="7" t="str">
        <f>IFERROR(__xludf.DUMMYFUNCTION("""COMPUTED_VALUE"""),"Room 1.61")</f>
        <v>Room 1.61</v>
      </c>
      <c r="I2588" s="7" t="str">
        <f>IFERROR(__xludf.DUMMYFUNCTION("""COMPUTED_VALUE"""),"Session 3: IP-Orals")</f>
        <v>Session 3: IP-Orals</v>
      </c>
      <c r="J2588" s="7" t="str">
        <f>IFERROR(__xludf.DUMMYFUNCTION("""COMPUTED_VALUE"""),"Linguistic Theories and Cognitive Modeling")</f>
        <v>Linguistic Theories and Cognitive Modeling</v>
      </c>
      <c r="K2588" s="7"/>
      <c r="L2588" s="8">
        <f>IFERROR(__xludf.DUMMYFUNCTION("""COMPUTED_VALUE"""),45866.0)</f>
        <v>45866</v>
      </c>
      <c r="M2588" s="7" t="str">
        <f>IFERROR(__xludf.DUMMYFUNCTION("""COMPUTED_VALUE"""),"14:00-15:30")</f>
        <v>14:00-15:30</v>
      </c>
      <c r="N2588" s="7">
        <f>IFERROR(__xludf.DUMMYFUNCTION("""COMPUTED_VALUE"""),6.0)</f>
        <v>6</v>
      </c>
    </row>
    <row r="2589">
      <c r="A2589" s="7" t="str">
        <f>IFERROR(__xludf.DUMMYFUNCTION("""COMPUTED_VALUE"""),"2507-MAIN")</f>
        <v>2507-MAIN</v>
      </c>
      <c r="B2589" s="7" t="str">
        <f>IFERROR(__xludf.DUMMYFUNCTION("""COMPUTED_VALUE"""),"LLMs can be easily Confused by Instructional Distractions")</f>
        <v>LLMs can be easily Confused by Instructional Distractions</v>
      </c>
      <c r="C2589" s="7" t="str">
        <f>IFERROR(__xludf.DUMMYFUNCTION("""COMPUTED_VALUE"""),"Despite the fact that large language models (LLMs) show exceptional skill in instruction following tasks, this strength can turn into a vulnerability when the models are required to disregard certain instructions. Instruction following tasks typically inv"&amp;"olve a clear task description and input text containing the target data to be processed. However, when the input itself resembles an instruction, confusion may arise, even if there is explicit prompting to distinguish between the task instruction and the "&amp;"input. We refer to this phenomenon as instructional distraction. In this paper, we introduce a novel benchmark, named **DIM-Bench**, specifically designed to assess LLMs' performance under instructional distraction. The benchmark categorizes real-world in"&amp;"stances of instructional distraction and evaluates LLMs across four instruction tasks: proofreading, rewriting, translation, and style transfer---alongside five input tasks: reasoning, code generation, mathematical reasoning, bias detection, and question "&amp;"answering. Our experimental results reveal that even the most advanced LLMs are susceptible to instructional distraction, often failing to accurately follow user intent in such cases.")</f>
        <v>Despite the fact that large language models (LLMs) show exceptional skill in instruction following tasks, this strength can turn into a vulnerability when the models are required to disregard certain instructions. Instruction following tasks typically involve a clear task description and input text containing the target data to be processed. However, when the input itself resembles an instruction, confusion may arise, even if there is explicit prompting to distinguish between the task instruction and the input. We refer to this phenomenon as instructional distraction. In this paper, we introduce a novel benchmark, named **DIM-Bench**, specifically designed to assess LLMs' performance under instructional distraction. The benchmark categorizes real-world instances of instructional distraction and evaluates LLMs across four instruction tasks: proofreading, rewriting, translation, and style transfer---alongside five input tasks: reasoning, code generation, mathematical reasoning, bias detection, and question answering. Our experimental results reveal that even the most advanced LLMs are susceptible to instructional distraction, often failing to accurately follow user intent in such cases.</v>
      </c>
      <c r="D2589" s="7" t="str">
        <f>IFERROR(__xludf.DUMMYFUNCTION("""COMPUTED_VALUE"""),"Yerin Hwang")</f>
        <v>Yerin Hwang</v>
      </c>
      <c r="E2589" s="7" t="str">
        <f>IFERROR(__xludf.DUMMYFUNCTION("""COMPUTED_VALUE"""),"Yes")</f>
        <v>Yes</v>
      </c>
      <c r="F2589" s="7" t="str">
        <f>IFERROR(__xludf.DUMMYFUNCTION("""COMPUTED_VALUE"""),"IP-Poster")</f>
        <v>IP-Poster</v>
      </c>
      <c r="G2589" s="7" t="str">
        <f>IFERROR(__xludf.DUMMYFUNCTION("""COMPUTED_VALUE"""),"In-Person")</f>
        <v>In-Person</v>
      </c>
      <c r="H2589" s="7" t="str">
        <f>IFERROR(__xludf.DUMMYFUNCTION("""COMPUTED_VALUE"""),"Hall 4/5")</f>
        <v>Hall 4/5</v>
      </c>
      <c r="I2589" s="7" t="str">
        <f>IFERROR(__xludf.DUMMYFUNCTION("""COMPUTED_VALUE"""),"Session 12: IP-Posters")</f>
        <v>Session 12: IP-Posters</v>
      </c>
      <c r="J2589" s="7" t="str">
        <f>IFERROR(__xludf.DUMMYFUNCTION("""COMPUTED_VALUE"""),"Poster Session 4")</f>
        <v>Poster Session 4</v>
      </c>
      <c r="K2589" s="7"/>
      <c r="L2589" s="8">
        <f>IFERROR(__xludf.DUMMYFUNCTION("""COMPUTED_VALUE"""),45868.0)</f>
        <v>45868</v>
      </c>
      <c r="M2589" s="7" t="str">
        <f>IFERROR(__xludf.DUMMYFUNCTION("""COMPUTED_VALUE"""),"11:00-12:30")</f>
        <v>11:00-12:30</v>
      </c>
      <c r="N2589" s="7"/>
    </row>
    <row r="2590">
      <c r="A2590" s="7" t="str">
        <f>IFERROR(__xludf.DUMMYFUNCTION("""COMPUTED_VALUE"""),"2512-MAIN")</f>
        <v>2512-MAIN</v>
      </c>
      <c r="B2590" s="7" t="str">
        <f>IFERROR(__xludf.DUMMYFUNCTION("""COMPUTED_VALUE"""),"PlanGenLLMs: A Modern Survey of LLM Planning Capabilities")</f>
        <v>PlanGenLLMs: A Modern Survey of LLM Planning Capabilities</v>
      </c>
      <c r="C2590" s="7" t="str">
        <f>IFERROR(__xludf.DUMMYFUNCTION("""COMPUTED_VALUE"""),"LLMs have immense potential for generating plans, transforming an initial world state into a desired goal state. A large body of research has explored the use of LLMs for various planning tasks, from web navigation to travel planning and database querying"&amp;". However, many of these systems are tailored to specific problems, making it challenging to compare them or determine the best approach for new tasks. There is also a lack of clear and consistent evaluation criteria. Our survey aims to offer a comprehens"&amp;"ive overview of current LLM planners to fill this gap. It builds on foundational work by Kartam and Wilkins (1990) and examines six key performance criteria: completeness, executability, optimality, representation, generalization, and efficiency. For each"&amp;", we provide a thorough analysis of representative works and highlight their strengths and weaknesses. Our paper also identifies crucial future directions, making it a valuable resource for both practitioners and newcomers interested in leveraging LLM pla"&amp;"nning to support agentic workflows.")</f>
        <v>LLMs have immense potential for generating plans, transforming an initial world state into a desired goal state. A large body of research has explored the use of LLMs for various planning tasks, from web navigation to travel planning and database querying. However, many of these systems are tailored to specific problems, making it challenging to compare them or determine the best approach for new tasks. There is also a lack of clear and consistent evaluation criteria. Our survey aims to offer a comprehensive overview of current LLM planners to fill this gap. It builds on foundational work by Kartam and Wilkins (1990) and examines six key performance criteria: completeness, executability, optimality, representation, generalization, and efficiency. For each, we provide a thorough analysis of representative works and highlight their strengths and weaknesses. Our paper also identifies crucial future directions, making it a valuable resource for both practitioners and newcomers interested in leveraging LLM planning to support agentic workflows.</v>
      </c>
      <c r="D2590" s="7" t="str">
        <f>IFERROR(__xludf.DUMMYFUNCTION("""COMPUTED_VALUE"""),"Fei Liu")</f>
        <v>Fei Liu</v>
      </c>
      <c r="E2590" s="7" t="str">
        <f>IFERROR(__xludf.DUMMYFUNCTION("""COMPUTED_VALUE"""),"Yes")</f>
        <v>Yes</v>
      </c>
      <c r="F2590" s="7" t="str">
        <f>IFERROR(__xludf.DUMMYFUNCTION("""COMPUTED_VALUE"""),"IP-Oral")</f>
        <v>IP-Oral</v>
      </c>
      <c r="G2590" s="7" t="str">
        <f>IFERROR(__xludf.DUMMYFUNCTION("""COMPUTED_VALUE"""),"In-Person")</f>
        <v>In-Person</v>
      </c>
      <c r="H2590" s="7" t="str">
        <f>IFERROR(__xludf.DUMMYFUNCTION("""COMPUTED_VALUE"""),"Hall M.1")</f>
        <v>Hall M.1</v>
      </c>
      <c r="I2590" s="7" t="str">
        <f>IFERROR(__xludf.DUMMYFUNCTION("""COMPUTED_VALUE"""),"Session 3: IP-Orals")</f>
        <v>Session 3: IP-Orals</v>
      </c>
      <c r="J2590" s="7" t="str">
        <f>IFERROR(__xludf.DUMMYFUNCTION("""COMPUTED_VALUE"""),"Generation")</f>
        <v>Generation</v>
      </c>
      <c r="K2590" s="7"/>
      <c r="L2590" s="8">
        <f>IFERROR(__xludf.DUMMYFUNCTION("""COMPUTED_VALUE"""),45866.0)</f>
        <v>45866</v>
      </c>
      <c r="M2590" s="7" t="str">
        <f>IFERROR(__xludf.DUMMYFUNCTION("""COMPUTED_VALUE"""),"14:00-15:30")</f>
        <v>14:00-15:30</v>
      </c>
      <c r="N2590" s="7">
        <f>IFERROR(__xludf.DUMMYFUNCTION("""COMPUTED_VALUE"""),6.0)</f>
        <v>6</v>
      </c>
    </row>
    <row r="2591">
      <c r="A2591" s="7" t="str">
        <f>IFERROR(__xludf.DUMMYFUNCTION("""COMPUTED_VALUE"""),"2513-MAIN")</f>
        <v>2513-MAIN</v>
      </c>
      <c r="B2591" s="7" t="str">
        <f>IFERROR(__xludf.DUMMYFUNCTION("""COMPUTED_VALUE"""),"IAM: Efficient Inference through Attention Mapping between Different-scale LLMs")</f>
        <v>IAM: Efficient Inference through Attention Mapping between Different-scale LLMs</v>
      </c>
      <c r="C2591" s="7" t="str">
        <f>IFERROR(__xludf.DUMMYFUNCTION("""COMPUTED_VALUE"""),"LLMs encounter significant challenges in resource consumption nowadays, especially with long contexts. Despite extensive efforts dedicate to enhancing inference efficiency, these methods primarily exploit internal sparsity within the models, without lever"&amp;"aging external information for optimization. We identify the high similarity of attention matrices across different-scale LLMs, which offers a novel perspective for optimization. We first conduct a comprehensive analysis of how to measure similarity, how "&amp;"to select mapping Layers and whether mapping is consistency. Based on these insights, we introduce the IAM framework, which achieves dual benefits of accelerated attention computation and reduced KV cache usage by performing attention mapping between smal"&amp;"l and large LLMs. Our experimental results demonstrate that IAM can accelerate prefill by 15% and reduce KV cache usage by 22.1% without appreciably sacrificing performance. Experiments on different series of models show the generalizability of IAM. Impor"&amp;"tantly, it is also orthogonal to many existing KV cache optimization methods, making it a versatile addition to the current toolkit for enhancing LLM efficiency.")</f>
        <v>LLMs encounter significant challenges in resource consumption nowadays, especially with long contexts. Despite extensive efforts dedicate to enhancing inference efficiency, these methods primarily exploit internal sparsity within the models, without leveraging external information for optimization. We identify the high similarity of attention matrices across different-scale LLMs, which offers a novel perspective for optimization. We first conduct a comprehensive analysis of how to measure similarity, how to select mapping Layers and whether mapping is consistency. Based on these insights, we introduce the IAM framework, which achieves dual benefits of accelerated attention computation and reduced KV cache usage by performing attention mapping between small and large LLMs. Our experimental results demonstrate that IAM can accelerate prefill by 15% and reduce KV cache usage by 22.1% without appreciably sacrificing performance. Experiments on different series of models show the generalizability of IAM. Importantly, it is also orthogonal to many existing KV cache optimization methods, making it a versatile addition to the current toolkit for enhancing LLM efficiency.</v>
      </c>
      <c r="D2591" s="7" t="str">
        <f>IFERROR(__xludf.DUMMYFUNCTION("""COMPUTED_VALUE"""),"Yi Zhao")</f>
        <v>Yi Zhao</v>
      </c>
      <c r="E2591" s="7" t="str">
        <f>IFERROR(__xludf.DUMMYFUNCTION("""COMPUTED_VALUE"""),"Yes")</f>
        <v>Yes</v>
      </c>
      <c r="F2591" s="7" t="str">
        <f>IFERROR(__xludf.DUMMYFUNCTION("""COMPUTED_VALUE"""),"IP-Poster")</f>
        <v>IP-Poster</v>
      </c>
      <c r="G2591" s="7" t="str">
        <f>IFERROR(__xludf.DUMMYFUNCTION("""COMPUTED_VALUE"""),"In-Person")</f>
        <v>In-Person</v>
      </c>
      <c r="H2591" s="7" t="str">
        <f>IFERROR(__xludf.DUMMYFUNCTION("""COMPUTED_VALUE"""),"Hall 4/5")</f>
        <v>Hall 4/5</v>
      </c>
      <c r="I2591" s="7" t="str">
        <f>IFERROR(__xludf.DUMMYFUNCTION("""COMPUTED_VALUE"""),"Session 10: IP-Posters")</f>
        <v>Session 10: IP-Posters</v>
      </c>
      <c r="J2591" s="7" t="str">
        <f>IFERROR(__xludf.DUMMYFUNCTION("""COMPUTED_VALUE"""),"Poster Session 3")</f>
        <v>Poster Session 3</v>
      </c>
      <c r="K2591" s="7"/>
      <c r="L2591" s="8">
        <f>IFERROR(__xludf.DUMMYFUNCTION("""COMPUTED_VALUE"""),45867.0)</f>
        <v>45867</v>
      </c>
      <c r="M2591" s="7" t="str">
        <f>IFERROR(__xludf.DUMMYFUNCTION("""COMPUTED_VALUE"""),"16:00-17:30")</f>
        <v>16:00-17:30</v>
      </c>
      <c r="N2591" s="7"/>
    </row>
    <row r="2592">
      <c r="A2592" s="7" t="str">
        <f>IFERROR(__xludf.DUMMYFUNCTION("""COMPUTED_VALUE"""),"2514-MAIN")</f>
        <v>2514-MAIN</v>
      </c>
      <c r="B2592" s="7" t="str">
        <f>IFERROR(__xludf.DUMMYFUNCTION("""COMPUTED_VALUE"""),"nvAgent: Automated Data Visualization from Natural Language via Collaborative Agent Workflow")</f>
        <v>nvAgent: Automated Data Visualization from Natural Language via Collaborative Agent Workflow</v>
      </c>
      <c r="C2592" s="7" t="str">
        <f>IFERROR(__xludf.DUMMYFUNCTION("""COMPUTED_VALUE"""),"*Natural Language to Visualization* (NL2Vis) seeks to convert natural-language descriptions into visual representations of given tables, empowering users to derive insights from large-scale data. Recent advancements in *Large Language Models* (LLMs) show "&amp;"promise in automating code generation to transform tabular data into accessible visualizations. However, they often struggle with complex queries that require reasoning across multiple tables. To address this limitation, we propose a collaborative agent w"&amp;"orkflow, termed **nvAgent**, for NL2Vis. Specifically, **nvAgent** comprises three agents: a processor agent for database processing and context filtering, a composer agent for planning visualization generation, and a validator agent for code translation "&amp;"and output verification. Comprehensive evaluations on the new VisEval benchmark demonstrate that **nvAgent** consistently surpasses state-of-the-art baselines, achieving a 7.88% improvement in single-table and a 9.23% improvement in multi-table scenarios."&amp;" Qualitative analyses further highlight that **nvAgent** maintains nearly a 20% performance margin over previous models, underscoring its capacity to produce high-quality visual representations from complex, heterogeneous data sources. All datasets and so"&amp;"urce code are available at: [https://github.com/geliang0114/nvAgent](https://github.com/geliang0114/nvAgent).")</f>
        <v>*Natural Language to Visualization* (NL2Vis) seeks to convert natural-language descriptions into visual representations of given tables, empowering users to derive insights from large-scale data. Recent advancements in *Large Language Models* (LLMs) show promise in automating code generation to transform tabular data into accessible visualizations. However, they often struggle with complex queries that require reasoning across multiple tables. To address this limitation, we propose a collaborative agent workflow, termed **nvAgent**, for NL2Vis. Specifically, **nvAgent** comprises three agents: a processor agent for database processing and context filtering, a composer agent for planning visualization generation, and a validator agent for code translation and output verification. Comprehensive evaluations on the new VisEval benchmark demonstrate that **nvAgent** consistently surpasses state-of-the-art baselines, achieving a 7.88% improvement in single-table and a 9.23% improvement in multi-table scenarios. Qualitative analyses further highlight that **nvAgent** maintains nearly a 20% performance margin over previous models, underscoring its capacity to produce high-quality visual representations from complex, heterogeneous data sources. All datasets and source code are available at: [https://github.com/geliang0114/nvAgent](https://github.com/geliang0114/nvAgent).</v>
      </c>
      <c r="D2592" s="7" t="str">
        <f>IFERROR(__xludf.DUMMYFUNCTION("""COMPUTED_VALUE"""),"Geliang Ouyang")</f>
        <v>Geliang Ouyang</v>
      </c>
      <c r="E2592" s="7" t="str">
        <f>IFERROR(__xludf.DUMMYFUNCTION("""COMPUTED_VALUE"""),"Yes")</f>
        <v>Yes</v>
      </c>
      <c r="F2592" s="7" t="str">
        <f>IFERROR(__xludf.DUMMYFUNCTION("""COMPUTED_VALUE"""),"IP-Poster")</f>
        <v>IP-Poster</v>
      </c>
      <c r="G2592" s="7" t="str">
        <f>IFERROR(__xludf.DUMMYFUNCTION("""COMPUTED_VALUE"""),"In-Person")</f>
        <v>In-Person</v>
      </c>
      <c r="H2592" s="7" t="str">
        <f>IFERROR(__xludf.DUMMYFUNCTION("""COMPUTED_VALUE"""),"Hall 4/5")</f>
        <v>Hall 4/5</v>
      </c>
      <c r="I2592" s="7" t="str">
        <f>IFERROR(__xludf.DUMMYFUNCTION("""COMPUTED_VALUE"""),"Session 2: IP-Posters ")</f>
        <v>Session 2: IP-Posters </v>
      </c>
      <c r="J2592" s="7" t="str">
        <f>IFERROR(__xludf.DUMMYFUNCTION("""COMPUTED_VALUE"""),"Poster Session 1")</f>
        <v>Poster Session 1</v>
      </c>
      <c r="K2592" s="7"/>
      <c r="L2592" s="8">
        <f>IFERROR(__xludf.DUMMYFUNCTION("""COMPUTED_VALUE"""),45866.0)</f>
        <v>45866</v>
      </c>
      <c r="M2592" s="7" t="str">
        <f>IFERROR(__xludf.DUMMYFUNCTION("""COMPUTED_VALUE"""),"11:00-12:30")</f>
        <v>11:00-12:30</v>
      </c>
      <c r="N2592" s="7"/>
    </row>
    <row r="2593">
      <c r="A2593" s="7" t="str">
        <f>IFERROR(__xludf.DUMMYFUNCTION("""COMPUTED_VALUE"""),"2515-MAIN")</f>
        <v>2515-MAIN</v>
      </c>
      <c r="B2593" s="7" t="str">
        <f>IFERROR(__xludf.DUMMYFUNCTION("""COMPUTED_VALUE"""),"ZIPA: A family of efficient models for multilingual phone recognition")</f>
        <v>ZIPA: A family of efficient models for multilingual phone recognition</v>
      </c>
      <c r="C2593" s="7" t="str">
        <f>IFERROR(__xludf.DUMMYFUNCTION("""COMPUTED_VALUE"""),"We present ZIPA, a family of efficient speech models that advances the state-of-the-art performance of crosslinguistic phone recognition. We first curated IPA PACK++, a large-scale multilingual speech corpus with 17,000+ hours of normalized phone transcri"&amp;"ptions and a novel evaluation set capturing unseen languages and sociophonetic variation. ZIPA, including transducer (ZIPA-T) and CTC-based (ZIPA-CR) variants, leverages the efficient Zipformer backbones and outperforms existing phone recognition systems "&amp;"with much fewer parameters. Further scaling via noisy student training on 11,000+ hours of pseudo-labeled multilingual data yields further improvement. While ZIPA achieves strong performance on benchmarks, error analysis reveals persistent limitations in "&amp;"modeling sociophonetic diversity, underscoring challenges for future research.")</f>
        <v>We present ZIPA, a family of efficient speech models that advances the state-of-the-art performance of crosslinguistic phone recognition. We first curated IPA PACK++, a large-scale multilingual speech corpus with 17,000+ hours of normalized phone transcriptions and a novel evaluation set capturing unseen languages and sociophonetic variation. ZIPA, including transducer (ZIPA-T) and CTC-based (ZIPA-CR) variants, leverages the efficient Zipformer backbones and outperforms existing phone recognition systems with much fewer parameters. Further scaling via noisy student training on 11,000+ hours of pseudo-labeled multilingual data yields further improvement. While ZIPA achieves strong performance on benchmarks, error analysis reveals persistent limitations in modeling sociophonetic diversity, underscoring challenges for future research.</v>
      </c>
      <c r="D2593" s="7" t="str">
        <f>IFERROR(__xludf.DUMMYFUNCTION("""COMPUTED_VALUE"""),"Farhan Samir")</f>
        <v>Farhan Samir</v>
      </c>
      <c r="E2593" s="7" t="str">
        <f>IFERROR(__xludf.DUMMYFUNCTION("""COMPUTED_VALUE"""),"Yes")</f>
        <v>Yes</v>
      </c>
      <c r="F2593" s="7" t="str">
        <f>IFERROR(__xludf.DUMMYFUNCTION("""COMPUTED_VALUE"""),"IP-Poster")</f>
        <v>IP-Poster</v>
      </c>
      <c r="G2593" s="7" t="str">
        <f>IFERROR(__xludf.DUMMYFUNCTION("""COMPUTED_VALUE"""),"In-Person")</f>
        <v>In-Person</v>
      </c>
      <c r="H2593" s="7" t="str">
        <f>IFERROR(__xludf.DUMMYFUNCTION("""COMPUTED_VALUE"""),"Hall 4/5")</f>
        <v>Hall 4/5</v>
      </c>
      <c r="I2593" s="7" t="str">
        <f>IFERROR(__xludf.DUMMYFUNCTION("""COMPUTED_VALUE"""),"Session 2: IP-Posters ")</f>
        <v>Session 2: IP-Posters </v>
      </c>
      <c r="J2593" s="7" t="str">
        <f>IFERROR(__xludf.DUMMYFUNCTION("""COMPUTED_VALUE"""),"Poster Session 1")</f>
        <v>Poster Session 1</v>
      </c>
      <c r="K2593" s="7"/>
      <c r="L2593" s="8">
        <f>IFERROR(__xludf.DUMMYFUNCTION("""COMPUTED_VALUE"""),45866.0)</f>
        <v>45866</v>
      </c>
      <c r="M2593" s="7" t="str">
        <f>IFERROR(__xludf.DUMMYFUNCTION("""COMPUTED_VALUE"""),"11:00-12:30")</f>
        <v>11:00-12:30</v>
      </c>
      <c r="N2593" s="7"/>
    </row>
    <row r="2594">
      <c r="A2594" s="7" t="str">
        <f>IFERROR(__xludf.DUMMYFUNCTION("""COMPUTED_VALUE"""),"2516-MAIN")</f>
        <v>2516-MAIN</v>
      </c>
      <c r="B2594" s="7" t="str">
        <f>IFERROR(__xludf.DUMMYFUNCTION("""COMPUTED_VALUE"""),"GRACE: A Granular Benchmark for Evaluating Model Calibration against Human Calibration")</f>
        <v>GRACE: A Granular Benchmark for Evaluating Model Calibration against Human Calibration</v>
      </c>
      <c r="C2594" s="7" t="str">
        <f>IFERROR(__xludf.DUMMYFUNCTION("""COMPUTED_VALUE"""),"Language models are often miscalibrated, leading to confidently incorrect answers. We introduce GRACE, a benchmark for language model calibration that incorporates comparison with human calibration. GRACE consists of question-answer pairs, in which each q"&amp;"uestion contains a series of clues that gradually become easier, all leading to the same answer; models must answer correctly as early as possible as the clues are revealed. This setting permits granular measurement of model calibration based on how early"&amp;", accurately, and confidently a model answers. After collecting these questions, we host live human vs. model competitions to gather 1,749 data points on human and model teams' timing, accuracy, and confidence. We propose a metric, CalScore, that uses GRA"&amp;"CE to analyze model calibration errors and identify types of model miscalibration that differ from human behavior. We find that although humans are less accurate than models, humans are generally better calibrated. Since state-of-the-art models struggle o"&amp;"n GRACE, it effectively evaluates progress on improving model calibration.")</f>
        <v>Language models are often miscalibrated, leading to confidently incorrect answers. We introduce GRACE, a benchmark for language model calibration that incorporates comparison with human calibration. GRACE consists of question-answer pairs, in which each question contains a series of clues that gradually become easier, all leading to the same answer; models must answer correctly as early as possible as the clues are revealed. This setting permits granular measurement of model calibration based on how early, accurately, and confidently a model answers. After collecting these questions, we host live human vs. model competitions to gather 1,749 data points on human and model teams' timing, accuracy, and confidence. We propose a metric, CalScore, that uses GRACE to analyze model calibration errors and identify types of model miscalibration that differ from human behavior. We find that although humans are less accurate than models, humans are generally better calibrated. Since state-of-the-art models struggle on GRACE, it effectively evaluates progress on improving model calibration.</v>
      </c>
      <c r="D2594" s="7" t="str">
        <f>IFERROR(__xludf.DUMMYFUNCTION("""COMPUTED_VALUE"""),"Yoo Yeon Sung")</f>
        <v>Yoo Yeon Sung</v>
      </c>
      <c r="E2594" s="7" t="str">
        <f>IFERROR(__xludf.DUMMYFUNCTION("""COMPUTED_VALUE"""),"Yes")</f>
        <v>Yes</v>
      </c>
      <c r="F2594" s="7" t="str">
        <f>IFERROR(__xludf.DUMMYFUNCTION("""COMPUTED_VALUE"""),"IP-Oral")</f>
        <v>IP-Oral</v>
      </c>
      <c r="G2594" s="7" t="str">
        <f>IFERROR(__xludf.DUMMYFUNCTION("""COMPUTED_VALUE"""),"In-Person")</f>
        <v>In-Person</v>
      </c>
      <c r="H2594" s="7" t="str">
        <f>IFERROR(__xludf.DUMMYFUNCTION("""COMPUTED_VALUE"""),"Room 1.62")</f>
        <v>Room 1.62</v>
      </c>
      <c r="I2594" s="7" t="str">
        <f>IFERROR(__xludf.DUMMYFUNCTION("""COMPUTED_VALUE"""),"Session 3: IP-Orals")</f>
        <v>Session 3: IP-Orals</v>
      </c>
      <c r="J2594" s="7" t="str">
        <f>IFERROR(__xludf.DUMMYFUNCTION("""COMPUTED_VALUE"""),"Human-centered NLP")</f>
        <v>Human-centered NLP</v>
      </c>
      <c r="K2594" s="7"/>
      <c r="L2594" s="8">
        <f>IFERROR(__xludf.DUMMYFUNCTION("""COMPUTED_VALUE"""),45866.0)</f>
        <v>45866</v>
      </c>
      <c r="M2594" s="7" t="str">
        <f>IFERROR(__xludf.DUMMYFUNCTION("""COMPUTED_VALUE"""),"14:00-15:30")</f>
        <v>14:00-15:30</v>
      </c>
      <c r="N2594" s="7">
        <f>IFERROR(__xludf.DUMMYFUNCTION("""COMPUTED_VALUE"""),3.0)</f>
        <v>3</v>
      </c>
    </row>
    <row r="2595">
      <c r="A2595" s="7" t="str">
        <f>IFERROR(__xludf.DUMMYFUNCTION("""COMPUTED_VALUE"""),"2517-MAIN")</f>
        <v>2517-MAIN</v>
      </c>
      <c r="B2595" s="7" t="str">
        <f>IFERROR(__xludf.DUMMYFUNCTION("""COMPUTED_VALUE"""),"That doesn’t sound right: Evaluating speech transcription quality in field linguistics corpora")</f>
        <v>That doesn’t sound right: Evaluating speech transcription quality in field linguistics corpora</v>
      </c>
      <c r="C2595" s="7" t="str">
        <f>IFERROR(__xludf.DUMMYFUNCTION("""COMPUTED_VALUE"""),"Incorporating automatic speech recognition (ASR) into field linguistics workflows for language documentation has become increasingly common. While ASR performance has seen improvements in low-resource settings, obstacles remain when training models on dat"&amp;"a collected by documentary linguists. One notable challenge lies in the way that this data is curated. ASR datasets built from spontaneous speech are typically recorded in consistent settings and transcribed by native speakers following a set of well desi"&amp;"gned guidelines. In contrast, field linguists collect data in whatever format it is delivered by their language consultants and transcribe it as best they can given their language skills and the quality of the recording. This approach to data curation, wh"&amp;"ile valuable for linguistic research, does not always align with the standards required for training robust ASR models. In this paper, we explore methods for identifying speech transcriptions in fieldwork data that may be unsuitable for training ASR model"&amp;"s. We focus on two complimentary automated measures of transcription quality that can be used to identify transcripts with characteristics that are common in field data but could be detrimental to ASR training. We show that one of the metrics is highly ef"&amp;"fective at retrieving these types of transcriptions. Additionally, we find that filtering datasets using this metric of transcription quality reduces WER both in controlled experiments using simulated fieldwork with artificially corrupted data and in real"&amp;" fieldwork corpora.")</f>
        <v>Incorporating automatic speech recognition (ASR) into field linguistics workflows for language documentation has become increasingly common. While ASR performance has seen improvements in low-resource settings, obstacles remain when training models on data collected by documentary linguists. One notable challenge lies in the way that this data is curated. ASR datasets built from spontaneous speech are typically recorded in consistent settings and transcribed by native speakers following a set of well designed guidelines. In contrast, field linguists collect data in whatever format it is delivered by their language consultants and transcribe it as best they can given their language skills and the quality of the recording. This approach to data curation, while valuable for linguistic research, does not always align with the standards required for training robust ASR models. In this paper, we explore methods for identifying speech transcriptions in fieldwork data that may be unsuitable for training ASR models. We focus on two complimentary automated measures of transcription quality that can be used to identify transcripts with characteristics that are common in field data but could be detrimental to ASR training. We show that one of the metrics is highly effective at retrieving these types of transcriptions. Additionally, we find that filtering datasets using this metric of transcription quality reduces WER both in controlled experiments using simulated fieldwork with artificially corrupted data and in real fieldwork corpora.</v>
      </c>
      <c r="D2595" s="7" t="str">
        <f>IFERROR(__xludf.DUMMYFUNCTION("""COMPUTED_VALUE"""),"Emily Prud'hommeaux")</f>
        <v>Emily Prud'hommeaux</v>
      </c>
      <c r="E2595" s="7" t="str">
        <f>IFERROR(__xludf.DUMMYFUNCTION("""COMPUTED_VALUE"""),"Yes")</f>
        <v>Yes</v>
      </c>
      <c r="F2595" s="7" t="str">
        <f>IFERROR(__xludf.DUMMYFUNCTION("""COMPUTED_VALUE"""),"IP-Poster")</f>
        <v>IP-Poster</v>
      </c>
      <c r="G2595" s="7" t="str">
        <f>IFERROR(__xludf.DUMMYFUNCTION("""COMPUTED_VALUE"""),"In-Person")</f>
        <v>In-Person</v>
      </c>
      <c r="H2595" s="7" t="str">
        <f>IFERROR(__xludf.DUMMYFUNCTION("""COMPUTED_VALUE"""),"Hall 4/5")</f>
        <v>Hall 4/5</v>
      </c>
      <c r="I2595" s="7" t="str">
        <f>IFERROR(__xludf.DUMMYFUNCTION("""COMPUTED_VALUE"""),"Session 7: IP-Posters")</f>
        <v>Session 7: IP-Posters</v>
      </c>
      <c r="J2595" s="7" t="str">
        <f>IFERROR(__xludf.DUMMYFUNCTION("""COMPUTED_VALUE"""),"Poster Session 2")</f>
        <v>Poster Session 2</v>
      </c>
      <c r="K2595" s="7"/>
      <c r="L2595" s="8">
        <f>IFERROR(__xludf.DUMMYFUNCTION("""COMPUTED_VALUE"""),45867.0)</f>
        <v>45867</v>
      </c>
      <c r="M2595" s="7" t="str">
        <f>IFERROR(__xludf.DUMMYFUNCTION("""COMPUTED_VALUE"""),"10:30-12:00")</f>
        <v>10:30-12:00</v>
      </c>
      <c r="N2595" s="7"/>
    </row>
    <row r="2596">
      <c r="A2596" s="7" t="str">
        <f>IFERROR(__xludf.DUMMYFUNCTION("""COMPUTED_VALUE"""),"2518-MAIN")</f>
        <v>2518-MAIN</v>
      </c>
      <c r="B2596" s="7" t="str">
        <f>IFERROR(__xludf.DUMMYFUNCTION("""COMPUTED_VALUE"""),"Dynamic Evaluation with Cognitive Reasoning for Multi-turn Safety of Large Language Models")</f>
        <v>Dynamic Evaluation with Cognitive Reasoning for Multi-turn Safety of Large Language Models</v>
      </c>
      <c r="C2596" s="7" t="str">
        <f>IFERROR(__xludf.DUMMYFUNCTION("""COMPUTED_VALUE"""),"The rapid advancement of Large Language Models (LLMs) poses significant challenges for safety evaluation. Current static datasets struggle to identify emerging vulnerabilities due to three limitations: (1) they risk being exposed in model training data, l"&amp;"eading to evaluation bias; (2) their limited prompt diversity fails to capture real-world application scenarios; (3) they are limited to provide human-like multi-turn interactions. To address these limitations, we propose a dynamic evaluation framework, C"&amp;"ogSafe, for comprehensive and automated multi-turn safety assessment of LLMs. We introduce CogSafe based on cognitive theories to simulate the real chatting process. To enhance assessment diversity, we introduce scenario simulation and strategy decision t"&amp;"o guide the dynamic generation, enabling coverage of application situations. Furthermore, we incorporate the cognitive process to simulate multi-turn dialogues that reflect the cognitive dynamics of real-world interactions. Extensive experiments demonstra"&amp;"te the scalability and effectiveness of our framework, which has been applied to evaluate the safety of widely used LLMs.")</f>
        <v>The rapid advancement of Large Language Models (LLMs) poses significant challenges for safety evaluation. Current static datasets struggle to identify emerging vulnerabilities due to three limitations: (1) they risk being exposed in model training data, leading to evaluation bias; (2) their limited prompt diversity fails to capture real-world application scenarios; (3) they are limited to provide human-like multi-turn interactions. To address these limitations, we propose a dynamic evaluation framework, CogSafe, for comprehensive and automated multi-turn safety assessment of LLMs. We introduce CogSafe based on cognitive theories to simulate the real chatting process. To enhance assessment diversity, we introduce scenario simulation and strategy decision to guide the dynamic generation, enabling coverage of application situations. Furthermore, we incorporate the cognitive process to simulate multi-turn dialogues that reflect the cognitive dynamics of real-world interactions. Extensive experiments demonstrate the scalability and effectiveness of our framework, which has been applied to evaluate the safety of widely used LLMs.</v>
      </c>
      <c r="D2596" s="7" t="str">
        <f>IFERROR(__xludf.DUMMYFUNCTION("""COMPUTED_VALUE"""),"Lanxue Zhang")</f>
        <v>Lanxue Zhang</v>
      </c>
      <c r="E2596" s="7" t="str">
        <f>IFERROR(__xludf.DUMMYFUNCTION("""COMPUTED_VALUE"""),"Yes")</f>
        <v>Yes</v>
      </c>
      <c r="F2596" s="7" t="str">
        <f>IFERROR(__xludf.DUMMYFUNCTION("""COMPUTED_VALUE"""),"IP-Poster")</f>
        <v>IP-Poster</v>
      </c>
      <c r="G2596" s="7" t="str">
        <f>IFERROR(__xludf.DUMMYFUNCTION("""COMPUTED_VALUE"""),"In-Person")</f>
        <v>In-Person</v>
      </c>
      <c r="H2596" s="7" t="str">
        <f>IFERROR(__xludf.DUMMYFUNCTION("""COMPUTED_VALUE"""),"Hall 4/5")</f>
        <v>Hall 4/5</v>
      </c>
      <c r="I2596" s="7" t="str">
        <f>IFERROR(__xludf.DUMMYFUNCTION("""COMPUTED_VALUE"""),"Session 12: IP-Posters")</f>
        <v>Session 12: IP-Posters</v>
      </c>
      <c r="J2596" s="7" t="str">
        <f>IFERROR(__xludf.DUMMYFUNCTION("""COMPUTED_VALUE"""),"Poster Session 4")</f>
        <v>Poster Session 4</v>
      </c>
      <c r="K2596" s="7"/>
      <c r="L2596" s="8">
        <f>IFERROR(__xludf.DUMMYFUNCTION("""COMPUTED_VALUE"""),45868.0)</f>
        <v>45868</v>
      </c>
      <c r="M2596" s="7" t="str">
        <f>IFERROR(__xludf.DUMMYFUNCTION("""COMPUTED_VALUE"""),"11:00-12:30")</f>
        <v>11:00-12:30</v>
      </c>
      <c r="N2596" s="7"/>
    </row>
    <row r="2597">
      <c r="A2597" s="7" t="str">
        <f>IFERROR(__xludf.DUMMYFUNCTION("""COMPUTED_VALUE"""),"2519-MAIN")</f>
        <v>2519-MAIN</v>
      </c>
      <c r="B2597" s="7" t="str">
        <f>IFERROR(__xludf.DUMMYFUNCTION("""COMPUTED_VALUE"""),"Is That Your Final Answer? Test-Time Scaling Improves Selective Question Answering")</f>
        <v>Is That Your Final Answer? Test-Time Scaling Improves Selective Question Answering</v>
      </c>
      <c r="C2597" s="7" t="str">
        <f>IFERROR(__xludf.DUMMYFUNCTION("""COMPUTED_VALUE"""),"Scaling the test-time compute of large language models has demonstrated impressive performance on reasoning benchmarks. However, existing evaluations of test-time scaling make the strong assumption that a reasoning system should always give an answer to a"&amp;"ny question provided. This overlooks concerns about whether a model is confident in its answer, and whether it is appropriate to always provide a response. To address these concerns, we extract confidence scores during reasoning for thresholding model res"&amp;"ponses. We find that increasing compute budget at inference time not only helps models answer more questions correctly, but also increases confidence in correct responses. We then extend the current paradigm of zero-risk responses during evaluation by con"&amp;"sidering settings with non-zero levels of response risk, and suggest a recipe for reporting evaluations under these settings.")</f>
        <v>Scaling the test-time compute of large language models has demonstrated impressive performance on reasoning benchmarks. However, existing evaluations of test-time scaling make the strong assumption that a reasoning system should always give an answer to any question provided. This overlooks concerns about whether a model is confident in its answer, and whether it is appropriate to always provide a response. To address these concerns, we extract confidence scores during reasoning for thresholding model responses. We find that increasing compute budget at inference time not only helps models answer more questions correctly, but also increases confidence in correct responses. We then extend the current paradigm of zero-risk responses during evaluation by considering settings with non-zero levels of response risk, and suggest a recipe for reporting evaluations under these settings.</v>
      </c>
      <c r="D2597" s="7" t="str">
        <f>IFERROR(__xludf.DUMMYFUNCTION("""COMPUTED_VALUE"""),"William Jurayj")</f>
        <v>William Jurayj</v>
      </c>
      <c r="E2597" s="7" t="str">
        <f>IFERROR(__xludf.DUMMYFUNCTION("""COMPUTED_VALUE"""),"Yes")</f>
        <v>Yes</v>
      </c>
      <c r="F2597" s="7" t="str">
        <f>IFERROR(__xludf.DUMMYFUNCTION("""COMPUTED_VALUE"""),"IP-Poster")</f>
        <v>IP-Poster</v>
      </c>
      <c r="G2597" s="7" t="str">
        <f>IFERROR(__xludf.DUMMYFUNCTION("""COMPUTED_VALUE"""),"In-Person")</f>
        <v>In-Person</v>
      </c>
      <c r="H2597" s="7" t="str">
        <f>IFERROR(__xludf.DUMMYFUNCTION("""COMPUTED_VALUE"""),"Hall 4/5")</f>
        <v>Hall 4/5</v>
      </c>
      <c r="I2597" s="7" t="str">
        <f>IFERROR(__xludf.DUMMYFUNCTION("""COMPUTED_VALUE"""),"Session 7: IP-Posters")</f>
        <v>Session 7: IP-Posters</v>
      </c>
      <c r="J2597" s="7" t="str">
        <f>IFERROR(__xludf.DUMMYFUNCTION("""COMPUTED_VALUE"""),"Poster Session 2")</f>
        <v>Poster Session 2</v>
      </c>
      <c r="K2597" s="7"/>
      <c r="L2597" s="8">
        <f>IFERROR(__xludf.DUMMYFUNCTION("""COMPUTED_VALUE"""),45867.0)</f>
        <v>45867</v>
      </c>
      <c r="M2597" s="7" t="str">
        <f>IFERROR(__xludf.DUMMYFUNCTION("""COMPUTED_VALUE"""),"10:30-12:00")</f>
        <v>10:30-12:00</v>
      </c>
      <c r="N2597" s="7"/>
    </row>
    <row r="2598">
      <c r="A2598" s="7" t="str">
        <f>IFERROR(__xludf.DUMMYFUNCTION("""COMPUTED_VALUE"""),"2521-MAIN")</f>
        <v>2521-MAIN</v>
      </c>
      <c r="B2598" s="7" t="str">
        <f>IFERROR(__xludf.DUMMYFUNCTION("""COMPUTED_VALUE"""),"From Tools to Teammates: Evaluating LLMs in Multi-Session Coding Interactions")</f>
        <v>From Tools to Teammates: Evaluating LLMs in Multi-Session Coding Interactions</v>
      </c>
      <c r="C2598" s="7" t="str">
        <f>IFERROR(__xludf.DUMMYFUNCTION("""COMPUTED_VALUE"""),"Large Language Models (LLMs) are increasingly used in working environments for a wide range of tasks, excelling at solving individual problems in isolation. However, are they also able to effectively collaborate over long-term interactions? To investigate"&amp;" this, we introduce MemoryCode, a synthetic multi-session dataset designed to test LLMs' ability to track and execute simple coding instructions amid irrelevant information, simulating a realistic setting. While all the models we tested handle isolated in"&amp;"structions well, even the performance of state-of-the-art models like GPT-4o deteriorates when instructions are spread across sessions. Our analysis suggests this is due to their failure to retrieve and integrate information over long interaction chains. "&amp;"Our results highlight a fundamental limitation of current LLMs, restricting their ability to collaborate effectively in long interactions.")</f>
        <v>Large Language Models (LLMs) are increasingly used in working environments for a wide range of tasks, excelling at solving individual problems in isolation. However, are they also able to effectively collaborate over long-term interactions? To investigate this, we introduce MemoryCode, a synthetic multi-session dataset designed to test LLMs' ability to track and execute simple coding instructions amid irrelevant information, simulating a realistic setting. While all the models we tested handle isolated instructions well, even the performance of state-of-the-art models like GPT-4o deteriorates when instructions are spread across sessions. Our analysis suggests this is due to their failure to retrieve and integrate information over long interaction chains. Our results highlight a fundamental limitation of current LLMs, restricting their ability to collaborate effectively in long interactions.</v>
      </c>
      <c r="D2598" s="7" t="str">
        <f>IFERROR(__xludf.DUMMYFUNCTION("""COMPUTED_VALUE"""),"Sandro Pezzelle")</f>
        <v>Sandro Pezzelle</v>
      </c>
      <c r="E2598" s="7" t="str">
        <f>IFERROR(__xludf.DUMMYFUNCTION("""COMPUTED_VALUE"""),"Yes")</f>
        <v>Yes</v>
      </c>
      <c r="F2598" s="7" t="str">
        <f>IFERROR(__xludf.DUMMYFUNCTION("""COMPUTED_VALUE"""),"IP-Poster")</f>
        <v>IP-Poster</v>
      </c>
      <c r="G2598" s="7" t="str">
        <f>IFERROR(__xludf.DUMMYFUNCTION("""COMPUTED_VALUE"""),"In-Person")</f>
        <v>In-Person</v>
      </c>
      <c r="H2598" s="7" t="str">
        <f>IFERROR(__xludf.DUMMYFUNCTION("""COMPUTED_VALUE"""),"Hall 4/5")</f>
        <v>Hall 4/5</v>
      </c>
      <c r="I2598" s="7" t="str">
        <f>IFERROR(__xludf.DUMMYFUNCTION("""COMPUTED_VALUE"""),"Session 2: IP-Posters ")</f>
        <v>Session 2: IP-Posters </v>
      </c>
      <c r="J2598" s="7" t="str">
        <f>IFERROR(__xludf.DUMMYFUNCTION("""COMPUTED_VALUE"""),"Poster Session 1")</f>
        <v>Poster Session 1</v>
      </c>
      <c r="K2598" s="7"/>
      <c r="L2598" s="8">
        <f>IFERROR(__xludf.DUMMYFUNCTION("""COMPUTED_VALUE"""),45866.0)</f>
        <v>45866</v>
      </c>
      <c r="M2598" s="7" t="str">
        <f>IFERROR(__xludf.DUMMYFUNCTION("""COMPUTED_VALUE"""),"11:00-12:30")</f>
        <v>11:00-12:30</v>
      </c>
      <c r="N2598" s="7"/>
    </row>
    <row r="2599">
      <c r="A2599" s="7" t="str">
        <f>IFERROR(__xludf.DUMMYFUNCTION("""COMPUTED_VALUE"""),"2522-MAIN")</f>
        <v>2522-MAIN</v>
      </c>
      <c r="B2599" s="7" t="str">
        <f>IFERROR(__xludf.DUMMYFUNCTION("""COMPUTED_VALUE"""),"Guiding not Forcing: Enhancing the Transferability of Jailbreaking Attacks on LLMs via Removing Superfluous Constraints")</f>
        <v>Guiding not Forcing: Enhancing the Transferability of Jailbreaking Attacks on LLMs via Removing Superfluous Constraints</v>
      </c>
      <c r="C2599" s="7" t="str">
        <f>IFERROR(__xludf.DUMMYFUNCTION("""COMPUTED_VALUE"""),"Jailbreaking attacks can effectively induce unsafe behaviors in Large Language Models (LLMs); however, the transferability of these attacks across different models remains limited. This study aims to understand and enhance the transferability of gradient-"&amp;"based jailbreaking methods, which are among the standard approaches for attacking white-box models. Through a detailed analysis of the optimization process, we introduce a novel conceptual framework to elucidate transferability and identify superfluous co"&amp;"nstraints—specifically, the response pattern constraint and the token tail constraint—as significant barriers to improved transferability. Removing these unnecessary constraints substantially enhances the transferability and controllability of gradient-ba"&amp;"sed attacks. Evaluated on Llama-3-8B-Instruct as the source model, our method increases the overall Transfer Attack Success Rate (T-ASR) across a set of target models with varying safety levels from 18.4\% to 50.3\%, while also improving the stability and"&amp;" controllability of jailbreak behaviors on both source and target models.")</f>
        <v>Jailbreaking attacks can effectively induce unsafe behaviors in Large Language Models (LLMs); however, the transferability of these attacks across different models remains limited. This study aims to understand and enhance the transferability of gradient-based jailbreaking methods, which are among the standard approaches for attacking white-box models. Through a detailed analysis of the optimization process, we introduce a novel conceptual framework to elucidate transferability and identify superfluous constraints—specifically, the response pattern constraint and the token tail constraint—as significant barriers to improved transferability. Removing these unnecessary constraints substantially enhances the transferability and controllability of gradient-based attacks. Evaluated on Llama-3-8B-Instruct as the source model, our method increases the overall Transfer Attack Success Rate (T-ASR) across a set of target models with varying safety levels from 18.4\% to 50.3\%, while also improving the stability and controllability of jailbreak behaviors on both source and target models.</v>
      </c>
      <c r="D2599" s="7" t="str">
        <f>IFERROR(__xludf.DUMMYFUNCTION("""COMPUTED_VALUE"""),"Junxiao Yang")</f>
        <v>Junxiao Yang</v>
      </c>
      <c r="E2599" s="7" t="str">
        <f>IFERROR(__xludf.DUMMYFUNCTION("""COMPUTED_VALUE"""),"Yes")</f>
        <v>Yes</v>
      </c>
      <c r="F2599" s="7" t="str">
        <f>IFERROR(__xludf.DUMMYFUNCTION("""COMPUTED_VALUE"""),"IP-Poster")</f>
        <v>IP-Poster</v>
      </c>
      <c r="G2599" s="7" t="str">
        <f>IFERROR(__xludf.DUMMYFUNCTION("""COMPUTED_VALUE"""),"In-Person")</f>
        <v>In-Person</v>
      </c>
      <c r="H2599" s="7" t="str">
        <f>IFERROR(__xludf.DUMMYFUNCTION("""COMPUTED_VALUE"""),"Hall 4/5")</f>
        <v>Hall 4/5</v>
      </c>
      <c r="I2599" s="7" t="str">
        <f>IFERROR(__xludf.DUMMYFUNCTION("""COMPUTED_VALUE"""),"Session 10: IP-Posters")</f>
        <v>Session 10: IP-Posters</v>
      </c>
      <c r="J2599" s="7" t="str">
        <f>IFERROR(__xludf.DUMMYFUNCTION("""COMPUTED_VALUE"""),"Poster Session 3")</f>
        <v>Poster Session 3</v>
      </c>
      <c r="K2599" s="7"/>
      <c r="L2599" s="8">
        <f>IFERROR(__xludf.DUMMYFUNCTION("""COMPUTED_VALUE"""),45867.0)</f>
        <v>45867</v>
      </c>
      <c r="M2599" s="7" t="str">
        <f>IFERROR(__xludf.DUMMYFUNCTION("""COMPUTED_VALUE"""),"16:00-17:30")</f>
        <v>16:00-17:30</v>
      </c>
      <c r="N2599" s="7"/>
    </row>
    <row r="2600">
      <c r="A2600" s="7" t="str">
        <f>IFERROR(__xludf.DUMMYFUNCTION("""COMPUTED_VALUE"""),"2525-MAIN")</f>
        <v>2525-MAIN</v>
      </c>
      <c r="B2600" s="7" t="str">
        <f>IFERROR(__xludf.DUMMYFUNCTION("""COMPUTED_VALUE"""),"Multilingual Text-to-Image Generation Magnifies Gender Stereotypes")</f>
        <v>Multilingual Text-to-Image Generation Magnifies Gender Stereotypes</v>
      </c>
      <c r="C2600" s="7" t="str">
        <f>IFERROR(__xludf.DUMMYFUNCTION("""COMPUTED_VALUE"""),"Text-to-image (T2I) generation models have achieved great results in image quality, flexibility, and text alignment, leading to widespread use. Through improvements in multilingual abilities, a larger community can access this technology. Yet, we show tha"&amp;"t multilingual models suffer from substantial gender bias. Furthermore, the expectation that results should be similar across languages does not hold. We introduce MAGBIG, a controlled benchmark designed to study gender bias in multilingual T2I models, an"&amp;"d use it to assess the impact of multilingualism on gender bias. To this end, we construct a set of multilingual prompts that offers a carefully controlled setting accounting for the complex grammatical differences influencing gender across languages. Our"&amp;" results show strong gender biases and notable language-specific differences across models. While we explore prompt engineering strategies to mitigate these biases, we find them largely ineffective and sometimes even detrimental to text-to-image alignment"&amp;". Our analysis highlights the need for research on diverse language representations and greater control over bias in T2I models.")</f>
        <v>Text-to-image (T2I) generation models have achieved great results in image quality, flexibility, and text alignment, leading to widespread use. Through improvements in multilingual abilities, a larger community can access this technology. Yet, we show that multilingual models suffer from substantial gender bias. Furthermore, the expectation that results should be similar across languages does not hold. We introduce MAGBIG, a controlled benchmark designed to study gender bias in multilingual T2I models, and use it to assess the impact of multilingualism on gender bias. To this end, we construct a set of multilingual prompts that offers a carefully controlled setting accounting for the complex grammatical differences influencing gender across languages. Our results show strong gender biases and notable language-specific differences across models. While we explore prompt engineering strategies to mitigate these biases, we find them largely ineffective and sometimes even detrimental to text-to-image alignment. Our analysis highlights the need for research on diverse language representations and greater control over bias in T2I models.</v>
      </c>
      <c r="D2600" s="7" t="str">
        <f>IFERROR(__xludf.DUMMYFUNCTION("""COMPUTED_VALUE"""),"Jindřich Libovický")</f>
        <v>Jindřich Libovický</v>
      </c>
      <c r="E2600" s="7" t="str">
        <f>IFERROR(__xludf.DUMMYFUNCTION("""COMPUTED_VALUE"""),"Yes")</f>
        <v>Yes</v>
      </c>
      <c r="F2600" s="7" t="str">
        <f>IFERROR(__xludf.DUMMYFUNCTION("""COMPUTED_VALUE"""),"IP-Poster")</f>
        <v>IP-Poster</v>
      </c>
      <c r="G2600" s="7" t="str">
        <f>IFERROR(__xludf.DUMMYFUNCTION("""COMPUTED_VALUE"""),"In-Person")</f>
        <v>In-Person</v>
      </c>
      <c r="H2600" s="7" t="str">
        <f>IFERROR(__xludf.DUMMYFUNCTION("""COMPUTED_VALUE"""),"Hall 4/5")</f>
        <v>Hall 4/5</v>
      </c>
      <c r="I2600" s="7" t="str">
        <f>IFERROR(__xludf.DUMMYFUNCTION("""COMPUTED_VALUE"""),"Session 2: IP-Posters ")</f>
        <v>Session 2: IP-Posters </v>
      </c>
      <c r="J2600" s="7" t="str">
        <f>IFERROR(__xludf.DUMMYFUNCTION("""COMPUTED_VALUE"""),"Poster Session 1")</f>
        <v>Poster Session 1</v>
      </c>
      <c r="K2600" s="7"/>
      <c r="L2600" s="8">
        <f>IFERROR(__xludf.DUMMYFUNCTION("""COMPUTED_VALUE"""),45866.0)</f>
        <v>45866</v>
      </c>
      <c r="M2600" s="7" t="str">
        <f>IFERROR(__xludf.DUMMYFUNCTION("""COMPUTED_VALUE"""),"11:00-12:30")</f>
        <v>11:00-12:30</v>
      </c>
      <c r="N2600" s="7"/>
    </row>
    <row r="2601">
      <c r="A2601" s="7" t="str">
        <f>IFERROR(__xludf.DUMMYFUNCTION("""COMPUTED_VALUE"""),"2529-MAIN")</f>
        <v>2529-MAIN</v>
      </c>
      <c r="B2601" s="7" t="str">
        <f>IFERROR(__xludf.DUMMYFUNCTION("""COMPUTED_VALUE"""),"Adversarial Alignment with Anchor Dragging Drift (A3D2): Multimodal Domain Adaptation with Partially Shifted Modalities")</f>
        <v>Adversarial Alignment with Anchor Dragging Drift (A3D2): Multimodal Domain Adaptation with Partially Shifted Modalities</v>
      </c>
      <c r="C2601" s="7" t="str">
        <f>IFERROR(__xludf.DUMMYFUNCTION("""COMPUTED_VALUE"""),"Multimodal learning has celebrated remarkable success across diverse areas, yet faces the challenge of prohibitively expensive data collection and annotation when adapting models to new environments. In this context, domain adaptation has gained growing p"&amp;"opularity as a technique for knowledge transfer, which, however, remains underexplored in multimodal settings compared with unimodal ones. This paper investigates multimodal domain adaptation, focusing on a practical partially shifting scenario where some"&amp;" modalities (referred to as anchors) remain domain-stable, while others (referred to as drifts) undergo a domain shift. We propose a bi-alignment scheme to simultaneously perform drift-drift and anchor-drift matching. The former is achieved through advers"&amp;"arial learning, aligning the representations of the drifts across source and target domains; the latter corresponds to an ""anchor dragging drift"" strategy, which matches the distributions of the drifts and anchors within the target domain using the opti"&amp;"mal transport (OT) method. The overall design principle features \textbf{A}dversarial \textbf{A}lignment with \textbf{A}nchor \textbf{D}ragging \textbf{D}rift, abbreviated as \textbf{$A^3D^2$}, for multimodal domain adaptation with partially shifted modal"&amp;"ities. Comprehensive empirical results verify the effectiveness of the proposed approach, and demonstrate that $A^3D^2$ achieves superior performance compared with state-of-the-art approaches. The code is available at: \url{https://github.com/sunjunaimer/"&amp;"A3D2.git}.")</f>
        <v>Multimodal learning has celebrated remarkable success across diverse areas, yet faces the challenge of prohibitively expensive data collection and annotation when adapting models to new environments. In this context, domain adaptation has gained growing popularity as a technique for knowledge transfer, which, however, remains underexplored in multimodal settings compared with unimodal ones. This paper investigates multimodal domain adaptation, focusing on a practical partially shifting scenario where some modalities (referred to as anchors) remain domain-stable, while others (referred to as drifts) undergo a domain shift. We propose a bi-alignment scheme to simultaneously perform drift-drift and anchor-drift matching. The former is achieved through adversarial learning, aligning the representations of the drifts across source and target domains; the latter corresponds to an "anchor dragging drift" strategy, which matches the distributions of the drifts and anchors within the target domain using the optimal transport (OT) method. The overall design principle features \textbf{A}dversarial \textbf{A}lignment with \textbf{A}nchor \textbf{D}ragging \textbf{D}rift, abbreviated as \textbf{$A^3D^2$}, for multimodal domain adaptation with partially shifted modalities. Comprehensive empirical results verify the effectiveness of the proposed approach, and demonstrate that $A^3D^2$ achieves superior performance compared with state-of-the-art approaches. The code is available at: \url{https://github.com/sunjunaimer/A3D2.git}.</v>
      </c>
      <c r="D2601" s="7" t="str">
        <f>IFERROR(__xludf.DUMMYFUNCTION("""COMPUTED_VALUE"""),"Jun Sun")</f>
        <v>Jun Sun</v>
      </c>
      <c r="E2601" s="7" t="str">
        <f>IFERROR(__xludf.DUMMYFUNCTION("""COMPUTED_VALUE"""),"Yes")</f>
        <v>Yes</v>
      </c>
      <c r="F2601" s="7" t="str">
        <f>IFERROR(__xludf.DUMMYFUNCTION("""COMPUTED_VALUE"""),"IP-Poster")</f>
        <v>IP-Poster</v>
      </c>
      <c r="G2601" s="7" t="str">
        <f>IFERROR(__xludf.DUMMYFUNCTION("""COMPUTED_VALUE"""),"In-Person")</f>
        <v>In-Person</v>
      </c>
      <c r="H2601" s="7" t="str">
        <f>IFERROR(__xludf.DUMMYFUNCTION("""COMPUTED_VALUE"""),"Hall 4/5")</f>
        <v>Hall 4/5</v>
      </c>
      <c r="I2601" s="7" t="str">
        <f>IFERROR(__xludf.DUMMYFUNCTION("""COMPUTED_VALUE"""),"Session 7: IP-Posters")</f>
        <v>Session 7: IP-Posters</v>
      </c>
      <c r="J2601" s="7" t="str">
        <f>IFERROR(__xludf.DUMMYFUNCTION("""COMPUTED_VALUE"""),"Poster Session 2")</f>
        <v>Poster Session 2</v>
      </c>
      <c r="K2601" s="7"/>
      <c r="L2601" s="8">
        <f>IFERROR(__xludf.DUMMYFUNCTION("""COMPUTED_VALUE"""),45867.0)</f>
        <v>45867</v>
      </c>
      <c r="M2601" s="7" t="str">
        <f>IFERROR(__xludf.DUMMYFUNCTION("""COMPUTED_VALUE"""),"10:30-12:00")</f>
        <v>10:30-12:00</v>
      </c>
      <c r="N2601" s="7"/>
    </row>
    <row r="2602">
      <c r="A2602" s="7" t="str">
        <f>IFERROR(__xludf.DUMMYFUNCTION("""COMPUTED_VALUE"""),"2530-MAIN")</f>
        <v>2530-MAIN</v>
      </c>
      <c r="B2602" s="7" t="str">
        <f>IFERROR(__xludf.DUMMYFUNCTION("""COMPUTED_VALUE"""),"A Reality Check on Context Utilisation for Retrieval-Augmented Generation")</f>
        <v>A Reality Check on Context Utilisation for Retrieval-Augmented Generation</v>
      </c>
      <c r="C2602" s="7" t="str">
        <f>IFERROR(__xludf.DUMMYFUNCTION("""COMPUTED_VALUE"""),"Retrieval-augmented generation (RAG) helps address the limitations of parametric knowledge embedded within a language model (LM). In real world settings, retrieved information can vary in complexity, yet most investigations of LM utilisation of context ha"&amp;"s been limited to synthetic text. We introduce DRUID (Dataset of Retrieved Unreliable, Insufficient and Difficult-to-understand contexts) with real-world queries and contexts manually annotated for stance. The dataset is based on the prototypical task of "&amp;"automated claim verification, for which automated retrieval of real-world evidence is crucial. We compare DRUID to synthetic datasets (CounterFact, ConflictQA) and find that artificial datasets often fail to represent the complexity and diversity of reali"&amp;"stically retrieved context. We show that synthetic datasets exaggerate context characteristics rare in real retrieved data, which leads to inflated context utilisation results, as measured by our novel ACU score. Moreover, while previous work has mainly f"&amp;"ocused on singleton context characteristics to explain context utilisation, correlations between singleton context properties and ACU on DRUID are surprisingly small compared to other properties related to context source. Overall, our work underscores the"&amp;" need for real-world aligned context utilisation studies to represent and improve performance in real-world RAG settings.")</f>
        <v>Retrieval-augmented generation (RAG) helps address the limitations of parametric knowledge embedded within a language model (LM). In real world settings, retrieved information can vary in complexity, yet most investigations of LM utilisation of context has been limited to synthetic text. We introduce DRUID (Dataset of Retrieved Unreliable, Insufficient and Difficult-to-understand contexts) with real-world queries and contexts manually annotated for stance. The dataset is based on the prototypical task of automated claim verification, for which automated retrieval of real-world evidence is crucial. We compare DRUID to synthetic datasets (CounterFact, ConflictQA) and find that artificial datasets often fail to represent the complexity and diversity of realistically retrieved context. We show that synthetic datasets exaggerate context characteristics rare in real retrieved data, which leads to inflated context utilisation results, as measured by our novel ACU score. Moreover, while previous work has mainly focused on singleton context characteristics to explain context utilisation, correlations between singleton context properties and ACU on DRUID are surprisingly small compared to other properties related to context source. Overall, our work underscores the need for real-world aligned context utilisation studies to represent and improve performance in real-world RAG settings.</v>
      </c>
      <c r="D2602" s="7" t="str">
        <f>IFERROR(__xludf.DUMMYFUNCTION("""COMPUTED_VALUE"""),"Lovisa Hagström")</f>
        <v>Lovisa Hagström</v>
      </c>
      <c r="E2602" s="7" t="str">
        <f>IFERROR(__xludf.DUMMYFUNCTION("""COMPUTED_VALUE"""),"Yes")</f>
        <v>Yes</v>
      </c>
      <c r="F2602" s="7" t="str">
        <f>IFERROR(__xludf.DUMMYFUNCTION("""COMPUTED_VALUE"""),"IP-Poster")</f>
        <v>IP-Poster</v>
      </c>
      <c r="G2602" s="7" t="str">
        <f>IFERROR(__xludf.DUMMYFUNCTION("""COMPUTED_VALUE"""),"In-Person")</f>
        <v>In-Person</v>
      </c>
      <c r="H2602" s="7" t="str">
        <f>IFERROR(__xludf.DUMMYFUNCTION("""COMPUTED_VALUE"""),"Hall 4/5")</f>
        <v>Hall 4/5</v>
      </c>
      <c r="I2602" s="7" t="str">
        <f>IFERROR(__xludf.DUMMYFUNCTION("""COMPUTED_VALUE"""),"Session 7: IP-Posters")</f>
        <v>Session 7: IP-Posters</v>
      </c>
      <c r="J2602" s="7" t="str">
        <f>IFERROR(__xludf.DUMMYFUNCTION("""COMPUTED_VALUE"""),"Poster Session 2")</f>
        <v>Poster Session 2</v>
      </c>
      <c r="K2602" s="7"/>
      <c r="L2602" s="8">
        <f>IFERROR(__xludf.DUMMYFUNCTION("""COMPUTED_VALUE"""),45867.0)</f>
        <v>45867</v>
      </c>
      <c r="M2602" s="7" t="str">
        <f>IFERROR(__xludf.DUMMYFUNCTION("""COMPUTED_VALUE"""),"10:30-12:00")</f>
        <v>10:30-12:00</v>
      </c>
      <c r="N2602" s="7"/>
    </row>
    <row r="2603">
      <c r="A2603" s="7" t="str">
        <f>IFERROR(__xludf.DUMMYFUNCTION("""COMPUTED_VALUE"""),"2541-MAIN")</f>
        <v>2541-MAIN</v>
      </c>
      <c r="B2603" s="7" t="str">
        <f>IFERROR(__xludf.DUMMYFUNCTION("""COMPUTED_VALUE"""),"CU-MAM: Coherence-Driven Unified Macro-Structures for Argument Mining")</f>
        <v>CU-MAM: Coherence-Driven Unified Macro-Structures for Argument Mining</v>
      </c>
      <c r="C2603" s="7" t="str">
        <f>IFERROR(__xludf.DUMMYFUNCTION("""COMPUTED_VALUE"""),"Argument Mining (AM) involves the automatic identification of argument structure in natural language. Traditional AM methods rely on micro-structural features derived from the internal properties of individual Argumentative Discourse Units (ADUs). However"&amp;", argument structure is shaped by a macro-structure capturing the functional interdependence among ADUs. This macro-structure consists of segments, where each segment contains ADUs that fulfill specific roles to maintain coherence within the segment (**lo"&amp;"cal coherence**) and across segments (**global coherence**). This paper presents an approach that models macro-structure, capturing both local and global coherence to identify argument structures. Experiments on heterogeneous datasets demonstrate superior"&amp;" performance in both in-dataset and cross-dataset evaluations. The cross-dataset evaluation shows that macro-structure enhances transferability to unseen datasets.")</f>
        <v>Argument Mining (AM) involves the automatic identification of argument structure in natural language. Traditional AM methods rely on micro-structural features derived from the internal properties of individual Argumentative Discourse Units (ADUs). However, argument structure is shaped by a macro-structure capturing the functional interdependence among ADUs. This macro-structure consists of segments, where each segment contains ADUs that fulfill specific roles to maintain coherence within the segment (**local coherence**) and across segments (**global coherence**). This paper presents an approach that models macro-structure, capturing both local and global coherence to identify argument structures. Experiments on heterogeneous datasets demonstrate superior performance in both in-dataset and cross-dataset evaluations. The cross-dataset evaluation shows that macro-structure enhances transferability to unseen datasets.</v>
      </c>
      <c r="D2603" s="7" t="str">
        <f>IFERROR(__xludf.DUMMYFUNCTION("""COMPUTED_VALUE"""),"Debela Gemechu")</f>
        <v>Debela Gemechu</v>
      </c>
      <c r="E2603" s="7" t="str">
        <f>IFERROR(__xludf.DUMMYFUNCTION("""COMPUTED_VALUE"""),"Yes")</f>
        <v>Yes</v>
      </c>
      <c r="F2603" s="7" t="str">
        <f>IFERROR(__xludf.DUMMYFUNCTION("""COMPUTED_VALUE"""),"IP-Poster")</f>
        <v>IP-Poster</v>
      </c>
      <c r="G2603" s="7" t="str">
        <f>IFERROR(__xludf.DUMMYFUNCTION("""COMPUTED_VALUE"""),"In-Person")</f>
        <v>In-Person</v>
      </c>
      <c r="H2603" s="7" t="str">
        <f>IFERROR(__xludf.DUMMYFUNCTION("""COMPUTED_VALUE"""),"Hall 4/5")</f>
        <v>Hall 4/5</v>
      </c>
      <c r="I2603" s="7" t="str">
        <f>IFERROR(__xludf.DUMMYFUNCTION("""COMPUTED_VALUE"""),"Session 2: IP-Posters ")</f>
        <v>Session 2: IP-Posters </v>
      </c>
      <c r="J2603" s="7" t="str">
        <f>IFERROR(__xludf.DUMMYFUNCTION("""COMPUTED_VALUE"""),"Poster Session 1")</f>
        <v>Poster Session 1</v>
      </c>
      <c r="K2603" s="7"/>
      <c r="L2603" s="8">
        <f>IFERROR(__xludf.DUMMYFUNCTION("""COMPUTED_VALUE"""),45866.0)</f>
        <v>45866</v>
      </c>
      <c r="M2603" s="7" t="str">
        <f>IFERROR(__xludf.DUMMYFUNCTION("""COMPUTED_VALUE"""),"11:00-12:30")</f>
        <v>11:00-12:30</v>
      </c>
      <c r="N2603" s="7"/>
    </row>
    <row r="2604">
      <c r="A2604" s="7" t="str">
        <f>IFERROR(__xludf.DUMMYFUNCTION("""COMPUTED_VALUE"""),"2543-MAIN")</f>
        <v>2543-MAIN</v>
      </c>
      <c r="B2604" s="7" t="str">
        <f>IFERROR(__xludf.DUMMYFUNCTION("""COMPUTED_VALUE"""),"Safer or Luckier? LLMs as Safety Evaluators Are Not Robust to Artifacts")</f>
        <v>Safer or Luckier? LLMs as Safety Evaluators Are Not Robust to Artifacts</v>
      </c>
      <c r="C2604" s="7" t="str">
        <f>IFERROR(__xludf.DUMMYFUNCTION("""COMPUTED_VALUE"""),"Large Language Models (LLMs) are increasingly employed as automated evaluators to assess the safety of generated content, yet their reliability in this role remains uncertain. This study evaluates a diverse set of 11 LLM judge models across critical safet"&amp;"y domains, examining three key aspects: self-consistency in repeated judging tasks, alignment with human judgments, and susceptibility to input artifacts such as apologetic or verbose phrasing. Our findings reveal that biases in LLM judges can significant"&amp;"ly distort the final verdict on which content source is safer, undermining the validity of comparative evaluations. Notably, apologetic language artifacts alone can skew evaluator preferences by up to 98%. Contrary to expectations, larger models do not co"&amp;"nsistently exhibit greater robustness, while smaller models sometimes show higher resistance to specific artifacts. To mitigate LLM evaluator robustness issues, we investigate jury-based evaluations aggregating decisions from multiple models. Although thi"&amp;"s approach both improves robustness and enhances alignment to human judgements, artifact sensitivity persists even with the best jury configurations. These results highlight the urgent need for diversified, artifact-resistant methodologies to ensure relia"&amp;"ble safety assessments.")</f>
        <v>Large Language Models (LLMs) are increasingly employed as automated evaluators to assess the safety of generated content, yet their reliability in this role remains uncertain. This study evaluates a diverse set of 11 LLM judge models across critical safety domains, examining three key aspects: self-consistency in repeated judging tasks, alignment with human judgments, and susceptibility to input artifacts such as apologetic or verbose phrasing. Our findings reveal that biases in LLM judges can significantly distort the final verdict on which content source is safer, undermining the validity of comparative evaluations. Notably, apologetic language artifacts alone can skew evaluator preferences by up to 98%. Contrary to expectations, larger models do not consistently exhibit greater robustness, while smaller models sometimes show higher resistance to specific artifacts. To mitigate LLM evaluator robustness issues, we investigate jury-based evaluations aggregating decisions from multiple models. Although this approach both improves robustness and enhances alignment to human judgements, artifact sensitivity persists even with the best jury configurations. These results highlight the urgent need for diversified, artifact-resistant methodologies to ensure reliable safety assessments.</v>
      </c>
      <c r="D2604" s="7" t="str">
        <f>IFERROR(__xludf.DUMMYFUNCTION("""COMPUTED_VALUE"""),"Hongyu (Charlie) Chen")</f>
        <v>Hongyu (Charlie) Chen</v>
      </c>
      <c r="E2604" s="7" t="str">
        <f>IFERROR(__xludf.DUMMYFUNCTION("""COMPUTED_VALUE"""),"Yes")</f>
        <v>Yes</v>
      </c>
      <c r="F2604" s="7" t="str">
        <f>IFERROR(__xludf.DUMMYFUNCTION("""COMPUTED_VALUE"""),"IP-Poster")</f>
        <v>IP-Poster</v>
      </c>
      <c r="G2604" s="7" t="str">
        <f>IFERROR(__xludf.DUMMYFUNCTION("""COMPUTED_VALUE"""),"In-Person")</f>
        <v>In-Person</v>
      </c>
      <c r="H2604" s="7" t="str">
        <f>IFERROR(__xludf.DUMMYFUNCTION("""COMPUTED_VALUE"""),"Hall 4/5")</f>
        <v>Hall 4/5</v>
      </c>
      <c r="I2604" s="7" t="str">
        <f>IFERROR(__xludf.DUMMYFUNCTION("""COMPUTED_VALUE"""),"Session 10: IP-Posters")</f>
        <v>Session 10: IP-Posters</v>
      </c>
      <c r="J2604" s="7" t="str">
        <f>IFERROR(__xludf.DUMMYFUNCTION("""COMPUTED_VALUE"""),"Poster Session 3")</f>
        <v>Poster Session 3</v>
      </c>
      <c r="K2604" s="7"/>
      <c r="L2604" s="8">
        <f>IFERROR(__xludf.DUMMYFUNCTION("""COMPUTED_VALUE"""),45867.0)</f>
        <v>45867</v>
      </c>
      <c r="M2604" s="7" t="str">
        <f>IFERROR(__xludf.DUMMYFUNCTION("""COMPUTED_VALUE"""),"16:00-17:30")</f>
        <v>16:00-17:30</v>
      </c>
      <c r="N2604" s="7"/>
    </row>
    <row r="2605">
      <c r="A2605" s="7" t="str">
        <f>IFERROR(__xludf.DUMMYFUNCTION("""COMPUTED_VALUE"""),"2547-MAIN")</f>
        <v>2547-MAIN</v>
      </c>
      <c r="B2605" s="7" t="str">
        <f>IFERROR(__xludf.DUMMYFUNCTION("""COMPUTED_VALUE"""),"Text-to-ES Bench: A Comprehensive Benchmark for Converting Natural Language to Elasticsearch Query")</f>
        <v>Text-to-ES Bench: A Comprehensive Benchmark for Converting Natural Language to Elasticsearch Query</v>
      </c>
      <c r="C2605" s="7" t="str">
        <f>IFERROR(__xludf.DUMMYFUNCTION("""COMPUTED_VALUE"""),"Elasticsearch (ES) is a distributed RESTful search engine optimized for large-scale and long-text search scenarios. Recent research on text-to-Query has explored using large language models (LLMs) to convert user query intent to executable code, making it"&amp;" an increasingly popular research topic. To our knowledge, we are the first to introduce the novel semantic parsing task text-to-ES. To bridge the gap between LLM and ES, in detail, we leverage LLMs and employ domain experts to generate ES query bodies, w"&amp;"hich are Domain-Specific Language (DSL), along with the corresponding post-processing code to support multi-index ES queries. Consequently, we propose the text-to-ES benchmark that consists of two datasets: Large Elasticsearch Dataset (LED), containing 26"&amp;",207 text-ES pairs derived from a 224.9GB schema-free database, and ElasticSearch (BirdES)with 10,926 pairs sourced from the Bird dataset on a 33.4GB schema-fixed database. Compared with fourteen advanced LLMs and six code-based LLMs, the model we trained"&amp;" outperformed DeepSeek-R1 by 15.64% on the LED dataset, setting a new state-of-the-art, and achieved 78% of DeepSeek-R1's performance on the BirdES dataset. Additionally, we provide in-depth experimental analyses and suggest future research directions for"&amp;" this task. Our datasets are available at https://huggingface.co/datasets/Barry1915/Text-to-ES.")</f>
        <v>Elasticsearch (ES) is a distributed RESTful search engine optimized for large-scale and long-text search scenarios. Recent research on text-to-Query has explored using large language models (LLMs) to convert user query intent to executable code, making it an increasingly popular research topic. To our knowledge, we are the first to introduce the novel semantic parsing task text-to-ES. To bridge the gap between LLM and ES, in detail, we leverage LLMs and employ domain experts to generate ES query bodies, which are Domain-Specific Language (DSL), along with the corresponding post-processing code to support multi-index ES queries. Consequently, we propose the text-to-ES benchmark that consists of two datasets: Large Elasticsearch Dataset (LED), containing 26,207 text-ES pairs derived from a 224.9GB schema-free database, and ElasticSearch (BirdES)with 10,926 pairs sourced from the Bird dataset on a 33.4GB schema-fixed database. Compared with fourteen advanced LLMs and six code-based LLMs, the model we trained outperformed DeepSeek-R1 by 15.64% on the LED dataset, setting a new state-of-the-art, and achieved 78% of DeepSeek-R1's performance on the BirdES dataset. Additionally, we provide in-depth experimental analyses and suggest future research directions for this task. Our datasets are available at https://huggingface.co/datasets/Barry1915/Text-to-ES.</v>
      </c>
      <c r="D2605" s="7" t="str">
        <f>IFERROR(__xludf.DUMMYFUNCTION("""COMPUTED_VALUE"""),"Dongge Xue")</f>
        <v>Dongge Xue</v>
      </c>
      <c r="E2605" s="7" t="str">
        <f>IFERROR(__xludf.DUMMYFUNCTION("""COMPUTED_VALUE"""),"Yes")</f>
        <v>Yes</v>
      </c>
      <c r="F2605" s="7" t="str">
        <f>IFERROR(__xludf.DUMMYFUNCTION("""COMPUTED_VALUE"""),"IP-Poster")</f>
        <v>IP-Poster</v>
      </c>
      <c r="G2605" s="7" t="str">
        <f>IFERROR(__xludf.DUMMYFUNCTION("""COMPUTED_VALUE"""),"In-Person")</f>
        <v>In-Person</v>
      </c>
      <c r="H2605" s="7" t="str">
        <f>IFERROR(__xludf.DUMMYFUNCTION("""COMPUTED_VALUE"""),"Hall 4/5")</f>
        <v>Hall 4/5</v>
      </c>
      <c r="I2605" s="7" t="str">
        <f>IFERROR(__xludf.DUMMYFUNCTION("""COMPUTED_VALUE"""),"Session 2: IP-Posters ")</f>
        <v>Session 2: IP-Posters </v>
      </c>
      <c r="J2605" s="7" t="str">
        <f>IFERROR(__xludf.DUMMYFUNCTION("""COMPUTED_VALUE"""),"Poster Session 1")</f>
        <v>Poster Session 1</v>
      </c>
      <c r="K2605" s="7"/>
      <c r="L2605" s="8">
        <f>IFERROR(__xludf.DUMMYFUNCTION("""COMPUTED_VALUE"""),45866.0)</f>
        <v>45866</v>
      </c>
      <c r="M2605" s="7" t="str">
        <f>IFERROR(__xludf.DUMMYFUNCTION("""COMPUTED_VALUE"""),"11:00-12:30")</f>
        <v>11:00-12:30</v>
      </c>
      <c r="N2605" s="7"/>
    </row>
    <row r="2606">
      <c r="A2606" s="7" t="str">
        <f>IFERROR(__xludf.DUMMYFUNCTION("""COMPUTED_VALUE"""),"2552-MAIN")</f>
        <v>2552-MAIN</v>
      </c>
      <c r="B2606" s="7" t="str">
        <f>IFERROR(__xludf.DUMMYFUNCTION("""COMPUTED_VALUE"""),"AlignDistil: Token-Level Language Model Alignment as Adaptive Policy Distillation")</f>
        <v>AlignDistil: Token-Level Language Model Alignment as Adaptive Policy Distillation</v>
      </c>
      <c r="C2606" s="7" t="str">
        <f>IFERROR(__xludf.DUMMYFUNCTION("""COMPUTED_VALUE"""),"In modern large language models (LLMs), LLM alignment is of crucial importance and is typically achieved through methods such as reinforcement learning from human feedback (RLHF) and direct preference optimization (DPO). However, in most existing methods "&amp;"for LLM alignment, all tokens in the response are optimized using a sparse, response-level reward or preference annotation. The ignorance of token-level rewards may erroneously punish high-quality tokens or encourage low-quality tokens, resulting in subop"&amp;"timal performance and slow convergence speed. To address this issue, we propose \emph{\textbf{AlignDistil}}, a RLHF-equivalent distillation method for token-level reward optimization. Specifically, we introduce the reward learned by DPO into the RLHF obje"&amp;"ctive and theoretically prove the equivalence between this objective and a token-level distillation process, where the teacher distribution linearly combines the logits from the DPO model and a reference model. On this basis, we further bridge the accurac"&amp;"y gap between the reward from the DPO model and the pure reward model, by building a contrastive DPO reward with a normal and a reverse DPO model. Moreover, to avoid under- and over-optimization on different tokens, we design a token adaptive logit extrap"&amp;"olation mechanism to construct an appropriate teacher distribution for each token. Experimental results demonstrate the superiority of our AlignDistil over existing methods and showcase fast convergence due to its token-level distributional reward optimiz"&amp;"ation.")</f>
        <v>In modern large language models (LLMs), LLM alignment is of crucial importance and is typically achieved through methods such as reinforcement learning from human feedback (RLHF) and direct preference optimization (DPO). However, in most existing methods for LLM alignment, all tokens in the response are optimized using a sparse, response-level reward or preference annotation. The ignorance of token-level rewards may erroneously punish high-quality tokens or encourage low-quality tokens, resulting in suboptimal performance and slow convergence speed. To address this issue, we propose \emph{\textbf{AlignDistil}}, a RLHF-equivalent distillation method for token-level reward optimization. Specifically, we introduce the reward learned by DPO into the RLHF objective and theoretically prove the equivalence between this objective and a token-level distillation process, where the teacher distribution linearly combines the logits from the DPO model and a reference model. On this basis, we further bridge the accuracy gap between the reward from the DPO model and the pure reward model, by building a contrastive DPO reward with a normal and a reverse DPO model. Moreover, to avoid under- and over-optimization on different tokens, we design a token adaptive logit extrapolation mechanism to construct an appropriate teacher distribution for each token. Experimental results demonstrate the superiority of our AlignDistil over existing methods and showcase fast convergence due to its token-level distributional reward optimization.</v>
      </c>
      <c r="D2606" s="7" t="str">
        <f>IFERROR(__xludf.DUMMYFUNCTION("""COMPUTED_VALUE"""),"Songming Zhang")</f>
        <v>Songming Zhang</v>
      </c>
      <c r="E2606" s="7" t="str">
        <f>IFERROR(__xludf.DUMMYFUNCTION("""COMPUTED_VALUE"""),"Yes")</f>
        <v>Yes</v>
      </c>
      <c r="F2606" s="7" t="str">
        <f>IFERROR(__xludf.DUMMYFUNCTION("""COMPUTED_VALUE"""),"IP-Poster")</f>
        <v>IP-Poster</v>
      </c>
      <c r="G2606" s="7" t="str">
        <f>IFERROR(__xludf.DUMMYFUNCTION("""COMPUTED_VALUE"""),"In-Person")</f>
        <v>In-Person</v>
      </c>
      <c r="H2606" s="7" t="str">
        <f>IFERROR(__xludf.DUMMYFUNCTION("""COMPUTED_VALUE"""),"Hall 4/5")</f>
        <v>Hall 4/5</v>
      </c>
      <c r="I2606" s="7" t="str">
        <f>IFERROR(__xludf.DUMMYFUNCTION("""COMPUTED_VALUE"""),"Session 12: IP-Posters")</f>
        <v>Session 12: IP-Posters</v>
      </c>
      <c r="J2606" s="7" t="str">
        <f>IFERROR(__xludf.DUMMYFUNCTION("""COMPUTED_VALUE"""),"Poster Session 4")</f>
        <v>Poster Session 4</v>
      </c>
      <c r="K2606" s="7"/>
      <c r="L2606" s="8">
        <f>IFERROR(__xludf.DUMMYFUNCTION("""COMPUTED_VALUE"""),45868.0)</f>
        <v>45868</v>
      </c>
      <c r="M2606" s="7" t="str">
        <f>IFERROR(__xludf.DUMMYFUNCTION("""COMPUTED_VALUE"""),"11:00-12:30")</f>
        <v>11:00-12:30</v>
      </c>
      <c r="N2606" s="7"/>
    </row>
    <row r="2607">
      <c r="A2607" s="7" t="str">
        <f>IFERROR(__xludf.DUMMYFUNCTION("""COMPUTED_VALUE"""),"2556-MAIN")</f>
        <v>2556-MAIN</v>
      </c>
      <c r="B2607" s="7" t="str">
        <f>IFERROR(__xludf.DUMMYFUNCTION("""COMPUTED_VALUE"""),"Acoustic Individual Identification of White-Faced Capuchin Monkeys Using Joint Multi-Species Embeddings")</f>
        <v>Acoustic Individual Identification of White-Faced Capuchin Monkeys Using Joint Multi-Species Embeddings</v>
      </c>
      <c r="C2607" s="7" t="str">
        <f>IFERROR(__xludf.DUMMYFUNCTION("""COMPUTED_VALUE"""),"Acoustic individual identification of wild animals is an essential task for understanding animal vocalizations within their social contexts, and for facilitating conservation and wildlife monitoring efforts. However, most of the work in this space relies "&amp;"on human efforts, as the development of methods for automatic individual identification is hindered by the lack of data. In this paper, we explore cross-species pre-training to address the task of individual classification in white-faced capuchin monkeys."&amp;" Using acoustic embeddings from birds and humans, we find that they can be effectively used to identify the calls from individual monkeys. Moreover, we find that joint multi-species representations can lead to further improvements over the use of one repr"&amp;"esentation at a time. Our work demonstrates the potential of cross-species data transfer and multi-species representations, as strategies to address tasks on species with very limited data.")</f>
        <v>Acoustic individual identification of wild animals is an essential task for understanding animal vocalizations within their social contexts, and for facilitating conservation and wildlife monitoring efforts. However, most of the work in this space relies on human efforts, as the development of methods for automatic individual identification is hindered by the lack of data. In this paper, we explore cross-species pre-training to address the task of individual classification in white-faced capuchin monkeys. Using acoustic embeddings from birds and humans, we find that they can be effectively used to identify the calls from individual monkeys. Moreover, we find that joint multi-species representations can lead to further improvements over the use of one representation at a time. Our work demonstrates the potential of cross-species data transfer and multi-species representations, as strategies to address tasks on species with very limited data.</v>
      </c>
      <c r="D2607" s="7" t="str">
        <f>IFERROR(__xludf.DUMMYFUNCTION("""COMPUTED_VALUE"""),"Álvaro Vega-Hidalgo")</f>
        <v>Álvaro Vega-Hidalgo</v>
      </c>
      <c r="E2607" s="7" t="str">
        <f>IFERROR(__xludf.DUMMYFUNCTION("""COMPUTED_VALUE"""),"Yes")</f>
        <v>Yes</v>
      </c>
      <c r="F2607" s="7" t="str">
        <f>IFERROR(__xludf.DUMMYFUNCTION("""COMPUTED_VALUE"""),"IP-Poster")</f>
        <v>IP-Poster</v>
      </c>
      <c r="G2607" s="7" t="str">
        <f>IFERROR(__xludf.DUMMYFUNCTION("""COMPUTED_VALUE"""),"In-Person")</f>
        <v>In-Person</v>
      </c>
      <c r="H2607" s="7" t="str">
        <f>IFERROR(__xludf.DUMMYFUNCTION("""COMPUTED_VALUE"""),"Hall 4/5")</f>
        <v>Hall 4/5</v>
      </c>
      <c r="I2607" s="7" t="str">
        <f>IFERROR(__xludf.DUMMYFUNCTION("""COMPUTED_VALUE"""),"Session 10: IP-Posters")</f>
        <v>Session 10: IP-Posters</v>
      </c>
      <c r="J2607" s="7" t="str">
        <f>IFERROR(__xludf.DUMMYFUNCTION("""COMPUTED_VALUE"""),"Poster Session 3")</f>
        <v>Poster Session 3</v>
      </c>
      <c r="K2607" s="7"/>
      <c r="L2607" s="8">
        <f>IFERROR(__xludf.DUMMYFUNCTION("""COMPUTED_VALUE"""),45867.0)</f>
        <v>45867</v>
      </c>
      <c r="M2607" s="7" t="str">
        <f>IFERROR(__xludf.DUMMYFUNCTION("""COMPUTED_VALUE"""),"16:00-17:30")</f>
        <v>16:00-17:30</v>
      </c>
      <c r="N2607" s="7"/>
    </row>
    <row r="2608">
      <c r="A2608" s="7" t="str">
        <f>IFERROR(__xludf.DUMMYFUNCTION("""COMPUTED_VALUE"""),"2565-MAIN")</f>
        <v>2565-MAIN</v>
      </c>
      <c r="B2608" s="7" t="str">
        <f>IFERROR(__xludf.DUMMYFUNCTION("""COMPUTED_VALUE"""),"DARS: Dynamic Action Re-Sampling to Enhance Coding Agent Performance by Adaptive Tree Traversal")</f>
        <v>DARS: Dynamic Action Re-Sampling to Enhance Coding Agent Performance by Adaptive Tree Traversal</v>
      </c>
      <c r="C2608" s="7" t="str">
        <f>IFERROR(__xludf.DUMMYFUNCTION("""COMPUTED_VALUE"""),"Large Language Models (LLMs) have revolutionized various domains, including natural language processing, data analysis, and software development, by enabling automation. In software engineering, LLM-powered coding agents have garnered significant attentio"&amp;"n due to their potential to automate complex development tasks, assist in debugging, and enhance productivity. However, existing approaches often struggle with sub-optimal decision-making, requiring either extensive manual intervention or inefficient comp"&amp;"ute scaling strategies. To improve coding agent performance, we present Dynamic Action Re-Sampling (DARS), a novel inference time compute scaling approach for coding agents, that is faster and more effective at recovering from sub-optimal decisions compar"&amp;"ed to baselines. While traditional agents either follow linear trajectories or rely on random sampling for scaling compute, our approach DARS works by branching out a trajectory at certain key decision points by taking an alternative action given the hist"&amp;"ory of the trajectory and execution feedback of the previous attempt from that point. We evaluate our approach on SWE-Bench Lite benchmark, demonstrating that this scaling strategy achieves a pass@k score of 55% with Claude 3.5 Sonnet V2. Our framework ac"&amp;"hieves a pass@1 rate of 47%, outperforming state-of-the-art (SOTA) open-source frameworks.")</f>
        <v>Large Language Models (LLMs) have revolutionized various domains, including natural language processing, data analysis, and software development, by enabling automation. In software engineering, LLM-powered coding agents have garnered significant attention due to their potential to automate complex development tasks, assist in debugging, and enhance productivity. However, existing approaches often struggle with sub-optimal decision-making, requiring either extensive manual intervention or inefficient compute scaling strategies. To improve coding agent performance, we present Dynamic Action Re-Sampling (DARS), a novel inference time compute scaling approach for coding agents, that is faster and more effective at recovering from sub-optimal decisions compared to baselines. While traditional agents either follow linear trajectories or rely on random sampling for scaling compute, our approach DARS works by branching out a trajectory at certain key decision points by taking an alternative action given the history of the trajectory and execution feedback of the previous attempt from that point. We evaluate our approach on SWE-Bench Lite benchmark, demonstrating that this scaling strategy achieves a pass@k score of 55% with Claude 3.5 Sonnet V2. Our framework achieves a pass@1 rate of 47%, outperforming state-of-the-art (SOTA) open-source frameworks.</v>
      </c>
      <c r="D2608" s="7" t="str">
        <f>IFERROR(__xludf.DUMMYFUNCTION("""COMPUTED_VALUE"""),"Ojasv Kamal")</f>
        <v>Ojasv Kamal</v>
      </c>
      <c r="E2608" s="7" t="str">
        <f>IFERROR(__xludf.DUMMYFUNCTION("""COMPUTED_VALUE"""),"Yes")</f>
        <v>Yes</v>
      </c>
      <c r="F2608" s="7" t="str">
        <f>IFERROR(__xludf.DUMMYFUNCTION("""COMPUTED_VALUE"""),"IP-Poster")</f>
        <v>IP-Poster</v>
      </c>
      <c r="G2608" s="7" t="str">
        <f>IFERROR(__xludf.DUMMYFUNCTION("""COMPUTED_VALUE"""),"In-Person")</f>
        <v>In-Person</v>
      </c>
      <c r="H2608" s="7" t="str">
        <f>IFERROR(__xludf.DUMMYFUNCTION("""COMPUTED_VALUE"""),"Hall 4/5")</f>
        <v>Hall 4/5</v>
      </c>
      <c r="I2608" s="7" t="str">
        <f>IFERROR(__xludf.DUMMYFUNCTION("""COMPUTED_VALUE"""),"Session 7: IP-Posters")</f>
        <v>Session 7: IP-Posters</v>
      </c>
      <c r="J2608" s="7" t="str">
        <f>IFERROR(__xludf.DUMMYFUNCTION("""COMPUTED_VALUE"""),"Poster Session 2")</f>
        <v>Poster Session 2</v>
      </c>
      <c r="K2608" s="7"/>
      <c r="L2608" s="8">
        <f>IFERROR(__xludf.DUMMYFUNCTION("""COMPUTED_VALUE"""),45867.0)</f>
        <v>45867</v>
      </c>
      <c r="M2608" s="7" t="str">
        <f>IFERROR(__xludf.DUMMYFUNCTION("""COMPUTED_VALUE"""),"10:30-12:00")</f>
        <v>10:30-12:00</v>
      </c>
      <c r="N2608" s="7"/>
    </row>
    <row r="2609">
      <c r="A2609" s="7" t="str">
        <f>IFERROR(__xludf.DUMMYFUNCTION("""COMPUTED_VALUE"""),"2567-MAIN")</f>
        <v>2567-MAIN</v>
      </c>
      <c r="B2609" s="7" t="str">
        <f>IFERROR(__xludf.DUMMYFUNCTION("""COMPUTED_VALUE"""),"Steering off Course: Reliability Challenges in Steering Language Models")</f>
        <v>Steering off Course: Reliability Challenges in Steering Language Models</v>
      </c>
      <c r="C2609" s="7" t="str">
        <f>IFERROR(__xludf.DUMMYFUNCTION("""COMPUTED_VALUE"""),"Steering methods for language models (LMs) have gained traction as lightweight alternatives to fine-tuning, enabling targeted modifications to model activations. However, prior studies primarily report results on a few models, leaving critical gaps in und"&amp;"erstanding the robustness of these methods. In this work, we systematically examine three prominent steering methods---DoLa, function vectors, and task vectors. In contrast to the original studies, which evaluated a handful of models, we test up to 36 mod"&amp;"els belonging to 14 families with sizes ranging from 1.5B to 70B parameters. Our experiments reveal substantial variability in the effectiveness of the steering approaches, with a large number of models showing no improvement and at times degradation in s"&amp;"teering performance. Our analysis reveals fundamental flaws in the assumptions underlying these methods, challenging their reliability as scalable steering solutions.")</f>
        <v>Steering methods for language models (LMs) have gained traction as lightweight alternatives to fine-tuning, enabling targeted modifications to model activations. However, prior studies primarily report results on a few models, leaving critical gaps in understanding the robustness of these methods. In this work, we systematically examine three prominent steering methods---DoLa, function vectors, and task vectors. In contrast to the original studies, which evaluated a handful of models, we test up to 36 models belonging to 14 families with sizes ranging from 1.5B to 70B parameters. Our experiments reveal substantial variability in the effectiveness of the steering approaches, with a large number of models showing no improvement and at times degradation in steering performance. Our analysis reveals fundamental flaws in the assumptions underlying these methods, challenging their reliability as scalable steering solutions.</v>
      </c>
      <c r="D2609" s="7" t="str">
        <f>IFERROR(__xludf.DUMMYFUNCTION("""COMPUTED_VALUE"""),"Patrick Queiroz Da Silva")</f>
        <v>Patrick Queiroz Da Silva</v>
      </c>
      <c r="E2609" s="7" t="str">
        <f>IFERROR(__xludf.DUMMYFUNCTION("""COMPUTED_VALUE"""),"Yes")</f>
        <v>Yes</v>
      </c>
      <c r="F2609" s="7" t="str">
        <f>IFERROR(__xludf.DUMMYFUNCTION("""COMPUTED_VALUE"""),"IP-Oral")</f>
        <v>IP-Oral</v>
      </c>
      <c r="G2609" s="7" t="str">
        <f>IFERROR(__xludf.DUMMYFUNCTION("""COMPUTED_VALUE"""),"In-Person")</f>
        <v>In-Person</v>
      </c>
      <c r="H2609" s="7" t="str">
        <f>IFERROR(__xludf.DUMMYFUNCTION("""COMPUTED_VALUE"""),"Hall A ")</f>
        <v>Hall A </v>
      </c>
      <c r="I2609" s="7" t="str">
        <f>IFERROR(__xludf.DUMMYFUNCTION("""COMPUTED_VALUE"""),"Session 11: IP-Orals ")</f>
        <v>Session 11: IP-Orals </v>
      </c>
      <c r="J2609" s="7" t="str">
        <f>IFERROR(__xludf.DUMMYFUNCTION("""COMPUTED_VALUE"""),"Panel 1: Generalisation of NLP models ")</f>
        <v>Panel 1: Generalisation of NLP models </v>
      </c>
      <c r="K2609" s="7"/>
      <c r="L2609" s="8">
        <f>IFERROR(__xludf.DUMMYFUNCTION("""COMPUTED_VALUE"""),45868.0)</f>
        <v>45868</v>
      </c>
      <c r="M2609" s="7" t="str">
        <f>IFERROR(__xludf.DUMMYFUNCTION("""COMPUTED_VALUE"""),"09:00-10:30")</f>
        <v>09:00-10:30</v>
      </c>
      <c r="N2609" s="7">
        <f>IFERROR(__xludf.DUMMYFUNCTION("""COMPUTED_VALUE"""),2.0)</f>
        <v>2</v>
      </c>
    </row>
    <row r="2610">
      <c r="A2610" s="7" t="str">
        <f>IFERROR(__xludf.DUMMYFUNCTION("""COMPUTED_VALUE"""),"2568-MAIN")</f>
        <v>2568-MAIN</v>
      </c>
      <c r="B2610" s="7" t="str">
        <f>IFERROR(__xludf.DUMMYFUNCTION("""COMPUTED_VALUE"""),"Impartial Multi-task Representation Learning via Variance-invariant Probabilistic Decoding")</f>
        <v>Impartial Multi-task Representation Learning via Variance-invariant Probabilistic Decoding</v>
      </c>
      <c r="C2610" s="7" t="str">
        <f>IFERROR(__xludf.DUMMYFUNCTION("""COMPUTED_VALUE"""),"Multi-task learning (MTL) enhances efficiency by sharing representations across tasks, but task dissimilarities often cause partial learning, where some tasks dominate while others are neglected. Existing methods mainly focus on balancing loss or gradient"&amp;"s but fail to fundamentally address this issue due to the representation discrepancy in latent space. In this paper, we propose variance-invariant probabilistic decoding for multi-task learning (VIP-MTL), a framework that ensures impartial learning by har"&amp;"monizing representation spaces across tasks. VIP-MTL decodes shared representations into task-specific probabilistic distributions and applies variance normalization to constrain these distributions to a consistent scale. Experiments on two language bench"&amp;"marks show that VIP-MTL outperforms 12 representative methods under the same multi-task settings, especially in heterogeneous task combinations and data-constrained scenarios. Further analysis shows that VIP-MTL is robust to sampling distributions, effici"&amp;"ent on optimization process, and scale-invariant to task losses. Additionally, the learned task-specific representations are more informative, enhancing the language understanding abilities of pre-trained language models under the multi-task paradigm.")</f>
        <v>Multi-task learning (MTL) enhances efficiency by sharing representations across tasks, but task dissimilarities often cause partial learning, where some tasks dominate while others are neglected. Existing methods mainly focus on balancing loss or gradients but fail to fundamentally address this issue due to the representation discrepancy in latent space. In this paper, we propose variance-invariant probabilistic decoding for multi-task learning (VIP-MTL), a framework that ensures impartial learning by harmonizing representation spaces across tasks. VIP-MTL decodes shared representations into task-specific probabilistic distributions and applies variance normalization to constrain these distributions to a consistent scale. Experiments on two language benchmarks show that VIP-MTL outperforms 12 representative methods under the same multi-task settings, especially in heterogeneous task combinations and data-constrained scenarios. Further analysis shows that VIP-MTL is robust to sampling distributions, efficient on optimization process, and scale-invariant to task losses. Additionally, the learned task-specific representations are more informative, enhancing the language understanding abilities of pre-trained language models under the multi-task paradigm.</v>
      </c>
      <c r="D2610" s="7" t="str">
        <f>IFERROR(__xludf.DUMMYFUNCTION("""COMPUTED_VALUE"""),"Dou Hu")</f>
        <v>Dou Hu</v>
      </c>
      <c r="E2610" s="7" t="str">
        <f>IFERROR(__xludf.DUMMYFUNCTION("""COMPUTED_VALUE"""),"Yes")</f>
        <v>Yes</v>
      </c>
      <c r="F2610" s="7" t="str">
        <f>IFERROR(__xludf.DUMMYFUNCTION("""COMPUTED_VALUE"""),"IP-Poster")</f>
        <v>IP-Poster</v>
      </c>
      <c r="G2610" s="7" t="str">
        <f>IFERROR(__xludf.DUMMYFUNCTION("""COMPUTED_VALUE"""),"In-Person")</f>
        <v>In-Person</v>
      </c>
      <c r="H2610" s="7" t="str">
        <f>IFERROR(__xludf.DUMMYFUNCTION("""COMPUTED_VALUE"""),"Hall 4/5")</f>
        <v>Hall 4/5</v>
      </c>
      <c r="I2610" s="7" t="str">
        <f>IFERROR(__xludf.DUMMYFUNCTION("""COMPUTED_VALUE"""),"Session 7: IP-Posters")</f>
        <v>Session 7: IP-Posters</v>
      </c>
      <c r="J2610" s="7" t="str">
        <f>IFERROR(__xludf.DUMMYFUNCTION("""COMPUTED_VALUE"""),"Poster Session 2")</f>
        <v>Poster Session 2</v>
      </c>
      <c r="K2610" s="7"/>
      <c r="L2610" s="8">
        <f>IFERROR(__xludf.DUMMYFUNCTION("""COMPUTED_VALUE"""),45867.0)</f>
        <v>45867</v>
      </c>
      <c r="M2610" s="7" t="str">
        <f>IFERROR(__xludf.DUMMYFUNCTION("""COMPUTED_VALUE"""),"10:30-12:00")</f>
        <v>10:30-12:00</v>
      </c>
      <c r="N2610" s="7"/>
    </row>
    <row r="2611">
      <c r="A2611" s="7" t="str">
        <f>IFERROR(__xludf.DUMMYFUNCTION("""COMPUTED_VALUE"""),"2578-MAIN")</f>
        <v>2578-MAIN</v>
      </c>
      <c r="B2611" s="7" t="str">
        <f>IFERROR(__xludf.DUMMYFUNCTION("""COMPUTED_VALUE"""),"If Eleanor Rigby Had Met ChatGPT: A Study on Loneliness in a Post-LLM World")</f>
        <v>If Eleanor Rigby Had Met ChatGPT: A Study on Loneliness in a Post-LLM World</v>
      </c>
      <c r="C2611" s="7" t="str">
        <f>IFERROR(__xludf.DUMMYFUNCTION("""COMPUTED_VALUE"""),"**Warning: this paper discusses content related, but not limited to, violence, sex, and suicide.**
Loneliness, or the lack of fulfilling relationships, significantly impacts a person's mental and physical well-being and is prevalent worldwide. 
Previous r"&amp;"esearch suggests that large language models (LLMs) may help mitigate loneliness. However, we argue that the use of widespread LLMs in services like ChatGPT is more prevalent--and riskier, as they are not designed for this purpose. To explore this, we anal"&amp;"ysed user interactions with ChatGPT outside of its marketed use as a task-oriented assistant. In dialogues classified as lonely, users frequently (37\%) sought advice or validation, and received good engagement. However, ChatGPT failed in sensitive scenar"&amp;"ios, like responding appropriately to suicidal ideation or trauma. We also observed a 35\% higher incidence of toxic content, with women being 22$\times$ more likely to be targeted than men. Our findings underscore ethical and legal questions about this t"&amp;"echnology, and note risks like radicalisation or further isolation. We conclude with recommendations to research and industry to address loneliness.")</f>
        <v>**Warning: this paper discusses content related, but not limited to, violence, sex, and suicide.**
Loneliness, or the lack of fulfilling relationships, significantly impacts a person's mental and physical well-being and is prevalent worldwide. 
Previous research suggests that large language models (LLMs) may help mitigate loneliness. However, we argue that the use of widespread LLMs in services like ChatGPT is more prevalent--and riskier, as they are not designed for this purpose. To explore this, we analysed user interactions with ChatGPT outside of its marketed use as a task-oriented assistant. In dialogues classified as lonely, users frequently (37\%) sought advice or validation, and received good engagement. However, ChatGPT failed in sensitive scenarios, like responding appropriately to suicidal ideation or trauma. We also observed a 35\% higher incidence of toxic content, with women being 22$\times$ more likely to be targeted than men. Our findings underscore ethical and legal questions about this technology, and note risks like radicalisation or further isolation. We conclude with recommendations to research and industry to address loneliness.</v>
      </c>
      <c r="D2611" s="7" t="str">
        <f>IFERROR(__xludf.DUMMYFUNCTION("""COMPUTED_VALUE"""),"Adrian de Wynter")</f>
        <v>Adrian de Wynter</v>
      </c>
      <c r="E2611" s="7" t="str">
        <f>IFERROR(__xludf.DUMMYFUNCTION("""COMPUTED_VALUE"""),"Yes")</f>
        <v>Yes</v>
      </c>
      <c r="F2611" s="7" t="str">
        <f>IFERROR(__xludf.DUMMYFUNCTION("""COMPUTED_VALUE"""),"IP-Poster")</f>
        <v>IP-Poster</v>
      </c>
      <c r="G2611" s="7" t="str">
        <f>IFERROR(__xludf.DUMMYFUNCTION("""COMPUTED_VALUE"""),"In-Person")</f>
        <v>In-Person</v>
      </c>
      <c r="H2611" s="7" t="str">
        <f>IFERROR(__xludf.DUMMYFUNCTION("""COMPUTED_VALUE"""),"Hall 4/5")</f>
        <v>Hall 4/5</v>
      </c>
      <c r="I2611" s="7" t="str">
        <f>IFERROR(__xludf.DUMMYFUNCTION("""COMPUTED_VALUE"""),"Session 2: IP-Posters ")</f>
        <v>Session 2: IP-Posters </v>
      </c>
      <c r="J2611" s="7" t="str">
        <f>IFERROR(__xludf.DUMMYFUNCTION("""COMPUTED_VALUE"""),"Poster Session 1")</f>
        <v>Poster Session 1</v>
      </c>
      <c r="K2611" s="7"/>
      <c r="L2611" s="8">
        <f>IFERROR(__xludf.DUMMYFUNCTION("""COMPUTED_VALUE"""),45866.0)</f>
        <v>45866</v>
      </c>
      <c r="M2611" s="7" t="str">
        <f>IFERROR(__xludf.DUMMYFUNCTION("""COMPUTED_VALUE"""),"11:00-12:30")</f>
        <v>11:00-12:30</v>
      </c>
      <c r="N2611" s="7"/>
    </row>
    <row r="2612">
      <c r="A2612" s="7" t="str">
        <f>IFERROR(__xludf.DUMMYFUNCTION("""COMPUTED_VALUE"""),"2580-MAIN")</f>
        <v>2580-MAIN</v>
      </c>
      <c r="B2612" s="7" t="str">
        <f>IFERROR(__xludf.DUMMYFUNCTION("""COMPUTED_VALUE"""),"Integrating Audio, Visual, and Semantic Information for Enhanced Multimodal Speaker Diarization on Multi-party Conversation")</f>
        <v>Integrating Audio, Visual, and Semantic Information for Enhanced Multimodal Speaker Diarization on Multi-party Conversation</v>
      </c>
      <c r="C2612" s="7" t="str">
        <f>IFERROR(__xludf.DUMMYFUNCTION("""COMPUTED_VALUE"""),"Speaker diarization aims to segment an audio stream into homogeneous partitions based on speaker identity, playing a crucial role in speech comprehension and analysis. Mainstream speaker diarization systems rely only on acoustic information, making the ta"&amp;"sk particularly challenging in complex acoustic environments in real-world applications. Recently, significant efforts have been devoted to audio-visual or audio-semantic multimodal modeling to enhance speaker diarization performance; however, these appro"&amp;"aches still struggle to address the complexities of speaker diarization on spontaneous and unstructured multi-party conversations. To fully exploit meaningful dialogue patterns, we propose a novel multimodal approach that jointly utilizes audio, visual, a"&amp;"nd semantic cues to enhance speaker diarization. Our approach structures visual cues among active speakers and semantic cues in spoken content into a cohesive format known as pairwise constraints, and employs a semi-supervised clustering technique based o"&amp;"n pairwise constrained propagation. Extensive experiments conducted on multiple multimodal datasets demonstrate that our approach effectively integrates audio-visual-semantic information into the clustering process for acoustic speaker embeddings and cons"&amp;"istently outperforms state-of-the-art speaker diarization methods, while largely preserving the overall system framework.")</f>
        <v>Speaker diarization aims to segment an audio stream into homogeneous partitions based on speaker identity, playing a crucial role in speech comprehension and analysis. Mainstream speaker diarization systems rely only on acoustic information, making the task particularly challenging in complex acoustic environments in real-world applications. Recently, significant efforts have been devoted to audio-visual or audio-semantic multimodal modeling to enhance speaker diarization performance; however, these approaches still struggle to address the complexities of speaker diarization on spontaneous and unstructured multi-party conversations. To fully exploit meaningful dialogue patterns, we propose a novel multimodal approach that jointly utilizes audio, visual, and semantic cues to enhance speaker diarization. Our approach structures visual cues among active speakers and semantic cues in spoken content into a cohesive format known as pairwise constraints, and employs a semi-supervised clustering technique based on pairwise constrained propagation. Extensive experiments conducted on multiple multimodal datasets demonstrate that our approach effectively integrates audio-visual-semantic information into the clustering process for acoustic speaker embeddings and consistently outperforms state-of-the-art speaker diarization methods, while largely preserving the overall system framework.</v>
      </c>
      <c r="D2612" s="7" t="str">
        <f>IFERROR(__xludf.DUMMYFUNCTION("""COMPUTED_VALUE"""),"Luyao Cheng")</f>
        <v>Luyao Cheng</v>
      </c>
      <c r="E2612" s="7" t="str">
        <f>IFERROR(__xludf.DUMMYFUNCTION("""COMPUTED_VALUE"""),"Yes")</f>
        <v>Yes</v>
      </c>
      <c r="F2612" s="7" t="str">
        <f>IFERROR(__xludf.DUMMYFUNCTION("""COMPUTED_VALUE"""),"IP-Oral")</f>
        <v>IP-Oral</v>
      </c>
      <c r="G2612" s="7" t="str">
        <f>IFERROR(__xludf.DUMMYFUNCTION("""COMPUTED_VALUE"""),"In-Person")</f>
        <v>In-Person</v>
      </c>
      <c r="H2612" s="7" t="str">
        <f>IFERROR(__xludf.DUMMYFUNCTION("""COMPUTED_VALUE"""),"Room 1.61")</f>
        <v>Room 1.61</v>
      </c>
      <c r="I2612" s="7" t="str">
        <f>IFERROR(__xludf.DUMMYFUNCTION("""COMPUTED_VALUE"""),"Session 9: IP-Orals")</f>
        <v>Session 9: IP-Orals</v>
      </c>
      <c r="J2612" s="7" t="str">
        <f>IFERROR(__xludf.DUMMYFUNCTION("""COMPUTED_VALUE"""),"Speech Processing ")</f>
        <v>Speech Processing </v>
      </c>
      <c r="K2612" s="7"/>
      <c r="L2612" s="8">
        <f>IFERROR(__xludf.DUMMYFUNCTION("""COMPUTED_VALUE"""),45867.0)</f>
        <v>45867</v>
      </c>
      <c r="M2612" s="7" t="str">
        <f>IFERROR(__xludf.DUMMYFUNCTION("""COMPUTED_VALUE"""),"14:00-15:30")</f>
        <v>14:00-15:30</v>
      </c>
      <c r="N2612" s="7">
        <f>IFERROR(__xludf.DUMMYFUNCTION("""COMPUTED_VALUE"""),7.0)</f>
        <v>7</v>
      </c>
    </row>
    <row r="2613">
      <c r="A2613" s="7" t="str">
        <f>IFERROR(__xludf.DUMMYFUNCTION("""COMPUTED_VALUE"""),"2586-MAIN")</f>
        <v>2586-MAIN</v>
      </c>
      <c r="B2613" s="7" t="str">
        <f>IFERROR(__xludf.DUMMYFUNCTION("""COMPUTED_VALUE"""),"Vulnerability of LLMs to Vertically Aligned Text Manipulations")</f>
        <v>Vulnerability of LLMs to Vertically Aligned Text Manipulations</v>
      </c>
      <c r="C2613" s="7" t="str">
        <f>IFERROR(__xludf.DUMMYFUNCTION("""COMPUTED_VALUE"""),"Vertical text input is commonly encountered in various real-world applications, such as mathematical computations and word-based Sudoku puzzles. While current large language models (LLMs) have excelled in natural language tasks, they remain vulnerable to "&amp;"variations in text formatting.Recent research demonstrates that modifying input formats, such as vertically aligning words for encoder-based models, can substantially lower accuracy in text classification tasks. While easily understood by humans, these in"&amp;"puts can significantly mislead models, posing a potential risk of bypassing detection in real-world scenarios involving harmful or sensitive information. With the expanding application of LLMs, a crucial question arises: Do decoder-based LLMs exhibit simi"&amp;"lar vulnerabilities to vertically formatted text input? In this paper, we investigate the impact of vertical text input on the performance of various LLMs across multiple text classification datasets and analyze the underlying causes. Our findings are as "&amp;"follows: (i) Vertical text input significantly degrades the accuracy of LLMs in text classification tasks. (ii) Chain of Thought (CoT) reasoning does not help LLMs recognize vertical input or mitigate its vulnerability, but \textit{few-shot learning} with"&amp;" careful analysis does. (iii) We explore the underlying cause of the vulnerability by analyzing the inherent issues in tokenization and attention matrices.")</f>
        <v>Vertical text input is commonly encountered in various real-world applications, such as mathematical computations and word-based Sudoku puzzles. While current large language models (LLMs) have excelled in natural language tasks, they remain vulnerable to variations in text formatting.Recent research demonstrates that modifying input formats, such as vertically aligning words for encoder-based models, can substantially lower accuracy in text classification tasks. While easily understood by humans, these inputs can significantly mislead models, posing a potential risk of bypassing detection in real-world scenarios involving harmful or sensitive information. With the expanding application of LLMs, a crucial question arises: Do decoder-based LLMs exhibit similar vulnerabilities to vertically formatted text input? In this paper, we investigate the impact of vertical text input on the performance of various LLMs across multiple text classification datasets and analyze the underlying causes. Our findings are as follows: (i) Vertical text input significantly degrades the accuracy of LLMs in text classification tasks. (ii) Chain of Thought (CoT) reasoning does not help LLMs recognize vertical input or mitigate its vulnerability, but \textit{few-shot learning} with careful analysis does. (iii) We explore the underlying cause of the vulnerability by analyzing the inherent issues in tokenization and attention matrices.</v>
      </c>
      <c r="D2613" s="7" t="str">
        <f>IFERROR(__xludf.DUMMYFUNCTION("""COMPUTED_VALUE"""),"Zhecheng Li")</f>
        <v>Zhecheng Li</v>
      </c>
      <c r="E2613" s="7" t="str">
        <f>IFERROR(__xludf.DUMMYFUNCTION("""COMPUTED_VALUE"""),"Yes")</f>
        <v>Yes</v>
      </c>
      <c r="F2613" s="7" t="str">
        <f>IFERROR(__xludf.DUMMYFUNCTION("""COMPUTED_VALUE"""),"V-Presentation")</f>
        <v>V-Presentation</v>
      </c>
      <c r="G2613" s="7" t="str">
        <f>IFERROR(__xludf.DUMMYFUNCTION("""COMPUTED_VALUE"""),"Virtual/Gather")</f>
        <v>Virtual/Gather</v>
      </c>
      <c r="H2613" s="7" t="str">
        <f>IFERROR(__xludf.DUMMYFUNCTION("""COMPUTED_VALUE"""),"Zoom")</f>
        <v>Zoom</v>
      </c>
      <c r="I2613" s="7" t="str">
        <f>IFERROR(__xludf.DUMMYFUNCTION("""COMPUTED_VALUE"""),"Session 10: V-Presenations")</f>
        <v>Session 10: V-Presenations</v>
      </c>
      <c r="J2613" s="7" t="str">
        <f>IFERROR(__xludf.DUMMYFUNCTION("""COMPUTED_VALUE"""),"Virtual Presentations 3")</f>
        <v>Virtual Presentations 3</v>
      </c>
      <c r="K2613" s="7"/>
      <c r="L2613" s="8">
        <f>IFERROR(__xludf.DUMMYFUNCTION("""COMPUTED_VALUE"""),45867.0)</f>
        <v>45867</v>
      </c>
      <c r="M2613" s="7" t="str">
        <f>IFERROR(__xludf.DUMMYFUNCTION("""COMPUTED_VALUE"""),"16:00-17:30")</f>
        <v>16:00-17:30</v>
      </c>
      <c r="N2613" s="7"/>
    </row>
    <row r="2614">
      <c r="A2614" s="7" t="str">
        <f>IFERROR(__xludf.DUMMYFUNCTION("""COMPUTED_VALUE"""),"2589-MAIN")</f>
        <v>2589-MAIN</v>
      </c>
      <c r="B2614" s="7" t="str">
        <f>IFERROR(__xludf.DUMMYFUNCTION("""COMPUTED_VALUE"""),"AutoMixer: Checkpoint Artifacts as Automatic Data Mixers")</f>
        <v>AutoMixer: Checkpoint Artifacts as Automatic Data Mixers</v>
      </c>
      <c r="C2614" s="7" t="str">
        <f>IFERROR(__xludf.DUMMYFUNCTION("""COMPUTED_VALUE"""),"In language model training, it is desirable to equip models with capabilities from various tasks. However, it is not clear how to directly obtain the right data mixtures for these capabilities as the relationship between data and tasks is difficult to be "&amp;"modeled. In this work, we observe that checkpoint models exhibit emerging capabilities at different points in the training trajectory. Often, the training process saves checkpoints as artifacts that are under-utilized as a source of in-training data signa"&amp;"ls. We identify these artifact models based on their respective capabilities on the benchmarks and leverage them as data mixers by using their aggregated first-order influence approximation over source data. We demonstrated on eight reasoning benchmarks t"&amp;"hat the proposed framework shows significant improvements in the pretraining setting, with accuracy increases of up to 1.93%. Overall, this demonstrates the potential of checkpoint models to enhance data quality and optimize data mixtures.")</f>
        <v>In language model training, it is desirable to equip models with capabilities from various tasks. However, it is not clear how to directly obtain the right data mixtures for these capabilities as the relationship between data and tasks is difficult to be modeled. In this work, we observe that checkpoint models exhibit emerging capabilities at different points in the training trajectory. Often, the training process saves checkpoints as artifacts that are under-utilized as a source of in-training data signals. We identify these artifact models based on their respective capabilities on the benchmarks and leverage them as data mixers by using their aggregated first-order influence approximation over source data. We demonstrated on eight reasoning benchmarks that the proposed framework shows significant improvements in the pretraining setting, with accuracy increases of up to 1.93%. Overall, this demonstrates the potential of checkpoint models to enhance data quality and optimize data mixtures.</v>
      </c>
      <c r="D2614" s="7" t="str">
        <f>IFERROR(__xludf.DUMMYFUNCTION("""COMPUTED_VALUE"""),"Ernie Chang, Li Yang, Vish Vogeti")</f>
        <v>Ernie Chang, Li Yang, Vish Vogeti</v>
      </c>
      <c r="E2614" s="7" t="str">
        <f>IFERROR(__xludf.DUMMYFUNCTION("""COMPUTED_VALUE"""),"Yes")</f>
        <v>Yes</v>
      </c>
      <c r="F2614" s="7" t="str">
        <f>IFERROR(__xludf.DUMMYFUNCTION("""COMPUTED_VALUE"""),"IP-Poster")</f>
        <v>IP-Poster</v>
      </c>
      <c r="G2614" s="7" t="str">
        <f>IFERROR(__xludf.DUMMYFUNCTION("""COMPUTED_VALUE"""),"In-Person")</f>
        <v>In-Person</v>
      </c>
      <c r="H2614" s="7" t="str">
        <f>IFERROR(__xludf.DUMMYFUNCTION("""COMPUTED_VALUE"""),"Hall 4/5")</f>
        <v>Hall 4/5</v>
      </c>
      <c r="I2614" s="7" t="str">
        <f>IFERROR(__xludf.DUMMYFUNCTION("""COMPUTED_VALUE"""),"Session 12: IP-Posters")</f>
        <v>Session 12: IP-Posters</v>
      </c>
      <c r="J2614" s="7" t="str">
        <f>IFERROR(__xludf.DUMMYFUNCTION("""COMPUTED_VALUE"""),"Poster Session 4")</f>
        <v>Poster Session 4</v>
      </c>
      <c r="K2614" s="7"/>
      <c r="L2614" s="8">
        <f>IFERROR(__xludf.DUMMYFUNCTION("""COMPUTED_VALUE"""),45868.0)</f>
        <v>45868</v>
      </c>
      <c r="M2614" s="7" t="str">
        <f>IFERROR(__xludf.DUMMYFUNCTION("""COMPUTED_VALUE"""),"11:00-12:30")</f>
        <v>11:00-12:30</v>
      </c>
      <c r="N2614" s="7"/>
    </row>
    <row r="2615">
      <c r="A2615" s="7" t="str">
        <f>IFERROR(__xludf.DUMMYFUNCTION("""COMPUTED_VALUE"""),"2591-MAIN")</f>
        <v>2591-MAIN</v>
      </c>
      <c r="B2615" s="7" t="str">
        <f>IFERROR(__xludf.DUMMYFUNCTION("""COMPUTED_VALUE"""),"Generalized Attention Flow: Feature Attribution for Transformer Models via Maximum Flow")</f>
        <v>Generalized Attention Flow: Feature Attribution for Transformer Models via Maximum Flow</v>
      </c>
      <c r="C2615" s="7" t="str">
        <f>IFERROR(__xludf.DUMMYFUNCTION("""COMPUTED_VALUE"""),"This paper introduces Generalized Attention Flow (GAF), a novel feature attribution method for Transformer-based models to address the limitations of current approaches. By extending Attention Flow and replacing attention weights with the generalized Info"&amp;"rmation Tensor, GAF integrates attention weights, their gradients, the maximum flow problem, and the barrier method to enhance the performance of feature attributions. The proposed method exhibits key theoretical properties and mitigates the shortcomings "&amp;"of prior techniques that rely solely on simple aggregation of attention weights. Our comprehensive benchmarking on sequence classification tasks demonstrates that a specific variant of GAF consistently outperforms state-of-the-art feature attribution meth"&amp;"ods in most evaluation settings, providing a more reliable interpretation of Transformer model outputs.")</f>
        <v>This paper introduces Generalized Attention Flow (GAF), a novel feature attribution method for Transformer-based models to address the limitations of current approaches. By extending Attention Flow and replacing attention weights with the generalized Information Tensor, GAF integrates attention weights, their gradients, the maximum flow problem, and the barrier method to enhance the performance of feature attributions. The proposed method exhibits key theoretical properties and mitigates the shortcomings of prior techniques that rely solely on simple aggregation of attention weights. Our comprehensive benchmarking on sequence classification tasks demonstrates that a specific variant of GAF consistently outperforms state-of-the-art feature attribution methods in most evaluation settings, providing a more reliable interpretation of Transformer model outputs.</v>
      </c>
      <c r="D2615" s="7" t="str">
        <f>IFERROR(__xludf.DUMMYFUNCTION("""COMPUTED_VALUE"""),"Behrooz Azarkhalili")</f>
        <v>Behrooz Azarkhalili</v>
      </c>
      <c r="E2615" s="7" t="str">
        <f>IFERROR(__xludf.DUMMYFUNCTION("""COMPUTED_VALUE"""),"Yes")</f>
        <v>Yes</v>
      </c>
      <c r="F2615" s="7" t="str">
        <f>IFERROR(__xludf.DUMMYFUNCTION("""COMPUTED_VALUE"""),"V-Presentation")</f>
        <v>V-Presentation</v>
      </c>
      <c r="G2615" s="7" t="str">
        <f>IFERROR(__xludf.DUMMYFUNCTION("""COMPUTED_VALUE"""),"Virtual/Gather")</f>
        <v>Virtual/Gather</v>
      </c>
      <c r="H2615" s="7" t="str">
        <f>IFERROR(__xludf.DUMMYFUNCTION("""COMPUTED_VALUE"""),"Zoom")</f>
        <v>Zoom</v>
      </c>
      <c r="I2615" s="7" t="str">
        <f>IFERROR(__xludf.DUMMYFUNCTION("""COMPUTED_VALUE"""),"Session 10: V-Presenations")</f>
        <v>Session 10: V-Presenations</v>
      </c>
      <c r="J2615" s="7" t="str">
        <f>IFERROR(__xludf.DUMMYFUNCTION("""COMPUTED_VALUE"""),"Virtual Presentations 3")</f>
        <v>Virtual Presentations 3</v>
      </c>
      <c r="K2615" s="7"/>
      <c r="L2615" s="8">
        <f>IFERROR(__xludf.DUMMYFUNCTION("""COMPUTED_VALUE"""),45867.0)</f>
        <v>45867</v>
      </c>
      <c r="M2615" s="7" t="str">
        <f>IFERROR(__xludf.DUMMYFUNCTION("""COMPUTED_VALUE"""),"16:00-17:30")</f>
        <v>16:00-17:30</v>
      </c>
      <c r="N2615" s="7"/>
    </row>
    <row r="2616">
      <c r="A2616" s="7" t="str">
        <f>IFERROR(__xludf.DUMMYFUNCTION("""COMPUTED_VALUE"""),"2592-MAIN")</f>
        <v>2592-MAIN</v>
      </c>
      <c r="B2616" s="7" t="str">
        <f>IFERROR(__xludf.DUMMYFUNCTION("""COMPUTED_VALUE"""),"Beyond Prompting: An Efficient Embedding Framework for Open-Domain Question Answering")</f>
        <v>Beyond Prompting: An Efficient Embedding Framework for Open-Domain Question Answering</v>
      </c>
      <c r="C2616" s="7" t="str">
        <f>IFERROR(__xludf.DUMMYFUNCTION("""COMPUTED_VALUE"""),"Large language models (LLMs) have recently pushed open-domain question answering (ODQA) to new frontiers. However, prevailing retriever–reader pipelines often depend on multiple rounds of prompt-level instructions, leading to high computational overhead, "&amp;"instability, and suboptimal retrieval coverage. In this paper, we propose EmbQA, an embedding-level framework that alleviates these shortcomings by enhancing both the retriever and the reader. Specifically, we refine query representations via lightweight "&amp;"linear layers under an unsupervised contrastive learning objective, thereby reordering retrieved passages to highlight those most likely to contain correct answers. Additionally, we introduce an exploratory embedding that broadens the model’s latent seman"&amp;"tic space to diversify candidate generation and employs an entropy-based selection mechanism to choose the most confident answer automatically. Extensive experiments across three open-source LLMs, three retrieval methods, and four ODQA benchmarks demonstr"&amp;"ate that EmbQA substantially outperforms recent baselines in both accuracy and efficiency.")</f>
        <v>Large language models (LLMs) have recently pushed open-domain question answering (ODQA) to new frontiers. However, prevailing retriever–reader pipelines often depend on multiple rounds of prompt-level instructions, leading to high computational overhead, instability, and suboptimal retrieval coverage. In this paper, we propose EmbQA, an embedding-level framework that alleviates these shortcomings by enhancing both the retriever and the reader. Specifically, we refine query representations via lightweight linear layers under an unsupervised contrastive learning objective, thereby reordering retrieved passages to highlight those most likely to contain correct answers. Additionally, we introduce an exploratory embedding that broadens the model’s latent semantic space to diversify candidate generation and employs an entropy-based selection mechanism to choose the most confident answer automatically. Extensive experiments across three open-source LLMs, three retrieval methods, and four ODQA benchmarks demonstrate that EmbQA substantially outperforms recent baselines in both accuracy and efficiency.</v>
      </c>
      <c r="D2616" s="7" t="str">
        <f>IFERROR(__xludf.DUMMYFUNCTION("""COMPUTED_VALUE"""),"Zhanghao Hu")</f>
        <v>Zhanghao Hu</v>
      </c>
      <c r="E2616" s="7" t="str">
        <f>IFERROR(__xludf.DUMMYFUNCTION("""COMPUTED_VALUE"""),"Yes")</f>
        <v>Yes</v>
      </c>
      <c r="F2616" s="7" t="str">
        <f>IFERROR(__xludf.DUMMYFUNCTION("""COMPUTED_VALUE"""),"IP-Poster")</f>
        <v>IP-Poster</v>
      </c>
      <c r="G2616" s="7" t="str">
        <f>IFERROR(__xludf.DUMMYFUNCTION("""COMPUTED_VALUE"""),"In-Person")</f>
        <v>In-Person</v>
      </c>
      <c r="H2616" s="7" t="str">
        <f>IFERROR(__xludf.DUMMYFUNCTION("""COMPUTED_VALUE"""),"Hall 4/5")</f>
        <v>Hall 4/5</v>
      </c>
      <c r="I2616" s="7" t="str">
        <f>IFERROR(__xludf.DUMMYFUNCTION("""COMPUTED_VALUE"""),"Session 7: IP-Posters")</f>
        <v>Session 7: IP-Posters</v>
      </c>
      <c r="J2616" s="7" t="str">
        <f>IFERROR(__xludf.DUMMYFUNCTION("""COMPUTED_VALUE"""),"Poster Session 2")</f>
        <v>Poster Session 2</v>
      </c>
      <c r="K2616" s="7"/>
      <c r="L2616" s="8">
        <f>IFERROR(__xludf.DUMMYFUNCTION("""COMPUTED_VALUE"""),45867.0)</f>
        <v>45867</v>
      </c>
      <c r="M2616" s="7" t="str">
        <f>IFERROR(__xludf.DUMMYFUNCTION("""COMPUTED_VALUE"""),"10:30-12:00")</f>
        <v>10:30-12:00</v>
      </c>
      <c r="N2616" s="7"/>
    </row>
    <row r="2617">
      <c r="A2617" s="7" t="str">
        <f>IFERROR(__xludf.DUMMYFUNCTION("""COMPUTED_VALUE"""),"2594-MAIN")</f>
        <v>2594-MAIN</v>
      </c>
      <c r="B2617" s="7" t="str">
        <f>IFERROR(__xludf.DUMMYFUNCTION("""COMPUTED_VALUE"""),"AIR-Bench: Automated Heterogeneous Information Retrieval Benchmark")</f>
        <v>AIR-Bench: Automated Heterogeneous Information Retrieval Benchmark</v>
      </c>
      <c r="C2617" s="7" t="str">
        <f>IFERROR(__xludf.DUMMYFUNCTION("""COMPUTED_VALUE"""),"Evaluation plays a crucial role in the advancement of information retrieval (IR) models. However, current benchmarks, which are based on predefined domains and human-labeled data, face limitations in addressing evaluation needs for emerging domains both c"&amp;"ost-effectively and efficiently. To address this challenge, we propose the Automated Heterogeneous Information Retrieval Benchmark (AIR-Bench). AIR-Bench is distinguished by three key features: 1) Automated. The testing data in AIR-Bench is automatically "&amp;"generated by large language models (LLMs) without human intervention. 2) Heterogeneous. The testing data in AIR-Bench is generated with respect to diverse tasks, domains and languages. 3) Dynamic. The domains and languages covered by AIR-Bench are constan"&amp;"tly augmented to provide an increasingly comprehensive evaluation benchmark for community developers. We develop a reliable and robust data generation pipeline to automatically create diverse and high-quality evaluation datasets based on real-world corpor"&amp;"a. Our findings demonstrate that the generated testing data in AIR-Bench aligns well with human-labeled testing data, making AIR-Bench a dependable benchmark for evaluating IR models. The resources in AIR-Bench are publicly available at https://github.com"&amp;"/AIR-Bench/AIR-Bench.")</f>
        <v>Evaluation plays a crucial role in the advancement of information retrieval (IR) models. However, current benchmarks, which are based on predefined domains and human-labeled data, face limitations in addressing evaluation needs for emerging domains both cost-effectively and efficiently. To address this challenge, we propose the Automated Heterogeneous Information Retrieval Benchmark (AIR-Bench). AIR-Bench is distinguished by three key features: 1) Automated. The testing data in AIR-Bench is automatically generated by large language models (LLMs) without human intervention. 2) Heterogeneous. The testing data in AIR-Bench is generated with respect to diverse tasks, domains and languages. 3) Dynamic. The domains and languages covered by AIR-Bench are constantly augmented to provide an increasingly comprehensive evaluation benchmark for community developers. We develop a reliable and robust data generation pipeline to automatically create diverse and high-quality evaluation datasets based on real-world corpora. Our findings demonstrate that the generated testing data in AIR-Bench aligns well with human-labeled testing data, making AIR-Bench a dependable benchmark for evaluating IR models. The resources in AIR-Bench are publicly available at https://github.com/AIR-Bench/AIR-Bench.</v>
      </c>
      <c r="D2617" s="7" t="str">
        <f>IFERROR(__xludf.DUMMYFUNCTION("""COMPUTED_VALUE"""),"Jianlyu Chen")</f>
        <v>Jianlyu Chen</v>
      </c>
      <c r="E2617" s="7" t="str">
        <f>IFERROR(__xludf.DUMMYFUNCTION("""COMPUTED_VALUE"""),"Yes")</f>
        <v>Yes</v>
      </c>
      <c r="F2617" s="7" t="str">
        <f>IFERROR(__xludf.DUMMYFUNCTION("""COMPUTED_VALUE"""),"IP-Poster")</f>
        <v>IP-Poster</v>
      </c>
      <c r="G2617" s="7" t="str">
        <f>IFERROR(__xludf.DUMMYFUNCTION("""COMPUTED_VALUE"""),"In-Person")</f>
        <v>In-Person</v>
      </c>
      <c r="H2617" s="7" t="str">
        <f>IFERROR(__xludf.DUMMYFUNCTION("""COMPUTED_VALUE"""),"Hall 4/5")</f>
        <v>Hall 4/5</v>
      </c>
      <c r="I2617" s="7" t="str">
        <f>IFERROR(__xludf.DUMMYFUNCTION("""COMPUTED_VALUE"""),"Session 2: IP-Posters ")</f>
        <v>Session 2: IP-Posters </v>
      </c>
      <c r="J2617" s="7" t="str">
        <f>IFERROR(__xludf.DUMMYFUNCTION("""COMPUTED_VALUE"""),"Poster Session 1")</f>
        <v>Poster Session 1</v>
      </c>
      <c r="K2617" s="7"/>
      <c r="L2617" s="8">
        <f>IFERROR(__xludf.DUMMYFUNCTION("""COMPUTED_VALUE"""),45866.0)</f>
        <v>45866</v>
      </c>
      <c r="M2617" s="7" t="str">
        <f>IFERROR(__xludf.DUMMYFUNCTION("""COMPUTED_VALUE"""),"11:00-12:30")</f>
        <v>11:00-12:30</v>
      </c>
      <c r="N2617" s="7"/>
    </row>
    <row r="2618">
      <c r="A2618" s="7" t="str">
        <f>IFERROR(__xludf.DUMMYFUNCTION("""COMPUTED_VALUE"""),"2595-MAIN")</f>
        <v>2595-MAIN</v>
      </c>
      <c r="B2618" s="7" t="str">
        <f>IFERROR(__xludf.DUMMYFUNCTION("""COMPUTED_VALUE"""),"SELF-PERCEPT: Introspection Improves Large Language Models’ Detection of Multi-Person Mental Manipulation in Conversations")</f>
        <v>SELF-PERCEPT: Introspection Improves Large Language Models’ Detection of Multi-Person Mental Manipulation in Conversations</v>
      </c>
      <c r="C2618" s="7" t="str">
        <f>IFERROR(__xludf.DUMMYFUNCTION("""COMPUTED_VALUE"""),"Mental manipulation is a subtle yet pervasive form of abuse in interpersonal communication, making its detection critical for safeguarding potential victims. However, due to manipulation's nuanced and context-specific nature, identifying manipulative lang"&amp;"uage in complex, multi-turn, and multi-person conversations remains a significant challenge for large language models (LLMs). To address this gap, we introduce the MultiManip dataset, comprising 220 multi-turn, multi-person dialogues balanced between mani"&amp;"pulative and non-manipulative interactions, all drawn from reality shows that mimic real-world scenarios. For manipulative interactions, it includes 11 distinct manipulations depicting real-life scenarios. We conduct extensive evaluations of state-of-the-"&amp;"art LLMs, such as GPT-4o and Llama-3.1-8B, employing various prompting strategies. Despite their capabilities, these models often struggle to detect manipulation effectively. To overcome this limitation, we propose SELF-PERCEPT, a novel, two-stage prompti"&amp;"ng framework inspired by Self-Perception Theory, demonstrating strong performance in detecting multi-person, multi-turn mental manipulation. Our code and data are publicly available at https://github.com/danushkhanna/self-percept .")</f>
        <v>Mental manipulation is a subtle yet pervasive form of abuse in interpersonal communication, making its detection critical for safeguarding potential victims. However, due to manipulation's nuanced and context-specific nature, identifying manipulative language in complex, multi-turn, and multi-person conversations remains a significant challenge for large language models (LLMs). To address this gap, we introduce the MultiManip dataset, comprising 220 multi-turn, multi-person dialogues balanced between manipulative and non-manipulative interactions, all drawn from reality shows that mimic real-world scenarios. For manipulative interactions, it includes 11 distinct manipulations depicting real-life scenarios. We conduct extensive evaluations of state-of-the-art LLMs, such as GPT-4o and Llama-3.1-8B, employing various prompting strategies. Despite their capabilities, these models often struggle to detect manipulation effectively. To overcome this limitation, we propose SELF-PERCEPT, a novel, two-stage prompting framework inspired by Self-Perception Theory, demonstrating strong performance in detecting multi-person, multi-turn mental manipulation. Our code and data are publicly available at https://github.com/danushkhanna/self-percept .</v>
      </c>
      <c r="D2618" s="7" t="str">
        <f>IFERROR(__xludf.DUMMYFUNCTION("""COMPUTED_VALUE"""),"Danush Khanna")</f>
        <v>Danush Khanna</v>
      </c>
      <c r="E2618" s="7" t="str">
        <f>IFERROR(__xludf.DUMMYFUNCTION("""COMPUTED_VALUE"""),"Yes")</f>
        <v>Yes</v>
      </c>
      <c r="F2618" s="7" t="str">
        <f>IFERROR(__xludf.DUMMYFUNCTION("""COMPUTED_VALUE"""),"IP-Poster")</f>
        <v>IP-Poster</v>
      </c>
      <c r="G2618" s="7" t="str">
        <f>IFERROR(__xludf.DUMMYFUNCTION("""COMPUTED_VALUE"""),"In-Person")</f>
        <v>In-Person</v>
      </c>
      <c r="H2618" s="7" t="str">
        <f>IFERROR(__xludf.DUMMYFUNCTION("""COMPUTED_VALUE"""),"Hall 4/5")</f>
        <v>Hall 4/5</v>
      </c>
      <c r="I2618" s="7" t="str">
        <f>IFERROR(__xludf.DUMMYFUNCTION("""COMPUTED_VALUE"""),"Session 2: IP-Posters ")</f>
        <v>Session 2: IP-Posters </v>
      </c>
      <c r="J2618" s="7" t="str">
        <f>IFERROR(__xludf.DUMMYFUNCTION("""COMPUTED_VALUE"""),"Poster Session 1")</f>
        <v>Poster Session 1</v>
      </c>
      <c r="K2618" s="7"/>
      <c r="L2618" s="8">
        <f>IFERROR(__xludf.DUMMYFUNCTION("""COMPUTED_VALUE"""),45866.0)</f>
        <v>45866</v>
      </c>
      <c r="M2618" s="7" t="str">
        <f>IFERROR(__xludf.DUMMYFUNCTION("""COMPUTED_VALUE"""),"11:00-12:30")</f>
        <v>11:00-12:30</v>
      </c>
      <c r="N2618" s="7"/>
    </row>
    <row r="2619">
      <c r="A2619" s="7" t="str">
        <f>IFERROR(__xludf.DUMMYFUNCTION("""COMPUTED_VALUE"""),"2598-MAIN")</f>
        <v>2598-MAIN</v>
      </c>
      <c r="B2619" s="7" t="str">
        <f>IFERROR(__xludf.DUMMYFUNCTION("""COMPUTED_VALUE"""),"WE-MATH: Does Your Large Multimodal Model Achieve Human-like Mathematical Reasoning?")</f>
        <v>WE-MATH: Does Your Large Multimodal Model Achieve Human-like Mathematical Reasoning?</v>
      </c>
      <c r="C2619" s="7" t="str">
        <f>IFERROR(__xludf.DUMMYFUNCTION("""COMPUTED_VALUE"""),"Visual mathematical reasoning, as a fundamental visual reasoning ability, has received widespread attention from the Large Multimodal Models (LMMs) community. Existing benchmarks mainly focus more on the end-to-end performance, but neglect the underlying "&amp;"principles of knowledge acquisition and generalization. Instead, we introduce WE-MATH, the first benchmark specifically designed to explore the problem-solving principles. We meticulously collect 6.5K visual math problems and decompose them into 10.9K ste"&amp;"p-level questions for evaluation, spanning 5 layers of knowledge granularity and 67 hierarchical knowledge concepts. Specifically, we decompose composite problems into sub-problems according to the required knowledge concepts and introduce a novel four-di"&amp;"mensional metric to hierarchically assess inherent issues in LMMs’ reasoning process. With WE-MATH, we conduct a thorough evaluation of existing LMMs in visual mathematical reasoning and provide comprehensive analysis and insight for future development. W"&amp;"e anticipate that WE-MATH will open new pathways for advancements in visual mathematical reasoning for LMMs. Data and code are available at https://github.com/We-Math/We-Math.")</f>
        <v>Visual mathematical reasoning, as a fundamental visual reasoning ability, has received widespread attention from the Large Multimodal Models (LMMs) community. Existing benchmarks mainly focus more on the end-to-end performance, but neglect the underlying principles of knowledge acquisition and generalization. Instead, we introduce WE-MATH, the first benchmark specifically designed to explore the problem-solving principles. We meticulously collect 6.5K visual math problems and decompose them into 10.9K step-level questions for evaluation, spanning 5 layers of knowledge granularity and 67 hierarchical knowledge concepts. Specifically, we decompose composite problems into sub-problems according to the required knowledge concepts and introduce a novel four-dimensional metric to hierarchically assess inherent issues in LMMs’ reasoning process. With WE-MATH, we conduct a thorough evaluation of existing LMMs in visual mathematical reasoning and provide comprehensive analysis and insight for future development. We anticipate that WE-MATH will open new pathways for advancements in visual mathematical reasoning for LMMs. Data and code are available at https://github.com/We-Math/We-Math.</v>
      </c>
      <c r="D2619" s="7" t="str">
        <f>IFERROR(__xludf.DUMMYFUNCTION("""COMPUTED_VALUE"""),"Runqi Qiao, Qiuna Tan")</f>
        <v>Runqi Qiao, Qiuna Tan</v>
      </c>
      <c r="E2619" s="7" t="str">
        <f>IFERROR(__xludf.DUMMYFUNCTION("""COMPUTED_VALUE"""),"Yes")</f>
        <v>Yes</v>
      </c>
      <c r="F2619" s="7" t="str">
        <f>IFERROR(__xludf.DUMMYFUNCTION("""COMPUTED_VALUE"""),"IP-Poster")</f>
        <v>IP-Poster</v>
      </c>
      <c r="G2619" s="7" t="str">
        <f>IFERROR(__xludf.DUMMYFUNCTION("""COMPUTED_VALUE"""),"In-Person")</f>
        <v>In-Person</v>
      </c>
      <c r="H2619" s="7" t="str">
        <f>IFERROR(__xludf.DUMMYFUNCTION("""COMPUTED_VALUE"""),"Hall 4/5")</f>
        <v>Hall 4/5</v>
      </c>
      <c r="I2619" s="7" t="str">
        <f>IFERROR(__xludf.DUMMYFUNCTION("""COMPUTED_VALUE"""),"Session 7: IP-Posters")</f>
        <v>Session 7: IP-Posters</v>
      </c>
      <c r="J2619" s="7" t="str">
        <f>IFERROR(__xludf.DUMMYFUNCTION("""COMPUTED_VALUE"""),"Poster Session 2")</f>
        <v>Poster Session 2</v>
      </c>
      <c r="K2619" s="7"/>
      <c r="L2619" s="8">
        <f>IFERROR(__xludf.DUMMYFUNCTION("""COMPUTED_VALUE"""),45867.0)</f>
        <v>45867</v>
      </c>
      <c r="M2619" s="7" t="str">
        <f>IFERROR(__xludf.DUMMYFUNCTION("""COMPUTED_VALUE"""),"10:30-12:00")</f>
        <v>10:30-12:00</v>
      </c>
      <c r="N2619" s="7"/>
    </row>
    <row r="2620">
      <c r="A2620" s="7" t="str">
        <f>IFERROR(__xludf.DUMMYFUNCTION("""COMPUTED_VALUE"""),"2600-MAIN")</f>
        <v>2600-MAIN</v>
      </c>
      <c r="B2620" s="7" t="str">
        <f>IFERROR(__xludf.DUMMYFUNCTION("""COMPUTED_VALUE"""),"Modeling the Evolution of English Noun Compounds with Feature-Rich Diachronic Compositionality Prediction")</f>
        <v>Modeling the Evolution of English Noun Compounds with Feature-Rich Diachronic Compositionality Prediction</v>
      </c>
      <c r="C2620" s="7" t="str">
        <f>IFERROR(__xludf.DUMMYFUNCTION("""COMPUTED_VALUE"""),"We analyze the evolution of English noun compounds, which we represent as vectors of time-specific values. We implement a wide array of methods to create a rich set of features, using them to classify compounds for present-day compositionality and to asse"&amp;"ss the informativeness of the corresponding linguistic patterns. Our best results use BERT – reflecting the similarity of compounds and sentence contexts – and we further capture relevant and complementary information across approaches. Leveraging these f"&amp;"eature differences, we find that the development of low-compositional meanings is reflected by a parallel drop in compositionality and sustained semantic change. The same distinction is echoed in transformer processing: compositionality estimates require "&amp;"far less contextualization than semantic change estimates.")</f>
        <v>We analyze the evolution of English noun compounds, which we represent as vectors of time-specific values. We implement a wide array of methods to create a rich set of features, using them to classify compounds for present-day compositionality and to assess the informativeness of the corresponding linguistic patterns. Our best results use BERT – reflecting the similarity of compounds and sentence contexts – and we further capture relevant and complementary information across approaches. Leveraging these feature differences, we find that the development of low-compositional meanings is reflected by a parallel drop in compositionality and sustained semantic change. The same distinction is echoed in transformer processing: compositionality estimates require far less contextualization than semantic change estimates.</v>
      </c>
      <c r="D2620" s="7" t="str">
        <f>IFERROR(__xludf.DUMMYFUNCTION("""COMPUTED_VALUE"""),"Filip Miletić")</f>
        <v>Filip Miletić</v>
      </c>
      <c r="E2620" s="7" t="str">
        <f>IFERROR(__xludf.DUMMYFUNCTION("""COMPUTED_VALUE"""),"Yes")</f>
        <v>Yes</v>
      </c>
      <c r="F2620" s="7" t="str">
        <f>IFERROR(__xludf.DUMMYFUNCTION("""COMPUTED_VALUE"""),"IP-Oral")</f>
        <v>IP-Oral</v>
      </c>
      <c r="G2620" s="7" t="str">
        <f>IFERROR(__xludf.DUMMYFUNCTION("""COMPUTED_VALUE"""),"In-Person")</f>
        <v>In-Person</v>
      </c>
      <c r="H2620" s="7" t="str">
        <f>IFERROR(__xludf.DUMMYFUNCTION("""COMPUTED_VALUE"""),"Room 1.86")</f>
        <v>Room 1.86</v>
      </c>
      <c r="I2620" s="7" t="str">
        <f>IFERROR(__xludf.DUMMYFUNCTION("""COMPUTED_VALUE"""),"Session 3: IP-Orals")</f>
        <v>Session 3: IP-Orals</v>
      </c>
      <c r="J2620" s="7" t="str">
        <f>IFERROR(__xludf.DUMMYFUNCTION("""COMPUTED_VALUE"""),"Semantics")</f>
        <v>Semantics</v>
      </c>
      <c r="K2620" s="7"/>
      <c r="L2620" s="8">
        <f>IFERROR(__xludf.DUMMYFUNCTION("""COMPUTED_VALUE"""),45866.0)</f>
        <v>45866</v>
      </c>
      <c r="M2620" s="7" t="str">
        <f>IFERROR(__xludf.DUMMYFUNCTION("""COMPUTED_VALUE"""),"14:00-15:30")</f>
        <v>14:00-15:30</v>
      </c>
      <c r="N2620" s="7">
        <f>IFERROR(__xludf.DUMMYFUNCTION("""COMPUTED_VALUE"""),4.0)</f>
        <v>4</v>
      </c>
    </row>
    <row r="2621">
      <c r="A2621" s="7" t="str">
        <f>IFERROR(__xludf.DUMMYFUNCTION("""COMPUTED_VALUE"""),"2608-MAIN")</f>
        <v>2608-MAIN</v>
      </c>
      <c r="B2621" s="7" t="str">
        <f>IFERROR(__xludf.DUMMYFUNCTION("""COMPUTED_VALUE"""),"What's the Difference? Supporting Users in Identifying the Effects of Prompt and Model Changes Through Token Patterns")</f>
        <v>What's the Difference? Supporting Users in Identifying the Effects of Prompt and Model Changes Through Token Patterns</v>
      </c>
      <c r="C2621" s="7" t="str">
        <f>IFERROR(__xludf.DUMMYFUNCTION("""COMPUTED_VALUE"""),"Prompt engineering for large language models is challenging, as even small prompt perturbations or model changes can significantly impact the generated output texts. Existing evaluation methods of LLM outputs, either automated metrics or human evaluation,"&amp;" have limitations, such as providing limited insights or being labor-intensive. We propose Spotlight, a new approach that combines both automation and human analysis. Based on data mining techniques, we automatically distinguish between random (decoding) "&amp;"variations and systematic differences in language model outputs. This process provides token patterns that describe the systematic differences and guide the user in manually analyzing the effects of their prompts and changes in models efficiently. We crea"&amp;"te three benchmarks to quantitatively test the reliability of token pattern extraction methods and demonstrate that our approach provides new insights into established prompt data. From a human-centric perspective, through demonstration studies and a user"&amp;" study, we show that our token pattern approach helps users understand the systematic differences of language model outputs. We are further able to discover relevant differences caused by prompt and model changes (e.g. related to gender or culture), thus "&amp;"supporting the prompt engineering process and human-centric model behavior research.")</f>
        <v>Prompt engineering for large language models is challenging, as even small prompt perturbations or model changes can significantly impact the generated output texts. Existing evaluation methods of LLM outputs, either automated metrics or human evaluation, have limitations, such as providing limited insights or being labor-intensive. We propose Spotlight, a new approach that combines both automation and human analysis. Based on data mining techniques, we automatically distinguish between random (decoding) variations and systematic differences in language model outputs. This process provides token patterns that describe the systematic differences and guide the user in manually analyzing the effects of their prompts and changes in models efficiently. We create three benchmarks to quantitatively test the reliability of token pattern extraction methods and demonstrate that our approach provides new insights into established prompt data. From a human-centric perspective, through demonstration studies and a user study, we show that our token pattern approach helps users understand the systematic differences of language model outputs. We are further able to discover relevant differences caused by prompt and model changes (e.g. related to gender or culture), thus supporting the prompt engineering process and human-centric model behavior research.</v>
      </c>
      <c r="D2621" s="7" t="str">
        <f>IFERROR(__xludf.DUMMYFUNCTION("""COMPUTED_VALUE"""),"Michael A. Hedderich")</f>
        <v>Michael A. Hedderich</v>
      </c>
      <c r="E2621" s="7" t="str">
        <f>IFERROR(__xludf.DUMMYFUNCTION("""COMPUTED_VALUE"""),"Yes")</f>
        <v>Yes</v>
      </c>
      <c r="F2621" s="7" t="str">
        <f>IFERROR(__xludf.DUMMYFUNCTION("""COMPUTED_VALUE"""),"IP-Poster")</f>
        <v>IP-Poster</v>
      </c>
      <c r="G2621" s="7" t="str">
        <f>IFERROR(__xludf.DUMMYFUNCTION("""COMPUTED_VALUE"""),"In-Person")</f>
        <v>In-Person</v>
      </c>
      <c r="H2621" s="7" t="str">
        <f>IFERROR(__xludf.DUMMYFUNCTION("""COMPUTED_VALUE"""),"Hall 4/5")</f>
        <v>Hall 4/5</v>
      </c>
      <c r="I2621" s="7" t="str">
        <f>IFERROR(__xludf.DUMMYFUNCTION("""COMPUTED_VALUE"""),"Session 2: IP-Posters ")</f>
        <v>Session 2: IP-Posters </v>
      </c>
      <c r="J2621" s="7" t="str">
        <f>IFERROR(__xludf.DUMMYFUNCTION("""COMPUTED_VALUE"""),"Poster Session 1")</f>
        <v>Poster Session 1</v>
      </c>
      <c r="K2621" s="7"/>
      <c r="L2621" s="8">
        <f>IFERROR(__xludf.DUMMYFUNCTION("""COMPUTED_VALUE"""),45866.0)</f>
        <v>45866</v>
      </c>
      <c r="M2621" s="7" t="str">
        <f>IFERROR(__xludf.DUMMYFUNCTION("""COMPUTED_VALUE"""),"11:00-12:30")</f>
        <v>11:00-12:30</v>
      </c>
      <c r="N2621" s="7"/>
    </row>
    <row r="2622">
      <c r="A2622" s="7" t="str">
        <f>IFERROR(__xludf.DUMMYFUNCTION("""COMPUTED_VALUE"""),"2611-MAIN")</f>
        <v>2611-MAIN</v>
      </c>
      <c r="B2622" s="7" t="str">
        <f>IFERROR(__xludf.DUMMYFUNCTION("""COMPUTED_VALUE"""),"V-Oracle: Making Progressive Reasoning in Deciphering Oracle Bones for You and Me")</f>
        <v>V-Oracle: Making Progressive Reasoning in Deciphering Oracle Bones for You and Me</v>
      </c>
      <c r="C2622" s="7" t="str">
        <f>IFERROR(__xludf.DUMMYFUNCTION("""COMPUTED_VALUE"""),"Oracle Bone Script (OBS) is a vital treasure of human civilization, rich in insights from ancient societies. However, the evolution of written language over millennia complicates its decipherment. In this paper, we propose V-Oracle, an innovative framewor"&amp;"k that utilizes Large Multi-modal Models (LMMs) for interpreting OBS. V-Oracle applies principles of pictographic character formation and frames the task as a visual question-answering (VQA) problem, establishing a multi-step reasoning chain. It proposes "&amp;"a multi-dimensional data augmentation for synthesizing high-quality OBS samples, and also implements a multi-phase oracle alignment tuning to improve LMMs' visual reasoning capabilities. Moreover, to bridge the evaluation gap in the OBS field, we further "&amp;"introduce Oracle-Bench, a comprehensive benchmark that emphasizes process-oriented assessment and incorporates both standard and out-of-distribution setups for realistic evaluation. Extensive experimental results can demonstrate the effectiveness of our m"&amp;"ethod in providing quantitative analyses and superior deciphering capability.")</f>
        <v>Oracle Bone Script (OBS) is a vital treasure of human civilization, rich in insights from ancient societies. However, the evolution of written language over millennia complicates its decipherment. In this paper, we propose V-Oracle, an innovative framework that utilizes Large Multi-modal Models (LMMs) for interpreting OBS. V-Oracle applies principles of pictographic character formation and frames the task as a visual question-answering (VQA) problem, establishing a multi-step reasoning chain. It proposes a multi-dimensional data augmentation for synthesizing high-quality OBS samples, and also implements a multi-phase oracle alignment tuning to improve LMMs' visual reasoning capabilities. Moreover, to bridge the evaluation gap in the OBS field, we further introduce Oracle-Bench, a comprehensive benchmark that emphasizes process-oriented assessment and incorporates both standard and out-of-distribution setups for realistic evaluation. Extensive experimental results can demonstrate the effectiveness of our method in providing quantitative analyses and superior deciphering capability.</v>
      </c>
      <c r="D2622" s="7" t="str">
        <f>IFERROR(__xludf.DUMMYFUNCTION("""COMPUTED_VALUE"""),"Runqi Qiao, Qiuna Tan")</f>
        <v>Runqi Qiao, Qiuna Tan</v>
      </c>
      <c r="E2622" s="7" t="str">
        <f>IFERROR(__xludf.DUMMYFUNCTION("""COMPUTED_VALUE"""),"Yes")</f>
        <v>Yes</v>
      </c>
      <c r="F2622" s="7" t="str">
        <f>IFERROR(__xludf.DUMMYFUNCTION("""COMPUTED_VALUE"""),"IP-Poster")</f>
        <v>IP-Poster</v>
      </c>
      <c r="G2622" s="7" t="str">
        <f>IFERROR(__xludf.DUMMYFUNCTION("""COMPUTED_VALUE"""),"In-Person")</f>
        <v>In-Person</v>
      </c>
      <c r="H2622" s="7" t="str">
        <f>IFERROR(__xludf.DUMMYFUNCTION("""COMPUTED_VALUE"""),"Hall 4/5")</f>
        <v>Hall 4/5</v>
      </c>
      <c r="I2622" s="7" t="str">
        <f>IFERROR(__xludf.DUMMYFUNCTION("""COMPUTED_VALUE"""),"Session 2: IP-Posters ")</f>
        <v>Session 2: IP-Posters </v>
      </c>
      <c r="J2622" s="7" t="str">
        <f>IFERROR(__xludf.DUMMYFUNCTION("""COMPUTED_VALUE"""),"Poster Session 1")</f>
        <v>Poster Session 1</v>
      </c>
      <c r="K2622" s="7"/>
      <c r="L2622" s="8">
        <f>IFERROR(__xludf.DUMMYFUNCTION("""COMPUTED_VALUE"""),45866.0)</f>
        <v>45866</v>
      </c>
      <c r="M2622" s="7" t="str">
        <f>IFERROR(__xludf.DUMMYFUNCTION("""COMPUTED_VALUE"""),"11:00-12:30")</f>
        <v>11:00-12:30</v>
      </c>
      <c r="N2622" s="7"/>
    </row>
    <row r="2623">
      <c r="A2623" s="7" t="str">
        <f>IFERROR(__xludf.DUMMYFUNCTION("""COMPUTED_VALUE"""),"2616-MAIN")</f>
        <v>2616-MAIN</v>
      </c>
      <c r="B2623" s="7" t="str">
        <f>IFERROR(__xludf.DUMMYFUNCTION("""COMPUTED_VALUE"""),"Unveiling Cultural Blind Spots: Analyzing the Limitations of mLLMs in Procedural Text Comprehension")</f>
        <v>Unveiling Cultural Blind Spots: Analyzing the Limitations of mLLMs in Procedural Text Comprehension</v>
      </c>
      <c r="C2623" s="7" t="str">
        <f>IFERROR(__xludf.DUMMYFUNCTION("""COMPUTED_VALUE"""),"Despite the impressive performance of multilingual large language models (mLLMs) in various natural language processing tasks, their ability to understand procedural texts, particularly those with culture-specific content, remains largely unexplored. Text"&amp;"s describing cultural procedures, including rituals, traditional craftsmanship, and social etiquette, require an inherent understanding of cultural context, presenting a significant challenge for mLLMs. In this work, we introduce CAPTex, a benchmark desig"&amp;"ned to evaluate mLLMs’ ability to process and reason over culturally diverse procedural texts in multiple languages. Using a range of evaluation methods, we find that (1) mLLMs struggle with culturally contextualized procedural content, particularly in lo"&amp;"w-resource languages; (2) performance varies across cultural domains, with some proving more difficult than others; and (3) models perform better on multiple-choice tasks presented in conversational formats than on direct questions. These results highligh"&amp;"t the current limitations of mLLMs and emphasize the need for culturally informed benchmarks like CAPTex to support more accurate and inclusive language understanding.")</f>
        <v>Despite the impressive performance of multilingual large language models (mLLMs) in various natural language processing tasks, their ability to understand procedural texts, particularly those with culture-specific content, remains largely unexplored. Texts describing cultural procedures, including rituals, traditional craftsmanship, and social etiquette, require an inherent understanding of cultural context, presenting a significant challenge for mLLMs. In this work, we introduce CAPTex, a benchmark designed to evaluate mLLMs’ ability to process and reason over culturally diverse procedural texts in multiple languages. Using a range of evaluation methods, we find that (1) mLLMs struggle with culturally contextualized procedural content, particularly in low-resource languages; (2) performance varies across cultural domains, with some proving more difficult than others; and (3) models perform better on multiple-choice tasks presented in conversational formats than on direct questions. These results highlight the current limitations of mLLMs and emphasize the need for culturally informed benchmarks like CAPTex to support more accurate and inclusive language understanding.</v>
      </c>
      <c r="D2623" s="7" t="str">
        <f>IFERROR(__xludf.DUMMYFUNCTION("""COMPUTED_VALUE"""),"Amir Hossein Yari")</f>
        <v>Amir Hossein Yari</v>
      </c>
      <c r="E2623" s="7" t="str">
        <f>IFERROR(__xludf.DUMMYFUNCTION("""COMPUTED_VALUE"""),"Yes")</f>
        <v>Yes</v>
      </c>
      <c r="F2623" s="7" t="str">
        <f>IFERROR(__xludf.DUMMYFUNCTION("""COMPUTED_VALUE"""),"IP-Poster")</f>
        <v>IP-Poster</v>
      </c>
      <c r="G2623" s="7" t="str">
        <f>IFERROR(__xludf.DUMMYFUNCTION("""COMPUTED_VALUE"""),"In-Person")</f>
        <v>In-Person</v>
      </c>
      <c r="H2623" s="7" t="str">
        <f>IFERROR(__xludf.DUMMYFUNCTION("""COMPUTED_VALUE"""),"Hall 4/5")</f>
        <v>Hall 4/5</v>
      </c>
      <c r="I2623" s="7" t="str">
        <f>IFERROR(__xludf.DUMMYFUNCTION("""COMPUTED_VALUE"""),"Session 2: IP-Posters ")</f>
        <v>Session 2: IP-Posters </v>
      </c>
      <c r="J2623" s="7" t="str">
        <f>IFERROR(__xludf.DUMMYFUNCTION("""COMPUTED_VALUE"""),"Poster Session 1")</f>
        <v>Poster Session 1</v>
      </c>
      <c r="K2623" s="7"/>
      <c r="L2623" s="8">
        <f>IFERROR(__xludf.DUMMYFUNCTION("""COMPUTED_VALUE"""),45866.0)</f>
        <v>45866</v>
      </c>
      <c r="M2623" s="7" t="str">
        <f>IFERROR(__xludf.DUMMYFUNCTION("""COMPUTED_VALUE"""),"11:00-12:30")</f>
        <v>11:00-12:30</v>
      </c>
      <c r="N2623" s="7"/>
    </row>
    <row r="2624">
      <c r="A2624" s="7" t="str">
        <f>IFERROR(__xludf.DUMMYFUNCTION("""COMPUTED_VALUE"""),"2622-MAIN")</f>
        <v>2622-MAIN</v>
      </c>
      <c r="B2624" s="7" t="str">
        <f>IFERROR(__xludf.DUMMYFUNCTION("""COMPUTED_VALUE"""),"Improving Language and Modality Transfer in Translation by Character-level Modeling")</f>
        <v>Improving Language and Modality Transfer in Translation by Character-level Modeling</v>
      </c>
      <c r="C2624" s="7" t="str">
        <f>IFERROR(__xludf.DUMMYFUNCTION("""COMPUTED_VALUE"""),"Current translation systems, despite being highly multilingual, cover only 5\% of the world's languages. Expanding language coverage to the long-tail of low-resource languages requires data-efficient methods that rely on cross-lingual and cross-modal know"&amp;"ledge transfer. To this end, we propose a character-based approach to improve adaptability to new languages and modalities. Our method leverages SONAR, a multilingual fixed-size embedding space with different modules for encoding and decoding. We use a te"&amp;"acher-student approach with parallel translation data to obtain a character-level encoder. Then, using ASR data, we train a lightweight adapter to connect a massively multilingual CTC ASR model (MMS), to the character-level encoder, potentially enabling s"&amp;"peech translation from 1,000+ languages. Experimental results in text translation for 75 languages on FLORES+ demonstrate that our character-based approach can achieve better language transfer than traditional subword-based models, especially outperformin"&amp;"g them in low-resource settings, and demonstrating better zero-shot generalizability to unseen languages. Our speech adaptation, maximizing knowledge transfer from the text modality, achieves state-of-the-art results in speech-to-text translation on the F"&amp;"LEURS benchmark on 33 languages, surpassing previous supervised and cascade models, albeit being a zero-shot model with minimal supervision from ASR data.")</f>
        <v>Current translation systems, despite being highly multilingual, cover only 5\% of the world's languages. Expanding language coverage to the long-tail of low-resource languages requires data-efficient methods that rely on cross-lingual and cross-modal knowledge transfer. To this end, we propose a character-based approach to improve adaptability to new languages and modalities. Our method leverages SONAR, a multilingual fixed-size embedding space with different modules for encoding and decoding. We use a teacher-student approach with parallel translation data to obtain a character-level encoder. Then, using ASR data, we train a lightweight adapter to connect a massively multilingual CTC ASR model (MMS), to the character-level encoder, potentially enabling speech translation from 1,000+ languages. Experimental results in text translation for 75 languages on FLORES+ demonstrate that our character-based approach can achieve better language transfer than traditional subword-based models, especially outperforming them in low-resource settings, and demonstrating better zero-shot generalizability to unseen languages. Our speech adaptation, maximizing knowledge transfer from the text modality, achieves state-of-the-art results in speech-to-text translation on the FLEURS benchmark on 33 languages, surpassing previous supervised and cascade models, albeit being a zero-shot model with minimal supervision from ASR data.</v>
      </c>
      <c r="D2624" s="7" t="str">
        <f>IFERROR(__xludf.DUMMYFUNCTION("""COMPUTED_VALUE"""),"Ioannis Tsiamas")</f>
        <v>Ioannis Tsiamas</v>
      </c>
      <c r="E2624" s="7" t="str">
        <f>IFERROR(__xludf.DUMMYFUNCTION("""COMPUTED_VALUE"""),"Yes")</f>
        <v>Yes</v>
      </c>
      <c r="F2624" s="7" t="str">
        <f>IFERROR(__xludf.DUMMYFUNCTION("""COMPUTED_VALUE"""),"V-Presentation")</f>
        <v>V-Presentation</v>
      </c>
      <c r="G2624" s="7" t="str">
        <f>IFERROR(__xludf.DUMMYFUNCTION("""COMPUTED_VALUE"""),"Virtual/Gather")</f>
        <v>Virtual/Gather</v>
      </c>
      <c r="H2624" s="7" t="str">
        <f>IFERROR(__xludf.DUMMYFUNCTION("""COMPUTED_VALUE"""),"Zoom")</f>
        <v>Zoom</v>
      </c>
      <c r="I2624" s="7" t="str">
        <f>IFERROR(__xludf.DUMMYFUNCTION("""COMPUTED_VALUE"""),"Session 10: V-Presenations")</f>
        <v>Session 10: V-Presenations</v>
      </c>
      <c r="J2624" s="7" t="str">
        <f>IFERROR(__xludf.DUMMYFUNCTION("""COMPUTED_VALUE"""),"Virtual Presentations 3")</f>
        <v>Virtual Presentations 3</v>
      </c>
      <c r="K2624" s="7"/>
      <c r="L2624" s="8">
        <f>IFERROR(__xludf.DUMMYFUNCTION("""COMPUTED_VALUE"""),45867.0)</f>
        <v>45867</v>
      </c>
      <c r="M2624" s="7" t="str">
        <f>IFERROR(__xludf.DUMMYFUNCTION("""COMPUTED_VALUE"""),"16:00-17:30")</f>
        <v>16:00-17:30</v>
      </c>
      <c r="N2624" s="7"/>
    </row>
    <row r="2625">
      <c r="A2625" s="7" t="str">
        <f>IFERROR(__xludf.DUMMYFUNCTION("""COMPUTED_VALUE"""),"2626-MAIN")</f>
        <v>2626-MAIN</v>
      </c>
      <c r="B2625" s="7" t="str">
        <f>IFERROR(__xludf.DUMMYFUNCTION("""COMPUTED_VALUE"""),"DialUp! Modeling the Language Continuum by Adapting Models to Dialects and Dialects to Models")</f>
        <v>DialUp! Modeling the Language Continuum by Adapting Models to Dialects and Dialects to Models</v>
      </c>
      <c r="C2625" s="7" t="str">
        <f>IFERROR(__xludf.DUMMYFUNCTION("""COMPUTED_VALUE"""),"Most of the world's languages and dialects are low-resource, and lack support in mainstream machine translation (MT) models. However, many of them have a closely-related high-resource language (HRL) neighbor, and differ in linguistically regular ways from"&amp;" it. This underscores the importance of model robustness to dialectal variation and cross-lingual generalization to the HRL dialect continuum. We present DialUp, consisting of a training-time technique for adapting a pretrained model to dialectal data (M-"&amp;"-&gt;D), and an inference-time intervention adapting dialectal data to the model expertise (D--&gt;M). M--&gt;D induces model robustness to potentially unseen and unknown dialects by exposure to synthetic data exemplifying linguistic mechanisms of dialectal variat"&amp;"ion, whereas D--&gt;M treats dialectal divergence for known target dialects. These methods show considerable performance gains for several dialects from four language families, and modest gains for two other language families. We also conduct feature and err"&amp;"or analyses, which show that language varieties with low baseline MT performance are more likely to benefit from these approaches.")</f>
        <v>Most of the world's languages and dialects are low-resource, and lack support in mainstream machine translation (MT) models. However, many of them have a closely-related high-resource language (HRL) neighbor, and differ in linguistically regular ways from it. This underscores the importance of model robustness to dialectal variation and cross-lingual generalization to the HRL dialect continuum. We present DialUp, consisting of a training-time technique for adapting a pretrained model to dialectal data (M--&gt;D), and an inference-time intervention adapting dialectal data to the model expertise (D--&gt;M). M--&gt;D induces model robustness to potentially unseen and unknown dialects by exposure to synthetic data exemplifying linguistic mechanisms of dialectal variation, whereas D--&gt;M treats dialectal divergence for known target dialects. These methods show considerable performance gains for several dialects from four language families, and modest gains for two other language families. We also conduct feature and error analyses, which show that language varieties with low baseline MT performance are more likely to benefit from these approaches.</v>
      </c>
      <c r="D2625" s="7" t="str">
        <f>IFERROR(__xludf.DUMMYFUNCTION("""COMPUTED_VALUE"""),"Niyati Bafna")</f>
        <v>Niyati Bafna</v>
      </c>
      <c r="E2625" s="7" t="str">
        <f>IFERROR(__xludf.DUMMYFUNCTION("""COMPUTED_VALUE"""),"Yes")</f>
        <v>Yes</v>
      </c>
      <c r="F2625" s="7" t="str">
        <f>IFERROR(__xludf.DUMMYFUNCTION("""COMPUTED_VALUE"""),"IP-Poster")</f>
        <v>IP-Poster</v>
      </c>
      <c r="G2625" s="7" t="str">
        <f>IFERROR(__xludf.DUMMYFUNCTION("""COMPUTED_VALUE"""),"In-Person")</f>
        <v>In-Person</v>
      </c>
      <c r="H2625" s="7" t="str">
        <f>IFERROR(__xludf.DUMMYFUNCTION("""COMPUTED_VALUE"""),"Hall 4/5")</f>
        <v>Hall 4/5</v>
      </c>
      <c r="I2625" s="7" t="str">
        <f>IFERROR(__xludf.DUMMYFUNCTION("""COMPUTED_VALUE"""),"Session 10: IP-Posters")</f>
        <v>Session 10: IP-Posters</v>
      </c>
      <c r="J2625" s="7" t="str">
        <f>IFERROR(__xludf.DUMMYFUNCTION("""COMPUTED_VALUE"""),"Poster Session 3")</f>
        <v>Poster Session 3</v>
      </c>
      <c r="K2625" s="7"/>
      <c r="L2625" s="8">
        <f>IFERROR(__xludf.DUMMYFUNCTION("""COMPUTED_VALUE"""),45867.0)</f>
        <v>45867</v>
      </c>
      <c r="M2625" s="7" t="str">
        <f>IFERROR(__xludf.DUMMYFUNCTION("""COMPUTED_VALUE"""),"16:00-17:30")</f>
        <v>16:00-17:30</v>
      </c>
      <c r="N2625" s="7"/>
    </row>
    <row r="2626">
      <c r="A2626" s="7" t="str">
        <f>IFERROR(__xludf.DUMMYFUNCTION("""COMPUTED_VALUE"""),"2627-MAIN")</f>
        <v>2627-MAIN</v>
      </c>
      <c r="B2626" s="7" t="str">
        <f>IFERROR(__xludf.DUMMYFUNCTION("""COMPUTED_VALUE"""),"AutoMixAlign: Adaptive Data Mixing for Multi-Task Preference Optimization in LLMs")</f>
        <v>AutoMixAlign: Adaptive Data Mixing for Multi-Task Preference Optimization in LLMs</v>
      </c>
      <c r="C2626" s="7" t="str">
        <f>IFERROR(__xludf.DUMMYFUNCTION("""COMPUTED_VALUE"""),"When aligning large language models (LLMs), their performance across various tasks (such as being helpful, harmless, and honest) is heavily influenced by the composition of the training data. However, it is difficult to determine what mixture of data shou"&amp;"ld be used to produce a model with strong performance across all tasks. Existing approaches rely on large ablation studies, heuristics, or human intuition, though these can be prohibitively expensive and suboptimal. We study this problem in the context of"&amp;" preference optimization via DPO and propose a novel and theoretically justified algorithm, AutoMixAlign (AMA), that adaptively mixes datasets during LLM training to balance performance across multiple tasks. AMA first trains \textit{specialist models} fo"&amp;"r each task to determine losses that corresponding to strong task performance. Next, AMA trains a generalist model using a novel minimax optimization that prioritizes tasks for which generalist model losses are furthest from specialist model losses. We in"&amp;"troduce two algorithms to optimize this problem: (1) AMA-R adaptively reweights the objective to prioritize tasks, and (2) AMA-S adaptively adjusts how much data is sampled from each task to prioritize tasks. Both algorithms achieve a convergence rate of "&amp;"$O(1/\sqrt{T})$ in the convex case. AMA-R's convergence result immediately follows from Sagawa et. al, 2019, and we provide a convergence proof for AMA-S using techniques from online learning such as EXP3 (Auer et. al, 2002). We evaluate AMA on several mu"&amp;"ltitask alignment setups, and observe that AMA outperforms the standard alignment approach which simply optimizes the total loss across all tasks and also outperforms model-merging methods.")</f>
        <v>When aligning large language models (LLMs), their performance across various tasks (such as being helpful, harmless, and honest) is heavily influenced by the composition of the training data. However, it is difficult to determine what mixture of data should be used to produce a model with strong performance across all tasks. Existing approaches rely on large ablation studies, heuristics, or human intuition, though these can be prohibitively expensive and suboptimal. We study this problem in the context of preference optimization via DPO and propose a novel and theoretically justified algorithm, AutoMixAlign (AMA), that adaptively mixes datasets during LLM training to balance performance across multiple tasks. AMA first trains \textit{specialist models} for each task to determine losses that corresponding to strong task performance. Next, AMA trains a generalist model using a novel minimax optimization that prioritizes tasks for which generalist model losses are furthest from specialist model losses. We introduce two algorithms to optimize this problem: (1) AMA-R adaptively reweights the objective to prioritize tasks, and (2) AMA-S adaptively adjusts how much data is sampled from each task to prioritize tasks. Both algorithms achieve a convergence rate of $O(1/\sqrt{T})$ in the convex case. AMA-R's convergence result immediately follows from Sagawa et. al, 2019, and we provide a convergence proof for AMA-S using techniques from online learning such as EXP3 (Auer et. al, 2002). We evaluate AMA on several multitask alignment setups, and observe that AMA outperforms the standard alignment approach which simply optimizes the total loss across all tasks and also outperforms model-merging methods.</v>
      </c>
      <c r="D2626" s="7" t="str">
        <f>IFERROR(__xludf.DUMMYFUNCTION("""COMPUTED_VALUE"""),"Nicholas E. Corrado")</f>
        <v>Nicholas E. Corrado</v>
      </c>
      <c r="E2626" s="7" t="str">
        <f>IFERROR(__xludf.DUMMYFUNCTION("""COMPUTED_VALUE"""),"Yes")</f>
        <v>Yes</v>
      </c>
      <c r="F2626" s="7" t="str">
        <f>IFERROR(__xludf.DUMMYFUNCTION("""COMPUTED_VALUE"""),"IP-Poster")</f>
        <v>IP-Poster</v>
      </c>
      <c r="G2626" s="7" t="str">
        <f>IFERROR(__xludf.DUMMYFUNCTION("""COMPUTED_VALUE"""),"In-Person")</f>
        <v>In-Person</v>
      </c>
      <c r="H2626" s="7" t="str">
        <f>IFERROR(__xludf.DUMMYFUNCTION("""COMPUTED_VALUE"""),"Hall 4/5")</f>
        <v>Hall 4/5</v>
      </c>
      <c r="I2626" s="7" t="str">
        <f>IFERROR(__xludf.DUMMYFUNCTION("""COMPUTED_VALUE"""),"Session 7: IP-Posters")</f>
        <v>Session 7: IP-Posters</v>
      </c>
      <c r="J2626" s="7" t="str">
        <f>IFERROR(__xludf.DUMMYFUNCTION("""COMPUTED_VALUE"""),"Poster Session 2")</f>
        <v>Poster Session 2</v>
      </c>
      <c r="K2626" s="7"/>
      <c r="L2626" s="8">
        <f>IFERROR(__xludf.DUMMYFUNCTION("""COMPUTED_VALUE"""),45867.0)</f>
        <v>45867</v>
      </c>
      <c r="M2626" s="7" t="str">
        <f>IFERROR(__xludf.DUMMYFUNCTION("""COMPUTED_VALUE"""),"10:30-12:00")</f>
        <v>10:30-12:00</v>
      </c>
      <c r="N2626" s="7"/>
    </row>
    <row r="2627">
      <c r="A2627" s="7" t="str">
        <f>IFERROR(__xludf.DUMMYFUNCTION("""COMPUTED_VALUE"""),"2634-MAIN")</f>
        <v>2634-MAIN</v>
      </c>
      <c r="B2627" s="7" t="str">
        <f>IFERROR(__xludf.DUMMYFUNCTION("""COMPUTED_VALUE"""),"A Variational Approach for Mitigating Entity Bias in Relation Extraction")</f>
        <v>A Variational Approach for Mitigating Entity Bias in Relation Extraction</v>
      </c>
      <c r="C2627" s="7" t="str">
        <f>IFERROR(__xludf.DUMMYFUNCTION("""COMPUTED_VALUE"""),"Mitigating entity bias is a critical challenge in Relation Extraction (RE), where models often rely excessively on entities, resulting in poor generalization. This paper presents a novel approach to address this issue by adapting a Variational Information"&amp;" Bottleneck (VIB) framework. Our method compresses entity-specific information while preserving task-relevant features. It achieves state-of-the-art performance on both general and financial domain RE datasets, excelling in in-domain settings (original te"&amp;"st sets) and out-of-domain (modified test sets with type-constrained entity replacements). Our approach offers a robust, interpretable, and theoretically grounded methodology.")</f>
        <v>Mitigating entity bias is a critical challenge in Relation Extraction (RE), where models often rely excessively on entities, resulting in poor generalization. This paper presents a novel approach to address this issue by adapting a Variational Information Bottleneck (VIB) framework. Our method compresses entity-specific information while preserving task-relevant features. It achieves state-of-the-art performance on both general and financial domain RE datasets, excelling in in-domain settings (original test sets) and out-of-domain (modified test sets with type-constrained entity replacements). Our approach offers a robust, interpretable, and theoretically grounded methodology.</v>
      </c>
      <c r="D2627" s="7" t="str">
        <f>IFERROR(__xludf.DUMMYFUNCTION("""COMPUTED_VALUE"""),"Samuel Mensah")</f>
        <v>Samuel Mensah</v>
      </c>
      <c r="E2627" s="7" t="str">
        <f>IFERROR(__xludf.DUMMYFUNCTION("""COMPUTED_VALUE"""),"Yes")</f>
        <v>Yes</v>
      </c>
      <c r="F2627" s="7" t="str">
        <f>IFERROR(__xludf.DUMMYFUNCTION("""COMPUTED_VALUE"""),"IP-Poster")</f>
        <v>IP-Poster</v>
      </c>
      <c r="G2627" s="7" t="str">
        <f>IFERROR(__xludf.DUMMYFUNCTION("""COMPUTED_VALUE"""),"In-Person")</f>
        <v>In-Person</v>
      </c>
      <c r="H2627" s="7" t="str">
        <f>IFERROR(__xludf.DUMMYFUNCTION("""COMPUTED_VALUE"""),"Hall 4/5")</f>
        <v>Hall 4/5</v>
      </c>
      <c r="I2627" s="7" t="str">
        <f>IFERROR(__xludf.DUMMYFUNCTION("""COMPUTED_VALUE"""),"Session 2: IP-Posters ")</f>
        <v>Session 2: IP-Posters </v>
      </c>
      <c r="J2627" s="7" t="str">
        <f>IFERROR(__xludf.DUMMYFUNCTION("""COMPUTED_VALUE"""),"Poster Session 1")</f>
        <v>Poster Session 1</v>
      </c>
      <c r="K2627" s="7"/>
      <c r="L2627" s="8">
        <f>IFERROR(__xludf.DUMMYFUNCTION("""COMPUTED_VALUE"""),45866.0)</f>
        <v>45866</v>
      </c>
      <c r="M2627" s="7" t="str">
        <f>IFERROR(__xludf.DUMMYFUNCTION("""COMPUTED_VALUE"""),"11:00-12:30")</f>
        <v>11:00-12:30</v>
      </c>
      <c r="N2627" s="7"/>
    </row>
    <row r="2628">
      <c r="A2628" s="7" t="str">
        <f>IFERROR(__xludf.DUMMYFUNCTION("""COMPUTED_VALUE"""),"2638-MAIN")</f>
        <v>2638-MAIN</v>
      </c>
      <c r="B2628" s="7" t="str">
        <f>IFERROR(__xludf.DUMMYFUNCTION("""COMPUTED_VALUE"""),"Modelling Complex Semantics Relation with Contrastively Fine-Tuned Relational Encoders")</f>
        <v>Modelling Complex Semantics Relation with Contrastively Fine-Tuned Relational Encoders</v>
      </c>
      <c r="C2628" s="7" t="str">
        <f>IFERROR(__xludf.DUMMYFUNCTION("""COMPUTED_VALUE"""),"Modeling relationships between concepts and entities is essential for many applications. While Large Language Models (LLMs) capture relational and commonsense knowledge effectively, they are computationally expensive and often underperform in tasks requir"&amp;"ing efficient relational encoding, such as relation induction, extraction, and information retrieval. Despite advancements in learning relational embeddings, existing methods often fail to capture nuanced representations and the rich semantics needed for "&amp;"high-quality embeddings. In this work, we propose different relational encoders designed to capture diverse relational aspects and semantic properties of entity pairs. Although several datasets exist for training such encoders, they often rely on structur"&amp;"ed knowledge bases or predefined schemas, which primarily encode simple and static relations. To overcome this limitation, we also introduce a novel dataset generation method leveraging LLMs to create a diverse spectrum of relationships. Our experiments d"&amp;"emonstrate the effectiveness of our proposed encoders and the benefits of our generated dataset.")</f>
        <v>Modeling relationships between concepts and entities is essential for many applications. While Large Language Models (LLMs) capture relational and commonsense knowledge effectively, they are computationally expensive and often underperform in tasks requiring efficient relational encoding, such as relation induction, extraction, and information retrieval. Despite advancements in learning relational embeddings, existing methods often fail to capture nuanced representations and the rich semantics needed for high-quality embeddings. In this work, we propose different relational encoders designed to capture diverse relational aspects and semantic properties of entity pairs. Although several datasets exist for training such encoders, they often rely on structured knowledge bases or predefined schemas, which primarily encode simple and static relations. To overcome this limitation, we also introduce a novel dataset generation method leveraging LLMs to create a diverse spectrum of relationships. Our experiments demonstrate the effectiveness of our proposed encoders and the benefits of our generated dataset.</v>
      </c>
      <c r="D2628" s="7" t="str">
        <f>IFERROR(__xludf.DUMMYFUNCTION("""COMPUTED_VALUE"""),"Naïm Es-sebbani")</f>
        <v>Naïm Es-sebbani</v>
      </c>
      <c r="E2628" s="7" t="str">
        <f>IFERROR(__xludf.DUMMYFUNCTION("""COMPUTED_VALUE"""),"Yes")</f>
        <v>Yes</v>
      </c>
      <c r="F2628" s="7" t="str">
        <f>IFERROR(__xludf.DUMMYFUNCTION("""COMPUTED_VALUE"""),"IP-Oral")</f>
        <v>IP-Oral</v>
      </c>
      <c r="G2628" s="7" t="str">
        <f>IFERROR(__xludf.DUMMYFUNCTION("""COMPUTED_VALUE"""),"In-Person")</f>
        <v>In-Person</v>
      </c>
      <c r="H2628" s="7" t="str">
        <f>IFERROR(__xludf.DUMMYFUNCTION("""COMPUTED_VALUE"""),"Room 1.86")</f>
        <v>Room 1.86</v>
      </c>
      <c r="I2628" s="7" t="str">
        <f>IFERROR(__xludf.DUMMYFUNCTION("""COMPUTED_VALUE"""),"Session 3: IP-Orals")</f>
        <v>Session 3: IP-Orals</v>
      </c>
      <c r="J2628" s="7" t="str">
        <f>IFERROR(__xludf.DUMMYFUNCTION("""COMPUTED_VALUE"""),"Semantics")</f>
        <v>Semantics</v>
      </c>
      <c r="K2628" s="7"/>
      <c r="L2628" s="8">
        <f>IFERROR(__xludf.DUMMYFUNCTION("""COMPUTED_VALUE"""),45866.0)</f>
        <v>45866</v>
      </c>
      <c r="M2628" s="7" t="str">
        <f>IFERROR(__xludf.DUMMYFUNCTION("""COMPUTED_VALUE"""),"14:00-15:30")</f>
        <v>14:00-15:30</v>
      </c>
      <c r="N2628" s="7">
        <f>IFERROR(__xludf.DUMMYFUNCTION("""COMPUTED_VALUE"""),5.0)</f>
        <v>5</v>
      </c>
    </row>
    <row r="2629">
      <c r="A2629" s="7" t="str">
        <f>IFERROR(__xludf.DUMMYFUNCTION("""COMPUTED_VALUE"""),"2641-MAIN")</f>
        <v>2641-MAIN</v>
      </c>
      <c r="B2629" s="7" t="str">
        <f>IFERROR(__xludf.DUMMYFUNCTION("""COMPUTED_VALUE"""),"Error-driven Data-efficient Large Multimodal Model Tuning")</f>
        <v>Error-driven Data-efficient Large Multimodal Model Tuning</v>
      </c>
      <c r="C2629" s="7" t="str">
        <f>IFERROR(__xludf.DUMMYFUNCTION("""COMPUTED_VALUE"""),"Large Multimodal Models (LMMs) have demonstrated impressive performance across numerous academic benchmarks. However, fine-tuning still remains essential to achieve satisfactory performance on downstream tasks, while the task-specific tuning samples are u"&amp;"sually not readily available or expensive and time-consuming to obtain. To address this, we propose an error-driven data-efficient tuning framework that aims to efficiently adapt generic LMMs to newly emerging tasks without requiring extensive task-specif"&amp;"ic training samples. In our approach, a generic LMM, acting as a student model, is first evaluated on a small validation set of the target task, and then a more powerful model, acting as a teacher model, identifies the erroneous steps within the student m"&amp;"odel's reasoning steps and analyzes its capability gaps from fully addressing the target task. Based on these gaps, targeted training samples are further retrieved from existing task-agnostic datasets to tune the student model and tailor it to the target "&amp;"task. We perform extensive experiments across three different training data scales and seven tasks, demonstrating that our training paradigm significantly and efficiently improves LMM's performance on downstream tasks, achieving an average performance boo"&amp;"st of 7.01%")</f>
        <v>Large Multimodal Models (LMMs) have demonstrated impressive performance across numerous academic benchmarks. However, fine-tuning still remains essential to achieve satisfactory performance on downstream tasks, while the task-specific tuning samples are usually not readily available or expensive and time-consuming to obtain. To address this, we propose an error-driven data-efficient tuning framework that aims to efficiently adapt generic LMMs to newly emerging tasks without requiring extensive task-specific training samples. In our approach, a generic LMM, acting as a student model, is first evaluated on a small validation set of the target task, and then a more powerful model, acting as a teacher model, identifies the erroneous steps within the student model's reasoning steps and analyzes its capability gaps from fully addressing the target task. Based on these gaps, targeted training samples are further retrieved from existing task-agnostic datasets to tune the student model and tailor it to the target task. We perform extensive experiments across three different training data scales and seven tasks, demonstrating that our training paradigm significantly and efficiently improves LMM's performance on downstream tasks, achieving an average performance boost of 7.01%</v>
      </c>
      <c r="D2629" s="7" t="str">
        <f>IFERROR(__xludf.DUMMYFUNCTION("""COMPUTED_VALUE"""),"Barry Menglong Yao")</f>
        <v>Barry Menglong Yao</v>
      </c>
      <c r="E2629" s="7" t="str">
        <f>IFERROR(__xludf.DUMMYFUNCTION("""COMPUTED_VALUE"""),"Yes")</f>
        <v>Yes</v>
      </c>
      <c r="F2629" s="7" t="str">
        <f>IFERROR(__xludf.DUMMYFUNCTION("""COMPUTED_VALUE"""),"V-Presentation")</f>
        <v>V-Presentation</v>
      </c>
      <c r="G2629" s="7" t="str">
        <f>IFERROR(__xludf.DUMMYFUNCTION("""COMPUTED_VALUE"""),"Virtual/Gather")</f>
        <v>Virtual/Gather</v>
      </c>
      <c r="H2629" s="7" t="str">
        <f>IFERROR(__xludf.DUMMYFUNCTION("""COMPUTED_VALUE"""),"Zoom")</f>
        <v>Zoom</v>
      </c>
      <c r="I2629" s="7" t="str">
        <f>IFERROR(__xludf.DUMMYFUNCTION("""COMPUTED_VALUE"""),"Session 10: V-Presenations")</f>
        <v>Session 10: V-Presenations</v>
      </c>
      <c r="J2629" s="7" t="str">
        <f>IFERROR(__xludf.DUMMYFUNCTION("""COMPUTED_VALUE"""),"Virtual Presentations 3")</f>
        <v>Virtual Presentations 3</v>
      </c>
      <c r="K2629" s="7"/>
      <c r="L2629" s="8">
        <f>IFERROR(__xludf.DUMMYFUNCTION("""COMPUTED_VALUE"""),45867.0)</f>
        <v>45867</v>
      </c>
      <c r="M2629" s="7" t="str">
        <f>IFERROR(__xludf.DUMMYFUNCTION("""COMPUTED_VALUE"""),"16:00-17:30")</f>
        <v>16:00-17:30</v>
      </c>
      <c r="N2629" s="7"/>
    </row>
    <row r="2630">
      <c r="A2630" s="7" t="str">
        <f>IFERROR(__xludf.DUMMYFUNCTION("""COMPUTED_VALUE"""),"2642-MAIN")</f>
        <v>2642-MAIN</v>
      </c>
      <c r="B2630" s="7" t="str">
        <f>IFERROR(__xludf.DUMMYFUNCTION("""COMPUTED_VALUE"""),"Planning with Diffusion Models for Target-Oriented Dialogue Systems")</f>
        <v>Planning with Diffusion Models for Target-Oriented Dialogue Systems</v>
      </c>
      <c r="C2630" s="7" t="str">
        <f>IFERROR(__xludf.DUMMYFUNCTION("""COMPUTED_VALUE"""),"Target-Oriented Dialogue (TOD) remains a significant challenge in the LLM era, where strategic dialogue planning is crucial for directing conversations toward specific targets. However, existing dialogue planning methods generate dialogue plans in a step-"&amp;"by-step sequential manner, and may suffer from compounding errors and myopic actions. To address these limitations, we introduce a novel dialogue planning framework, DiffTOD, which leverages diffusion models to enable non-sequential dialogue planning. Dif"&amp;"fTOD formulates dialogue planning as a trajectory generation problem with conditional guidance, and leverages a diffusion language model to estimate the likelihood of the dialogue trajectory. To optimize the dialogue action strategies, DiffTOD introduces "&amp;"three tailored guidance mechanisms for different target types, offering flexible guidance toward diverse TOD targets at test time. Extensive experiments across three diverse TOD settings show that DiffTOD can effectively perform non-myopic lookahead explo"&amp;"ration and optimize action strategies over a long horizon through non-sequential dialogue planning, and demonstrates strong flexibility across complex and diverse dialogue scenarios. Our code and data are accessible through https://github.com/ninglab/Diff"&amp;"TOD.")</f>
        <v>Target-Oriented Dialogue (TOD) remains a significant challenge in the LLM era, where strategic dialogue planning is crucial for directing conversations toward specific targets. However, existing dialogue planning methods generate dialogue plans in a step-by-step sequential manner, and may suffer from compounding errors and myopic actions. To address these limitations, we introduce a novel dialogue planning framework, DiffTOD, which leverages diffusion models to enable non-sequential dialogue planning. DiffTOD formulates dialogue planning as a trajectory generation problem with conditional guidance, and leverages a diffusion language model to estimate the likelihood of the dialogue trajectory. To optimize the dialogue action strategies, DiffTOD introduces three tailored guidance mechanisms for different target types, offering flexible guidance toward diverse TOD targets at test time. Extensive experiments across three diverse TOD settings show that DiffTOD can effectively perform non-myopic lookahead exploration and optimize action strategies over a long horizon through non-sequential dialogue planning, and demonstrates strong flexibility across complex and diverse dialogue scenarios. Our code and data are accessible through https://github.com/ninglab/DiffTOD.</v>
      </c>
      <c r="D2630" s="7" t="str">
        <f>IFERROR(__xludf.DUMMYFUNCTION("""COMPUTED_VALUE"""),"Hanwen Du")</f>
        <v>Hanwen Du</v>
      </c>
      <c r="E2630" s="7" t="str">
        <f>IFERROR(__xludf.DUMMYFUNCTION("""COMPUTED_VALUE"""),"Yes")</f>
        <v>Yes</v>
      </c>
      <c r="F2630" s="7" t="str">
        <f>IFERROR(__xludf.DUMMYFUNCTION("""COMPUTED_VALUE"""),"V-Presentation")</f>
        <v>V-Presentation</v>
      </c>
      <c r="G2630" s="7" t="str">
        <f>IFERROR(__xludf.DUMMYFUNCTION("""COMPUTED_VALUE"""),"Virtual/Gather")</f>
        <v>Virtual/Gather</v>
      </c>
      <c r="H2630" s="7" t="str">
        <f>IFERROR(__xludf.DUMMYFUNCTION("""COMPUTED_VALUE"""),"Zoom")</f>
        <v>Zoom</v>
      </c>
      <c r="I2630" s="7" t="str">
        <f>IFERROR(__xludf.DUMMYFUNCTION("""COMPUTED_VALUE"""),"Session 10: V-Presenations")</f>
        <v>Session 10: V-Presenations</v>
      </c>
      <c r="J2630" s="7" t="str">
        <f>IFERROR(__xludf.DUMMYFUNCTION("""COMPUTED_VALUE"""),"Virtual Presentations 3")</f>
        <v>Virtual Presentations 3</v>
      </c>
      <c r="K2630" s="7"/>
      <c r="L2630" s="8">
        <f>IFERROR(__xludf.DUMMYFUNCTION("""COMPUTED_VALUE"""),45867.0)</f>
        <v>45867</v>
      </c>
      <c r="M2630" s="7" t="str">
        <f>IFERROR(__xludf.DUMMYFUNCTION("""COMPUTED_VALUE"""),"16:00-17:30")</f>
        <v>16:00-17:30</v>
      </c>
      <c r="N2630" s="7"/>
    </row>
    <row r="2631">
      <c r="A2631" s="7" t="str">
        <f>IFERROR(__xludf.DUMMYFUNCTION("""COMPUTED_VALUE"""),"2644-MAIN")</f>
        <v>2644-MAIN</v>
      </c>
      <c r="B2631" s="7" t="str">
        <f>IFERROR(__xludf.DUMMYFUNCTION("""COMPUTED_VALUE"""),"Interactive and Expressive Code-Augmented Planning with Large Language Models")</f>
        <v>Interactive and Expressive Code-Augmented Planning with Large Language Models</v>
      </c>
      <c r="C2631" s="7" t="str">
        <f>IFERROR(__xludf.DUMMYFUNCTION("""COMPUTED_VALUE"""),"Large Language Models (LLMs) demonstrate strong abilities in common-sense reasoning and interactive decision-making, but often struggle with complex, long-horizon planning tasks. Recent techniques have sought to structure LLM outputs using control flow an"&amp;"d code to improve planning performance. However, code-based approaches can be error-prone and insufficient for handling ambiguous or unstructured data. To address these challenges, we propose REPL-Plan, an LLM planning approach that is fully code-expressi"&amp;"ve (it can utilize all the benefits of code) while also being dynamic (it can flexibly adapt from errors and use the LLM for soft reasoning). In REPL-Plan, an LLM solves tasks by interacting with a Read-Eval-Print Loop (REPL), which iteratively executes a"&amp;"nd evaluates code, similar to language shells or interactive code notebooks, allowing the model to flexibly correct errors and handle tasks dynamically. We demonstrate that REPL-Plan achieves strong results across various planning domains compared to prev"&amp;"ious methods.")</f>
        <v>Large Language Models (LLMs) demonstrate strong abilities in common-sense reasoning and interactive decision-making, but often struggle with complex, long-horizon planning tasks. Recent techniques have sought to structure LLM outputs using control flow and code to improve planning performance. However, code-based approaches can be error-prone and insufficient for handling ambiguous or unstructured data. To address these challenges, we propose REPL-Plan, an LLM planning approach that is fully code-expressive (it can utilize all the benefits of code) while also being dynamic (it can flexibly adapt from errors and use the LLM for soft reasoning). In REPL-Plan, an LLM solves tasks by interacting with a Read-Eval-Print Loop (REPL), which iteratively executes and evaluates code, similar to language shells or interactive code notebooks, allowing the model to flexibly correct errors and handle tasks dynamically. We demonstrate that REPL-Plan achieves strong results across various planning domains compared to previous methods.</v>
      </c>
      <c r="D2631" s="7" t="str">
        <f>IFERROR(__xludf.DUMMYFUNCTION("""COMPUTED_VALUE"""),"Anthony Liu")</f>
        <v>Anthony Liu</v>
      </c>
      <c r="E2631" s="7" t="str">
        <f>IFERROR(__xludf.DUMMYFUNCTION("""COMPUTED_VALUE"""),"Yes")</f>
        <v>Yes</v>
      </c>
      <c r="F2631" s="7" t="str">
        <f>IFERROR(__xludf.DUMMYFUNCTION("""COMPUTED_VALUE"""),"V-Presentation")</f>
        <v>V-Presentation</v>
      </c>
      <c r="G2631" s="7" t="str">
        <f>IFERROR(__xludf.DUMMYFUNCTION("""COMPUTED_VALUE"""),"Virtual/Gather")</f>
        <v>Virtual/Gather</v>
      </c>
      <c r="H2631" s="7" t="str">
        <f>IFERROR(__xludf.DUMMYFUNCTION("""COMPUTED_VALUE"""),"Zoom")</f>
        <v>Zoom</v>
      </c>
      <c r="I2631" s="7" t="str">
        <f>IFERROR(__xludf.DUMMYFUNCTION("""COMPUTED_VALUE"""),"Session 10: V-Presenations")</f>
        <v>Session 10: V-Presenations</v>
      </c>
      <c r="J2631" s="7" t="str">
        <f>IFERROR(__xludf.DUMMYFUNCTION("""COMPUTED_VALUE"""),"Virtual Presentations 3")</f>
        <v>Virtual Presentations 3</v>
      </c>
      <c r="K2631" s="7"/>
      <c r="L2631" s="8">
        <f>IFERROR(__xludf.DUMMYFUNCTION("""COMPUTED_VALUE"""),45867.0)</f>
        <v>45867</v>
      </c>
      <c r="M2631" s="7" t="str">
        <f>IFERROR(__xludf.DUMMYFUNCTION("""COMPUTED_VALUE"""),"16:00-17:30")</f>
        <v>16:00-17:30</v>
      </c>
      <c r="N2631" s="7"/>
    </row>
    <row r="2632">
      <c r="A2632" s="7" t="str">
        <f>IFERROR(__xludf.DUMMYFUNCTION("""COMPUTED_VALUE"""),"2648-MAIN")</f>
        <v>2648-MAIN</v>
      </c>
      <c r="B2632" s="7" t="str">
        <f>IFERROR(__xludf.DUMMYFUNCTION("""COMPUTED_VALUE"""),"Synergistic Weak-Strong Collaboration by Aligning Preferences")</f>
        <v>Synergistic Weak-Strong Collaboration by Aligning Preferences</v>
      </c>
      <c r="C2632" s="7" t="str">
        <f>IFERROR(__xludf.DUMMYFUNCTION("""COMPUTED_VALUE"""),"Current Large Language Models excel in general reasoning yet struggle with specialized tasks requiring proprietary or domain-specific knowledge. Fine-tuning large models for every niche application is often infeasible due to black-box constraints and high"&amp;" computational overhead. To address this, we propose a collaborative framework that pairs a specialized weak model with a general strong model. The weak model, tailored to specific domains, produces initial drafts and background information, while the str"&amp;"ong model leverages its advanced reasoning to refine these drafts, extending LLMs’ capabilities to critical yet specialized tasks. To optimize this collaboration, we introduce a collaborative feedback to fine-tunes the weak model, which quantifies the inf"&amp;"luence of the weak model’s contributions in the collaboration procedure and establishes preference pairs to guide preference tuning of the weak model. We validate our framework through experiments on three domains. We find that the collaboration significa"&amp;"ntly outperforms each model alone by leveraging complementary strengths. Moreover, aligning the weak model with the collaborative preference further enhances overall performance.")</f>
        <v>Current Large Language Models excel in general reasoning yet struggle with specialized tasks requiring proprietary or domain-specific knowledge. Fine-tuning large models for every niche application is often infeasible due to black-box constraints and high computational overhead. To address this, we propose a collaborative framework that pairs a specialized weak model with a general strong model. The weak model, tailored to specific domains, produces initial drafts and background information, while the strong model leverages its advanced reasoning to refine these drafts, extending LLMs’ capabilities to critical yet specialized tasks. To optimize this collaboration, we introduce a collaborative feedback to fine-tunes the weak model, which quantifies the influence of the weak model’s contributions in the collaboration procedure and establishes preference pairs to guide preference tuning of the weak model. We validate our framework through experiments on three domains. We find that the collaboration significantly outperforms each model alone by leveraging complementary strengths. Moreover, aligning the weak model with the collaborative preference further enhances overall performance.</v>
      </c>
      <c r="D2632" s="7" t="str">
        <f>IFERROR(__xludf.DUMMYFUNCTION("""COMPUTED_VALUE"""),"Yizhu Jiao")</f>
        <v>Yizhu Jiao</v>
      </c>
      <c r="E2632" s="7" t="str">
        <f>IFERROR(__xludf.DUMMYFUNCTION("""COMPUTED_VALUE"""),"Yes")</f>
        <v>Yes</v>
      </c>
      <c r="F2632" s="7" t="str">
        <f>IFERROR(__xludf.DUMMYFUNCTION("""COMPUTED_VALUE"""),"V-Presentation")</f>
        <v>V-Presentation</v>
      </c>
      <c r="G2632" s="7" t="str">
        <f>IFERROR(__xludf.DUMMYFUNCTION("""COMPUTED_VALUE"""),"Virtual/Gather")</f>
        <v>Virtual/Gather</v>
      </c>
      <c r="H2632" s="7" t="str">
        <f>IFERROR(__xludf.DUMMYFUNCTION("""COMPUTED_VALUE"""),"Zoom")</f>
        <v>Zoom</v>
      </c>
      <c r="I2632" s="7" t="str">
        <f>IFERROR(__xludf.DUMMYFUNCTION("""COMPUTED_VALUE"""),"Session 2: V-Presentations")</f>
        <v>Session 2: V-Presentations</v>
      </c>
      <c r="J2632" s="7" t="str">
        <f>IFERROR(__xludf.DUMMYFUNCTION("""COMPUTED_VALUE"""),"Virtual Presentations 1")</f>
        <v>Virtual Presentations 1</v>
      </c>
      <c r="K2632" s="7"/>
      <c r="L2632" s="8">
        <f>IFERROR(__xludf.DUMMYFUNCTION("""COMPUTED_VALUE"""),45866.0)</f>
        <v>45866</v>
      </c>
      <c r="M2632" s="7" t="str">
        <f>IFERROR(__xludf.DUMMYFUNCTION("""COMPUTED_VALUE"""),"11:00-12:30")</f>
        <v>11:00-12:30</v>
      </c>
      <c r="N2632" s="7"/>
    </row>
    <row r="2633">
      <c r="A2633" s="7" t="str">
        <f>IFERROR(__xludf.DUMMYFUNCTION("""COMPUTED_VALUE"""),"2649-MAIN")</f>
        <v>2649-MAIN</v>
      </c>
      <c r="B2633" s="7" t="str">
        <f>IFERROR(__xludf.DUMMYFUNCTION("""COMPUTED_VALUE"""),"Understanding Silent Data Corruption in LLM Training")</f>
        <v>Understanding Silent Data Corruption in LLM Training</v>
      </c>
      <c r="C2633" s="7" t="str">
        <f>IFERROR(__xludf.DUMMYFUNCTION("""COMPUTED_VALUE"""),"As the scale of training large language models (LLMs) increases, one emergent failure is silent data corruption (SDC), where hardware produces incorrect computations without explicit failure signals. In this work, we are the first to investigate the impac"&amp;"t of real-world SDCs on LLM training by comparing model training between healthy production nodes and unhealthy nodes exhibiting SDCs. With the help from a cloud computing platform, we access the unhealthy nodes that were swept out from production by auto"&amp;"mated fleet management. Using deterministic execution via XLA compiler and our proposed synchronization mechanisms, we isolate and analyze the impact of SDC errors on these nodes at three levels: at each submodule computation, at a single optimizer step, "&amp;"and at a training period. Our results reveal that the impact of SDCs on computation varies on different unhealthy nodes. Although in most cases the perturbations from SDCs on submodule computation and gradients are relatively small, SDCs can lead models t"&amp;"o converge to different optima with different weights and even cause spikes in the training loss. Our analysis sheds light on further understanding and mitigating the impact of SDCs.")</f>
        <v>As the scale of training large language models (LLMs) increases, one emergent failure is silent data corruption (SDC), where hardware produces incorrect computations without explicit failure signals. In this work, we are the first to investigate the impact of real-world SDCs on LLM training by comparing model training between healthy production nodes and unhealthy nodes exhibiting SDCs. With the help from a cloud computing platform, we access the unhealthy nodes that were swept out from production by automated fleet management. Using deterministic execution via XLA compiler and our proposed synchronization mechanisms, we isolate and analyze the impact of SDC errors on these nodes at three levels: at each submodule computation, at a single optimizer step, and at a training period. Our results reveal that the impact of SDCs on computation varies on different unhealthy nodes. Although in most cases the perturbations from SDCs on submodule computation and gradients are relatively small, SDCs can lead models to converge to different optima with different weights and even cause spikes in the training loss. Our analysis sheds light on further understanding and mitigating the impact of SDCs.</v>
      </c>
      <c r="D2633" s="7" t="str">
        <f>IFERROR(__xludf.DUMMYFUNCTION("""COMPUTED_VALUE"""),"Jeffrey Ma")</f>
        <v>Jeffrey Ma</v>
      </c>
      <c r="E2633" s="7" t="str">
        <f>IFERROR(__xludf.DUMMYFUNCTION("""COMPUTED_VALUE"""),"Yes")</f>
        <v>Yes</v>
      </c>
      <c r="F2633" s="7" t="str">
        <f>IFERROR(__xludf.DUMMYFUNCTION("""COMPUTED_VALUE"""),"IP-Poster")</f>
        <v>IP-Poster</v>
      </c>
      <c r="G2633" s="7" t="str">
        <f>IFERROR(__xludf.DUMMYFUNCTION("""COMPUTED_VALUE"""),"In-Person")</f>
        <v>In-Person</v>
      </c>
      <c r="H2633" s="7" t="str">
        <f>IFERROR(__xludf.DUMMYFUNCTION("""COMPUTED_VALUE"""),"Hall 4/5")</f>
        <v>Hall 4/5</v>
      </c>
      <c r="I2633" s="7" t="str">
        <f>IFERROR(__xludf.DUMMYFUNCTION("""COMPUTED_VALUE"""),"Session 7: IP-Posters")</f>
        <v>Session 7: IP-Posters</v>
      </c>
      <c r="J2633" s="7" t="str">
        <f>IFERROR(__xludf.DUMMYFUNCTION("""COMPUTED_VALUE"""),"Poster Session 2")</f>
        <v>Poster Session 2</v>
      </c>
      <c r="K2633" s="7"/>
      <c r="L2633" s="8">
        <f>IFERROR(__xludf.DUMMYFUNCTION("""COMPUTED_VALUE"""),45867.0)</f>
        <v>45867</v>
      </c>
      <c r="M2633" s="7" t="str">
        <f>IFERROR(__xludf.DUMMYFUNCTION("""COMPUTED_VALUE"""),"10:30-12:00")</f>
        <v>10:30-12:00</v>
      </c>
      <c r="N2633" s="7"/>
    </row>
    <row r="2634">
      <c r="A2634" s="7" t="str">
        <f>IFERROR(__xludf.DUMMYFUNCTION("""COMPUTED_VALUE"""),"2651-MAIN")</f>
        <v>2651-MAIN</v>
      </c>
      <c r="B2634" s="7" t="str">
        <f>IFERROR(__xludf.DUMMYFUNCTION("""COMPUTED_VALUE"""),"Align-SLM: Textless Spoken Language Models with Reinforcement Learning from AI Feedback")</f>
        <v>Align-SLM: Textless Spoken Language Models with Reinforcement Learning from AI Feedback</v>
      </c>
      <c r="C2634" s="7" t="str">
        <f>IFERROR(__xludf.DUMMYFUNCTION("""COMPUTED_VALUE"""),"While textless Spoken Language Models (SLMs) have shown potential in end-to-end speech-to-speech modeling, they still lag behind text-based Large Language Models (LLMs) in terms of semantic coherence and relevance. This work introduces the \textbf{Align-S"&amp;"LM} framework, which leverages preference optimization inspired by Reinforcement Learning with Human Feedback (RLHF) to enhance the semantic understanding of SLMs. Our approach generates multiple speech continuations from a given prompt and uses LLM-based"&amp;" semantic metrics to create preference data for Direct Preference Optimization (DPO). We evaluate the framework using ZeroSpeech 2021 benchmarks for lexical and syntactic modeling, the spoken version of the StoryCloze dataset for semantic coherence, and o"&amp;"ther speech generation metrics, including the GPT4-o score and human evaluation. Experimental results show that our method achieves the state-of-the-art performance of SLMs for most benchmarks, highlighting the importance of preference optimization to imp"&amp;"rove the semantics of SLMs.")</f>
        <v>While textless Spoken Language Models (SLMs) have shown potential in end-to-end speech-to-speech modeling, they still lag behind text-based Large Language Models (LLMs) in terms of semantic coherence and relevance. This work introduces the \textbf{Align-SLM} framework, which leverages preference optimization inspired by Reinforcement Learning with Human Feedback (RLHF) to enhance the semantic understanding of SLMs. Our approach generates multiple speech continuations from a given prompt and uses LLM-based semantic metrics to create preference data for Direct Preference Optimization (DPO). We evaluate the framework using ZeroSpeech 2021 benchmarks for lexical and syntactic modeling, the spoken version of the StoryCloze dataset for semantic coherence, and other speech generation metrics, including the GPT4-o score and human evaluation. Experimental results show that our method achieves the state-of-the-art performance of SLMs for most benchmarks, highlighting the importance of preference optimization to improve the semantics of SLMs.</v>
      </c>
      <c r="D2634" s="7" t="str">
        <f>IFERROR(__xludf.DUMMYFUNCTION("""COMPUTED_VALUE"""),"Guan-Ting Lin")</f>
        <v>Guan-Ting Lin</v>
      </c>
      <c r="E2634" s="7" t="str">
        <f>IFERROR(__xludf.DUMMYFUNCTION("""COMPUTED_VALUE"""),"Yes")</f>
        <v>Yes</v>
      </c>
      <c r="F2634" s="7" t="str">
        <f>IFERROR(__xludf.DUMMYFUNCTION("""COMPUTED_VALUE"""),"IP-Poster")</f>
        <v>IP-Poster</v>
      </c>
      <c r="G2634" s="7" t="str">
        <f>IFERROR(__xludf.DUMMYFUNCTION("""COMPUTED_VALUE"""),"In-Person")</f>
        <v>In-Person</v>
      </c>
      <c r="H2634" s="7" t="str">
        <f>IFERROR(__xludf.DUMMYFUNCTION("""COMPUTED_VALUE"""),"Hall 4/5")</f>
        <v>Hall 4/5</v>
      </c>
      <c r="I2634" s="7" t="str">
        <f>IFERROR(__xludf.DUMMYFUNCTION("""COMPUTED_VALUE"""),"Session 2: IP-Posters ")</f>
        <v>Session 2: IP-Posters </v>
      </c>
      <c r="J2634" s="7" t="str">
        <f>IFERROR(__xludf.DUMMYFUNCTION("""COMPUTED_VALUE"""),"Poster Session 1")</f>
        <v>Poster Session 1</v>
      </c>
      <c r="K2634" s="7"/>
      <c r="L2634" s="8">
        <f>IFERROR(__xludf.DUMMYFUNCTION("""COMPUTED_VALUE"""),45866.0)</f>
        <v>45866</v>
      </c>
      <c r="M2634" s="7" t="str">
        <f>IFERROR(__xludf.DUMMYFUNCTION("""COMPUTED_VALUE"""),"11:00-12:30")</f>
        <v>11:00-12:30</v>
      </c>
      <c r="N2634" s="7"/>
    </row>
    <row r="2635">
      <c r="A2635" s="7" t="str">
        <f>IFERROR(__xludf.DUMMYFUNCTION("""COMPUTED_VALUE"""),"2652-MAIN")</f>
        <v>2652-MAIN</v>
      </c>
      <c r="B2635" s="7" t="str">
        <f>IFERROR(__xludf.DUMMYFUNCTION("""COMPUTED_VALUE"""),"Can LLMs Help Uncover Insights about LLMs? A Large-Scale, Evolving Literature Analysis of Frontier LLMs")</f>
        <v>Can LLMs Help Uncover Insights about LLMs? A Large-Scale, Evolving Literature Analysis of Frontier LLMs</v>
      </c>
      <c r="C2635" s="7" t="str">
        <f>IFERROR(__xludf.DUMMYFUNCTION("""COMPUTED_VALUE"""),"The surge of LLM studies makes synthesizing their findings challenging. 
Analysis of experimental results from literature can uncover important trends across studies, but the time-consuming nature of manual data extraction limits its use.
Our study presen"&amp;"ts a semi-automated approach for literature analysis that accelerates data extraction using LLMs.
It automatically identifies relevant arXiv papers, extracts experimental results and related attributes, and organizes them into a structured dataset, LLMEva"&amp;"lDB.
We then conduct an automated literature analysis of frontier LLMs, reducing the effort of paper surveying and data extraction by more than 93% compared to manual approaches.
We validate LLMEvalDB by showing that it reproduces key findings from a rece"&amp;"nt manual analysis of Chain-of-Thought (CoT) reasoning and also uncovers new insights that go beyond it, showing, for example, that in-context examples benefit coding &amp; multimodal tasks but offer limited gains in math reasoning tasks compared to zero-shot"&amp;" CoT.
Our automatically updatable dataset enables continuous tracking of target models by extracting evaluation studies as new data becomes available. 
Through LLMEvalDB and empirical analysis, we provide insights into LLMs while facilitating ongoing lite"&amp;"rature analyses of their behavior.")</f>
        <v>The surge of LLM studies makes synthesizing their findings challenging. 
Analysis of experimental results from literature can uncover important trends across studies, but the time-consuming nature of manual data extraction limits its use.
Our study presents a semi-automated approach for literature analysis that accelerates data extraction using LLMs.
It automatically identifies relevant arXiv papers, extracts experimental results and related attributes, and organizes them into a structured dataset, LLMEvalDB.
We then conduct an automated literature analysis of frontier LLMs, reducing the effort of paper surveying and data extraction by more than 93% compared to manual approaches.
We validate LLMEvalDB by showing that it reproduces key findings from a recent manual analysis of Chain-of-Thought (CoT) reasoning and also uncovers new insights that go beyond it, showing, for example, that in-context examples benefit coding &amp; multimodal tasks but offer limited gains in math reasoning tasks compared to zero-shot CoT.
Our automatically updatable dataset enables continuous tracking of target models by extracting evaluation studies as new data becomes available. 
Through LLMEvalDB and empirical analysis, we provide insights into LLMs while facilitating ongoing literature analyses of their behavior.</v>
      </c>
      <c r="D2635" s="7" t="str">
        <f>IFERROR(__xludf.DUMMYFUNCTION("""COMPUTED_VALUE"""),"Jungsoo Park")</f>
        <v>Jungsoo Park</v>
      </c>
      <c r="E2635" s="7" t="str">
        <f>IFERROR(__xludf.DUMMYFUNCTION("""COMPUTED_VALUE"""),"Yes")</f>
        <v>Yes</v>
      </c>
      <c r="F2635" s="7" t="str">
        <f>IFERROR(__xludf.DUMMYFUNCTION("""COMPUTED_VALUE"""),"IP-Poster")</f>
        <v>IP-Poster</v>
      </c>
      <c r="G2635" s="7" t="str">
        <f>IFERROR(__xludf.DUMMYFUNCTION("""COMPUTED_VALUE"""),"In-Person")</f>
        <v>In-Person</v>
      </c>
      <c r="H2635" s="7" t="str">
        <f>IFERROR(__xludf.DUMMYFUNCTION("""COMPUTED_VALUE"""),"Hall 4/5")</f>
        <v>Hall 4/5</v>
      </c>
      <c r="I2635" s="7" t="str">
        <f>IFERROR(__xludf.DUMMYFUNCTION("""COMPUTED_VALUE"""),"Session 10: IP-Posters")</f>
        <v>Session 10: IP-Posters</v>
      </c>
      <c r="J2635" s="7" t="str">
        <f>IFERROR(__xludf.DUMMYFUNCTION("""COMPUTED_VALUE"""),"Poster Session 3")</f>
        <v>Poster Session 3</v>
      </c>
      <c r="K2635" s="7"/>
      <c r="L2635" s="8">
        <f>IFERROR(__xludf.DUMMYFUNCTION("""COMPUTED_VALUE"""),45867.0)</f>
        <v>45867</v>
      </c>
      <c r="M2635" s="7" t="str">
        <f>IFERROR(__xludf.DUMMYFUNCTION("""COMPUTED_VALUE"""),"16:00-17:30")</f>
        <v>16:00-17:30</v>
      </c>
      <c r="N2635" s="7"/>
    </row>
    <row r="2636">
      <c r="A2636" s="7" t="str">
        <f>IFERROR(__xludf.DUMMYFUNCTION("""COMPUTED_VALUE"""),"2655-MAIN")</f>
        <v>2655-MAIN</v>
      </c>
      <c r="B2636" s="7" t="str">
        <f>IFERROR(__xludf.DUMMYFUNCTION("""COMPUTED_VALUE"""),"BIG5-CHAT: Shaping LLM Personalities Through Training on Human-Grounded Data")</f>
        <v>BIG5-CHAT: Shaping LLM Personalities Through Training on Human-Grounded Data</v>
      </c>
      <c r="C2636" s="7" t="str">
        <f>IFERROR(__xludf.DUMMYFUNCTION("""COMPUTED_VALUE"""),"In this work, we tackle the challenge of embedding realistic human personality traits into LLMs. Previous approaches have primarily focused on prompt-based methods that describe the behavior associated with the desired personality traits, suffering from r"&amp;"ealism and validity issues. To address these limitations, we introduce BIG5-CHAT, a large-scale dataset containing 100,000 dialogues designed to ground models in how humans express their personality in text. Leveraging this dataset, we explore Supervised "&amp;"Fine-Tuning and Direct Preference Optimization as training-based methods to align LLMs more naturally with human personality patterns. Our methods outperform prompting on personality assessments such as BFI and IPIP-NEO, with trait correlations more close"&amp;"ly matching human data. Furthermore, our experiments reveal that models trained to exhibit higher conscientiousness, higher agreeableness, lower extraversion, and lower neuroticism display better performance on reasoning tasks, aligning with psychological"&amp;" findings on how these traits impact human cognitive performance. To our knowledge, this work is the first comprehensive study to demonstrate how training-based methods can shape LLM personalities through learning from real human behaviors.")</f>
        <v>In this work, we tackle the challenge of embedding realistic human personality traits into LLMs. Previous approaches have primarily focused on prompt-based methods that describe the behavior associated with the desired personality traits, suffering from realism and validity issues. To address these limitations, we introduce BIG5-CHAT, a large-scale dataset containing 100,000 dialogues designed to ground models in how humans express their personality in text. Leveraging this dataset, we explore Supervised Fine-Tuning and Direct Preference Optimization as training-based methods to align LLMs more naturally with human personality patterns. Our methods outperform prompting on personality assessments such as BFI and IPIP-NEO, with trait correlations more closely matching human data. Furthermore, our experiments reveal that models trained to exhibit higher conscientiousness, higher agreeableness, lower extraversion, and lower neuroticism display better performance on reasoning tasks, aligning with psychological findings on how these traits impact human cognitive performance. To our knowledge, this work is the first comprehensive study to demonstrate how training-based methods can shape LLM personalities through learning from real human behaviors.</v>
      </c>
      <c r="D2636" s="7" t="str">
        <f>IFERROR(__xludf.DUMMYFUNCTION("""COMPUTED_VALUE"""),"Jiarui Liu")</f>
        <v>Jiarui Liu</v>
      </c>
      <c r="E2636" s="7" t="str">
        <f>IFERROR(__xludf.DUMMYFUNCTION("""COMPUTED_VALUE"""),"Yes")</f>
        <v>Yes</v>
      </c>
      <c r="F2636" s="7" t="str">
        <f>IFERROR(__xludf.DUMMYFUNCTION("""COMPUTED_VALUE"""),"IP-Poster")</f>
        <v>IP-Poster</v>
      </c>
      <c r="G2636" s="7" t="str">
        <f>IFERROR(__xludf.DUMMYFUNCTION("""COMPUTED_VALUE"""),"In-Person")</f>
        <v>In-Person</v>
      </c>
      <c r="H2636" s="7" t="str">
        <f>IFERROR(__xludf.DUMMYFUNCTION("""COMPUTED_VALUE"""),"Hall 4/5")</f>
        <v>Hall 4/5</v>
      </c>
      <c r="I2636" s="7" t="str">
        <f>IFERROR(__xludf.DUMMYFUNCTION("""COMPUTED_VALUE"""),"Session 12: IP-Posters")</f>
        <v>Session 12: IP-Posters</v>
      </c>
      <c r="J2636" s="7" t="str">
        <f>IFERROR(__xludf.DUMMYFUNCTION("""COMPUTED_VALUE"""),"Poster Session 4")</f>
        <v>Poster Session 4</v>
      </c>
      <c r="K2636" s="7"/>
      <c r="L2636" s="8">
        <f>IFERROR(__xludf.DUMMYFUNCTION("""COMPUTED_VALUE"""),45868.0)</f>
        <v>45868</v>
      </c>
      <c r="M2636" s="7" t="str">
        <f>IFERROR(__xludf.DUMMYFUNCTION("""COMPUTED_VALUE"""),"11:00-12:30")</f>
        <v>11:00-12:30</v>
      </c>
      <c r="N2636" s="7"/>
    </row>
    <row r="2637">
      <c r="A2637" s="7" t="str">
        <f>IFERROR(__xludf.DUMMYFUNCTION("""COMPUTED_VALUE"""),"2660-MAIN")</f>
        <v>2660-MAIN</v>
      </c>
      <c r="B2637" s="7" t="str">
        <f>IFERROR(__xludf.DUMMYFUNCTION("""COMPUTED_VALUE"""),"Deep Temporal Reasoning in Video Language Models: A Cross-Linguistic Evaluation of Action Duration and Completion through Perfect Times")</f>
        <v>Deep Temporal Reasoning in Video Language Models: A Cross-Linguistic Evaluation of Action Duration and Completion through Perfect Times</v>
      </c>
      <c r="C2637" s="7" t="str">
        <f>IFERROR(__xludf.DUMMYFUNCTION("""COMPUTED_VALUE"""),"Human perception of events is intrinsically tied to distinguishing between completed (perfect and telic) and ongoing (durative) actions, a process mediated by both linguistic structure and visual cues. In this work, we introduce the Perfect Times dataset,"&amp;" a novel, quadrilingual (English, Italian, Russian, and Japanese) multiple-choice question-answering benchmark designed to assess video-language models (VLMs) on temporal reasoning. By pairing everyday activity videos with event completion labels and perf"&amp;"ectivity-tailored distractors, our dataset probes whether models truly comprehend temporal dynamics or merely latch onto superficial markers. Experimental results indicate that state-of-the-art models, despite their success on text-based tasks, struggle t"&amp;"o mirror human-like temporal and causal reasoning grounded in video. This study underscores the necessity of integrating deep multimodal cues to capture the nuances of action duration and completion within temporal and causal video dynamics, setting a new"&amp;" standard for evaluating and advancing temporal reasoning in VLMs.")</f>
        <v>Human perception of events is intrinsically tied to distinguishing between completed (perfect and telic) and ongoing (durative) actions, a process mediated by both linguistic structure and visual cues. In this work, we introduce the Perfect Times dataset, a novel, quadrilingual (English, Italian, Russian, and Japanese) multiple-choice question-answering benchmark designed to assess video-language models (VLMs) on temporal reasoning. By pairing everyday activity videos with event completion labels and perfectivity-tailored distractors, our dataset probes whether models truly comprehend temporal dynamics or merely latch onto superficial markers. Experimental results indicate that state-of-the-art models, despite their success on text-based tasks, struggle to mirror human-like temporal and causal reasoning grounded in video. This study underscores the necessity of integrating deep multimodal cues to capture the nuances of action duration and completion within temporal and causal video dynamics, setting a new standard for evaluating and advancing temporal reasoning in VLMs.</v>
      </c>
      <c r="D2637" s="7" t="str">
        <f>IFERROR(__xludf.DUMMYFUNCTION("""COMPUTED_VALUE"""),"Olga Loginova")</f>
        <v>Olga Loginova</v>
      </c>
      <c r="E2637" s="7" t="str">
        <f>IFERROR(__xludf.DUMMYFUNCTION("""COMPUTED_VALUE"""),"Yes")</f>
        <v>Yes</v>
      </c>
      <c r="F2637" s="7" t="str">
        <f>IFERROR(__xludf.DUMMYFUNCTION("""COMPUTED_VALUE"""),"IP-Poster")</f>
        <v>IP-Poster</v>
      </c>
      <c r="G2637" s="7" t="str">
        <f>IFERROR(__xludf.DUMMYFUNCTION("""COMPUTED_VALUE"""),"In-Person")</f>
        <v>In-Person</v>
      </c>
      <c r="H2637" s="7" t="str">
        <f>IFERROR(__xludf.DUMMYFUNCTION("""COMPUTED_VALUE"""),"Hall 4/5")</f>
        <v>Hall 4/5</v>
      </c>
      <c r="I2637" s="7" t="str">
        <f>IFERROR(__xludf.DUMMYFUNCTION("""COMPUTED_VALUE"""),"Session 2: IP-Posters ")</f>
        <v>Session 2: IP-Posters </v>
      </c>
      <c r="J2637" s="7" t="str">
        <f>IFERROR(__xludf.DUMMYFUNCTION("""COMPUTED_VALUE"""),"Poster Session 1")</f>
        <v>Poster Session 1</v>
      </c>
      <c r="K2637" s="7"/>
      <c r="L2637" s="8">
        <f>IFERROR(__xludf.DUMMYFUNCTION("""COMPUTED_VALUE"""),45866.0)</f>
        <v>45866</v>
      </c>
      <c r="M2637" s="7" t="str">
        <f>IFERROR(__xludf.DUMMYFUNCTION("""COMPUTED_VALUE"""),"11:00-12:30")</f>
        <v>11:00-12:30</v>
      </c>
      <c r="N2637" s="7"/>
    </row>
    <row r="2638">
      <c r="A2638" s="7" t="str">
        <f>IFERROR(__xludf.DUMMYFUNCTION("""COMPUTED_VALUE"""),"2661-MAIN")</f>
        <v>2661-MAIN</v>
      </c>
      <c r="B2638" s="7" t="str">
        <f>IFERROR(__xludf.DUMMYFUNCTION("""COMPUTED_VALUE"""),"Amplifying Trans and Nonbinary Voices: A Community-Centred Harm Taxonomy for LLMs")</f>
        <v>Amplifying Trans and Nonbinary Voices: A Community-Centred Harm Taxonomy for LLMs</v>
      </c>
      <c r="C2638" s="7" t="str">
        <f>IFERROR(__xludf.DUMMYFUNCTION("""COMPUTED_VALUE"""),"We explore large language model (LLM) responses that may negatively impact the transgender and nonbinary (TGNB) community and introduce the Transing Transformers Toolkit, $T^3$, which provides resources for identifying such harmful response behaviors. The"&amp;" heart of $T^3$ is a community-centred taxonomy of harms, developed in collaboration with the TGNB community, which we complement with, amongst other guidance, suggested heuristics for evaluation. To develop the taxonomy, we adopted a multi-method approac"&amp;"h that included surveys and focus groups with community experts. The contribution highlights the importance of community-centred approaches in mitigating harm, and outlines pathways for LLM developers to improve how their models handle TGNB-related topics"&amp;".")</f>
        <v>We explore large language model (LLM) responses that may negatively impact the transgender and nonbinary (TGNB) community and introduce the Transing Transformers Toolkit, $T^3$, which provides resources for identifying such harmful response behaviors. The heart of $T^3$ is a community-centred taxonomy of harms, developed in collaboration with the TGNB community, which we complement with, amongst other guidance, suggested heuristics for evaluation. To develop the taxonomy, we adopted a multi-method approach that included surveys and focus groups with community experts. The contribution highlights the importance of community-centred approaches in mitigating harm, and outlines pathways for LLM developers to improve how their models handle TGNB-related topics.</v>
      </c>
      <c r="D2638" s="7" t="str">
        <f>IFERROR(__xludf.DUMMYFUNCTION("""COMPUTED_VALUE"""),"Eddie L. Ungless (main presenter)
Rebecca Gulatto")</f>
        <v>Eddie L. Ungless (main presenter)
Rebecca Gulatto</v>
      </c>
      <c r="E2638" s="7" t="str">
        <f>IFERROR(__xludf.DUMMYFUNCTION("""COMPUTED_VALUE"""),"Yes")</f>
        <v>Yes</v>
      </c>
      <c r="F2638" s="7" t="str">
        <f>IFERROR(__xludf.DUMMYFUNCTION("""COMPUTED_VALUE"""),"IP-Oral")</f>
        <v>IP-Oral</v>
      </c>
      <c r="G2638" s="7" t="str">
        <f>IFERROR(__xludf.DUMMYFUNCTION("""COMPUTED_VALUE"""),"In-Person")</f>
        <v>In-Person</v>
      </c>
      <c r="H2638" s="7" t="str">
        <f>IFERROR(__xludf.DUMMYFUNCTION("""COMPUTED_VALUE"""),"Hall M.2")</f>
        <v>Hall M.2</v>
      </c>
      <c r="I2638" s="7" t="str">
        <f>IFERROR(__xludf.DUMMYFUNCTION("""COMPUTED_VALUE"""),"Session 3: IP-Orals")</f>
        <v>Session 3: IP-Orals</v>
      </c>
      <c r="J2638" s="7" t="str">
        <f>IFERROR(__xludf.DUMMYFUNCTION("""COMPUTED_VALUE"""),"Ethics, Bias, and Fairness")</f>
        <v>Ethics, Bias, and Fairness</v>
      </c>
      <c r="K2638" s="7"/>
      <c r="L2638" s="8">
        <f>IFERROR(__xludf.DUMMYFUNCTION("""COMPUTED_VALUE"""),45866.0)</f>
        <v>45866</v>
      </c>
      <c r="M2638" s="7" t="str">
        <f>IFERROR(__xludf.DUMMYFUNCTION("""COMPUTED_VALUE"""),"14:00-15:30")</f>
        <v>14:00-15:30</v>
      </c>
      <c r="N2638" s="7">
        <f>IFERROR(__xludf.DUMMYFUNCTION("""COMPUTED_VALUE"""),5.0)</f>
        <v>5</v>
      </c>
    </row>
    <row r="2639">
      <c r="A2639" s="7" t="str">
        <f>IFERROR(__xludf.DUMMYFUNCTION("""COMPUTED_VALUE"""),"2662-MAIN")</f>
        <v>2662-MAIN</v>
      </c>
      <c r="B2639" s="7" t="str">
        <f>IFERROR(__xludf.DUMMYFUNCTION("""COMPUTED_VALUE"""),"Enhancing Human Evaluation in Machine Translation with Comparative Judgement")</f>
        <v>Enhancing Human Evaluation in Machine Translation with Comparative Judgement</v>
      </c>
      <c r="C2639" s="7" t="str">
        <f>IFERROR(__xludf.DUMMYFUNCTION("""COMPUTED_VALUE"""),"Human evaluation is crucial for assessing rapidly evolving language models but is influenced by annotator proficiency and task design. This study explores the integration of comparative judgment into human annotation for machine translation (MT) and evalu"&amp;"ates three annotation setups—point-wise Multidimensional Quality Metrics (MQM), side-by-side (S×S) MQM, and its simplified version S×S relative ranking (RR). In MQM, annotators mark error spans with categories and severity levels. S×S MQM extends MQM to p"&amp;"airwise error annotation for two translations of the same input, while S×S RR focuses on selecting the better output without labeling errors.
Key findings are: (1) the S×S settings achieve higher inter-annotator agreement than MQM; (2) S×S MQM enhances i"&amp;"nter-translation error marking consistency compared to MQM by, on average, 38.5% for explicitly compared MT systems and 19.5% for others; (3) all annotation settings return stable system rankings, with S×S RR offering a more efficient alternative to (S×S)"&amp;" MQM; (4) the S×S settings highlight subtle errors overlooked in MQM without altering absolute system evaluations.
To spur further research, we will release the triply annotated datasets comprising 377 ZhEn and 104 EnDe annotation examples, each covering"&amp;" 10 systems.")</f>
        <v>Human evaluation is crucial for assessing rapidly evolving language models but is influenced by annotator proficiency and task design. This study explores the integration of comparative judgment into human annotation for machine translation (MT) and evaluates three annotation setups—point-wise Multidimensional Quality Metrics (MQM), side-by-side (S×S) MQM, and its simplified version S×S relative ranking (RR). In MQM, annotators mark error spans with categories and severity levels. S×S MQM extends MQM to pairwise error annotation for two translations of the same input, while S×S RR focuses on selecting the better output without labeling errors.
Key findings are: (1) the S×S settings achieve higher inter-annotator agreement than MQM; (2) S×S MQM enhances inter-translation error marking consistency compared to MQM by, on average, 38.5% for explicitly compared MT systems and 19.5% for others; (3) all annotation settings return stable system rankings, with S×S RR offering a more efficient alternative to (S×S) MQM; (4) the S×S settings highlight subtle errors overlooked in MQM without altering absolute system evaluations.
To spur further research, we will release the triply annotated datasets comprising 377 ZhEn and 104 EnDe annotation examples, each covering 10 systems.</v>
      </c>
      <c r="D2639" s="7" t="str">
        <f>IFERROR(__xludf.DUMMYFUNCTION("""COMPUTED_VALUE"""),"Yixiao Song")</f>
        <v>Yixiao Song</v>
      </c>
      <c r="E2639" s="7" t="str">
        <f>IFERROR(__xludf.DUMMYFUNCTION("""COMPUTED_VALUE"""),"Yes")</f>
        <v>Yes</v>
      </c>
      <c r="F2639" s="7" t="str">
        <f>IFERROR(__xludf.DUMMYFUNCTION("""COMPUTED_VALUE"""),"V-Presentation")</f>
        <v>V-Presentation</v>
      </c>
      <c r="G2639" s="7" t="str">
        <f>IFERROR(__xludf.DUMMYFUNCTION("""COMPUTED_VALUE"""),"Virtual/Gather")</f>
        <v>Virtual/Gather</v>
      </c>
      <c r="H2639" s="7" t="str">
        <f>IFERROR(__xludf.DUMMYFUNCTION("""COMPUTED_VALUE"""),"Zoom")</f>
        <v>Zoom</v>
      </c>
      <c r="I2639" s="7" t="str">
        <f>IFERROR(__xludf.DUMMYFUNCTION("""COMPUTED_VALUE"""),"Session 10: V-Presenations")</f>
        <v>Session 10: V-Presenations</v>
      </c>
      <c r="J2639" s="7" t="str">
        <f>IFERROR(__xludf.DUMMYFUNCTION("""COMPUTED_VALUE"""),"Virtual Presentations 3")</f>
        <v>Virtual Presentations 3</v>
      </c>
      <c r="K2639" s="7"/>
      <c r="L2639" s="8">
        <f>IFERROR(__xludf.DUMMYFUNCTION("""COMPUTED_VALUE"""),45867.0)</f>
        <v>45867</v>
      </c>
      <c r="M2639" s="7" t="str">
        <f>IFERROR(__xludf.DUMMYFUNCTION("""COMPUTED_VALUE"""),"16:00-17:30")</f>
        <v>16:00-17:30</v>
      </c>
      <c r="N2639" s="7"/>
    </row>
    <row r="2640">
      <c r="A2640" s="7" t="str">
        <f>IFERROR(__xludf.DUMMYFUNCTION("""COMPUTED_VALUE"""),"2663-MAIN")</f>
        <v>2663-MAIN</v>
      </c>
      <c r="B2640" s="7" t="str">
        <f>IFERROR(__xludf.DUMMYFUNCTION("""COMPUTED_VALUE"""),"Infogen: Generating Complex Statistical Infographics from Documents")</f>
        <v>Infogen: Generating Complex Statistical Infographics from Documents</v>
      </c>
      <c r="C2640" s="7" t="str">
        <f>IFERROR(__xludf.DUMMYFUNCTION("""COMPUTED_VALUE"""),"Statistical infographics are powerful tools that simplify complex data into visually engaging and easy-to-understand formats. Despite advancements in AI, particularly with LLMs, existing efforts have been limited to generating simple charts, with no prior"&amp;" work addressing the creation of complex infographics from text-heavy documents that demand a deep understanding of the content. We address this gap by introducing the task of generating {\it statistical infographics} composed of multiple sub-charts (e.g."&amp;", line, bar, pie) that are contextually accurate, insightful, and visually aligned. To achieve this, we define infographic metadata, that includes its title and textual insights, along with sub-chart-specific details such as their corresponding data, alig"&amp;"nment, etc. We also present \textbf{\textit{Infodat}}, the first benchmark dataset for text-to-infographic metadata generation, where each sample links a document to its metadata. We propose \textbf{\textit{Infogen}}, a two-stage framework where fine-tune"&amp;"d LLMs first generate metadata, which is then converted into infographic code. Extensive evaluations on \textbf{\textit{Infodat}} demonstrate that \textbf{\textit{Infogen}} achieves state-of-the-art performance, outperforming both closed and open-source L"&amp;"LMs in text-to-statistical infographic generation.")</f>
        <v>Statistical infographics are powerful tools that simplify complex data into visually engaging and easy-to-understand formats. Despite advancements in AI, particularly with LLMs, existing efforts have been limited to generating simple charts, with no prior work addressing the creation of complex infographics from text-heavy documents that demand a deep understanding of the content. We address this gap by introducing the task of generating {\it statistical infographics} composed of multiple sub-charts (e.g., line, bar, pie) that are contextually accurate, insightful, and visually aligned. To achieve this, we define infographic metadata, that includes its title and textual insights, along with sub-chart-specific details such as their corresponding data, alignment, etc. We also present \textbf{\textit{Infodat}}, the first benchmark dataset for text-to-infographic metadata generation, where each sample links a document to its metadata. We propose \textbf{\textit{Infogen}}, a two-stage framework where fine-tuned LLMs first generate metadata, which is then converted into infographic code. Extensive evaluations on \textbf{\textit{Infodat}} demonstrate that \textbf{\textit{Infogen}} achieves state-of-the-art performance, outperforming both closed and open-source LLMs in text-to-statistical infographic generation.</v>
      </c>
      <c r="D2640" s="7" t="str">
        <f>IFERROR(__xludf.DUMMYFUNCTION("""COMPUTED_VALUE"""),"Sambaran Bandyopadhyay")</f>
        <v>Sambaran Bandyopadhyay</v>
      </c>
      <c r="E2640" s="7" t="str">
        <f>IFERROR(__xludf.DUMMYFUNCTION("""COMPUTED_VALUE"""),"Yes")</f>
        <v>Yes</v>
      </c>
      <c r="F2640" s="7" t="str">
        <f>IFERROR(__xludf.DUMMYFUNCTION("""COMPUTED_VALUE"""),"IP-Poster")</f>
        <v>IP-Poster</v>
      </c>
      <c r="G2640" s="7" t="str">
        <f>IFERROR(__xludf.DUMMYFUNCTION("""COMPUTED_VALUE"""),"In-Person")</f>
        <v>In-Person</v>
      </c>
      <c r="H2640" s="7" t="str">
        <f>IFERROR(__xludf.DUMMYFUNCTION("""COMPUTED_VALUE"""),"Hall 4/5")</f>
        <v>Hall 4/5</v>
      </c>
      <c r="I2640" s="7" t="str">
        <f>IFERROR(__xludf.DUMMYFUNCTION("""COMPUTED_VALUE"""),"Session 2: IP-Posters ")</f>
        <v>Session 2: IP-Posters </v>
      </c>
      <c r="J2640" s="7" t="str">
        <f>IFERROR(__xludf.DUMMYFUNCTION("""COMPUTED_VALUE"""),"Poster Session 1")</f>
        <v>Poster Session 1</v>
      </c>
      <c r="K2640" s="7"/>
      <c r="L2640" s="8">
        <f>IFERROR(__xludf.DUMMYFUNCTION("""COMPUTED_VALUE"""),45866.0)</f>
        <v>45866</v>
      </c>
      <c r="M2640" s="7" t="str">
        <f>IFERROR(__xludf.DUMMYFUNCTION("""COMPUTED_VALUE"""),"11:00-12:30")</f>
        <v>11:00-12:30</v>
      </c>
      <c r="N2640" s="7"/>
    </row>
    <row r="2641">
      <c r="A2641" s="7" t="str">
        <f>IFERROR(__xludf.DUMMYFUNCTION("""COMPUTED_VALUE"""),"2664-MAIN")</f>
        <v>2664-MAIN</v>
      </c>
      <c r="B2641" s="7" t="str">
        <f>IFERROR(__xludf.DUMMYFUNCTION("""COMPUTED_VALUE"""),"Partial Colexifications Improve Concept Embeddings")</f>
        <v>Partial Colexifications Improve Concept Embeddings</v>
      </c>
      <c r="C2641" s="7" t="str">
        <f>IFERROR(__xludf.DUMMYFUNCTION("""COMPUTED_VALUE"""),"While the embedding of words has revolutionized the field of Natural Language Processing, the embedding of concepts has received much less attention so far. A dense and meaningful representation of concepts, however, could prove useful for several tasks i"&amp;"n computational linguistics, especially those involving cross-linguistic data or sparse data from low resource languages. First methods that have been proposed so far embed concepts from automatically constructed colexification networks. While these appro"&amp;"aches depart from automatically inferred polysemies, attested across a larger number of languages, they are restricted to the word level, ignoring lexical relations that would only hold for parts of the words in a given language. Building on recently intr"&amp;"oduced methods for the inference of partial colexifications, we show how they can be used to improve concept embeddings in meaningful ways. The learned embeddings are evaluated against lexical similarity ratings, recorded instances of semantic shift, and "&amp;"word association data. We show that in all evaluation tasks, the inclusion of partial colexifications lead to improved concept representations and better results. Our results further show that the learned embeddings are able to capture and represent diffe"&amp;"rent semantic relationships between concepts.")</f>
        <v>While the embedding of words has revolutionized the field of Natural Language Processing, the embedding of concepts has received much less attention so far. A dense and meaningful representation of concepts, however, could prove useful for several tasks in computational linguistics, especially those involving cross-linguistic data or sparse data from low resource languages. First methods that have been proposed so far embed concepts from automatically constructed colexification networks. While these approaches depart from automatically inferred polysemies, attested across a larger number of languages, they are restricted to the word level, ignoring lexical relations that would only hold for parts of the words in a given language. Building on recently introduced methods for the inference of partial colexifications, we show how they can be used to improve concept embeddings in meaningful ways. The learned embeddings are evaluated against lexical similarity ratings, recorded instances of semantic shift, and word association data. We show that in all evaluation tasks, the inclusion of partial colexifications lead to improved concept representations and better results. Our results further show that the learned embeddings are able to capture and represent different semantic relationships between concepts.</v>
      </c>
      <c r="D2641" s="7" t="str">
        <f>IFERROR(__xludf.DUMMYFUNCTION("""COMPUTED_VALUE"""),"Arne Rubehn")</f>
        <v>Arne Rubehn</v>
      </c>
      <c r="E2641" s="7" t="str">
        <f>IFERROR(__xludf.DUMMYFUNCTION("""COMPUTED_VALUE"""),"Yes")</f>
        <v>Yes</v>
      </c>
      <c r="F2641" s="7" t="str">
        <f>IFERROR(__xludf.DUMMYFUNCTION("""COMPUTED_VALUE"""),"IP-Poster")</f>
        <v>IP-Poster</v>
      </c>
      <c r="G2641" s="7" t="str">
        <f>IFERROR(__xludf.DUMMYFUNCTION("""COMPUTED_VALUE"""),"In-Person")</f>
        <v>In-Person</v>
      </c>
      <c r="H2641" s="7" t="str">
        <f>IFERROR(__xludf.DUMMYFUNCTION("""COMPUTED_VALUE"""),"Hall 4/5")</f>
        <v>Hall 4/5</v>
      </c>
      <c r="I2641" s="7" t="str">
        <f>IFERROR(__xludf.DUMMYFUNCTION("""COMPUTED_VALUE"""),"Session 2: IP-Posters ")</f>
        <v>Session 2: IP-Posters </v>
      </c>
      <c r="J2641" s="7" t="str">
        <f>IFERROR(__xludf.DUMMYFUNCTION("""COMPUTED_VALUE"""),"Poster Session 1")</f>
        <v>Poster Session 1</v>
      </c>
      <c r="K2641" s="7"/>
      <c r="L2641" s="8">
        <f>IFERROR(__xludf.DUMMYFUNCTION("""COMPUTED_VALUE"""),45866.0)</f>
        <v>45866</v>
      </c>
      <c r="M2641" s="7" t="str">
        <f>IFERROR(__xludf.DUMMYFUNCTION("""COMPUTED_VALUE"""),"11:00-12:30")</f>
        <v>11:00-12:30</v>
      </c>
      <c r="N2641" s="7"/>
    </row>
    <row r="2642">
      <c r="A2642" s="7" t="str">
        <f>IFERROR(__xludf.DUMMYFUNCTION("""COMPUTED_VALUE"""),"2666-MAIN")</f>
        <v>2666-MAIN</v>
      </c>
      <c r="B2642" s="7" t="str">
        <f>IFERROR(__xludf.DUMMYFUNCTION("""COMPUTED_VALUE"""),"Improved Unbiased Watermark for Large Language Models")</f>
        <v>Improved Unbiased Watermark for Large Language Models</v>
      </c>
      <c r="C2642" s="7" t="str">
        <f>IFERROR(__xludf.DUMMYFUNCTION("""COMPUTED_VALUE"""),"As artificial intelligence surpasses human capabilities in text generation, the necessity to authenticate the origins of AI-generated content has become paramount. Unbiased watermarks offer a powerful solution by embedding statistical signals into languag"&amp;"e model-generated text without distorting the quality. In this paper, we introduce MCmark, a family of unbiased, Multi-Channel-based watermarks. MCmark works by partitioning the model's vocabulary into segments and promoting token probabilities within a s"&amp;"elected segment based on a watermark key. We demonstrate that MCmark not only preserves the original distribution of the language model but also offers significant improvements in detectability and robustness over existing unbiased watermarks. Our experim"&amp;"ents with widely-used language models demonstrate an improvement in detectability of over 10% using MCmark, compared to existing state-of-the-art unbiased watermarks. This advancement underscores MCmark's potential in enhancing the practical application o"&amp;"f watermarking in AI-generated texts.")</f>
        <v>As artificial intelligence surpasses human capabilities in text generation, the necessity to authenticate the origins of AI-generated content has become paramount. Unbiased watermarks offer a powerful solution by embedding statistical signals into language model-generated text without distorting the quality. In this paper, we introduce MCmark, a family of unbiased, Multi-Channel-based watermarks. MCmark works by partitioning the model's vocabulary into segments and promoting token probabilities within a selected segment based on a watermark key. We demonstrate that MCmark not only preserves the original distribution of the language model but also offers significant improvements in detectability and robustness over existing unbiased watermarks. Our experiments with widely-used language models demonstrate an improvement in detectability of over 10% using MCmark, compared to existing state-of-the-art unbiased watermarks. This advancement underscores MCmark's potential in enhancing the practical application of watermarking in AI-generated texts.</v>
      </c>
      <c r="D2642" s="7" t="str">
        <f>IFERROR(__xludf.DUMMYFUNCTION("""COMPUTED_VALUE"""),"Ruibo Chen")</f>
        <v>Ruibo Chen</v>
      </c>
      <c r="E2642" s="7" t="str">
        <f>IFERROR(__xludf.DUMMYFUNCTION("""COMPUTED_VALUE"""),"Yes")</f>
        <v>Yes</v>
      </c>
      <c r="F2642" s="7" t="str">
        <f>IFERROR(__xludf.DUMMYFUNCTION("""COMPUTED_VALUE"""),"V-Presentation")</f>
        <v>V-Presentation</v>
      </c>
      <c r="G2642" s="7" t="str">
        <f>IFERROR(__xludf.DUMMYFUNCTION("""COMPUTED_VALUE"""),"Virtual/Gather")</f>
        <v>Virtual/Gather</v>
      </c>
      <c r="H2642" s="7" t="str">
        <f>IFERROR(__xludf.DUMMYFUNCTION("""COMPUTED_VALUE"""),"Zoom")</f>
        <v>Zoom</v>
      </c>
      <c r="I2642" s="7" t="str">
        <f>IFERROR(__xludf.DUMMYFUNCTION("""COMPUTED_VALUE"""),"Session 10: V-Presenations")</f>
        <v>Session 10: V-Presenations</v>
      </c>
      <c r="J2642" s="7" t="str">
        <f>IFERROR(__xludf.DUMMYFUNCTION("""COMPUTED_VALUE"""),"Virtual Presentations 3")</f>
        <v>Virtual Presentations 3</v>
      </c>
      <c r="K2642" s="7"/>
      <c r="L2642" s="8">
        <f>IFERROR(__xludf.DUMMYFUNCTION("""COMPUTED_VALUE"""),45867.0)</f>
        <v>45867</v>
      </c>
      <c r="M2642" s="7" t="str">
        <f>IFERROR(__xludf.DUMMYFUNCTION("""COMPUTED_VALUE"""),"16:00-17:30")</f>
        <v>16:00-17:30</v>
      </c>
      <c r="N2642" s="7"/>
    </row>
    <row r="2643">
      <c r="A2643" s="7" t="str">
        <f>IFERROR(__xludf.DUMMYFUNCTION("""COMPUTED_VALUE"""),"2676-MAIN")</f>
        <v>2676-MAIN</v>
      </c>
      <c r="B2643" s="7" t="str">
        <f>IFERROR(__xludf.DUMMYFUNCTION("""COMPUTED_VALUE"""),"MaCP: Minimal yet Mighty Adaptation via Hierarchical Cosine Projection")</f>
        <v>MaCP: Minimal yet Mighty Adaptation via Hierarchical Cosine Projection</v>
      </c>
      <c r="C2643" s="7" t="str">
        <f>IFERROR(__xludf.DUMMYFUNCTION("""COMPUTED_VALUE"""),"We present a new adaptation method MaCP, Minimal yet Mighty adaptive Cosine Projection, that achieves exceptional performance while requiring minimal parameters and memory for fine-tuning large foundation models.
Its general idea is to exploit the superio"&amp;"r energy compaction and decorrelation properties of cosine projection to improve both model efficiency and accuracy.
Specifically, it projects the weight change from the low-rank adaptation into the discrete cosine space.
Then, the weight change is partit"&amp;"ioned over different levels of the discrete cosine spectrum, and each partition's most critical frequency components are selected.
Extensive experiments demonstrate the effectiveness of MaCP across a wide range of single-modality tasks, including natural "&amp;"language understanding, natural language generation, text summarization, as well as multi-modality tasks such as image classification and video understanding. 
MaCP consistently delivers superior accuracy, significantly reduced computational complexity, a"&amp;"nd lower memory requirements compared to existing alternatives.")</f>
        <v>We present a new adaptation method MaCP, Minimal yet Mighty adaptive Cosine Projection, that achieves exceptional performance while requiring minimal parameters and memory for fine-tuning large foundation models.
Its general idea is to exploit the superior energy compaction and decorrelation properties of cosine projection to improve both model efficiency and accuracy.
Specifically, it projects the weight change from the low-rank adaptation into the discrete cosine space.
Then, the weight change is partitioned over different levels of the discrete cosine spectrum, and each partition's most critical frequency components are selected.
Extensive experiments demonstrate the effectiveness of MaCP across a wide range of single-modality tasks, including natural language understanding, natural language generation, text summarization, as well as multi-modality tasks such as image classification and video understanding. 
MaCP consistently delivers superior accuracy, significantly reduced computational complexity, and lower memory requirements compared to existing alternatives.</v>
      </c>
      <c r="D2643" s="7" t="str">
        <f>IFERROR(__xludf.DUMMYFUNCTION("""COMPUTED_VALUE"""),"Yixian Shen")</f>
        <v>Yixian Shen</v>
      </c>
      <c r="E2643" s="7" t="str">
        <f>IFERROR(__xludf.DUMMYFUNCTION("""COMPUTED_VALUE"""),"Yes")</f>
        <v>Yes</v>
      </c>
      <c r="F2643" s="7" t="str">
        <f>IFERROR(__xludf.DUMMYFUNCTION("""COMPUTED_VALUE"""),"IP-Poster")</f>
        <v>IP-Poster</v>
      </c>
      <c r="G2643" s="7" t="str">
        <f>IFERROR(__xludf.DUMMYFUNCTION("""COMPUTED_VALUE"""),"In-Person")</f>
        <v>In-Person</v>
      </c>
      <c r="H2643" s="7" t="str">
        <f>IFERROR(__xludf.DUMMYFUNCTION("""COMPUTED_VALUE"""),"Hall 4/5")</f>
        <v>Hall 4/5</v>
      </c>
      <c r="I2643" s="7" t="str">
        <f>IFERROR(__xludf.DUMMYFUNCTION("""COMPUTED_VALUE"""),"Session 2: IP-Posters ")</f>
        <v>Session 2: IP-Posters </v>
      </c>
      <c r="J2643" s="7" t="str">
        <f>IFERROR(__xludf.DUMMYFUNCTION("""COMPUTED_VALUE"""),"Poster Session 1")</f>
        <v>Poster Session 1</v>
      </c>
      <c r="K2643" s="7"/>
      <c r="L2643" s="8">
        <f>IFERROR(__xludf.DUMMYFUNCTION("""COMPUTED_VALUE"""),45866.0)</f>
        <v>45866</v>
      </c>
      <c r="M2643" s="7" t="str">
        <f>IFERROR(__xludf.DUMMYFUNCTION("""COMPUTED_VALUE"""),"11:00-12:30")</f>
        <v>11:00-12:30</v>
      </c>
      <c r="N2643" s="7"/>
    </row>
    <row r="2644">
      <c r="A2644" s="7" t="str">
        <f>IFERROR(__xludf.DUMMYFUNCTION("""COMPUTED_VALUE"""),"2677-MAIN")</f>
        <v>2677-MAIN</v>
      </c>
      <c r="B2644" s="7" t="str">
        <f>IFERROR(__xludf.DUMMYFUNCTION("""COMPUTED_VALUE"""),"Multi-Attribute Steering of Language Models via Targeted Intervention")</f>
        <v>Multi-Attribute Steering of Language Models via Targeted Intervention</v>
      </c>
      <c r="C2644" s="7" t="str">
        <f>IFERROR(__xludf.DUMMYFUNCTION("""COMPUTED_VALUE"""),"Inference-time intervention (ITI) has emerged as a promising method for steering large language model (LLM) behavior in a particular direction (e.g., improving helpfulness) by intervening on token representations without costly updates to the LLM's parame"&amp;"ters. However, existing ITI approaches fail to scale to multi-attribute settings with conflicts, such as enhancing helpfulness while also reducing toxicity. To address this, we introduce Multi-Attribute Targeted Steering (MAT-Steer), a novel steering fram"&amp;"ework designed for selective token-level intervention across multiple attributes. We achieve this by learning steering vectors using an alignment objective that shifts the model's internal representations of undesirable outputs closer to those of desirabl"&amp;"e ones while enforcing sparsity and orthogonality among vectors for different attributes, thereby reducing inter-attribute conflicts. We evaluate MAT-Steer in two distinct settings: (i) on question answering (QA) tasks where we balance attributes like tru"&amp;"thfulness, bias, and toxicity; (ii) on generative tasks where we simultaneously improve attributes like helpfulness, correctness, and coherence. MAT-Steer outperforms existing ITI and parameter-efficient fine-tuning approaches across both task types (e.g."&amp;", average 3% accuracy gain across QA tasks and 55.82% win rate against the best ITI baseline).")</f>
        <v>Inference-time intervention (ITI) has emerged as a promising method for steering large language model (LLM) behavior in a particular direction (e.g., improving helpfulness) by intervening on token representations without costly updates to the LLM's parameters. However, existing ITI approaches fail to scale to multi-attribute settings with conflicts, such as enhancing helpfulness while also reducing toxicity. To address this, we introduce Multi-Attribute Targeted Steering (MAT-Steer), a novel steering framework designed for selective token-level intervention across multiple attributes. We achieve this by learning steering vectors using an alignment objective that shifts the model's internal representations of undesirable outputs closer to those of desirable ones while enforcing sparsity and orthogonality among vectors for different attributes, thereby reducing inter-attribute conflicts. We evaluate MAT-Steer in two distinct settings: (i) on question answering (QA) tasks where we balance attributes like truthfulness, bias, and toxicity; (ii) on generative tasks where we simultaneously improve attributes like helpfulness, correctness, and coherence. MAT-Steer outperforms existing ITI and parameter-efficient fine-tuning approaches across both task types (e.g., average 3% accuracy gain across QA tasks and 55.82% win rate against the best ITI baseline).</v>
      </c>
      <c r="D2644" s="7" t="str">
        <f>IFERROR(__xludf.DUMMYFUNCTION("""COMPUTED_VALUE"""),"Elias Stengel-Eskin")</f>
        <v>Elias Stengel-Eskin</v>
      </c>
      <c r="E2644" s="7" t="str">
        <f>IFERROR(__xludf.DUMMYFUNCTION("""COMPUTED_VALUE"""),"Yes")</f>
        <v>Yes</v>
      </c>
      <c r="F2644" s="7" t="str">
        <f>IFERROR(__xludf.DUMMYFUNCTION("""COMPUTED_VALUE"""),"IP-Poster")</f>
        <v>IP-Poster</v>
      </c>
      <c r="G2644" s="7" t="str">
        <f>IFERROR(__xludf.DUMMYFUNCTION("""COMPUTED_VALUE"""),"In-Person")</f>
        <v>In-Person</v>
      </c>
      <c r="H2644" s="7" t="str">
        <f>IFERROR(__xludf.DUMMYFUNCTION("""COMPUTED_VALUE"""),"Hall 4/5")</f>
        <v>Hall 4/5</v>
      </c>
      <c r="I2644" s="7" t="str">
        <f>IFERROR(__xludf.DUMMYFUNCTION("""COMPUTED_VALUE"""),"Session 12: IP-Posters")</f>
        <v>Session 12: IP-Posters</v>
      </c>
      <c r="J2644" s="7" t="str">
        <f>IFERROR(__xludf.DUMMYFUNCTION("""COMPUTED_VALUE"""),"Poster Session 4")</f>
        <v>Poster Session 4</v>
      </c>
      <c r="K2644" s="7"/>
      <c r="L2644" s="8">
        <f>IFERROR(__xludf.DUMMYFUNCTION("""COMPUTED_VALUE"""),45868.0)</f>
        <v>45868</v>
      </c>
      <c r="M2644" s="7" t="str">
        <f>IFERROR(__xludf.DUMMYFUNCTION("""COMPUTED_VALUE"""),"11:00-12:30")</f>
        <v>11:00-12:30</v>
      </c>
      <c r="N2644" s="7"/>
    </row>
    <row r="2645">
      <c r="A2645" s="7" t="str">
        <f>IFERROR(__xludf.DUMMYFUNCTION("""COMPUTED_VALUE"""),"2678-MAIN")</f>
        <v>2678-MAIN</v>
      </c>
      <c r="B2645" s="7" t="str">
        <f>IFERROR(__xludf.DUMMYFUNCTION("""COMPUTED_VALUE"""),"AdaptAgent: Adapting Multimodal Web Agents with Few-Shot Learning from Human Demonstrations")</f>
        <v>AdaptAgent: Adapting Multimodal Web Agents with Few-Shot Learning from Human Demonstrations</v>
      </c>
      <c r="C2645" s="7" t="str">
        <f>IFERROR(__xludf.DUMMYFUNCTION("""COMPUTED_VALUE"""),"State-of-the-art multimodal web agents, powered by Multimodal Large Language Models (MLLMs), can autonomously execute many web tasks by processing user instructions and interacting with graphical user interfaces (GUIs). Current strategies for building web"&amp;" agents rely on (i) the generalizability of underlying MLLMs and their steerability via prompting, and (ii) large-scale fine-tuning of MLLMs on web-related tasks. However, web agents still struggle to automate tasks on unseen websites and domains, limitin"&amp;"g their applicability to enterprise-specific and proprietary platforms. Beyond generalization from large-scale pre-training and fine-tuning, we propose building agents for few-shot adaptability using human demonstrations. We introduce the AdaptAgent frame"&amp;"work that enables both proprietary and open-weights multimodal web agents to adapt to new websites and domains using few human demonstrations (up to 2). Our experiments on two popular benchmarks — Mind2Web &amp; VisualWebArena — show that using in-context dem"&amp;"onstrations (for proprietary models) or meta-adaptation demonstrations (for meta-learned open-weights models) boosts task success rate by 3.36% to 7.21% over non-adapted state-of-the-art models, corresponding to a relative increase of 21.03% to 65.75%. Fu"&amp;"rthermore, our additional analyses (a) show the effectiveness of multimodal demonstrations over text-only ones, (b) illuminate how different meta-learning data selection strategies influence the agent’s generalization, and (c) demonstrate how the number o"&amp;"f few-shot examples affects the web agent’s success rate. Our results offer a complementary axis for developing widely applicable multimodal web agents beyond large-scale pre-training and fine-tuning, emphasizing few-shot adaptability.")</f>
        <v>State-of-the-art multimodal web agents, powered by Multimodal Large Language Models (MLLMs), can autonomously execute many web tasks by processing user instructions and interacting with graphical user interfaces (GUIs). Current strategies for building web agents rely on (i) the generalizability of underlying MLLMs and their steerability via prompting, and (ii) large-scale fine-tuning of MLLMs on web-related tasks. However, web agents still struggle to automate tasks on unseen websites and domains, limiting their applicability to enterprise-specific and proprietary platforms. Beyond generalization from large-scale pre-training and fine-tuning, we propose building agents for few-shot adaptability using human demonstrations. We introduce the AdaptAgent framework that enables both proprietary and open-weights multimodal web agents to adapt to new websites and domains using few human demonstrations (up to 2). Our experiments on two popular benchmarks — Mind2Web &amp; VisualWebArena — show that using in-context demonstrations (for proprietary models) or meta-adaptation demonstrations (for meta-learned open-weights models) boosts task success rate by 3.36% to 7.21% over non-adapted state-of-the-art models, corresponding to a relative increase of 21.03% to 65.75%. Furthermore, our additional analyses (a) show the effectiveness of multimodal demonstrations over text-only ones, (b) illuminate how different meta-learning data selection strategies influence the agent’s generalization, and (c) demonstrate how the number of few-shot examples affects the web agent’s success rate. Our results offer a complementary axis for developing widely applicable multimodal web agents beyond large-scale pre-training and fine-tuning, emphasizing few-shot adaptability.</v>
      </c>
      <c r="D2645" s="7" t="str">
        <f>IFERROR(__xludf.DUMMYFUNCTION("""COMPUTED_VALUE"""),"Rachneet Kaur")</f>
        <v>Rachneet Kaur</v>
      </c>
      <c r="E2645" s="7" t="str">
        <f>IFERROR(__xludf.DUMMYFUNCTION("""COMPUTED_VALUE"""),"Yes")</f>
        <v>Yes</v>
      </c>
      <c r="F2645" s="7" t="str">
        <f>IFERROR(__xludf.DUMMYFUNCTION("""COMPUTED_VALUE"""),"V-Presentation")</f>
        <v>V-Presentation</v>
      </c>
      <c r="G2645" s="7" t="str">
        <f>IFERROR(__xludf.DUMMYFUNCTION("""COMPUTED_VALUE"""),"Virtual/Gather")</f>
        <v>Virtual/Gather</v>
      </c>
      <c r="H2645" s="7" t="str">
        <f>IFERROR(__xludf.DUMMYFUNCTION("""COMPUTED_VALUE"""),"Zoom")</f>
        <v>Zoom</v>
      </c>
      <c r="I2645" s="7" t="str">
        <f>IFERROR(__xludf.DUMMYFUNCTION("""COMPUTED_VALUE"""),"Session 10: V-Presenations")</f>
        <v>Session 10: V-Presenations</v>
      </c>
      <c r="J2645" s="7" t="str">
        <f>IFERROR(__xludf.DUMMYFUNCTION("""COMPUTED_VALUE"""),"Virtual Presentations 3")</f>
        <v>Virtual Presentations 3</v>
      </c>
      <c r="K2645" s="7"/>
      <c r="L2645" s="8">
        <f>IFERROR(__xludf.DUMMYFUNCTION("""COMPUTED_VALUE"""),45867.0)</f>
        <v>45867</v>
      </c>
      <c r="M2645" s="7" t="str">
        <f>IFERROR(__xludf.DUMMYFUNCTION("""COMPUTED_VALUE"""),"16:00-17:30")</f>
        <v>16:00-17:30</v>
      </c>
      <c r="N2645" s="7"/>
    </row>
    <row r="2646">
      <c r="A2646" s="7" t="str">
        <f>IFERROR(__xludf.DUMMYFUNCTION("""COMPUTED_VALUE"""),"2679-MAIN")</f>
        <v>2679-MAIN</v>
      </c>
      <c r="B2646" s="7" t="str">
        <f>IFERROR(__xludf.DUMMYFUNCTION("""COMPUTED_VALUE"""),"Can LLMs Identify Critical Limitations within Scientific Research? A Systematic Evaluation on AI Research Papers")</f>
        <v>Can LLMs Identify Critical Limitations within Scientific Research? A Systematic Evaluation on AI Research Papers</v>
      </c>
      <c r="C2646" s="7" t="str">
        <f>IFERROR(__xludf.DUMMYFUNCTION("""COMPUTED_VALUE"""),"Peer review is fundamental to scientific research, but the growing volume of publications has intensified the challenges of this expertise-intensive process. While LLMs show promise in various scientific tasks, their potential to assist with peer review, "&amp;"particularly in identifying paper limitations, remains understudied. We first present a comprehensive taxonomy of limitation types in scientific research, with a focus on AI. Guided by this taxonomy, for studying limitations, we present LimitGen, the firs"&amp;"t comprehensive benchmark for evaluating LLMs' capability to support early-stage feedback and complement human peer review. Our benchmark consists of two subsets: LimitGen-Syn, a synthetic dataset carefully created through controlled perturbations of high"&amp;"-quality papers, and LimitGen-Human, a collection of real human-written limitations. To improve the ability of LLM systems to identify limitations, we augment them with literature retrieval, which is essential for grounding identifying limitations in prio"&amp;"r scientific findings. Our approach enhances the capabilities of LLM systems to generate limitations in research papers, enabling them to provide more concrete and constructive feedback.")</f>
        <v>Peer review is fundamental to scientific research, but the growing volume of publications has intensified the challenges of this expertise-intensive process. While LLMs show promise in various scientific tasks, their potential to assist with peer review, particularly in identifying paper limitations, remains understudied. We first present a comprehensive taxonomy of limitation types in scientific research, with a focus on AI. Guided by this taxonomy, for studying limitations, we present LimitGen, the first comprehensive benchmark for evaluating LLMs' capability to support early-stage feedback and complement human peer review. Our benchmark consists of two subsets: LimitGen-Syn, a synthetic dataset carefully created through controlled perturbations of high-quality papers, and LimitGen-Human, a collection of real human-written limitations. To improve the ability of LLM systems to identify limitations, we augment them with literature retrieval, which is essential for grounding identifying limitations in prior scientific findings. Our approach enhances the capabilities of LLM systems to generate limitations in research papers, enabling them to provide more concrete and constructive feedback.</v>
      </c>
      <c r="D2646" s="7" t="str">
        <f>IFERROR(__xludf.DUMMYFUNCTION("""COMPUTED_VALUE"""),"Zhijian Xu")</f>
        <v>Zhijian Xu</v>
      </c>
      <c r="E2646" s="7" t="str">
        <f>IFERROR(__xludf.DUMMYFUNCTION("""COMPUTED_VALUE"""),"Yes")</f>
        <v>Yes</v>
      </c>
      <c r="F2646" s="7" t="str">
        <f>IFERROR(__xludf.DUMMYFUNCTION("""COMPUTED_VALUE"""),"IP-Poster")</f>
        <v>IP-Poster</v>
      </c>
      <c r="G2646" s="7" t="str">
        <f>IFERROR(__xludf.DUMMYFUNCTION("""COMPUTED_VALUE"""),"In-Person")</f>
        <v>In-Person</v>
      </c>
      <c r="H2646" s="7" t="str">
        <f>IFERROR(__xludf.DUMMYFUNCTION("""COMPUTED_VALUE"""),"Hall 4/5")</f>
        <v>Hall 4/5</v>
      </c>
      <c r="I2646" s="7" t="str">
        <f>IFERROR(__xludf.DUMMYFUNCTION("""COMPUTED_VALUE"""),"Session 12: IP-Posters")</f>
        <v>Session 12: IP-Posters</v>
      </c>
      <c r="J2646" s="7" t="str">
        <f>IFERROR(__xludf.DUMMYFUNCTION("""COMPUTED_VALUE"""),"Poster Session 4")</f>
        <v>Poster Session 4</v>
      </c>
      <c r="K2646" s="7"/>
      <c r="L2646" s="8">
        <f>IFERROR(__xludf.DUMMYFUNCTION("""COMPUTED_VALUE"""),45868.0)</f>
        <v>45868</v>
      </c>
      <c r="M2646" s="7" t="str">
        <f>IFERROR(__xludf.DUMMYFUNCTION("""COMPUTED_VALUE"""),"11:00-12:30")</f>
        <v>11:00-12:30</v>
      </c>
      <c r="N2646" s="7"/>
    </row>
    <row r="2647">
      <c r="A2647" s="7" t="str">
        <f>IFERROR(__xludf.DUMMYFUNCTION("""COMPUTED_VALUE"""),"2686-MAIN")</f>
        <v>2686-MAIN</v>
      </c>
      <c r="B2647" s="7" t="str">
        <f>IFERROR(__xludf.DUMMYFUNCTION("""COMPUTED_VALUE"""),"On the Acquisition of Shared Grammatical Representations in Bilingual Language Models")</f>
        <v>On the Acquisition of Shared Grammatical Representations in Bilingual Language Models</v>
      </c>
      <c r="C2647" s="7" t="str">
        <f>IFERROR(__xludf.DUMMYFUNCTION("""COMPUTED_VALUE"""),"Crosslingual transfer is crucial to contemporary language models’ multilingual capabilities, but how it occurs is not well understood. We
ask what happens to a monolingual language model when it begins to be trained on a second language. Specifically, we "&amp;"train small bilingual models for which we control the amount of data for each language and the order of language exposure. To find evidence of shared multilingual representations, we turn to structural priming, a method used to study grammatical represent"&amp;"ations in humans. We first replicate previous crosslingual structural priming results and find that after controlling for training data quantity and language exposure, there are asymmetrical effects across language pairs and directions. We argue that this"&amp;" asymmetry may shape hypotheses about human structural priming effects. We also find that structural priming effects are less robust for less similar language pairs, highlighting potential limitations of crosslingual transfer learning and shared represent"&amp;"ations for typologically diverse languages.")</f>
        <v>Crosslingual transfer is crucial to contemporary language models’ multilingual capabilities, but how it occurs is not well understood. We
ask what happens to a monolingual language model when it begins to be trained on a second language. Specifically, we train small bilingual models for which we control the amount of data for each language and the order of language exposure. To find evidence of shared multilingual representations, we turn to structural priming, a method used to study grammatical representations in humans. We first replicate previous crosslingual structural priming results and find that after controlling for training data quantity and language exposure, there are asymmetrical effects across language pairs and directions. We argue that this asymmetry may shape hypotheses about human structural priming effects. We also find that structural priming effects are less robust for less similar language pairs, highlighting potential limitations of crosslingual transfer learning and shared representations for typologically diverse languages.</v>
      </c>
      <c r="D2647" s="7" t="str">
        <f>IFERROR(__xludf.DUMMYFUNCTION("""COMPUTED_VALUE"""),"Catherine Arnett")</f>
        <v>Catherine Arnett</v>
      </c>
      <c r="E2647" s="7" t="str">
        <f>IFERROR(__xludf.DUMMYFUNCTION("""COMPUTED_VALUE"""),"Yes")</f>
        <v>Yes</v>
      </c>
      <c r="F2647" s="7" t="str">
        <f>IFERROR(__xludf.DUMMYFUNCTION("""COMPUTED_VALUE"""),"IP-Poster")</f>
        <v>IP-Poster</v>
      </c>
      <c r="G2647" s="7" t="str">
        <f>IFERROR(__xludf.DUMMYFUNCTION("""COMPUTED_VALUE"""),"In-Person")</f>
        <v>In-Person</v>
      </c>
      <c r="H2647" s="7" t="str">
        <f>IFERROR(__xludf.DUMMYFUNCTION("""COMPUTED_VALUE"""),"Hall 4/5")</f>
        <v>Hall 4/5</v>
      </c>
      <c r="I2647" s="7" t="str">
        <f>IFERROR(__xludf.DUMMYFUNCTION("""COMPUTED_VALUE"""),"Session 12: IP-Posters")</f>
        <v>Session 12: IP-Posters</v>
      </c>
      <c r="J2647" s="7" t="str">
        <f>IFERROR(__xludf.DUMMYFUNCTION("""COMPUTED_VALUE"""),"Poster Session 4")</f>
        <v>Poster Session 4</v>
      </c>
      <c r="K2647" s="7"/>
      <c r="L2647" s="8">
        <f>IFERROR(__xludf.DUMMYFUNCTION("""COMPUTED_VALUE"""),45868.0)</f>
        <v>45868</v>
      </c>
      <c r="M2647" s="7" t="str">
        <f>IFERROR(__xludf.DUMMYFUNCTION("""COMPUTED_VALUE"""),"11:00-12:30")</f>
        <v>11:00-12:30</v>
      </c>
      <c r="N2647" s="7"/>
    </row>
    <row r="2648">
      <c r="A2648" s="7" t="str">
        <f>IFERROR(__xludf.DUMMYFUNCTION("""COMPUTED_VALUE"""),"2687-MAIN")</f>
        <v>2687-MAIN</v>
      </c>
      <c r="B2648" s="7" t="str">
        <f>IFERROR(__xludf.DUMMYFUNCTION("""COMPUTED_VALUE"""),"GenKnowSub: Improving Modularity and Reusability of LLMs through General Knowledge Subtraction")</f>
        <v>GenKnowSub: Improving Modularity and Reusability of LLMs through General Knowledge Subtraction</v>
      </c>
      <c r="C2648" s="7" t="str">
        <f>IFERROR(__xludf.DUMMYFUNCTION("""COMPUTED_VALUE"""),"Large language models (LLMs) often struggle with zero-shot generalization, and several modular approaches have been proposed to address this challenge. Yet, we hypothesize that a key limitation remains: the entanglement of general knowledge and task-speci"&amp;"fic adaptations. To overcome this, we propose a modular framework that disentangles these components by constructing a library of task-specific LoRA modules alongside a general-domain LoRA. By subtracting this general knowledge component from each task-sp"&amp;"ecific module, we obtain residual modules that focus more exclusively on task-relevant information. We call this approach general knowledge subtraction or GenKnowSub. Leveraging the refined task-specific modules and the Arrow routing algorithm, we dynamic"&amp;"ally select and combine modules for new inputs without additional training. Our studies on the Phi-3 model and standard Arrow as baselines reveal that using general knowledge LoRAs derived from diverse languages, including English, French, and German, yie"&amp;"lds consistent performance gains in both monolingual and cross-lingual settings across a wide set of benchmarks. Further experiments on Phi-2 reveal how GenKnowSub generalizes to a weaker LLM.")</f>
        <v>Large language models (LLMs) often struggle with zero-shot generalization, and several modular approaches have been proposed to address this challenge. Yet, we hypothesize that a key limitation remains: the entanglement of general knowledge and task-specific adaptations. To overcome this, we propose a modular framework that disentangles these components by constructing a library of task-specific LoRA modules alongside a general-domain LoRA. By subtracting this general knowledge component from each task-specific module, we obtain residual modules that focus more exclusively on task-relevant information. We call this approach general knowledge subtraction or GenKnowSub. Leveraging the refined task-specific modules and the Arrow routing algorithm, we dynamically select and combine modules for new inputs without additional training. Our studies on the Phi-3 model and standard Arrow as baselines reveal that using general knowledge LoRAs derived from diverse languages, including English, French, and German, yields consistent performance gains in both monolingual and cross-lingual settings across a wide set of benchmarks. Further experiments on Phi-2 reveal how GenKnowSub generalizes to a weaker LLM.</v>
      </c>
      <c r="D2648" s="7" t="str">
        <f>IFERROR(__xludf.DUMMYFUNCTION("""COMPUTED_VALUE"""),"Mohammadtaha Bagherifard")</f>
        <v>Mohammadtaha Bagherifard</v>
      </c>
      <c r="E2648" s="7" t="str">
        <f>IFERROR(__xludf.DUMMYFUNCTION("""COMPUTED_VALUE"""),"Yes")</f>
        <v>Yes</v>
      </c>
      <c r="F2648" s="7" t="str">
        <f>IFERROR(__xludf.DUMMYFUNCTION("""COMPUTED_VALUE"""),"V-Presentation")</f>
        <v>V-Presentation</v>
      </c>
      <c r="G2648" s="7" t="str">
        <f>IFERROR(__xludf.DUMMYFUNCTION("""COMPUTED_VALUE"""),"Virtual/Gather")</f>
        <v>Virtual/Gather</v>
      </c>
      <c r="H2648" s="7"/>
      <c r="I2648" s="7"/>
      <c r="J2648" s="7" t="str">
        <f>IFERROR(__xludf.DUMMYFUNCTION("""COMPUTED_VALUE"""),"please complete survey https://acl-2025-virtual-presentation-time.paperform.co/")</f>
        <v>please complete survey https://acl-2025-virtual-presentation-time.paperform.co/</v>
      </c>
      <c r="K2648" s="7"/>
      <c r="L2648" s="8"/>
      <c r="M2648" s="7"/>
      <c r="N2648" s="7"/>
    </row>
    <row r="2649">
      <c r="A2649" s="7" t="str">
        <f>IFERROR(__xludf.DUMMYFUNCTION("""COMPUTED_VALUE"""),"2693-MAIN")</f>
        <v>2693-MAIN</v>
      </c>
      <c r="B2649" s="7" t="str">
        <f>IFERROR(__xludf.DUMMYFUNCTION("""COMPUTED_VALUE"""),"Using Shapley interactions to understand how models use structure")</f>
        <v>Using Shapley interactions to understand how models use structure</v>
      </c>
      <c r="C2649" s="7" t="str">
        <f>IFERROR(__xludf.DUMMYFUNCTION("""COMPUTED_VALUE"""),"Language is an intricately structured system, and a key goal of NLP interpretability is to provide methodological insights for understanding how language models internally represent this structure. In this paper, we use Shapley Taylor interaction indices "&amp;"(STII) in order to examine how language and speech models internally relate and structure their inputs. Pairwise Shapley interactions give us an attribution measure of how much two inputs work together to influence model outputs beyond if we linearly adde"&amp;"d their independent influences, providing a view into how models encode structural interactions between inputs. We relate the interaction patterns in models to three underlying linguistic structures: syntactic structure, non-compositional semantics, and p"&amp;"honetic interaction. We find that autoregressive text models encode interactions that correlate with the syntactic proximity of inputs, and that both autoregressive and masked models encode nonlinear interactions in idiomatic phrases with non-compositiona"&amp;"l semantics. Our speech results show that inputs are more entangled for pairs where a neighboring consonant is likely to influence a vowel or approximant, showing that models encode the phonetic interaction needed for extracting discrete phonemic represen"&amp;"tations.")</f>
        <v>Language is an intricately structured system, and a key goal of NLP interpretability is to provide methodological insights for understanding how language models internally represent this structure. In this paper, we use Shapley Taylor interaction indices (STII) in order to examine how language and speech models internally relate and structure their inputs. Pairwise Shapley interactions give us an attribution measure of how much two inputs work together to influence model outputs beyond if we linearly added their independent influences, providing a view into how models encode structural interactions between inputs. We relate the interaction patterns in models to three underlying linguistic structures: syntactic structure, non-compositional semantics, and phonetic interaction. We find that autoregressive text models encode interactions that correlate with the syntactic proximity of inputs, and that both autoregressive and masked models encode nonlinear interactions in idiomatic phrases with non-compositional semantics. Our speech results show that inputs are more entangled for pairs where a neighboring consonant is likely to influence a vowel or approximant, showing that models encode the phonetic interaction needed for extracting discrete phonemic representations.</v>
      </c>
      <c r="D2649" s="7" t="str">
        <f>IFERROR(__xludf.DUMMYFUNCTION("""COMPUTED_VALUE"""),"Diganta Misra")</f>
        <v>Diganta Misra</v>
      </c>
      <c r="E2649" s="7" t="str">
        <f>IFERROR(__xludf.DUMMYFUNCTION("""COMPUTED_VALUE"""),"Yes")</f>
        <v>Yes</v>
      </c>
      <c r="F2649" s="7" t="str">
        <f>IFERROR(__xludf.DUMMYFUNCTION("""COMPUTED_VALUE"""),"IP-Poster")</f>
        <v>IP-Poster</v>
      </c>
      <c r="G2649" s="7" t="str">
        <f>IFERROR(__xludf.DUMMYFUNCTION("""COMPUTED_VALUE"""),"In-Person")</f>
        <v>In-Person</v>
      </c>
      <c r="H2649" s="7" t="str">
        <f>IFERROR(__xludf.DUMMYFUNCTION("""COMPUTED_VALUE"""),"Hall 4/5")</f>
        <v>Hall 4/5</v>
      </c>
      <c r="I2649" s="7" t="str">
        <f>IFERROR(__xludf.DUMMYFUNCTION("""COMPUTED_VALUE"""),"Session 12: IP-Posters")</f>
        <v>Session 12: IP-Posters</v>
      </c>
      <c r="J2649" s="7" t="str">
        <f>IFERROR(__xludf.DUMMYFUNCTION("""COMPUTED_VALUE"""),"Poster Session 4")</f>
        <v>Poster Session 4</v>
      </c>
      <c r="K2649" s="7"/>
      <c r="L2649" s="8">
        <f>IFERROR(__xludf.DUMMYFUNCTION("""COMPUTED_VALUE"""),45868.0)</f>
        <v>45868</v>
      </c>
      <c r="M2649" s="7" t="str">
        <f>IFERROR(__xludf.DUMMYFUNCTION("""COMPUTED_VALUE"""),"11:00-12:30")</f>
        <v>11:00-12:30</v>
      </c>
      <c r="N2649" s="7"/>
    </row>
    <row r="2650">
      <c r="A2650" s="7" t="str">
        <f>IFERROR(__xludf.DUMMYFUNCTION("""COMPUTED_VALUE"""),"2702-MAIN")</f>
        <v>2702-MAIN</v>
      </c>
      <c r="B2650" s="7" t="str">
        <f>IFERROR(__xludf.DUMMYFUNCTION("""COMPUTED_VALUE"""),"Adversarial Tokenization")</f>
        <v>Adversarial Tokenization</v>
      </c>
      <c r="C2650" s="7" t="str">
        <f>IFERROR(__xludf.DUMMYFUNCTION("""COMPUTED_VALUE"""),"Current LLM pipelines account for only one possible tokenization for a given string, ignoring exponentially many alternative tokenizations during training and inference. For example, the $\texttt{Llama3}$ standard tokenization of penguin is $\texttt{[p,en"&amp;"guin]}$, yet $\texttt{[peng,uin]}$ is another perfectly valid alternative. In this paper, we show that despite LLMs being trained solely on one tokenization, they still retain semantic understanding of other tokenizations, raising questions about their im"&amp;"plications in LLM safety. Put succinctly, we answer the following question: can we adversarially tokenize an obviously malicious string to evade safety and alignment restrictions? We show that not only is adversarial tokenization an effective yet previous"&amp;"ly neglected axis of attack, but it is also competitive against existing state-of-the-art adversarial approaches without changing the text of the harmful request. We empirically validate this exploit across three state-of-the-art LLMs and adversarial data"&amp;"sets, revealing a previously unknown vulnerability in subword models.")</f>
        <v>Current LLM pipelines account for only one possible tokenization for a given string, ignoring exponentially many alternative tokenizations during training and inference. For example, the $\texttt{Llama3}$ standard tokenization of penguin is $\texttt{[p,enguin]}$, yet $\texttt{[peng,uin]}$ is another perfectly valid alternative. In this paper, we show that despite LLMs being trained solely on one tokenization, they still retain semantic understanding of other tokenizations, raising questions about their implications in LLM safety. Put succinctly, we answer the following question: can we adversarially tokenize an obviously malicious string to evade safety and alignment restrictions? We show that not only is adversarial tokenization an effective yet previously neglected axis of attack, but it is also competitive against existing state-of-the-art adversarial approaches without changing the text of the harmful request. We empirically validate this exploit across three state-of-the-art LLMs and adversarial datasets, revealing a previously unknown vulnerability in subword models.</v>
      </c>
      <c r="D2650" s="7" t="str">
        <f>IFERROR(__xludf.DUMMYFUNCTION("""COMPUTED_VALUE"""),"Renato Lui Geh")</f>
        <v>Renato Lui Geh</v>
      </c>
      <c r="E2650" s="7" t="str">
        <f>IFERROR(__xludf.DUMMYFUNCTION("""COMPUTED_VALUE"""),"Yes")</f>
        <v>Yes</v>
      </c>
      <c r="F2650" s="7" t="str">
        <f>IFERROR(__xludf.DUMMYFUNCTION("""COMPUTED_VALUE"""),"IP-Poster")</f>
        <v>IP-Poster</v>
      </c>
      <c r="G2650" s="7" t="str">
        <f>IFERROR(__xludf.DUMMYFUNCTION("""COMPUTED_VALUE"""),"In-Person")</f>
        <v>In-Person</v>
      </c>
      <c r="H2650" s="7" t="str">
        <f>IFERROR(__xludf.DUMMYFUNCTION("""COMPUTED_VALUE"""),"Hall 4/5")</f>
        <v>Hall 4/5</v>
      </c>
      <c r="I2650" s="7" t="str">
        <f>IFERROR(__xludf.DUMMYFUNCTION("""COMPUTED_VALUE"""),"Session 12: IP-Posters")</f>
        <v>Session 12: IP-Posters</v>
      </c>
      <c r="J2650" s="7" t="str">
        <f>IFERROR(__xludf.DUMMYFUNCTION("""COMPUTED_VALUE"""),"Poster Session 4")</f>
        <v>Poster Session 4</v>
      </c>
      <c r="K2650" s="7"/>
      <c r="L2650" s="8">
        <f>IFERROR(__xludf.DUMMYFUNCTION("""COMPUTED_VALUE"""),45868.0)</f>
        <v>45868</v>
      </c>
      <c r="M2650" s="7" t="str">
        <f>IFERROR(__xludf.DUMMYFUNCTION("""COMPUTED_VALUE"""),"11:00-12:30")</f>
        <v>11:00-12:30</v>
      </c>
      <c r="N2650" s="7"/>
    </row>
    <row r="2651">
      <c r="A2651" s="7" t="str">
        <f>IFERROR(__xludf.DUMMYFUNCTION("""COMPUTED_VALUE"""),"2703-MAIN")</f>
        <v>2703-MAIN</v>
      </c>
      <c r="B2651" s="7" t="str">
        <f>IFERROR(__xludf.DUMMYFUNCTION("""COMPUTED_VALUE"""),"Classifying Unreliable Narrators with Large Language Models")</f>
        <v>Classifying Unreliable Narrators with Large Language Models</v>
      </c>
      <c r="C2651" s="7" t="str">
        <f>IFERROR(__xludf.DUMMYFUNCTION("""COMPUTED_VALUE"""),"Often when we interact with a first-person account of events, we consider whether or not the narrator, the primary speaker of the text, is reliable. In this paper, we propose using computational methods to identify unreliable narrators, i.e. those who uni"&amp;"ntentionally misrepresent information. Borrowing literary theory from narratology to define different types of unreliable narrators based on a variety of textual phenomena, we present TUNa, a human-annotated dataset of narratives from multiple domains, in"&amp;"cluding blog posts, subreddit posts, hotel reviews, and works of literature. We define classification tasks for intra-narrational, inter-narrational, and inter-textual unreliabilities and analyze the performance of popular open-weight and proprietary LLMs"&amp;" for each. We propose learning from literature to perform unreliable narrator classification on real-world text data. To this end, we experiment with few-shot, fine-tuning, and curriculum learning settings. Our results show that this task is very challeng"&amp;"ing, and there is potential for using LLMs to identify unreliable narrators. We release our expert-annotated dataset and code at https://github.com/adbrei/unreliable-narrators and invite future research in this area.")</f>
        <v>Often when we interact with a first-person account of events, we consider whether or not the narrator, the primary speaker of the text, is reliable. In this paper, we propose using computational methods to identify unreliable narrators, i.e. those who unintentionally misrepresent information. Borrowing literary theory from narratology to define different types of unreliable narrators based on a variety of textual phenomena, we present TUNa, a human-annotated dataset of narratives from multiple domains, including blog posts, subreddit posts, hotel reviews, and works of literature. We define classification tasks for intra-narrational, inter-narrational, and inter-textual unreliabilities and analyze the performance of popular open-weight and proprietary LLMs for each. We propose learning from literature to perform unreliable narrator classification on real-world text data. To this end, we experiment with few-shot, fine-tuning, and curriculum learning settings. Our results show that this task is very challenging, and there is potential for using LLMs to identify unreliable narrators. We release our expert-annotated dataset and code at https://github.com/adbrei/unreliable-narrators and invite future research in this area.</v>
      </c>
      <c r="D2651" s="7" t="str">
        <f>IFERROR(__xludf.DUMMYFUNCTION("""COMPUTED_VALUE"""),"Anneliese Brei")</f>
        <v>Anneliese Brei</v>
      </c>
      <c r="E2651" s="7" t="str">
        <f>IFERROR(__xludf.DUMMYFUNCTION("""COMPUTED_VALUE"""),"Yes")</f>
        <v>Yes</v>
      </c>
      <c r="F2651" s="7" t="str">
        <f>IFERROR(__xludf.DUMMYFUNCTION("""COMPUTED_VALUE"""),"IP-Oral")</f>
        <v>IP-Oral</v>
      </c>
      <c r="G2651" s="7" t="str">
        <f>IFERROR(__xludf.DUMMYFUNCTION("""COMPUTED_VALUE"""),"In-Person")</f>
        <v>In-Person</v>
      </c>
      <c r="H2651" s="7" t="str">
        <f>IFERROR(__xludf.DUMMYFUNCTION("""COMPUTED_VALUE"""),"Room 1.62")</f>
        <v>Room 1.62</v>
      </c>
      <c r="I2651" s="7" t="str">
        <f>IFERROR(__xludf.DUMMYFUNCTION("""COMPUTED_VALUE"""),"Session 9: IP-Orals")</f>
        <v>Session 9: IP-Orals</v>
      </c>
      <c r="J2651" s="7" t="str">
        <f>IFERROR(__xludf.DUMMYFUNCTION("""COMPUTED_VALUE"""),"Sentiment, Style and Argumentation Analysis")</f>
        <v>Sentiment, Style and Argumentation Analysis</v>
      </c>
      <c r="K2651" s="7"/>
      <c r="L2651" s="8">
        <f>IFERROR(__xludf.DUMMYFUNCTION("""COMPUTED_VALUE"""),45867.0)</f>
        <v>45867</v>
      </c>
      <c r="M2651" s="7" t="str">
        <f>IFERROR(__xludf.DUMMYFUNCTION("""COMPUTED_VALUE"""),"14:00-15:30")</f>
        <v>14:00-15:30</v>
      </c>
      <c r="N2651" s="7">
        <f>IFERROR(__xludf.DUMMYFUNCTION("""COMPUTED_VALUE"""),7.0)</f>
        <v>7</v>
      </c>
    </row>
    <row r="2652">
      <c r="A2652" s="7" t="str">
        <f>IFERROR(__xludf.DUMMYFUNCTION("""COMPUTED_VALUE"""),"2705-MAIN")</f>
        <v>2705-MAIN</v>
      </c>
      <c r="B2652" s="7" t="str">
        <f>IFERROR(__xludf.DUMMYFUNCTION("""COMPUTED_VALUE"""),"ConceptCarve: Dynamic Realization of Evidence")</f>
        <v>ConceptCarve: Dynamic Realization of Evidence</v>
      </c>
      <c r="C2652" s="7" t="str">
        <f>IFERROR(__xludf.DUMMYFUNCTION("""COMPUTED_VALUE"""),"Finding evidence for human opinion and behavior at scale is a challenging task, often requiring an understanding of sophisticated thought patterns among vast online communities found on social media. For example, studying how 'gun ownership' is related to"&amp;" the perception of 'Freedom', requires a retrieval system that can operate at scale over social media posts, while dealing with two key challenges: (1) identifying abstract concept instances, (2) which can be instantiated differently across different comm"&amp;"unities. To address these, we introduce ConceptCarve, an evidence retrieval framework that utilizes traditional retrievers and LLMs to dynamically characterize the search space during retrieval. Our experiments show that ConceptCarve surpasses traditional"&amp;" retrieval systems in finding evidence within a social media community. It also produces an interpretable representation of the evidence for that community, which we use to qualitatively analyze complex thought patterns that manifest differently across th"&amp;"e communities.")</f>
        <v>Finding evidence for human opinion and behavior at scale is a challenging task, often requiring an understanding of sophisticated thought patterns among vast online communities found on social media. For example, studying how 'gun ownership' is related to the perception of 'Freedom', requires a retrieval system that can operate at scale over social media posts, while dealing with two key challenges: (1) identifying abstract concept instances, (2) which can be instantiated differently across different communities. To address these, we introduce ConceptCarve, an evidence retrieval framework that utilizes traditional retrievers and LLMs to dynamically characterize the search space during retrieval. Our experiments show that ConceptCarve surpasses traditional retrieval systems in finding evidence within a social media community. It also produces an interpretable representation of the evidence for that community, which we use to qualitatively analyze complex thought patterns that manifest differently across the communities.</v>
      </c>
      <c r="D2652" s="7" t="str">
        <f>IFERROR(__xludf.DUMMYFUNCTION("""COMPUTED_VALUE"""),"Eylon Caplan")</f>
        <v>Eylon Caplan</v>
      </c>
      <c r="E2652" s="7" t="str">
        <f>IFERROR(__xludf.DUMMYFUNCTION("""COMPUTED_VALUE"""),"Yes")</f>
        <v>Yes</v>
      </c>
      <c r="F2652" s="7" t="str">
        <f>IFERROR(__xludf.DUMMYFUNCTION("""COMPUTED_VALUE"""),"IP-Poster")</f>
        <v>IP-Poster</v>
      </c>
      <c r="G2652" s="7" t="str">
        <f>IFERROR(__xludf.DUMMYFUNCTION("""COMPUTED_VALUE"""),"In-Person")</f>
        <v>In-Person</v>
      </c>
      <c r="H2652" s="7" t="str">
        <f>IFERROR(__xludf.DUMMYFUNCTION("""COMPUTED_VALUE"""),"Hall 4/5")</f>
        <v>Hall 4/5</v>
      </c>
      <c r="I2652" s="7" t="str">
        <f>IFERROR(__xludf.DUMMYFUNCTION("""COMPUTED_VALUE"""),"Session 2: IP-Posters ")</f>
        <v>Session 2: IP-Posters </v>
      </c>
      <c r="J2652" s="7" t="str">
        <f>IFERROR(__xludf.DUMMYFUNCTION("""COMPUTED_VALUE"""),"Poster Session 1")</f>
        <v>Poster Session 1</v>
      </c>
      <c r="K2652" s="7"/>
      <c r="L2652" s="8">
        <f>IFERROR(__xludf.DUMMYFUNCTION("""COMPUTED_VALUE"""),45866.0)</f>
        <v>45866</v>
      </c>
      <c r="M2652" s="7" t="str">
        <f>IFERROR(__xludf.DUMMYFUNCTION("""COMPUTED_VALUE"""),"11:00-12:30")</f>
        <v>11:00-12:30</v>
      </c>
      <c r="N2652" s="7"/>
    </row>
    <row r="2653">
      <c r="A2653" s="7" t="str">
        <f>IFERROR(__xludf.DUMMYFUNCTION("""COMPUTED_VALUE"""),"2708-MAIN")</f>
        <v>2708-MAIN</v>
      </c>
      <c r="B2653" s="7" t="str">
        <f>IFERROR(__xludf.DUMMYFUNCTION("""COMPUTED_VALUE"""),"QQSUM: A Novel Task and Model of Quantitative Query-Focused Summarization for Review-based Product Question Answering")</f>
        <v>QQSUM: A Novel Task and Model of Quantitative Query-Focused Summarization for Review-based Product Question Answering</v>
      </c>
      <c r="C2653" s="7" t="str">
        <f>IFERROR(__xludf.DUMMYFUNCTION("""COMPUTED_VALUE"""),"Review-based Product Question Answering (PQA) allows e-commerce platforms to automatically address customer queries by leveraging insights from user reviews. However, existing PQA systems generate answers with only a single perspective, failing to capture"&amp;" the diversity of customer opinions. In this paper we introduce a novel task Quantitative Query-Focused Summarization (QQSUM), which aims to summarize diverse customer opinions into representative Key Points (KPs) and quantify their prevalence to effectiv"&amp;"ely answer user queries. While Retrieval-Augmented Generation (RAG) shows promise for PQA, its generated answers still fall short of capturing the full diversity of viewpoints. To tackle this challenge, our model QQSUM-RAG, which extends RAG, employs few-"&amp;"shot learning to jointly train a KP-oriented retriever and a KP summary generator, enabling KP-based summaries that capture diverse and representative opinions. Experimental results demonstrate that QQSUM-RAG achieves superior performance compared to stat"&amp;"e-of-the-art RAG baselines in both textual quality and quantification accuracy of opinions. Our source code is available at: https://github.com/antangrocket1312/QQSUMM")</f>
        <v>Review-based Product Question Answering (PQA) allows e-commerce platforms to automatically address customer queries by leveraging insights from user reviews. However, existing PQA systems generate answers with only a single perspective, failing to capture the diversity of customer opinions. In this paper we introduce a novel task Quantitative Query-Focused Summarization (QQSUM), which aims to summarize diverse customer opinions into representative Key Points (KPs) and quantify their prevalence to effectively answer user queries. While Retrieval-Augmented Generation (RAG) shows promise for PQA, its generated answers still fall short of capturing the full diversity of viewpoints. To tackle this challenge, our model QQSUM-RAG, which extends RAG, employs few-shot learning to jointly train a KP-oriented retriever and a KP summary generator, enabling KP-based summaries that capture diverse and representative opinions. Experimental results demonstrate that QQSUM-RAG achieves superior performance compared to state-of-the-art RAG baselines in both textual quality and quantification accuracy of opinions. Our source code is available at: https://github.com/antangrocket1312/QQSUMM</v>
      </c>
      <c r="D2653" s="7" t="str">
        <f>IFERROR(__xludf.DUMMYFUNCTION("""COMPUTED_VALUE"""),"An Quang Tang")</f>
        <v>An Quang Tang</v>
      </c>
      <c r="E2653" s="7" t="str">
        <f>IFERROR(__xludf.DUMMYFUNCTION("""COMPUTED_VALUE"""),"Yes")</f>
        <v>Yes</v>
      </c>
      <c r="F2653" s="7" t="str">
        <f>IFERROR(__xludf.DUMMYFUNCTION("""COMPUTED_VALUE"""),"IP-Poster")</f>
        <v>IP-Poster</v>
      </c>
      <c r="G2653" s="7" t="str">
        <f>IFERROR(__xludf.DUMMYFUNCTION("""COMPUTED_VALUE"""),"In-Person")</f>
        <v>In-Person</v>
      </c>
      <c r="H2653" s="7" t="str">
        <f>IFERROR(__xludf.DUMMYFUNCTION("""COMPUTED_VALUE"""),"Hall 4/5")</f>
        <v>Hall 4/5</v>
      </c>
      <c r="I2653" s="7" t="str">
        <f>IFERROR(__xludf.DUMMYFUNCTION("""COMPUTED_VALUE"""),"Session 2: IP-Posters ")</f>
        <v>Session 2: IP-Posters </v>
      </c>
      <c r="J2653" s="7" t="str">
        <f>IFERROR(__xludf.DUMMYFUNCTION("""COMPUTED_VALUE"""),"Poster Session 1")</f>
        <v>Poster Session 1</v>
      </c>
      <c r="K2653" s="7"/>
      <c r="L2653" s="8">
        <f>IFERROR(__xludf.DUMMYFUNCTION("""COMPUTED_VALUE"""),45866.0)</f>
        <v>45866</v>
      </c>
      <c r="M2653" s="7" t="str">
        <f>IFERROR(__xludf.DUMMYFUNCTION("""COMPUTED_VALUE"""),"11:00-12:30")</f>
        <v>11:00-12:30</v>
      </c>
      <c r="N2653" s="7"/>
    </row>
    <row r="2654">
      <c r="A2654" s="7" t="str">
        <f>IFERROR(__xludf.DUMMYFUNCTION("""COMPUTED_VALUE"""),"2711-MAIN")</f>
        <v>2711-MAIN</v>
      </c>
      <c r="B2654" s="7" t="str">
        <f>IFERROR(__xludf.DUMMYFUNCTION("""COMPUTED_VALUE"""),"Navigating Rifts in Human-LLM Grounding: Study and Benchmark")</f>
        <v>Navigating Rifts in Human-LLM Grounding: Study and Benchmark</v>
      </c>
      <c r="C2654" s="7" t="str">
        <f>IFERROR(__xludf.DUMMYFUNCTION("""COMPUTED_VALUE"""),"Language models excel at following instructions but often struggle with the collaborative aspects of conversation that humans naturally employ. This limitation in grounding---the process by which conversation participants establish mutual understanding---"&amp;"can lead to outcomes ranging from frustrated users to serious consequences in high-stakes scenarios. To systematically study grounding challenges in human-LLM interactions, we analyze logs from three human-assistant datasets: WildChat, MultiWOZ, and Bing "&amp;"Chat. We develop a taxonomy of grounding acts and build models to annotate and forecast grounding behavior. Our findings reveal significant differences in human-human and human-LLM grounding: LLMs were three times less likely to initiate clarification and"&amp;" sixteen times less likely to provide follow-up requests than humans. Additionally, we find that early grounding failures predict later interaction breakdowns. Building on these insights, we introduce Rifts, a benchmark derived from publicly available LLM"&amp;" interaction data containing situations where LLMs fail to initiate grounding. We note that current frontier models perform poorly on Rifts, highlighting the need to reconsider how we train and prompt LLMs for human interaction. To this end, we develop a "&amp;"preliminary intervention aimed at mitigating grounding failures.")</f>
        <v>Language models excel at following instructions but often struggle with the collaborative aspects of conversation that humans naturally employ. This limitation in grounding---the process by which conversation participants establish mutual understanding---can lead to outcomes ranging from frustrated users to serious consequences in high-stakes scenarios. To systematically study grounding challenges in human-LLM interactions, we analyze logs from three human-assistant datasets: WildChat, MultiWOZ, and Bing Chat. We develop a taxonomy of grounding acts and build models to annotate and forecast grounding behavior. Our findings reveal significant differences in human-human and human-LLM grounding: LLMs were three times less likely to initiate clarification and sixteen times less likely to provide follow-up requests than humans. Additionally, we find that early grounding failures predict later interaction breakdowns. Building on these insights, we introduce Rifts, a benchmark derived from publicly available LLM interaction data containing situations where LLMs fail to initiate grounding. We note that current frontier models perform poorly on Rifts, highlighting the need to reconsider how we train and prompt LLMs for human interaction. To this end, we develop a preliminary intervention aimed at mitigating grounding failures.</v>
      </c>
      <c r="D2654" s="7" t="str">
        <f>IFERROR(__xludf.DUMMYFUNCTION("""COMPUTED_VALUE"""),"Omar Shaikh")</f>
        <v>Omar Shaikh</v>
      </c>
      <c r="E2654" s="7" t="str">
        <f>IFERROR(__xludf.DUMMYFUNCTION("""COMPUTED_VALUE"""),"Yes")</f>
        <v>Yes</v>
      </c>
      <c r="F2654" s="7" t="str">
        <f>IFERROR(__xludf.DUMMYFUNCTION("""COMPUTED_VALUE"""),"IP-Oral")</f>
        <v>IP-Oral</v>
      </c>
      <c r="G2654" s="7" t="str">
        <f>IFERROR(__xludf.DUMMYFUNCTION("""COMPUTED_VALUE"""),"In-Person")</f>
        <v>In-Person</v>
      </c>
      <c r="H2654" s="7" t="str">
        <f>IFERROR(__xludf.DUMMYFUNCTION("""COMPUTED_VALUE"""),"Hall N.1")</f>
        <v>Hall N.1</v>
      </c>
      <c r="I2654" s="7" t="str">
        <f>IFERROR(__xludf.DUMMYFUNCTION("""COMPUTED_VALUE"""),"Session 9: IP-Orals")</f>
        <v>Session 9: IP-Orals</v>
      </c>
      <c r="J2654" s="7" t="str">
        <f>IFERROR(__xludf.DUMMYFUNCTION("""COMPUTED_VALUE"""),"Dialogue and Interactive Systems")</f>
        <v>Dialogue and Interactive Systems</v>
      </c>
      <c r="K2654" s="7"/>
      <c r="L2654" s="8">
        <f>IFERROR(__xludf.DUMMYFUNCTION("""COMPUTED_VALUE"""),45867.0)</f>
        <v>45867</v>
      </c>
      <c r="M2654" s="7" t="str">
        <f>IFERROR(__xludf.DUMMYFUNCTION("""COMPUTED_VALUE"""),"14:00-15:30")</f>
        <v>14:00-15:30</v>
      </c>
      <c r="N2654" s="7">
        <f>IFERROR(__xludf.DUMMYFUNCTION("""COMPUTED_VALUE"""),7.0)</f>
        <v>7</v>
      </c>
    </row>
    <row r="2655">
      <c r="A2655" s="7" t="str">
        <f>IFERROR(__xludf.DUMMYFUNCTION("""COMPUTED_VALUE"""),"2714-MAIN")</f>
        <v>2714-MAIN</v>
      </c>
      <c r="B2655" s="7" t="str">
        <f>IFERROR(__xludf.DUMMYFUNCTION("""COMPUTED_VALUE"""),"Substance over Style: Evaluating Proactive Conversational Coaching Agents")</f>
        <v>Substance over Style: Evaluating Proactive Conversational Coaching Agents</v>
      </c>
      <c r="C2655" s="7" t="str">
        <f>IFERROR(__xludf.DUMMYFUNCTION("""COMPUTED_VALUE"""),"While NLP research has made strides in conversational tasks, many approaches focus on single-turn responses with well-defined objectives or evaluation criteria. In contrast, coaching presents unique challenges with initially undefined goals that evolve th"&amp;"rough multi-turn interactions, subjective evaluation criteria, mixed-initiative dialogue. In this work, we describe and implement five multi-turn coaching agents that exhibit distinct conversational styles, and evaluate them through a user study, collecti"&amp;"ng first-person feedback on 155 conversations. We find that users highly value core functionality, and that stylistic components in absence of core components are viewed negatively. By comparing user feedback with third-person evaluations from health expe"&amp;"rts and an LM, we reveal significant misalignment across evaluation approaches. Our findings provide insights into design and evaluation of conversational coaching agents and contribute toward improving human-centered NLP applications.")</f>
        <v>While NLP research has made strides in conversational tasks, many approaches focus on single-turn responses with well-defined objectives or evaluation criteria. In contrast, coaching presents unique challenges with initially undefined goals that evolve through multi-turn interactions, subjective evaluation criteria, mixed-initiative dialogue. In this work, we describe and implement five multi-turn coaching agents that exhibit distinct conversational styles, and evaluate them through a user study, collecting first-person feedback on 155 conversations. We find that users highly value core functionality, and that stylistic components in absence of core components are viewed negatively. By comparing user feedback with third-person evaluations from health experts and an LM, we reveal significant misalignment across evaluation approaches. Our findings provide insights into design and evaluation of conversational coaching agents and contribute toward improving human-centered NLP applications.</v>
      </c>
      <c r="D2655" s="7" t="str">
        <f>IFERROR(__xludf.DUMMYFUNCTION("""COMPUTED_VALUE"""),"Vidya Srinivas")</f>
        <v>Vidya Srinivas</v>
      </c>
      <c r="E2655" s="7" t="str">
        <f>IFERROR(__xludf.DUMMYFUNCTION("""COMPUTED_VALUE"""),"Yes")</f>
        <v>Yes</v>
      </c>
      <c r="F2655" s="7" t="str">
        <f>IFERROR(__xludf.DUMMYFUNCTION("""COMPUTED_VALUE"""),"IP-Poster")</f>
        <v>IP-Poster</v>
      </c>
      <c r="G2655" s="7" t="str">
        <f>IFERROR(__xludf.DUMMYFUNCTION("""COMPUTED_VALUE"""),"In-Person")</f>
        <v>In-Person</v>
      </c>
      <c r="H2655" s="7" t="str">
        <f>IFERROR(__xludf.DUMMYFUNCTION("""COMPUTED_VALUE"""),"Hall 4/5")</f>
        <v>Hall 4/5</v>
      </c>
      <c r="I2655" s="7" t="str">
        <f>IFERROR(__xludf.DUMMYFUNCTION("""COMPUTED_VALUE"""),"Session 2: IP-Posters ")</f>
        <v>Session 2: IP-Posters </v>
      </c>
      <c r="J2655" s="7" t="str">
        <f>IFERROR(__xludf.DUMMYFUNCTION("""COMPUTED_VALUE"""),"Poster Session 1")</f>
        <v>Poster Session 1</v>
      </c>
      <c r="K2655" s="7"/>
      <c r="L2655" s="8">
        <f>IFERROR(__xludf.DUMMYFUNCTION("""COMPUTED_VALUE"""),45866.0)</f>
        <v>45866</v>
      </c>
      <c r="M2655" s="7" t="str">
        <f>IFERROR(__xludf.DUMMYFUNCTION("""COMPUTED_VALUE"""),"11:00-12:30")</f>
        <v>11:00-12:30</v>
      </c>
      <c r="N2655" s="7"/>
    </row>
    <row r="2656">
      <c r="A2656" s="7" t="str">
        <f>IFERROR(__xludf.DUMMYFUNCTION("""COMPUTED_VALUE"""),"2720-MAIN")</f>
        <v>2720-MAIN</v>
      </c>
      <c r="B2656" s="7" t="str">
        <f>IFERROR(__xludf.DUMMYFUNCTION("""COMPUTED_VALUE"""),"Open-World Planning via Lifted Regression with LLM-Inferred Affordances for Embodied Agents")</f>
        <v>Open-World Planning via Lifted Regression with LLM-Inferred Affordances for Embodied Agents</v>
      </c>
      <c r="C2656" s="7" t="str">
        <f>IFERROR(__xludf.DUMMYFUNCTION("""COMPUTED_VALUE"""),"Open-world planning with incomplete knowledge is crucial for real-world embodied AI tasks. Despite that, existing LLM-based planners struggle with long chains of sequential reasoning, while symbolic planners face combinatorial explosion of states and acti"&amp;"ons for complex domains due to reliance on grounding. To address these deficiencies, we introduce LLM-Regress, an open-world planning approach integrating lifted regression with LLM-generated affordances. LLM-Regress generates sound and complete plans in "&amp;"a compact lifted form, avoiding exhaustive enumeration of irrelevant states and actions. Additionally, it makes efficient use of LLMs to infer goal-related objects and affordances without the need to predefine all possible objects and affordances. We cond"&amp;"uct extensive experiments on three benchmarks and show that LLM-Regress significantly outperforms state-of-the-art LLM planners and a grounded planner using LLM-generated affordances.")</f>
        <v>Open-world planning with incomplete knowledge is crucial for real-world embodied AI tasks. Despite that, existing LLM-based planners struggle with long chains of sequential reasoning, while symbolic planners face combinatorial explosion of states and actions for complex domains due to reliance on grounding. To address these deficiencies, we introduce LLM-Regress, an open-world planning approach integrating lifted regression with LLM-generated affordances. LLM-Regress generates sound and complete plans in a compact lifted form, avoiding exhaustive enumeration of irrelevant states and actions. Additionally, it makes efficient use of LLMs to infer goal-related objects and affordances without the need to predefine all possible objects and affordances. We conduct extensive experiments on three benchmarks and show that LLM-Regress significantly outperforms state-of-the-art LLM planners and a grounded planner using LLM-generated affordances.</v>
      </c>
      <c r="D2656" s="7" t="str">
        <f>IFERROR(__xludf.DUMMYFUNCTION("""COMPUTED_VALUE"""),"Xiaotian Liu")</f>
        <v>Xiaotian Liu</v>
      </c>
      <c r="E2656" s="7" t="str">
        <f>IFERROR(__xludf.DUMMYFUNCTION("""COMPUTED_VALUE"""),"Yes")</f>
        <v>Yes</v>
      </c>
      <c r="F2656" s="7" t="str">
        <f>IFERROR(__xludf.DUMMYFUNCTION("""COMPUTED_VALUE"""),"IP-Poster")</f>
        <v>IP-Poster</v>
      </c>
      <c r="G2656" s="7" t="str">
        <f>IFERROR(__xludf.DUMMYFUNCTION("""COMPUTED_VALUE"""),"In-Person")</f>
        <v>In-Person</v>
      </c>
      <c r="H2656" s="7" t="str">
        <f>IFERROR(__xludf.DUMMYFUNCTION("""COMPUTED_VALUE"""),"Hall 4/5")</f>
        <v>Hall 4/5</v>
      </c>
      <c r="I2656" s="7" t="str">
        <f>IFERROR(__xludf.DUMMYFUNCTION("""COMPUTED_VALUE"""),"Session 2: IP-Posters ")</f>
        <v>Session 2: IP-Posters </v>
      </c>
      <c r="J2656" s="7" t="str">
        <f>IFERROR(__xludf.DUMMYFUNCTION("""COMPUTED_VALUE"""),"Poster Session 1")</f>
        <v>Poster Session 1</v>
      </c>
      <c r="K2656" s="7"/>
      <c r="L2656" s="8">
        <f>IFERROR(__xludf.DUMMYFUNCTION("""COMPUTED_VALUE"""),45866.0)</f>
        <v>45866</v>
      </c>
      <c r="M2656" s="7" t="str">
        <f>IFERROR(__xludf.DUMMYFUNCTION("""COMPUTED_VALUE"""),"11:00-12:30")</f>
        <v>11:00-12:30</v>
      </c>
      <c r="N2656" s="7"/>
    </row>
    <row r="2657">
      <c r="A2657" s="7" t="str">
        <f>IFERROR(__xludf.DUMMYFUNCTION("""COMPUTED_VALUE"""),"2722-MAIN")</f>
        <v>2722-MAIN</v>
      </c>
      <c r="B2657" s="7" t="str">
        <f>IFERROR(__xludf.DUMMYFUNCTION("""COMPUTED_VALUE"""),"(RSA)2: A Rhetorical-Strategy-Aware Rational Speech Act Framework for Figurative Language Understanding")</f>
        <v>(RSA)2: A Rhetorical-Strategy-Aware Rational Speech Act Framework for Figurative Language Understanding</v>
      </c>
      <c r="C2657" s="7" t="str">
        <f>IFERROR(__xludf.DUMMYFUNCTION("""COMPUTED_VALUE"""),"Figurative language (e.g., irony, hyperbole, understatement) is ubiquitous in human communication, resulting in utterances where the literal and the intended meanings do not match. The Rational Speech Act (RSA) framework, which explicitly models speaker i"&amp;"ntentions, is the most widespread theory of probabilistic pragmatics, but existing implementations are either unable to account for figurative expressions or require modeling the implicit motivations for using figurative language (e.g., to express joy or "&amp;"annoyance) in a setting-specific way. In this paper, we introduce the Rhetorical-Strategy-Aware RSA (RSA)^2 framework which models figurative language use by considering a speaker’s employed rhetorical strategy. We show that (RSA)^2 enables human-compatib"&amp;"le interpretations of non-literal utterances without modeling a speaker’s motivations for being non-literal. Combined with LLMs, it achieves state-of-the-art performance on the ironic split of PragMega+, a new irony interpretation dataset introduced in th"&amp;"is study.")</f>
        <v>Figurative language (e.g., irony, hyperbole, understatement) is ubiquitous in human communication, resulting in utterances where the literal and the intended meanings do not match. The Rational Speech Act (RSA) framework, which explicitly models speaker intentions, is the most widespread theory of probabilistic pragmatics, but existing implementations are either unable to account for figurative expressions or require modeling the implicit motivations for using figurative language (e.g., to express joy or annoyance) in a setting-specific way. In this paper, we introduce the Rhetorical-Strategy-Aware RSA (RSA)^2 framework which models figurative language use by considering a speaker’s employed rhetorical strategy. We show that (RSA)^2 enables human-compatible interpretations of non-literal utterances without modeling a speaker’s motivations for being non-literal. Combined with LLMs, it achieves state-of-the-art performance on the ironic split of PragMega+, a new irony interpretation dataset introduced in this study.</v>
      </c>
      <c r="D2657" s="7" t="str">
        <f>IFERROR(__xludf.DUMMYFUNCTION("""COMPUTED_VALUE"""),"Cesare Spinoso-Di Piano")</f>
        <v>Cesare Spinoso-Di Piano</v>
      </c>
      <c r="E2657" s="7" t="str">
        <f>IFERROR(__xludf.DUMMYFUNCTION("""COMPUTED_VALUE"""),"Yes")</f>
        <v>Yes</v>
      </c>
      <c r="F2657" s="7" t="str">
        <f>IFERROR(__xludf.DUMMYFUNCTION("""COMPUTED_VALUE"""),"IP-Poster")</f>
        <v>IP-Poster</v>
      </c>
      <c r="G2657" s="7" t="str">
        <f>IFERROR(__xludf.DUMMYFUNCTION("""COMPUTED_VALUE"""),"In-Person")</f>
        <v>In-Person</v>
      </c>
      <c r="H2657" s="7" t="str">
        <f>IFERROR(__xludf.DUMMYFUNCTION("""COMPUTED_VALUE"""),"Hall 4/5")</f>
        <v>Hall 4/5</v>
      </c>
      <c r="I2657" s="7" t="str">
        <f>IFERROR(__xludf.DUMMYFUNCTION("""COMPUTED_VALUE"""),"Session 12: IP-Posters")</f>
        <v>Session 12: IP-Posters</v>
      </c>
      <c r="J2657" s="7" t="str">
        <f>IFERROR(__xludf.DUMMYFUNCTION("""COMPUTED_VALUE"""),"Poster Session 4")</f>
        <v>Poster Session 4</v>
      </c>
      <c r="K2657" s="7"/>
      <c r="L2657" s="8">
        <f>IFERROR(__xludf.DUMMYFUNCTION("""COMPUTED_VALUE"""),45868.0)</f>
        <v>45868</v>
      </c>
      <c r="M2657" s="7" t="str">
        <f>IFERROR(__xludf.DUMMYFUNCTION("""COMPUTED_VALUE"""),"11:00-12:30")</f>
        <v>11:00-12:30</v>
      </c>
      <c r="N2657" s="7"/>
    </row>
    <row r="2658">
      <c r="A2658" s="7" t="str">
        <f>IFERROR(__xludf.DUMMYFUNCTION("""COMPUTED_VALUE"""),"2725-MAIN")</f>
        <v>2725-MAIN</v>
      </c>
      <c r="B2658" s="7" t="str">
        <f>IFERROR(__xludf.DUMMYFUNCTION("""COMPUTED_VALUE"""),"The Role of Abstract Representations and Observed Preferences in the Ordering of Binomials in Large Language Models")</f>
        <v>The Role of Abstract Representations and Observed Preferences in the Ordering of Binomials in Large Language Models</v>
      </c>
      <c r="C2658" s="7" t="str">
        <f>IFERROR(__xludf.DUMMYFUNCTION("""COMPUTED_VALUE"""),"To what extent do large language models learn abstract representations as opposed to more superficial aspects of their very large training corpora? We examine this question in the context of binomial ordering preferences involving two conjoined nouns in E"&amp;"nglish. When choosing a binomial ordering (radio and television vs television and radio), humans rely on more than simply the observed frequency of each option. Humans also rely on abstract ordering preferences (e.g., preferences for short words before lo"&amp;"ng words). We investigate whether large language models simply rely on the observed preference in their training data, or whether they are capable of learning the abstract ordering preferences (i.e., abstract representations) that humans rely on. Our resu"&amp;"lts suggest that both smaller and larger models' ordering preferences are driven exclusively by their experience with that item in the training data. Our study provides further insights into differences between how large language models represent and use "&amp;"language and how humans do it, particularly with respect to the use of abstract representations versus observed preferences.")</f>
        <v>To what extent do large language models learn abstract representations as opposed to more superficial aspects of their very large training corpora? We examine this question in the context of binomial ordering preferences involving two conjoined nouns in English. When choosing a binomial ordering (radio and television vs television and radio), humans rely on more than simply the observed frequency of each option. Humans also rely on abstract ordering preferences (e.g., preferences for short words before long words). We investigate whether large language models simply rely on the observed preference in their training data, or whether they are capable of learning the abstract ordering preferences (i.e., abstract representations) that humans rely on. Our results suggest that both smaller and larger models' ordering preferences are driven exclusively by their experience with that item in the training data. Our study provides further insights into differences between how large language models represent and use language and how humans do it, particularly with respect to the use of abstract representations versus observed preferences.</v>
      </c>
      <c r="D2658" s="7" t="str">
        <f>IFERROR(__xludf.DUMMYFUNCTION("""COMPUTED_VALUE"""),"Zachary Nicholas Houghton")</f>
        <v>Zachary Nicholas Houghton</v>
      </c>
      <c r="E2658" s="7" t="str">
        <f>IFERROR(__xludf.DUMMYFUNCTION("""COMPUTED_VALUE"""),"Yes")</f>
        <v>Yes</v>
      </c>
      <c r="F2658" s="7" t="str">
        <f>IFERROR(__xludf.DUMMYFUNCTION("""COMPUTED_VALUE"""),"IP-Poster")</f>
        <v>IP-Poster</v>
      </c>
      <c r="G2658" s="7" t="str">
        <f>IFERROR(__xludf.DUMMYFUNCTION("""COMPUTED_VALUE"""),"In-Person")</f>
        <v>In-Person</v>
      </c>
      <c r="H2658" s="7" t="str">
        <f>IFERROR(__xludf.DUMMYFUNCTION("""COMPUTED_VALUE"""),"Hall 4/5")</f>
        <v>Hall 4/5</v>
      </c>
      <c r="I2658" s="7" t="str">
        <f>IFERROR(__xludf.DUMMYFUNCTION("""COMPUTED_VALUE"""),"Session 12: IP-Posters")</f>
        <v>Session 12: IP-Posters</v>
      </c>
      <c r="J2658" s="7" t="str">
        <f>IFERROR(__xludf.DUMMYFUNCTION("""COMPUTED_VALUE"""),"Poster Session 4")</f>
        <v>Poster Session 4</v>
      </c>
      <c r="K2658" s="7"/>
      <c r="L2658" s="8">
        <f>IFERROR(__xludf.DUMMYFUNCTION("""COMPUTED_VALUE"""),45868.0)</f>
        <v>45868</v>
      </c>
      <c r="M2658" s="7" t="str">
        <f>IFERROR(__xludf.DUMMYFUNCTION("""COMPUTED_VALUE"""),"11:00-12:30")</f>
        <v>11:00-12:30</v>
      </c>
      <c r="N2658" s="7"/>
    </row>
    <row r="2659">
      <c r="A2659" s="7" t="str">
        <f>IFERROR(__xludf.DUMMYFUNCTION("""COMPUTED_VALUE"""),"2727-MAIN")</f>
        <v>2727-MAIN</v>
      </c>
      <c r="B2659" s="7" t="str">
        <f>IFERROR(__xludf.DUMMYFUNCTION("""COMPUTED_VALUE"""),"SYNTHIA: Novel Concept Design with Affordance Composition")</f>
        <v>SYNTHIA: Novel Concept Design with Affordance Composition</v>
      </c>
      <c r="C2659" s="7" t="str">
        <f>IFERROR(__xludf.DUMMYFUNCTION("""COMPUTED_VALUE"""),"Text-to-image (T2I) models enable rapid concept design, making them widely used in AI-driven design. While recent studies focus on generating semantic and stylistic variations of given design concepts, --the integration of multiple affordances into a sing"&amp;"le coherent concept--remains largely overlooked. In this paper, we introduce SYNTHIA, a framework for generating novel, functionally coherent designs based on desired affordances. Our approach leverages a hierarchical concept ontology that decomposes conc"&amp;"epts into parts and affordances, serving as a crucial building block for functionally coherent design. We also develop a curriculum learning scheme based on our ontology that contrastively fine-tunes T2I models to progressively learn affordance compositio"&amp;"n while maintaining visual novelty. To elaborate, we (i) gradually increase affordance distance, guiding models from basic concept-affordance association to complex affordance compositions that integrate parts of distinct affordances into a single, cohere"&amp;"nt form, and (ii) enforce visual novelty by employing contrastive objectives to push learned representations away from existing concepts. Experimental results show that SYNTHIA outperforms state-of-the-art T2I models, demonstrating absolute gains of 25.1%"&amp;" and 14.7% for novelty and functional coherence in human evaluation, respectively.")</f>
        <v>Text-to-image (T2I) models enable rapid concept design, making them widely used in AI-driven design. While recent studies focus on generating semantic and stylistic variations of given design concepts, --the integration of multiple affordances into a single coherent concept--remains largely overlooked. In this paper, we introduce SYNTHIA, a framework for generating novel, functionally coherent designs based on desired affordances. Our approach leverages a hierarchical concept ontology that decomposes concepts into parts and affordances, serving as a crucial building block for functionally coherent design. We also develop a curriculum learning scheme based on our ontology that contrastively fine-tunes T2I models to progressively learn affordance composition while maintaining visual novelty. To elaborate, we (i) gradually increase affordance distance, guiding models from basic concept-affordance association to complex affordance compositions that integrate parts of distinct affordances into a single, coherent form, and (ii) enforce visual novelty by employing contrastive objectives to push learned representations away from existing concepts. Experimental results show that SYNTHIA outperforms state-of-the-art T2I models, demonstrating absolute gains of 25.1% and 14.7% for novelty and functional coherence in human evaluation, respectively.</v>
      </c>
      <c r="D2659" s="7" t="str">
        <f>IFERROR(__xludf.DUMMYFUNCTION("""COMPUTED_VALUE"""),"Hyeonjeong Ha")</f>
        <v>Hyeonjeong Ha</v>
      </c>
      <c r="E2659" s="7" t="str">
        <f>IFERROR(__xludf.DUMMYFUNCTION("""COMPUTED_VALUE"""),"Yes")</f>
        <v>Yes</v>
      </c>
      <c r="F2659" s="7" t="str">
        <f>IFERROR(__xludf.DUMMYFUNCTION("""COMPUTED_VALUE"""),"IP-Poster")</f>
        <v>IP-Poster</v>
      </c>
      <c r="G2659" s="7" t="str">
        <f>IFERROR(__xludf.DUMMYFUNCTION("""COMPUTED_VALUE"""),"In-Person")</f>
        <v>In-Person</v>
      </c>
      <c r="H2659" s="7" t="str">
        <f>IFERROR(__xludf.DUMMYFUNCTION("""COMPUTED_VALUE"""),"Hall 4/5")</f>
        <v>Hall 4/5</v>
      </c>
      <c r="I2659" s="7" t="str">
        <f>IFERROR(__xludf.DUMMYFUNCTION("""COMPUTED_VALUE"""),"Session 2: IP-Posters ")</f>
        <v>Session 2: IP-Posters </v>
      </c>
      <c r="J2659" s="7" t="str">
        <f>IFERROR(__xludf.DUMMYFUNCTION("""COMPUTED_VALUE"""),"Poster Session 1")</f>
        <v>Poster Session 1</v>
      </c>
      <c r="K2659" s="7"/>
      <c r="L2659" s="8">
        <f>IFERROR(__xludf.DUMMYFUNCTION("""COMPUTED_VALUE"""),45866.0)</f>
        <v>45866</v>
      </c>
      <c r="M2659" s="7" t="str">
        <f>IFERROR(__xludf.DUMMYFUNCTION("""COMPUTED_VALUE"""),"11:00-12:30")</f>
        <v>11:00-12:30</v>
      </c>
      <c r="N2659" s="7"/>
    </row>
    <row r="2660">
      <c r="A2660" s="7" t="str">
        <f>IFERROR(__xludf.DUMMYFUNCTION("""COMPUTED_VALUE"""),"2735-MAIN")</f>
        <v>2735-MAIN</v>
      </c>
      <c r="B2660" s="7" t="str">
        <f>IFERROR(__xludf.DUMMYFUNCTION("""COMPUTED_VALUE"""),"Consistent Client Simulation for Motivational Interviewing-based Counseling")</f>
        <v>Consistent Client Simulation for Motivational Interviewing-based Counseling</v>
      </c>
      <c r="C2660" s="7" t="str">
        <f>IFERROR(__xludf.DUMMYFUNCTION("""COMPUTED_VALUE"""),"Simulating human clients in mental health counseling is crucial for training and evaluating counselors (both human or simulated) in a scalable manner. Nevertheless, past research on client simulation did not focus on complex conversation tasks such as men"&amp;"tal health counseling. In these tasks, the challenge is to ensure that the client's actions (i.e., interactions with the counselor) are consistent with with its stipulated profiles and negative behavior settings. In this paper, we propose a novel framewor"&amp;"k that supports consistent client simulation for mental health counseling. Our framework tracks the mental state of a simulated client, controls its state transitions, and generates for each state behaviors consistent with the client's motivation, beliefs"&amp;", preferred plan to change, and receptivity. By varying the client profile and receptivity, we demonstrate that consistent simulated clients for different counseling scenarios can be effectively created. Both our automatic and expert evaluations on the ge"&amp;"nerated counseling sessions also show that our client simulation method achieves higher consistency than previous methods.")</f>
        <v>Simulating human clients in mental health counseling is crucial for training and evaluating counselors (both human or simulated) in a scalable manner. Nevertheless, past research on client simulation did not focus on complex conversation tasks such as mental health counseling. In these tasks, the challenge is to ensure that the client's actions (i.e., interactions with the counselor) are consistent with with its stipulated profiles and negative behavior settings. In this paper, we propose a novel framework that supports consistent client simulation for mental health counseling. Our framework tracks the mental state of a simulated client, controls its state transitions, and generates for each state behaviors consistent with the client's motivation, beliefs, preferred plan to change, and receptivity. By varying the client profile and receptivity, we demonstrate that consistent simulated clients for different counseling scenarios can be effectively created. Both our automatic and expert evaluations on the generated counseling sessions also show that our client simulation method achieves higher consistency than previous methods.</v>
      </c>
      <c r="D2660" s="7" t="str">
        <f>IFERROR(__xludf.DUMMYFUNCTION("""COMPUTED_VALUE"""),"Yizhe Yang")</f>
        <v>Yizhe Yang</v>
      </c>
      <c r="E2660" s="7" t="str">
        <f>IFERROR(__xludf.DUMMYFUNCTION("""COMPUTED_VALUE"""),"Yes")</f>
        <v>Yes</v>
      </c>
      <c r="F2660" s="7" t="str">
        <f>IFERROR(__xludf.DUMMYFUNCTION("""COMPUTED_VALUE"""),"IP-Poster")</f>
        <v>IP-Poster</v>
      </c>
      <c r="G2660" s="7" t="str">
        <f>IFERROR(__xludf.DUMMYFUNCTION("""COMPUTED_VALUE"""),"In-Person")</f>
        <v>In-Person</v>
      </c>
      <c r="H2660" s="7" t="str">
        <f>IFERROR(__xludf.DUMMYFUNCTION("""COMPUTED_VALUE"""),"Hall 4/5")</f>
        <v>Hall 4/5</v>
      </c>
      <c r="I2660" s="7" t="str">
        <f>IFERROR(__xludf.DUMMYFUNCTION("""COMPUTED_VALUE"""),"Session 12: IP-Posters")</f>
        <v>Session 12: IP-Posters</v>
      </c>
      <c r="J2660" s="7" t="str">
        <f>IFERROR(__xludf.DUMMYFUNCTION("""COMPUTED_VALUE"""),"Poster Session 4")</f>
        <v>Poster Session 4</v>
      </c>
      <c r="K2660" s="7"/>
      <c r="L2660" s="8">
        <f>IFERROR(__xludf.DUMMYFUNCTION("""COMPUTED_VALUE"""),45868.0)</f>
        <v>45868</v>
      </c>
      <c r="M2660" s="7" t="str">
        <f>IFERROR(__xludf.DUMMYFUNCTION("""COMPUTED_VALUE"""),"11:00-12:30")</f>
        <v>11:00-12:30</v>
      </c>
      <c r="N2660" s="7"/>
    </row>
    <row r="2661">
      <c r="A2661" s="7" t="str">
        <f>IFERROR(__xludf.DUMMYFUNCTION("""COMPUTED_VALUE"""),"2738-MAIN")</f>
        <v>2738-MAIN</v>
      </c>
      <c r="B2661" s="7" t="str">
        <f>IFERROR(__xludf.DUMMYFUNCTION("""COMPUTED_VALUE"""),"AUTALIC: A Dataset for Anti-AUTistic Ableist Language In Context")</f>
        <v>AUTALIC: A Dataset for Anti-AUTistic Ableist Language In Context</v>
      </c>
      <c r="C2661" s="7" t="str">
        <f>IFERROR(__xludf.DUMMYFUNCTION("""COMPUTED_VALUE"""),"As our awareness of autism and ableism continues to increase, so does our understanding of ableist language towards autistic people. Such language poses a significant challenge in NLP research due to its subtle and context-dependent nature. Yet, detecting"&amp;" anti-autistic ableist language remains underexplored, with existing NLP tools often failing to capture its nuanced expressions. 
We present AUTALIC, the first dataset dedicated to the detection of anti-autistic ableist language in context, addressing a s"&amp;"ignificant gap in the field. AUTALIC comprises 2,400 autism-related sentences collected from Reddit, accompanied by surrounding context, and annotated by trained experts with backgrounds in neurodiversity. Our comprehensive evaluation reveals that current"&amp;" language models, including state-of-the-art LLMs, struggle to reliably identify anti-autistic ableism and diverge from human judgments, underscoring their limitations in this domain. 
We publicly release our dataset along with the individual annotations,"&amp;" providing an essential resource for developing more inclusive and context-aware NLP systems that better reflect diverse perspectives.")</f>
        <v>As our awareness of autism and ableism continues to increase, so does our understanding of ableist language towards autistic people. Such language poses a significant challenge in NLP research due to its subtle and context-dependent nature. Yet, detecting anti-autistic ableist language remains underexplored, with existing NLP tools often failing to capture its nuanced expressions. 
We present AUTALIC, the first dataset dedicated to the detection of anti-autistic ableist language in context, addressing a significant gap in the field. AUTALIC comprises 2,400 autism-related sentences collected from Reddit, accompanied by surrounding context, and annotated by trained experts with backgrounds in neurodiversity. Our comprehensive evaluation reveals that current language models, including state-of-the-art LLMs, struggle to reliably identify anti-autistic ableism and diverge from human judgments, underscoring their limitations in this domain. 
We publicly release our dataset along with the individual annotations, providing an essential resource for developing more inclusive and context-aware NLP systems that better reflect diverse perspectives.</v>
      </c>
      <c r="D2661" s="7" t="str">
        <f>IFERROR(__xludf.DUMMYFUNCTION("""COMPUTED_VALUE"""),"Naba Rizvi")</f>
        <v>Naba Rizvi</v>
      </c>
      <c r="E2661" s="7" t="str">
        <f>IFERROR(__xludf.DUMMYFUNCTION("""COMPUTED_VALUE"""),"Yes")</f>
        <v>Yes</v>
      </c>
      <c r="F2661" s="7" t="str">
        <f>IFERROR(__xludf.DUMMYFUNCTION("""COMPUTED_VALUE"""),"IP-Oral")</f>
        <v>IP-Oral</v>
      </c>
      <c r="G2661" s="7" t="str">
        <f>IFERROR(__xludf.DUMMYFUNCTION("""COMPUTED_VALUE"""),"In-Person")</f>
        <v>In-Person</v>
      </c>
      <c r="H2661" s="7" t="str">
        <f>IFERROR(__xludf.DUMMYFUNCTION("""COMPUTED_VALUE"""),"Hall A ")</f>
        <v>Hall A </v>
      </c>
      <c r="I2661" s="7" t="str">
        <f>IFERROR(__xludf.DUMMYFUNCTION("""COMPUTED_VALUE"""),"Session 3: IP-Orals")</f>
        <v>Session 3: IP-Orals</v>
      </c>
      <c r="J2661" s="7" t="str">
        <f>IFERROR(__xludf.DUMMYFUNCTION("""COMPUTED_VALUE"""),"Resources and Evaluation 1")</f>
        <v>Resources and Evaluation 1</v>
      </c>
      <c r="K2661" s="7"/>
      <c r="L2661" s="8">
        <f>IFERROR(__xludf.DUMMYFUNCTION("""COMPUTED_VALUE"""),45866.0)</f>
        <v>45866</v>
      </c>
      <c r="M2661" s="7" t="str">
        <f>IFERROR(__xludf.DUMMYFUNCTION("""COMPUTED_VALUE"""),"14:00-15:30")</f>
        <v>14:00-15:30</v>
      </c>
      <c r="N2661" s="7">
        <f>IFERROR(__xludf.DUMMYFUNCTION("""COMPUTED_VALUE"""),7.0)</f>
        <v>7</v>
      </c>
    </row>
    <row r="2662">
      <c r="A2662" s="7" t="str">
        <f>IFERROR(__xludf.DUMMYFUNCTION("""COMPUTED_VALUE"""),"2739-MAIN")</f>
        <v>2739-MAIN</v>
      </c>
      <c r="B2662" s="7" t="str">
        <f>IFERROR(__xludf.DUMMYFUNCTION("""COMPUTED_VALUE"""),"Structural Reasoning Improves Molecular Understanding of LLM")</f>
        <v>Structural Reasoning Improves Molecular Understanding of LLM</v>
      </c>
      <c r="C2662" s="7" t="str">
        <f>IFERROR(__xludf.DUMMYFUNCTION("""COMPUTED_VALUE"""),"Recently, large language models (LLMs) have shown significant progress, approaching human perception levels. In this work, we demonstrate that despite these advances, LLMs still struggle to reason using molecular structural information. This gap is critic"&amp;"al because many molecular properties, including functional groups, depend heavily on such structural details. To address this limitation, we propose an approach that sketches molecular structures for reasoning. Specifically, we introduce Molecular Structu"&amp;"ral Reasoning (MSR) framework to enhance the understanding of LLMs by explicitly incorporating the key structural features. We present two frameworks for scenarios where the target molecule is known or unknown. We verify that our MSR improves molecular un"&amp;"derstanding through extensive experiments.")</f>
        <v>Recently, large language models (LLMs) have shown significant progress, approaching human perception levels. In this work, we demonstrate that despite these advances, LLMs still struggle to reason using molecular structural information. This gap is critical because many molecular properties, including functional groups, depend heavily on such structural details. To address this limitation, we propose an approach that sketches molecular structures for reasoning. Specifically, we introduce Molecular Structural Reasoning (MSR) framework to enhance the understanding of LLMs by explicitly incorporating the key structural features. We present two frameworks for scenarios where the target molecule is known or unknown. We verify that our MSR improves molecular understanding through extensive experiments.</v>
      </c>
      <c r="D2662" s="7" t="str">
        <f>IFERROR(__xludf.DUMMYFUNCTION("""COMPUTED_VALUE"""),"Yunhui Jang")</f>
        <v>Yunhui Jang</v>
      </c>
      <c r="E2662" s="7" t="str">
        <f>IFERROR(__xludf.DUMMYFUNCTION("""COMPUTED_VALUE"""),"Yes")</f>
        <v>Yes</v>
      </c>
      <c r="F2662" s="7" t="str">
        <f>IFERROR(__xludf.DUMMYFUNCTION("""COMPUTED_VALUE"""),"IP-Poster")</f>
        <v>IP-Poster</v>
      </c>
      <c r="G2662" s="7" t="str">
        <f>IFERROR(__xludf.DUMMYFUNCTION("""COMPUTED_VALUE"""),"In-Person")</f>
        <v>In-Person</v>
      </c>
      <c r="H2662" s="7" t="str">
        <f>IFERROR(__xludf.DUMMYFUNCTION("""COMPUTED_VALUE"""),"Hall 4/5")</f>
        <v>Hall 4/5</v>
      </c>
      <c r="I2662" s="7" t="str">
        <f>IFERROR(__xludf.DUMMYFUNCTION("""COMPUTED_VALUE"""),"Session 12: IP-Posters")</f>
        <v>Session 12: IP-Posters</v>
      </c>
      <c r="J2662" s="7" t="str">
        <f>IFERROR(__xludf.DUMMYFUNCTION("""COMPUTED_VALUE"""),"Poster Session 4")</f>
        <v>Poster Session 4</v>
      </c>
      <c r="K2662" s="7"/>
      <c r="L2662" s="8">
        <f>IFERROR(__xludf.DUMMYFUNCTION("""COMPUTED_VALUE"""),45868.0)</f>
        <v>45868</v>
      </c>
      <c r="M2662" s="7" t="str">
        <f>IFERROR(__xludf.DUMMYFUNCTION("""COMPUTED_VALUE"""),"11:00-12:30")</f>
        <v>11:00-12:30</v>
      </c>
      <c r="N2662" s="7"/>
    </row>
    <row r="2663">
      <c r="A2663" s="7" t="str">
        <f>IFERROR(__xludf.DUMMYFUNCTION("""COMPUTED_VALUE"""),"2741-MAIN")</f>
        <v>2741-MAIN</v>
      </c>
      <c r="B2663" s="7" t="str">
        <f>IFERROR(__xludf.DUMMYFUNCTION("""COMPUTED_VALUE"""),"CAMI: A Counselor Agent Supporting Motivational Interviewing through State Inference and Topic Exploration")</f>
        <v>CAMI: A Counselor Agent Supporting Motivational Interviewing through State Inference and Topic Exploration</v>
      </c>
      <c r="C2663" s="7" t="str">
        <f>IFERROR(__xludf.DUMMYFUNCTION("""COMPUTED_VALUE"""),"Conversational counselor agents have become essential tools for addressing the rising demand for scalable and accessible mental health support. This paper introduces CAMI, a novel automated counselor agent grounded in Motivational Interviewing (MI) -- a c"&amp;"lient-centered counseling approach designed to address ambivalence and facilitate behavior change. CAMI employs a novel STAR framework, consisting of client's state inference, motivation topic exploration, and response generation modules, leveraging large"&amp;" language models (LLMs). These components work together to evoke change talk, aligning with MI principles and improving counseling outcomes for diverse clients. We evaluate CAMI's performance through both automated and expert evaluations, utilizing simula"&amp;"ted clients to assess MI skill competency, client's state inference accuracy, topic exploration proficiency, and overall counseling success. Results show that CAMI not only outperforms several state-of-the-art methods but also shows more realistic counsel"&amp;"or-like behavior. Additionally, our ablation study underscores the critical roles of state inference and topic exploration in achieving this performance.")</f>
        <v>Conversational counselor agents have become essential tools for addressing the rising demand for scalable and accessible mental health support. This paper introduces CAMI, a novel automated counselor agent grounded in Motivational Interviewing (MI) -- a client-centered counseling approach designed to address ambivalence and facilitate behavior change. CAMI employs a novel STAR framework, consisting of client's state inference, motivation topic exploration, and response generation modules, leveraging large language models (LLMs). These components work together to evoke change talk, aligning with MI principles and improving counseling outcomes for diverse clients. We evaluate CAMI's performance through both automated and expert evaluations, utilizing simulated clients to assess MI skill competency, client's state inference accuracy, topic exploration proficiency, and overall counseling success. Results show that CAMI not only outperforms several state-of-the-art methods but also shows more realistic counselor-like behavior. Additionally, our ablation study underscores the critical roles of state inference and topic exploration in achieving this performance.</v>
      </c>
      <c r="D2663" s="7" t="str">
        <f>IFERROR(__xludf.DUMMYFUNCTION("""COMPUTED_VALUE"""),"Yizhe Yang")</f>
        <v>Yizhe Yang</v>
      </c>
      <c r="E2663" s="7" t="str">
        <f>IFERROR(__xludf.DUMMYFUNCTION("""COMPUTED_VALUE"""),"Yes")</f>
        <v>Yes</v>
      </c>
      <c r="F2663" s="7" t="str">
        <f>IFERROR(__xludf.DUMMYFUNCTION("""COMPUTED_VALUE"""),"IP-Poster")</f>
        <v>IP-Poster</v>
      </c>
      <c r="G2663" s="7" t="str">
        <f>IFERROR(__xludf.DUMMYFUNCTION("""COMPUTED_VALUE"""),"In-Person")</f>
        <v>In-Person</v>
      </c>
      <c r="H2663" s="7" t="str">
        <f>IFERROR(__xludf.DUMMYFUNCTION("""COMPUTED_VALUE"""),"Hall 4/5")</f>
        <v>Hall 4/5</v>
      </c>
      <c r="I2663" s="7" t="str">
        <f>IFERROR(__xludf.DUMMYFUNCTION("""COMPUTED_VALUE"""),"Session 12: IP-Posters")</f>
        <v>Session 12: IP-Posters</v>
      </c>
      <c r="J2663" s="7" t="str">
        <f>IFERROR(__xludf.DUMMYFUNCTION("""COMPUTED_VALUE"""),"Poster Session 4")</f>
        <v>Poster Session 4</v>
      </c>
      <c r="K2663" s="7"/>
      <c r="L2663" s="8">
        <f>IFERROR(__xludf.DUMMYFUNCTION("""COMPUTED_VALUE"""),45868.0)</f>
        <v>45868</v>
      </c>
      <c r="M2663" s="7" t="str">
        <f>IFERROR(__xludf.DUMMYFUNCTION("""COMPUTED_VALUE"""),"11:00-12:30")</f>
        <v>11:00-12:30</v>
      </c>
      <c r="N2663" s="7"/>
    </row>
    <row r="2664">
      <c r="A2664" s="7" t="str">
        <f>IFERROR(__xludf.DUMMYFUNCTION("""COMPUTED_VALUE"""),"2743-MAIN")</f>
        <v>2743-MAIN</v>
      </c>
      <c r="B2664" s="7" t="str">
        <f>IFERROR(__xludf.DUMMYFUNCTION("""COMPUTED_VALUE"""),"Know You First and Be You Better: Modeling Human-Like User Simulators via Implicit Profiles")</f>
        <v>Know You First and Be You Better: Modeling Human-Like User Simulators via Implicit Profiles</v>
      </c>
      <c r="C2664" s="7" t="str">
        <f>IFERROR(__xludf.DUMMYFUNCTION("""COMPUTED_VALUE"""),"User simulators are crucial for replicating human interactions with dialogue systems, supporting both collaborative training and automatic evaluation, especially for large language models (LLMs). However, current role-playing methods face challenges such "&amp;"as a lack of utterance-level authenticity and user-level diversity, often hindered by role confusion and dependence on predefined profiles of well-known figures. In contrast, direct simulation focuses solely on text, neglecting implicit user traits like p"&amp;"ersonality and conversation-level consistency. To address these issues, we introduce the User Simulator with Implicit Profiles (USP), a framework that infers implicit user profiles from human-machine interactions to simulate personalized and realistic dia"&amp;"logues. We first develop an LLM-driven extractor with a comprehensive profile schema, then refine the simulation using conditional supervised fine-tuning and reinforcement learning with cycle consistency, optimizing at both the utterance and conversation "&amp;"levels. Finally, a diverse profile sampler captures the distribution of real-world user profiles. Experimental results show that USP outperforms strong baselines in terms of authenticity and diversity while maintaining comparable consistency. Additionally"&amp;", using USP to evaluate LLM on dynamic multi-turn aligns well with mainstream benchmarks, demonstrating its effectiveness in real-world applications.")</f>
        <v>User simulators are crucial for replicating human interactions with dialogue systems, supporting both collaborative training and automatic evaluation, especially for large language models (LLMs). However, current role-playing methods face challenges such as a lack of utterance-level authenticity and user-level diversity, often hindered by role confusion and dependence on predefined profiles of well-known figures. In contrast, direct simulation focuses solely on text, neglecting implicit user traits like personality and conversation-level consistency. To address these issues, we introduce the User Simulator with Implicit Profiles (USP), a framework that infers implicit user profiles from human-machine interactions to simulate personalized and realistic dialogues. We first develop an LLM-driven extractor with a comprehensive profile schema, then refine the simulation using conditional supervised fine-tuning and reinforcement learning with cycle consistency, optimizing at both the utterance and conversation levels. Finally, a diverse profile sampler captures the distribution of real-world user profiles. Experimental results show that USP outperforms strong baselines in terms of authenticity and diversity while maintaining comparable consistency. Additionally, using USP to evaluate LLM on dynamic multi-turn aligns well with mainstream benchmarks, demonstrating its effectiveness in real-world applications.</v>
      </c>
      <c r="D2664" s="7" t="str">
        <f>IFERROR(__xludf.DUMMYFUNCTION("""COMPUTED_VALUE"""),"Kuang Wang")</f>
        <v>Kuang Wang</v>
      </c>
      <c r="E2664" s="7" t="str">
        <f>IFERROR(__xludf.DUMMYFUNCTION("""COMPUTED_VALUE"""),"Yes")</f>
        <v>Yes</v>
      </c>
      <c r="F2664" s="7" t="str">
        <f>IFERROR(__xludf.DUMMYFUNCTION("""COMPUTED_VALUE"""),"IP-Poster")</f>
        <v>IP-Poster</v>
      </c>
      <c r="G2664" s="7" t="str">
        <f>IFERROR(__xludf.DUMMYFUNCTION("""COMPUTED_VALUE"""),"In-Person")</f>
        <v>In-Person</v>
      </c>
      <c r="H2664" s="7" t="str">
        <f>IFERROR(__xludf.DUMMYFUNCTION("""COMPUTED_VALUE"""),"Hall 4/5")</f>
        <v>Hall 4/5</v>
      </c>
      <c r="I2664" s="7" t="str">
        <f>IFERROR(__xludf.DUMMYFUNCTION("""COMPUTED_VALUE"""),"Session 2: IP-Posters ")</f>
        <v>Session 2: IP-Posters </v>
      </c>
      <c r="J2664" s="7" t="str">
        <f>IFERROR(__xludf.DUMMYFUNCTION("""COMPUTED_VALUE"""),"Poster Session 1")</f>
        <v>Poster Session 1</v>
      </c>
      <c r="K2664" s="7"/>
      <c r="L2664" s="8">
        <f>IFERROR(__xludf.DUMMYFUNCTION("""COMPUTED_VALUE"""),45866.0)</f>
        <v>45866</v>
      </c>
      <c r="M2664" s="7" t="str">
        <f>IFERROR(__xludf.DUMMYFUNCTION("""COMPUTED_VALUE"""),"11:00-12:30")</f>
        <v>11:00-12:30</v>
      </c>
      <c r="N2664" s="7"/>
    </row>
    <row r="2665">
      <c r="A2665" s="7" t="str">
        <f>IFERROR(__xludf.DUMMYFUNCTION("""COMPUTED_VALUE"""),"2745-MAIN")</f>
        <v>2745-MAIN</v>
      </c>
      <c r="B2665" s="7" t="str">
        <f>IFERROR(__xludf.DUMMYFUNCTION("""COMPUTED_VALUE"""),"Targeted Syntactic Evaluation for Grammatical Error Correction")</f>
        <v>Targeted Syntactic Evaluation for Grammatical Error Correction</v>
      </c>
      <c r="C2665" s="7" t="str">
        <f>IFERROR(__xludf.DUMMYFUNCTION("""COMPUTED_VALUE"""),"Language learners encounter a wide range of grammar items across the beginner, intermediate, and advanced levels.
To develop grammatical error correction (GEC) models effectively, it is crucial to identify which grammar items are easier or more challengin"&amp;"g for models to correct. However, conventional benchmarks based on learner-produced texts are insufficient for conducting detailed evaluations of GEC model performance across a wide range of grammar items due to biases in their distribution.
To address th"&amp;"is issue, we propose a new evaluation paradigm that assesses GEC models using minimal pairs of ungrammatical and grammatical sentences for each grammar item. As the first benchmark within this paradigm, we introduce the CEFR-based Targeted Syntactic Evalu"&amp;"ation Dataset for Grammatical Error Correction (CTSEG), which complements existing English benchmarks by enabling fine-grained analyses previously unattainable with conventional datasets. Using CTSEG, we evaluate three mainstream types of English GEC mode"&amp;"ls: sequence-to-sequence models, sequence tagging models, and prompt-based models. The results indicate that while current models perform well on beginner-level grammar items, their performance deteriorates substantially for intermediate and advanced item"&amp;"s.")</f>
        <v>Language learners encounter a wide range of grammar items across the beginner, intermediate, and advanced levels.
To develop grammatical error correction (GEC) models effectively, it is crucial to identify which grammar items are easier or more challenging for models to correct. However, conventional benchmarks based on learner-produced texts are insufficient for conducting detailed evaluations of GEC model performance across a wide range of grammar items due to biases in their distribution.
To address this issue, we propose a new evaluation paradigm that assesses GEC models using minimal pairs of ungrammatical and grammatical sentences for each grammar item. As the first benchmark within this paradigm, we introduce the CEFR-based Targeted Syntactic Evaluation Dataset for Grammatical Error Correction (CTSEG), which complements existing English benchmarks by enabling fine-grained analyses previously unattainable with conventional datasets. Using CTSEG, we evaluate three mainstream types of English GEC models: sequence-to-sequence models, sequence tagging models, and prompt-based models. The results indicate that while current models perform well on beginner-level grammar items, their performance deteriorates substantially for intermediate and advanced items.</v>
      </c>
      <c r="D2665" s="7" t="str">
        <f>IFERROR(__xludf.DUMMYFUNCTION("""COMPUTED_VALUE"""),"Aomi Koyama")</f>
        <v>Aomi Koyama</v>
      </c>
      <c r="E2665" s="7" t="str">
        <f>IFERROR(__xludf.DUMMYFUNCTION("""COMPUTED_VALUE"""),"Yes")</f>
        <v>Yes</v>
      </c>
      <c r="F2665" s="7" t="str">
        <f>IFERROR(__xludf.DUMMYFUNCTION("""COMPUTED_VALUE"""),"IP-Poster")</f>
        <v>IP-Poster</v>
      </c>
      <c r="G2665" s="7" t="str">
        <f>IFERROR(__xludf.DUMMYFUNCTION("""COMPUTED_VALUE"""),"In-Person")</f>
        <v>In-Person</v>
      </c>
      <c r="H2665" s="7" t="str">
        <f>IFERROR(__xludf.DUMMYFUNCTION("""COMPUTED_VALUE"""),"Hall 4/5")</f>
        <v>Hall 4/5</v>
      </c>
      <c r="I2665" s="7" t="str">
        <f>IFERROR(__xludf.DUMMYFUNCTION("""COMPUTED_VALUE"""),"Session 7: IP-Posters")</f>
        <v>Session 7: IP-Posters</v>
      </c>
      <c r="J2665" s="7" t="str">
        <f>IFERROR(__xludf.DUMMYFUNCTION("""COMPUTED_VALUE"""),"Poster Session 2")</f>
        <v>Poster Session 2</v>
      </c>
      <c r="K2665" s="7"/>
      <c r="L2665" s="8">
        <f>IFERROR(__xludf.DUMMYFUNCTION("""COMPUTED_VALUE"""),45867.0)</f>
        <v>45867</v>
      </c>
      <c r="M2665" s="7" t="str">
        <f>IFERROR(__xludf.DUMMYFUNCTION("""COMPUTED_VALUE"""),"10:30-12:00")</f>
        <v>10:30-12:00</v>
      </c>
      <c r="N2665" s="7"/>
    </row>
    <row r="2666">
      <c r="A2666" s="7" t="str">
        <f>IFERROR(__xludf.DUMMYFUNCTION("""COMPUTED_VALUE"""),"2747-MAIN")</f>
        <v>2747-MAIN</v>
      </c>
      <c r="B2666" s="7" t="str">
        <f>IFERROR(__xludf.DUMMYFUNCTION("""COMPUTED_VALUE"""),"VQ-Eval: Evaluating Multimodal LLMs for Generating Feedback on AIGC Videos")</f>
        <v>VQ-Eval: Evaluating Multimodal LLMs for Generating Feedback on AIGC Videos</v>
      </c>
      <c r="C2666" s="7" t="str">
        <f>IFERROR(__xludf.DUMMYFUNCTION("""COMPUTED_VALUE"""),"Recently, multimodal large language models (MLLMs) have been extensively explored in video question answering. However, most existing assessments focus on natural videos, overlooking synthetic videos (e.g., AI-generated content). Meanwhile, some works in "&amp;"video generation rely on MLLMs to evaluate the quality of generated videos, but the capabilities of MLLMs on AIGC videos remain largely underexplored. To address this, we propose a new benchmark, VQ-Eval, which introduces four tasks—coherence validation, "&amp;"error awareness, error type detection, and reasoning evaluation—to comprehensively evaluate the abilities of MLLMs on AIGC videos. We evaluate 13 frontier MLLMs on VQ-Eval and find that even the best-performing model, GPT-4.1, struggles to achieve consist"&amp;"ently good performance across all tasks. This highlights the challenging nature of our benchmark. Additionally, to investigate the practical applications of VQ-Eval in improving video generation, we design a re-prompt pipeline, demonstrating that aligning"&amp;" MLLMs more closely with human feedback can benefit the video generation.")</f>
        <v>Recently, multimodal large language models (MLLMs) have been extensively explored in video question answering. However, most existing assessments focus on natural videos, overlooking synthetic videos (e.g., AI-generated content). Meanwhile, some works in video generation rely on MLLMs to evaluate the quality of generated videos, but the capabilities of MLLMs on AIGC videos remain largely underexplored. To address this, we propose a new benchmark, VQ-Eval, which introduces four tasks—coherence validation, error awareness, error type detection, and reasoning evaluation—to comprehensively evaluate the abilities of MLLMs on AIGC videos. We evaluate 13 frontier MLLMs on VQ-Eval and find that even the best-performing model, GPT-4.1, struggles to achieve consistently good performance across all tasks. This highlights the challenging nature of our benchmark. Additionally, to investigate the practical applications of VQ-Eval in improving video generation, we design a re-prompt pipeline, demonstrating that aligning MLLMs more closely with human feedback can benefit the video generation.</v>
      </c>
      <c r="D2666" s="7" t="str">
        <f>IFERROR(__xludf.DUMMYFUNCTION("""COMPUTED_VALUE"""),"Tingyu Song")</f>
        <v>Tingyu Song</v>
      </c>
      <c r="E2666" s="7" t="str">
        <f>IFERROR(__xludf.DUMMYFUNCTION("""COMPUTED_VALUE"""),"Yes")</f>
        <v>Yes</v>
      </c>
      <c r="F2666" s="7" t="str">
        <f>IFERROR(__xludf.DUMMYFUNCTION("""COMPUTED_VALUE"""),"V-Presentation")</f>
        <v>V-Presentation</v>
      </c>
      <c r="G2666" s="7" t="str">
        <f>IFERROR(__xludf.DUMMYFUNCTION("""COMPUTED_VALUE"""),"Virtual/Gather")</f>
        <v>Virtual/Gather</v>
      </c>
      <c r="H2666" s="7" t="str">
        <f>IFERROR(__xludf.DUMMYFUNCTION("""COMPUTED_VALUE"""),"Zoom")</f>
        <v>Zoom</v>
      </c>
      <c r="I2666" s="7" t="str">
        <f>IFERROR(__xludf.DUMMYFUNCTION("""COMPUTED_VALUE"""),"Session 10: V-Presenations")</f>
        <v>Session 10: V-Presenations</v>
      </c>
      <c r="J2666" s="7" t="str">
        <f>IFERROR(__xludf.DUMMYFUNCTION("""COMPUTED_VALUE"""),"Virtual Presentations 3")</f>
        <v>Virtual Presentations 3</v>
      </c>
      <c r="K2666" s="7"/>
      <c r="L2666" s="8">
        <f>IFERROR(__xludf.DUMMYFUNCTION("""COMPUTED_VALUE"""),45867.0)</f>
        <v>45867</v>
      </c>
      <c r="M2666" s="7" t="str">
        <f>IFERROR(__xludf.DUMMYFUNCTION("""COMPUTED_VALUE"""),"16:00-17:30")</f>
        <v>16:00-17:30</v>
      </c>
      <c r="N2666" s="7"/>
    </row>
    <row r="2667">
      <c r="A2667" s="7" t="str">
        <f>IFERROR(__xludf.DUMMYFUNCTION("""COMPUTED_VALUE"""),"2750-MAIN")</f>
        <v>2750-MAIN</v>
      </c>
      <c r="B2667" s="7" t="str">
        <f>IFERROR(__xludf.DUMMYFUNCTION("""COMPUTED_VALUE"""),"Language Model Fine-Tuning on Scaled Survey Data for Predicting Distributions of Public Opinions")</f>
        <v>Language Model Fine-Tuning on Scaled Survey Data for Predicting Distributions of Public Opinions</v>
      </c>
      <c r="C2667" s="7" t="str">
        <f>IFERROR(__xludf.DUMMYFUNCTION("""COMPUTED_VALUE"""),"Large language models (LLMs) present novel opportunities in public opinion research by predicting survey responses in advance during the early stages of survey design. Prior methods steer LLMs via descriptions of subpopulations as LLMs' input prompt, yet "&amp;"such prompt engineering approaches have struggled to faithfully predict the distribution of survey responses from human subjects. In this work, we propose directly fine-tuning LLMs to predict response distributions by leveraging unique structural characte"&amp;"ristics of survey data. To enable fine-tuning, we curate SubPOP, a significantly scaled dataset of 3,362 questions and 70K subpopulation-response pairs from well-established public opinion surveys. We show that fine-tuning on SubPOP greatly improves the m"&amp;"atch between LLM predictions and human responses across various subpopulations, reducing the LLM-human gap by up to 46% compared to baselines, and achieves strong generalization to unseen surveys and subpopulations. Our findings highlight the potential of"&amp;" survey-based fine-tuning to improve opinion prediction for diverse, real-world subpopulations and therefore enable more efficient survey designs.")</f>
        <v>Large language models (LLMs) present novel opportunities in public opinion research by predicting survey responses in advance during the early stages of survey design. Prior methods steer LLMs via descriptions of subpopulations as LLMs' input prompt, yet such prompt engineering approaches have struggled to faithfully predict the distribution of survey responses from human subjects. In this work, we propose directly fine-tuning LLMs to predict response distributions by leveraging unique structural characteristics of survey data. To enable fine-tuning, we curate SubPOP, a significantly scaled dataset of 3,362 questions and 70K subpopulation-response pairs from well-established public opinion surveys. We show that fine-tuning on SubPOP greatly improves the match between LLM predictions and human responses across various subpopulations, reducing the LLM-human gap by up to 46% compared to baselines, and achieves strong generalization to unseen surveys and subpopulations. Our findings highlight the potential of survey-based fine-tuning to improve opinion prediction for diverse, real-world subpopulations and therefore enable more efficient survey designs.</v>
      </c>
      <c r="D2667" s="7" t="str">
        <f>IFERROR(__xludf.DUMMYFUNCTION("""COMPUTED_VALUE"""),"Joseph Suh")</f>
        <v>Joseph Suh</v>
      </c>
      <c r="E2667" s="7" t="str">
        <f>IFERROR(__xludf.DUMMYFUNCTION("""COMPUTED_VALUE"""),"Yes")</f>
        <v>Yes</v>
      </c>
      <c r="F2667" s="7" t="str">
        <f>IFERROR(__xludf.DUMMYFUNCTION("""COMPUTED_VALUE"""),"IP-Poster")</f>
        <v>IP-Poster</v>
      </c>
      <c r="G2667" s="7" t="str">
        <f>IFERROR(__xludf.DUMMYFUNCTION("""COMPUTED_VALUE"""),"In-Person")</f>
        <v>In-Person</v>
      </c>
      <c r="H2667" s="7" t="str">
        <f>IFERROR(__xludf.DUMMYFUNCTION("""COMPUTED_VALUE"""),"Hall 4/5")</f>
        <v>Hall 4/5</v>
      </c>
      <c r="I2667" s="7" t="str">
        <f>IFERROR(__xludf.DUMMYFUNCTION("""COMPUTED_VALUE"""),"Session 12: IP-Posters")</f>
        <v>Session 12: IP-Posters</v>
      </c>
      <c r="J2667" s="7" t="str">
        <f>IFERROR(__xludf.DUMMYFUNCTION("""COMPUTED_VALUE"""),"Poster Session 4")</f>
        <v>Poster Session 4</v>
      </c>
      <c r="K2667" s="7"/>
      <c r="L2667" s="8">
        <f>IFERROR(__xludf.DUMMYFUNCTION("""COMPUTED_VALUE"""),45868.0)</f>
        <v>45868</v>
      </c>
      <c r="M2667" s="7" t="str">
        <f>IFERROR(__xludf.DUMMYFUNCTION("""COMPUTED_VALUE"""),"11:00-12:30")</f>
        <v>11:00-12:30</v>
      </c>
      <c r="N2667" s="7"/>
    </row>
    <row r="2668">
      <c r="A2668" s="7" t="str">
        <f>IFERROR(__xludf.DUMMYFUNCTION("""COMPUTED_VALUE"""),"2761-MAIN")</f>
        <v>2761-MAIN</v>
      </c>
      <c r="B2668" s="7" t="str">
        <f>IFERROR(__xludf.DUMMYFUNCTION("""COMPUTED_VALUE"""),"SAD-LM: A Large-Scale Generalist Diffusion Language Model")</f>
        <v>SAD-LM: A Large-Scale Generalist Diffusion Language Model</v>
      </c>
      <c r="C2668" s="7" t="str">
        <f>IFERROR(__xludf.DUMMYFUNCTION("""COMPUTED_VALUE"""),"We introduce TESS 2, a general instruction-following diffusion language model that outperforms contemporary instruction-tuned diffusion models, as well as matches and sometimes exceeds strong autoregressive (AR) models. We train TESS 2 by first adapting a"&amp;" strong AR model via continued pretraining with a diffusion loss and then performing further instruction tuning. We find that adaptation training as well as the choice of the base model is crucial for training good instruction-following diffusion models. "&amp;"We further propose reward guidance, a novel and modular inference-time guidance procedure to align model outputs without needing to train the underlying model. Finally, we show that TESS 2 further improves with increased inference-time compute, highlighti"&amp;"ng the utility of diffusion LMs in having fine-grained controllability over the amount of compute used at inference time.")</f>
        <v>We introduce TESS 2, a general instruction-following diffusion language model that outperforms contemporary instruction-tuned diffusion models, as well as matches and sometimes exceeds strong autoregressive (AR) models. We train TESS 2 by first adapting a strong AR model via continued pretraining with a diffusion loss and then performing further instruction tuning. We find that adaptation training as well as the choice of the base model is crucial for training good instruction-following diffusion models. We further propose reward guidance, a novel and modular inference-time guidance procedure to align model outputs without needing to train the underlying model. Finally, we show that TESS 2 further improves with increased inference-time compute, highlighting the utility of diffusion LMs in having fine-grained controllability over the amount of compute used at inference time.</v>
      </c>
      <c r="D2668" s="7" t="str">
        <f>IFERROR(__xludf.DUMMYFUNCTION("""COMPUTED_VALUE"""),"Hamish Ivison")</f>
        <v>Hamish Ivison</v>
      </c>
      <c r="E2668" s="7" t="str">
        <f>IFERROR(__xludf.DUMMYFUNCTION("""COMPUTED_VALUE"""),"Yes")</f>
        <v>Yes</v>
      </c>
      <c r="F2668" s="7" t="str">
        <f>IFERROR(__xludf.DUMMYFUNCTION("""COMPUTED_VALUE"""),"IP-Oral")</f>
        <v>IP-Oral</v>
      </c>
      <c r="G2668" s="7" t="str">
        <f>IFERROR(__xludf.DUMMYFUNCTION("""COMPUTED_VALUE"""),"In-Person")</f>
        <v>In-Person</v>
      </c>
      <c r="H2668" s="7" t="str">
        <f>IFERROR(__xludf.DUMMYFUNCTION("""COMPUTED_VALUE"""),"Room 1.61")</f>
        <v>Room 1.61</v>
      </c>
      <c r="I2668" s="7" t="str">
        <f>IFERROR(__xludf.DUMMYFUNCTION("""COMPUTED_VALUE"""),"Session 11: IP-Orals ")</f>
        <v>Session 11: IP-Orals </v>
      </c>
      <c r="J2668" s="7" t="str">
        <f>IFERROR(__xludf.DUMMYFUNCTION("""COMPUTED_VALUE"""),"Machine Learning for NLP")</f>
        <v>Machine Learning for NLP</v>
      </c>
      <c r="K2668" s="7"/>
      <c r="L2668" s="8">
        <f>IFERROR(__xludf.DUMMYFUNCTION("""COMPUTED_VALUE"""),45868.0)</f>
        <v>45868</v>
      </c>
      <c r="M2668" s="7" t="str">
        <f>IFERROR(__xludf.DUMMYFUNCTION("""COMPUTED_VALUE"""),"09:00-10:30")</f>
        <v>09:00-10:30</v>
      </c>
      <c r="N2668" s="7">
        <f>IFERROR(__xludf.DUMMYFUNCTION("""COMPUTED_VALUE"""),6.0)</f>
        <v>6</v>
      </c>
    </row>
    <row r="2669">
      <c r="A2669" s="7" t="str">
        <f>IFERROR(__xludf.DUMMYFUNCTION("""COMPUTED_VALUE"""),"2762-MAIN")</f>
        <v>2762-MAIN</v>
      </c>
      <c r="B2669" s="7" t="str">
        <f>IFERROR(__xludf.DUMMYFUNCTION("""COMPUTED_VALUE"""),"Detecting LLM-Generated Korean Text through Linguistic Feature Analysis")</f>
        <v>Detecting LLM-Generated Korean Text through Linguistic Feature Analysis</v>
      </c>
      <c r="C2669" s="7" t="str">
        <f>IFERROR(__xludf.DUMMYFUNCTION("""COMPUTED_VALUE"""),"The rapid advancement of large language models (LLMs) increases the difficulty of distinguishing between human-written and LLM-generated text. Detecting LLM-generated text is crucial for upholding academic integrity, preventing plagiarism, protecting copy"&amp;"rights, and ensuring ethical research practices. Most prior studies on detecting LLM-generated text focus primarily on English text. However, languages with distinct morphological and syntactic characteristics require specialized detection approaches. The"&amp;"ir unique structures and usage patterns hinder the direct application of methods primarily designed for English. Among such languages, we focus on Korean, 
which has relatively flexible spacing rules, a rich morphological system, and less frequent comma u"&amp;"sage compared to English. We introduce KatFish, the first benchmark dataset for detecting LLM-generated Korean text. The dataset consists of text written by humans and generated by four LLMs across three genres. By examining spacing patterns, part-of-spee"&amp;"ch diversity, and comma usage, we illuminate the linguistic differences between human-written and LLM-generated Korean text. Building on these observations, we propose KatFishNet, a detection method specifically designed for the Korean language. KatFishNe"&amp;"t achieves an average of 19.78% higher AUC-ROC compared to the best-performing existing detection method. Our code and data are available at https://github.com/Shinwoo-Park/katfishnet.")</f>
        <v>The rapid advancement of large language models (LLMs) increases the difficulty of distinguishing between human-written and LLM-generated text. Detecting LLM-generated text is crucial for upholding academic integrity, preventing plagiarism, protecting copyrights, and ensuring ethical research practices. Most prior studies on detecting LLM-generated text focus primarily on English text. However, languages with distinct morphological and syntactic characteristics require specialized detection approaches. Their unique structures and usage patterns hinder the direct application of methods primarily designed for English. Among such languages, we focus on Korean, 
which has relatively flexible spacing rules, a rich morphological system, and less frequent comma usage compared to English. We introduce KatFish, the first benchmark dataset for detecting LLM-generated Korean text. The dataset consists of text written by humans and generated by four LLMs across three genres. By examining spacing patterns, part-of-speech diversity, and comma usage, we illuminate the linguistic differences between human-written and LLM-generated Korean text. Building on these observations, we propose KatFishNet, a detection method specifically designed for the Korean language. KatFishNet achieves an average of 19.78% higher AUC-ROC compared to the best-performing existing detection method. Our code and data are available at https://github.com/Shinwoo-Park/katfishnet.</v>
      </c>
      <c r="D2669" s="7" t="str">
        <f>IFERROR(__xludf.DUMMYFUNCTION("""COMPUTED_VALUE"""),"Shinwoo Park")</f>
        <v>Shinwoo Park</v>
      </c>
      <c r="E2669" s="7" t="str">
        <f>IFERROR(__xludf.DUMMYFUNCTION("""COMPUTED_VALUE"""),"Yes")</f>
        <v>Yes</v>
      </c>
      <c r="F2669" s="7" t="str">
        <f>IFERROR(__xludf.DUMMYFUNCTION("""COMPUTED_VALUE"""),"IP-Poster")</f>
        <v>IP-Poster</v>
      </c>
      <c r="G2669" s="7" t="str">
        <f>IFERROR(__xludf.DUMMYFUNCTION("""COMPUTED_VALUE"""),"In-Person")</f>
        <v>In-Person</v>
      </c>
      <c r="H2669" s="7" t="str">
        <f>IFERROR(__xludf.DUMMYFUNCTION("""COMPUTED_VALUE"""),"Hall 4/5")</f>
        <v>Hall 4/5</v>
      </c>
      <c r="I2669" s="7" t="str">
        <f>IFERROR(__xludf.DUMMYFUNCTION("""COMPUTED_VALUE"""),"Session 12: IP-Posters")</f>
        <v>Session 12: IP-Posters</v>
      </c>
      <c r="J2669" s="7" t="str">
        <f>IFERROR(__xludf.DUMMYFUNCTION("""COMPUTED_VALUE"""),"Poster Session 4")</f>
        <v>Poster Session 4</v>
      </c>
      <c r="K2669" s="7"/>
      <c r="L2669" s="8">
        <f>IFERROR(__xludf.DUMMYFUNCTION("""COMPUTED_VALUE"""),45868.0)</f>
        <v>45868</v>
      </c>
      <c r="M2669" s="7" t="str">
        <f>IFERROR(__xludf.DUMMYFUNCTION("""COMPUTED_VALUE"""),"11:00-12:30")</f>
        <v>11:00-12:30</v>
      </c>
      <c r="N2669" s="7"/>
    </row>
    <row r="2670">
      <c r="A2670" s="7" t="str">
        <f>IFERROR(__xludf.DUMMYFUNCTION("""COMPUTED_VALUE"""),"2763-MAIN")</f>
        <v>2763-MAIN</v>
      </c>
      <c r="B2670" s="7" t="str">
        <f>IFERROR(__xludf.DUMMYFUNCTION("""COMPUTED_VALUE"""),"Uncovering the Impact of Chain-of-Thought Reasoning for Direct Preference Optimization: Lessons from Text-to-SQL")</f>
        <v>Uncovering the Impact of Chain-of-Thought Reasoning for Direct Preference Optimization: Lessons from Text-to-SQL</v>
      </c>
      <c r="C2670" s="7" t="str">
        <f>IFERROR(__xludf.DUMMYFUNCTION("""COMPUTED_VALUE"""),"Direct Preference Optimization (DPO) has proven effective in complex reasoning tasks like math word problems and code generation. However, when applied to Text-to-SQL datasets, it often fails to improve performance and can even degrade it. Our investigati"&amp;"on reveals the root cause: unlike math and code tasks, which naturally integrate Chain-of-Thought (CoT) reasoning with DPO, Text-to-SQL datasets typically include only final answers (gold SQL queries) without detailed CoT solutions. By augmenting Text-to-"&amp;"SQL datasets with synthetic CoT solutions, we achieve, for the first time, consistent and significant performance improvements using DPO.
Our analysis shows that CoT reasoning is crucial for unlocking DPO’s potential, as it mitigates reward hacking, stre"&amp;"ngthens discriminative capabilities, and improves scalability. These findings offer valuable insights for building more robust Text-to-SQL models. To support further research, we publicly release the code and CoT-enhanced datasets: https://github.com/RUCK"&amp;"BReasoning/DPO_Text2SQL.")</f>
        <v>Direct Preference Optimization (DPO) has proven effective in complex reasoning tasks like math word problems and code generation. However, when applied to Text-to-SQL datasets, it often fails to improve performance and can even degrade it. Our investigation reveals the root cause: unlike math and code tasks, which naturally integrate Chain-of-Thought (CoT) reasoning with DPO, Text-to-SQL datasets typically include only final answers (gold SQL queries) without detailed CoT solutions. By augmenting Text-to-SQL datasets with synthetic CoT solutions, we achieve, for the first time, consistent and significant performance improvements using DPO.
Our analysis shows that CoT reasoning is crucial for unlocking DPO’s potential, as it mitigates reward hacking, strengthens discriminative capabilities, and improves scalability. These findings offer valuable insights for building more robust Text-to-SQL models. To support further research, we publicly release the code and CoT-enhanced datasets: https://github.com/RUCKBReasoning/DPO_Text2SQL.</v>
      </c>
      <c r="D2670" s="7" t="str">
        <f>IFERROR(__xludf.DUMMYFUNCTION("""COMPUTED_VALUE"""),"Hanbing Liu")</f>
        <v>Hanbing Liu</v>
      </c>
      <c r="E2670" s="7" t="str">
        <f>IFERROR(__xludf.DUMMYFUNCTION("""COMPUTED_VALUE"""),"Yes")</f>
        <v>Yes</v>
      </c>
      <c r="F2670" s="7" t="str">
        <f>IFERROR(__xludf.DUMMYFUNCTION("""COMPUTED_VALUE"""),"IP-Poster")</f>
        <v>IP-Poster</v>
      </c>
      <c r="G2670" s="7" t="str">
        <f>IFERROR(__xludf.DUMMYFUNCTION("""COMPUTED_VALUE"""),"In-Person")</f>
        <v>In-Person</v>
      </c>
      <c r="H2670" s="7" t="str">
        <f>IFERROR(__xludf.DUMMYFUNCTION("""COMPUTED_VALUE"""),"Hall 4/5")</f>
        <v>Hall 4/5</v>
      </c>
      <c r="I2670" s="7" t="str">
        <f>IFERROR(__xludf.DUMMYFUNCTION("""COMPUTED_VALUE"""),"Session 12: IP-Posters")</f>
        <v>Session 12: IP-Posters</v>
      </c>
      <c r="J2670" s="7" t="str">
        <f>IFERROR(__xludf.DUMMYFUNCTION("""COMPUTED_VALUE"""),"Poster Session 4")</f>
        <v>Poster Session 4</v>
      </c>
      <c r="K2670" s="7"/>
      <c r="L2670" s="8">
        <f>IFERROR(__xludf.DUMMYFUNCTION("""COMPUTED_VALUE"""),45868.0)</f>
        <v>45868</v>
      </c>
      <c r="M2670" s="7" t="str">
        <f>IFERROR(__xludf.DUMMYFUNCTION("""COMPUTED_VALUE"""),"11:00-12:30")</f>
        <v>11:00-12:30</v>
      </c>
      <c r="N2670" s="7"/>
    </row>
    <row r="2671">
      <c r="A2671" s="7" t="str">
        <f>IFERROR(__xludf.DUMMYFUNCTION("""COMPUTED_VALUE"""),"2767-MAIN")</f>
        <v>2767-MAIN</v>
      </c>
      <c r="B2671" s="7" t="str">
        <f>IFERROR(__xludf.DUMMYFUNCTION("""COMPUTED_VALUE"""),"On Generalization across Measurement Systems: LLMs Entail More Test-Time Compute for Underrepresented Cultures")</f>
        <v>On Generalization across Measurement Systems: LLMs Entail More Test-Time Compute for Underrepresented Cultures</v>
      </c>
      <c r="C2671" s="7" t="str">
        <f>IFERROR(__xludf.DUMMYFUNCTION("""COMPUTED_VALUE"""),"Measurement systems (e.g., currencies) differ across cultures, but the conversions between them are well defined so that humans can state using any measurement system of their choice. Being available to users from diverse cultural backgrounds, Large Langu"&amp;"age Models (LLMs) should also be able to provide accurate information irrespective of the measurement system at hand. Using newly compiled datasets we test if this is truly the case for seven open-source LLMs, addressing three key research questions: (RQ1"&amp;") What is the default system used by LLMs for each type of measurement? (RQ2) Do LLMs' answers and their accuracy vary across different measurement systems? (RQ3) Can LLMs mitigate potential challenges w.r.t. underrepresented systems via reasoning? Our fi"&amp;"ndings show that LLMs default to the measurement system predominantly used in the data. Additionally, we observe considerable instability and variance in performance across different measurement systems. While this instability can in part be mitigated by "&amp;"employing reasoning methods such as chain-of-thought (CoT), this implies longer responses and thereby significantly increases test-time compute (and inference costs), marginalizing users from cultural backgrounds that use underrepresented measurement syst"&amp;"ems.")</f>
        <v>Measurement systems (e.g., currencies) differ across cultures, but the conversions between them are well defined so that humans can state using any measurement system of their choice. Being available to users from diverse cultural backgrounds, Large Language Models (LLMs) should also be able to provide accurate information irrespective of the measurement system at hand. Using newly compiled datasets we test if this is truly the case for seven open-source LLMs, addressing three key research questions: (RQ1) What is the default system used by LLMs for each type of measurement? (RQ2) Do LLMs' answers and their accuracy vary across different measurement systems? (RQ3) Can LLMs mitigate potential challenges w.r.t. underrepresented systems via reasoning? Our findings show that LLMs default to the measurement system predominantly used in the data. Additionally, we observe considerable instability and variance in performance across different measurement systems. While this instability can in part be mitigated by employing reasoning methods such as chain-of-thought (CoT), this implies longer responses and thereby significantly increases test-time compute (and inference costs), marginalizing users from cultural backgrounds that use underrepresented measurement systems.</v>
      </c>
      <c r="D2671" s="7" t="str">
        <f>IFERROR(__xludf.DUMMYFUNCTION("""COMPUTED_VALUE"""),"Minh Duc Bui")</f>
        <v>Minh Duc Bui</v>
      </c>
      <c r="E2671" s="7" t="str">
        <f>IFERROR(__xludf.DUMMYFUNCTION("""COMPUTED_VALUE"""),"Yes")</f>
        <v>Yes</v>
      </c>
      <c r="F2671" s="7" t="str">
        <f>IFERROR(__xludf.DUMMYFUNCTION("""COMPUTED_VALUE"""),"IP-Poster")</f>
        <v>IP-Poster</v>
      </c>
      <c r="G2671" s="7" t="str">
        <f>IFERROR(__xludf.DUMMYFUNCTION("""COMPUTED_VALUE"""),"In-Person")</f>
        <v>In-Person</v>
      </c>
      <c r="H2671" s="7" t="str">
        <f>IFERROR(__xludf.DUMMYFUNCTION("""COMPUTED_VALUE"""),"Hall 4/5")</f>
        <v>Hall 4/5</v>
      </c>
      <c r="I2671" s="7" t="str">
        <f>IFERROR(__xludf.DUMMYFUNCTION("""COMPUTED_VALUE"""),"Session 10: IP-Posters")</f>
        <v>Session 10: IP-Posters</v>
      </c>
      <c r="J2671" s="7" t="str">
        <f>IFERROR(__xludf.DUMMYFUNCTION("""COMPUTED_VALUE"""),"Poster Session 3")</f>
        <v>Poster Session 3</v>
      </c>
      <c r="K2671" s="7"/>
      <c r="L2671" s="8">
        <f>IFERROR(__xludf.DUMMYFUNCTION("""COMPUTED_VALUE"""),45867.0)</f>
        <v>45867</v>
      </c>
      <c r="M2671" s="7" t="str">
        <f>IFERROR(__xludf.DUMMYFUNCTION("""COMPUTED_VALUE"""),"16:00-17:30")</f>
        <v>16:00-17:30</v>
      </c>
      <c r="N2671" s="7"/>
    </row>
    <row r="2672">
      <c r="A2672" s="7" t="str">
        <f>IFERROR(__xludf.DUMMYFUNCTION("""COMPUTED_VALUE"""),"2770-MAIN")</f>
        <v>2770-MAIN</v>
      </c>
      <c r="B2672" s="7" t="str">
        <f>IFERROR(__xludf.DUMMYFUNCTION("""COMPUTED_VALUE"""),"CORDIAL: Can Multimodal Large Language Models Effectively Understand Coherence Relationships?")</f>
        <v>CORDIAL: Can Multimodal Large Language Models Effectively Understand Coherence Relationships?</v>
      </c>
      <c r="C2672" s="7" t="str">
        <f>IFERROR(__xludf.DUMMYFUNCTION("""COMPUTED_VALUE"""),"Multimodal Large Language Models (MLLMs) are renowned for their superior instruction-following and reasoning capabilities across diverse problem domains. However, existing benchmarks primarily focus on assessing factual and logical correctness in downstre"&amp;"am tasks, with limited emphasis on evaluating MLLMs' ability to interpret pragmatic cues and intermodal relationships. To address this gap, we assess the competency of MLLMs in performing Multimodal Discourse Analysis (MDA) using Coherence Relations. Our "&amp;"benchmark, CORDIAL, encompasses a broad spectrum of Coherence Relations across 3 different discourse domains at varying levels of granularity. Through our experiments on 10+ MLLMs employing different prompting strategies, we show that even top models like"&amp;" Gemini 1.5 Pro and GPT-4o fail to match the performance of simple classifier-based baselines. This study emphasizes the need to move beyond similarity-based metrics and adopt a discourse-driven framework for evaluating MLLMs, providing a more nuanced ass"&amp;"essment of their capabilities. The benchmark and code are available at: https://aashish2000.github.io/CORDIAL/.")</f>
        <v>Multimodal Large Language Models (MLLMs) are renowned for their superior instruction-following and reasoning capabilities across diverse problem domains. However, existing benchmarks primarily focus on assessing factual and logical correctness in downstream tasks, with limited emphasis on evaluating MLLMs' ability to interpret pragmatic cues and intermodal relationships. To address this gap, we assess the competency of MLLMs in performing Multimodal Discourse Analysis (MDA) using Coherence Relations. Our benchmark, CORDIAL, encompasses a broad spectrum of Coherence Relations across 3 different discourse domains at varying levels of granularity. Through our experiments on 10+ MLLMs employing different prompting strategies, we show that even top models like Gemini 1.5 Pro and GPT-4o fail to match the performance of simple classifier-based baselines. This study emphasizes the need to move beyond similarity-based metrics and adopt a discourse-driven framework for evaluating MLLMs, providing a more nuanced assessment of their capabilities. The benchmark and code are available at: https://aashish2000.github.io/CORDIAL/.</v>
      </c>
      <c r="D2672" s="7" t="str">
        <f>IFERROR(__xludf.DUMMYFUNCTION("""COMPUTED_VALUE"""),"Aashish Anantha Ramakrishnan")</f>
        <v>Aashish Anantha Ramakrishnan</v>
      </c>
      <c r="E2672" s="7" t="str">
        <f>IFERROR(__xludf.DUMMYFUNCTION("""COMPUTED_VALUE"""),"Yes")</f>
        <v>Yes</v>
      </c>
      <c r="F2672" s="7" t="str">
        <f>IFERROR(__xludf.DUMMYFUNCTION("""COMPUTED_VALUE"""),"IP-Poster")</f>
        <v>IP-Poster</v>
      </c>
      <c r="G2672" s="7" t="str">
        <f>IFERROR(__xludf.DUMMYFUNCTION("""COMPUTED_VALUE"""),"In-Person")</f>
        <v>In-Person</v>
      </c>
      <c r="H2672" s="7" t="str">
        <f>IFERROR(__xludf.DUMMYFUNCTION("""COMPUTED_VALUE"""),"Hall 4/5")</f>
        <v>Hall 4/5</v>
      </c>
      <c r="I2672" s="7" t="str">
        <f>IFERROR(__xludf.DUMMYFUNCTION("""COMPUTED_VALUE"""),"Session 7: IP-Posters")</f>
        <v>Session 7: IP-Posters</v>
      </c>
      <c r="J2672" s="7" t="str">
        <f>IFERROR(__xludf.DUMMYFUNCTION("""COMPUTED_VALUE"""),"Poster Session 2")</f>
        <v>Poster Session 2</v>
      </c>
      <c r="K2672" s="7"/>
      <c r="L2672" s="8">
        <f>IFERROR(__xludf.DUMMYFUNCTION("""COMPUTED_VALUE"""),45867.0)</f>
        <v>45867</v>
      </c>
      <c r="M2672" s="7" t="str">
        <f>IFERROR(__xludf.DUMMYFUNCTION("""COMPUTED_VALUE"""),"10:30-12:00")</f>
        <v>10:30-12:00</v>
      </c>
      <c r="N2672" s="7"/>
    </row>
    <row r="2673">
      <c r="A2673" s="7" t="str">
        <f>IFERROR(__xludf.DUMMYFUNCTION("""COMPUTED_VALUE"""),"2771-MAIN")</f>
        <v>2771-MAIN</v>
      </c>
      <c r="B2673" s="7" t="str">
        <f>IFERROR(__xludf.DUMMYFUNCTION("""COMPUTED_VALUE"""),"Veracity Bias and Beyond: Uncovering LLMs' Hidden Beliefs in Problem-Solving Reasoning")</f>
        <v>Veracity Bias and Beyond: Uncovering LLMs' Hidden Beliefs in Problem-Solving Reasoning</v>
      </c>
      <c r="C2673" s="7" t="str">
        <f>IFERROR(__xludf.DUMMYFUNCTION("""COMPUTED_VALUE"""),"Despite LLMs' explicit alignment against demographic stereotypes, they have been shown to exhibit biases under various social contexts. In this work, we find that LLMs exhibit concerning biases in how they associate solution veracity with demographics. Th"&amp;"rough experiments across five human value-aligned LLMs on mathematics, coding, commonsense, and writing problems, we reveal two forms of such veracity biases: Attribution Bias, where models disproportionately attribute correct solutions to certain demogra"&amp;"phic groups, and Evaluation Bias, where models' assessment of identical solutions varies based on perceived demographic authorship. Our results show pervasive biases: LLMs consistently attribute fewer correct solutions and more incorrect ones to African-A"&amp;"merican groups in math and coding, while Asian authorships are least preferred in writing evaluation. In additional studies, we show LLMs automatically assign racially stereotypical colors to demographic groups in visualization code, suggesting these bias"&amp;"es are deeply embedded in models' reasoning processes. Our findings indicate that demographic bias extends beyond surface-level stereotypes and social context provocations, raising concerns about LLMs' deployment in educational and evaluation settings.")</f>
        <v>Despite LLMs' explicit alignment against demographic stereotypes, they have been shown to exhibit biases under various social contexts. In this work, we find that LLMs exhibit concerning biases in how they associate solution veracity with demographics. Through experiments across five human value-aligned LLMs on mathematics, coding, commonsense, and writing problems, we reveal two forms of such veracity biases: Attribution Bias, where models disproportionately attribute correct solutions to certain demographic groups, and Evaluation Bias, where models' assessment of identical solutions varies based on perceived demographic authorship. Our results show pervasive biases: LLMs consistently attribute fewer correct solutions and more incorrect ones to African-American groups in math and coding, while Asian authorships are least preferred in writing evaluation. In additional studies, we show LLMs automatically assign racially stereotypical colors to demographic groups in visualization code, suggesting these biases are deeply embedded in models' reasoning processes. Our findings indicate that demographic bias extends beyond surface-level stereotypes and social context provocations, raising concerns about LLMs' deployment in educational and evaluation settings.</v>
      </c>
      <c r="D2673" s="7" t="str">
        <f>IFERROR(__xludf.DUMMYFUNCTION("""COMPUTED_VALUE"""),"Barbara Di Eugenio")</f>
        <v>Barbara Di Eugenio</v>
      </c>
      <c r="E2673" s="7" t="str">
        <f>IFERROR(__xludf.DUMMYFUNCTION("""COMPUTED_VALUE"""),"Yes")</f>
        <v>Yes</v>
      </c>
      <c r="F2673" s="7" t="str">
        <f>IFERROR(__xludf.DUMMYFUNCTION("""COMPUTED_VALUE"""),"IP-Oral")</f>
        <v>IP-Oral</v>
      </c>
      <c r="G2673" s="7" t="str">
        <f>IFERROR(__xludf.DUMMYFUNCTION("""COMPUTED_VALUE"""),"In-Person")</f>
        <v>In-Person</v>
      </c>
      <c r="H2673" s="7" t="str">
        <f>IFERROR(__xludf.DUMMYFUNCTION("""COMPUTED_VALUE"""),"Hall M.2")</f>
        <v>Hall M.2</v>
      </c>
      <c r="I2673" s="7" t="str">
        <f>IFERROR(__xludf.DUMMYFUNCTION("""COMPUTED_VALUE"""),"Session 3: IP-Orals")</f>
        <v>Session 3: IP-Orals</v>
      </c>
      <c r="J2673" s="7" t="str">
        <f>IFERROR(__xludf.DUMMYFUNCTION("""COMPUTED_VALUE"""),"Ethics, Bias, and Fairness")</f>
        <v>Ethics, Bias, and Fairness</v>
      </c>
      <c r="K2673" s="7"/>
      <c r="L2673" s="8">
        <f>IFERROR(__xludf.DUMMYFUNCTION("""COMPUTED_VALUE"""),45866.0)</f>
        <v>45866</v>
      </c>
      <c r="M2673" s="7" t="str">
        <f>IFERROR(__xludf.DUMMYFUNCTION("""COMPUTED_VALUE"""),"14:00-15:30")</f>
        <v>14:00-15:30</v>
      </c>
      <c r="N2673" s="7">
        <f>IFERROR(__xludf.DUMMYFUNCTION("""COMPUTED_VALUE"""),6.0)</f>
        <v>6</v>
      </c>
    </row>
    <row r="2674">
      <c r="A2674" s="7" t="str">
        <f>IFERROR(__xludf.DUMMYFUNCTION("""COMPUTED_VALUE"""),"2775-MAIN")</f>
        <v>2775-MAIN</v>
      </c>
      <c r="B2674" s="7" t="str">
        <f>IFERROR(__xludf.DUMMYFUNCTION("""COMPUTED_VALUE"""),"Optimal Transport-Based Token Weighting scheme for Enhanced Preference Optimization")</f>
        <v>Optimal Transport-Based Token Weighting scheme for Enhanced Preference Optimization</v>
      </c>
      <c r="C2674" s="7" t="str">
        <f>IFERROR(__xludf.DUMMYFUNCTION("""COMPUTED_VALUE"""),"Direct Preference Optimization (DPO) has emerged as a promising framework for aligning Large Language Models (LLMs) with human preferences by directly optimizing the log-likelihood difference between chosen and rejected responses. However, existing method"&amp;"s assign equal importance to all tokens in the response, while humans focus on more meaningful parts. This leads to suboptimal preference optimization, as irrelevant or noisy tokens disproportionately influence DPO loss. To address this limitation, we pro"&amp;"pose \textbf{O}ptimal \textbf{T}ransport-based token weighting scheme for enhancing direct \textbf{P}reference \textbf{O}ptimization (OTPO). By emphasizing semantically meaningful token pairs and de-emphasizing less relevant ones, our method introduces a "&amp;"context-aware token weighting scheme that yields a more contrastive reward difference estimate. This adaptive weighting enhances reward stability, improves interpretability, and ensures that preference optimization focuses on meaningful differences betwee"&amp;"n responses. Extensive experiments have validated OTPO's effectiveness in improving instruction-following ability across various settings\footnote{Code is available at https://github.com/Mimasss2/OTPO.}.")</f>
        <v>Direct Preference Optimization (DPO) has emerged as a promising framework for aligning Large Language Models (LLMs) with human preferences by directly optimizing the log-likelihood difference between chosen and rejected responses. However, existing methods assign equal importance to all tokens in the response, while humans focus on more meaningful parts. This leads to suboptimal preference optimization, as irrelevant or noisy tokens disproportionately influence DPO loss. To address this limitation, we propose \textbf{O}ptimal \textbf{T}ransport-based token weighting scheme for enhancing direct \textbf{P}reference \textbf{O}ptimization (OTPO). By emphasizing semantically meaningful token pairs and de-emphasizing less relevant ones, our method introduces a context-aware token weighting scheme that yields a more contrastive reward difference estimate. This adaptive weighting enhances reward stability, improves interpretability, and ensures that preference optimization focuses on meaningful differences between responses. Extensive experiments have validated OTPO's effectiveness in improving instruction-following ability across various settings\footnote{Code is available at https://github.com/Mimasss2/OTPO.}.</v>
      </c>
      <c r="D2674" s="7" t="str">
        <f>IFERROR(__xludf.DUMMYFUNCTION("""COMPUTED_VALUE"""),"Meng Li")</f>
        <v>Meng Li</v>
      </c>
      <c r="E2674" s="7" t="str">
        <f>IFERROR(__xludf.DUMMYFUNCTION("""COMPUTED_VALUE"""),"Yes")</f>
        <v>Yes</v>
      </c>
      <c r="F2674" s="7" t="str">
        <f>IFERROR(__xludf.DUMMYFUNCTION("""COMPUTED_VALUE"""),"IP-Poster")</f>
        <v>IP-Poster</v>
      </c>
      <c r="G2674" s="7" t="str">
        <f>IFERROR(__xludf.DUMMYFUNCTION("""COMPUTED_VALUE"""),"In-Person")</f>
        <v>In-Person</v>
      </c>
      <c r="H2674" s="7" t="str">
        <f>IFERROR(__xludf.DUMMYFUNCTION("""COMPUTED_VALUE"""),"Hall 4/5")</f>
        <v>Hall 4/5</v>
      </c>
      <c r="I2674" s="7" t="str">
        <f>IFERROR(__xludf.DUMMYFUNCTION("""COMPUTED_VALUE"""),"Session 12: IP-Posters")</f>
        <v>Session 12: IP-Posters</v>
      </c>
      <c r="J2674" s="7" t="str">
        <f>IFERROR(__xludf.DUMMYFUNCTION("""COMPUTED_VALUE"""),"Poster Session 4")</f>
        <v>Poster Session 4</v>
      </c>
      <c r="K2674" s="7"/>
      <c r="L2674" s="8">
        <f>IFERROR(__xludf.DUMMYFUNCTION("""COMPUTED_VALUE"""),45868.0)</f>
        <v>45868</v>
      </c>
      <c r="M2674" s="7" t="str">
        <f>IFERROR(__xludf.DUMMYFUNCTION("""COMPUTED_VALUE"""),"11:00-12:30")</f>
        <v>11:00-12:30</v>
      </c>
      <c r="N2674" s="7"/>
    </row>
    <row r="2675">
      <c r="A2675" s="7" t="str">
        <f>IFERROR(__xludf.DUMMYFUNCTION("""COMPUTED_VALUE"""),"2777-MAIN")</f>
        <v>2777-MAIN</v>
      </c>
      <c r="B2675" s="7" t="str">
        <f>IFERROR(__xludf.DUMMYFUNCTION("""COMPUTED_VALUE"""),"LLM Meets Scene Graph: Can Large Language Models Understand and Generate Scene Graphs? A Benchmark and Empirical Study")</f>
        <v>LLM Meets Scene Graph: Can Large Language Models Understand and Generate Scene Graphs? A Benchmark and Empirical Study</v>
      </c>
      <c r="C2675" s="7" t="str">
        <f>IFERROR(__xludf.DUMMYFUNCTION("""COMPUTED_VALUE"""),"The remarkable reasoning and generalization capabilities of Large Language Models (LLMs) have paved the way for their expanding applications in embodied AI, robotics, and other real-world tasks. To effectively support these applications, grounding in spat"&amp;"ial and temporal understanding in multimodal environments is essential. To this end, recent works have leveraged scene graphs, a structured representation that encodes entities, attributes, and their relationships in a scene. However, a comprehensive eval"&amp;"uation of LLMs' ability to utilize scene graphs remains limited. In this work, we introduce Text-Scene Graph (TSG) Bench, a benchmark designed to systematically assess LLMs' ability to (1) understand scene graphs and (2) generate them from textual narrati"&amp;"ves. With TSG Bench we evaluate 11 LLMs and reveal that, while models perform well on scene graph understanding, they struggle with scene graph generation, particularly for complex narratives. Our analysis indicates that these models fail to effectively d"&amp;"ecompose discrete scenes from a complex narrative, leading to a bottleneck when generating scene graphs. These findings underscore the need for improved methodologies in scene graph generation and provide valuable insights for future research. The demonst"&amp;"ration of our benchmark is available at https://tsg-bench.netlify.app. Additionally, our code and evaluation data are publicly available at https://github.com/docworlds/tsg-bench.")</f>
        <v>The remarkable reasoning and generalization capabilities of Large Language Models (LLMs) have paved the way for their expanding applications in embodied AI, robotics, and other real-world tasks. To effectively support these applications, grounding in spatial and temporal understanding in multimodal environments is essential. To this end, recent works have leveraged scene graphs, a structured representation that encodes entities, attributes, and their relationships in a scene. However, a comprehensive evaluation of LLMs' ability to utilize scene graphs remains limited. In this work, we introduce Text-Scene Graph (TSG) Bench, a benchmark designed to systematically assess LLMs' ability to (1) understand scene graphs and (2) generate them from textual narratives. With TSG Bench we evaluate 11 LLMs and reveal that, while models perform well on scene graph understanding, they struggle with scene graph generation, particularly for complex narratives. Our analysis indicates that these models fail to effectively decompose discrete scenes from a complex narrative, leading to a bottleneck when generating scene graphs. These findings underscore the need for improved methodologies in scene graph generation and provide valuable insights for future research. The demonstration of our benchmark is available at https://tsg-bench.netlify.app. Additionally, our code and evaluation data are publicly available at https://github.com/docworlds/tsg-bench.</v>
      </c>
      <c r="D2675" s="7" t="str">
        <f>IFERROR(__xludf.DUMMYFUNCTION("""COMPUTED_VALUE"""),"Dongil Yang")</f>
        <v>Dongil Yang</v>
      </c>
      <c r="E2675" s="7" t="str">
        <f>IFERROR(__xludf.DUMMYFUNCTION("""COMPUTED_VALUE"""),"Yes")</f>
        <v>Yes</v>
      </c>
      <c r="F2675" s="7" t="str">
        <f>IFERROR(__xludf.DUMMYFUNCTION("""COMPUTED_VALUE"""),"IP-Poster")</f>
        <v>IP-Poster</v>
      </c>
      <c r="G2675" s="7" t="str">
        <f>IFERROR(__xludf.DUMMYFUNCTION("""COMPUTED_VALUE"""),"In-Person")</f>
        <v>In-Person</v>
      </c>
      <c r="H2675" s="7" t="str">
        <f>IFERROR(__xludf.DUMMYFUNCTION("""COMPUTED_VALUE"""),"Hall 4/5")</f>
        <v>Hall 4/5</v>
      </c>
      <c r="I2675" s="7" t="str">
        <f>IFERROR(__xludf.DUMMYFUNCTION("""COMPUTED_VALUE"""),"Session 7: IP-Posters")</f>
        <v>Session 7: IP-Posters</v>
      </c>
      <c r="J2675" s="7" t="str">
        <f>IFERROR(__xludf.DUMMYFUNCTION("""COMPUTED_VALUE"""),"Poster Session 2")</f>
        <v>Poster Session 2</v>
      </c>
      <c r="K2675" s="7"/>
      <c r="L2675" s="8">
        <f>IFERROR(__xludf.DUMMYFUNCTION("""COMPUTED_VALUE"""),45867.0)</f>
        <v>45867</v>
      </c>
      <c r="M2675" s="7" t="str">
        <f>IFERROR(__xludf.DUMMYFUNCTION("""COMPUTED_VALUE"""),"10:30-12:00")</f>
        <v>10:30-12:00</v>
      </c>
      <c r="N2675" s="7"/>
    </row>
    <row r="2676">
      <c r="A2676" s="7" t="str">
        <f>IFERROR(__xludf.DUMMYFUNCTION("""COMPUTED_VALUE"""),"2778-MAIN")</f>
        <v>2778-MAIN</v>
      </c>
      <c r="B2676" s="7" t="str">
        <f>IFERROR(__xludf.DUMMYFUNCTION("""COMPUTED_VALUE"""),"Beyond Frameworks: Unpacking Collaboration Strategies in Multi-Agent Systems")</f>
        <v>Beyond Frameworks: Unpacking Collaboration Strategies in Multi-Agent Systems</v>
      </c>
      <c r="C2676" s="7" t="str">
        <f>IFERROR(__xludf.DUMMYFUNCTION("""COMPUTED_VALUE"""),"Multi-agent collaboration has emerged as a pivotal paradigm for addressing complex, distributed tasks in large language model (LLM)-driven applications. While prior research has focused on high-level architectural frameworks, the granular mechanisms gover"&amp;"ning agents—critical to performance and scalability—remain underexplored. This study systematically investigates four dimensions of collaboration strategies: (1) agent governance, (2) participation control, (3) interaction dynamics, and (4) dialogue histo"&amp;"ry management. Through rigorous experimentation under two context-dependent scenarios—Distributed Evidence Integration (DEI) and Structured Evidence Synthesis (SES)—we quantify the impact of these strategies on both task accuracy and computational efficie"&amp;"ncy. Our findings reveal that centralized governance, instructor-led participation, ordered interaction patterns, and instructor-curated context summarization collectively optimize the trade-off between decision quality and resource utilization with the s"&amp;"upport of the proposed Token-Accuracy Ratio (TAR). This work establishes a foundation for designing adaptive, scalable multi-agent systems, shifting the focus from structural novelty to strategic interaction mechanics.")</f>
        <v>Multi-agent collaboration has emerged as a pivotal paradigm for addressing complex, distributed tasks in large language model (LLM)-driven applications. While prior research has focused on high-level architectural frameworks, the granular mechanisms governing agents—critical to performance and scalability—remain underexplored. This study systematically investigates four dimensions of collaboration strategies: (1) agent governance, (2) participation control, (3) interaction dynamics, and (4) dialogue history management. Through rigorous experimentation under two context-dependent scenarios—Distributed Evidence Integration (DEI) and Structured Evidence Synthesis (SES)—we quantify the impact of these strategies on both task accuracy and computational efficiency. Our findings reveal that centralized governance, instructor-led participation, ordered interaction patterns, and instructor-curated context summarization collectively optimize the trade-off between decision quality and resource utilization with the support of the proposed Token-Accuracy Ratio (TAR). This work establishes a foundation for designing adaptive, scalable multi-agent systems, shifting the focus from structural novelty to strategic interaction mechanics.</v>
      </c>
      <c r="D2676" s="7" t="str">
        <f>IFERROR(__xludf.DUMMYFUNCTION("""COMPUTED_VALUE"""),"Haochun Wang")</f>
        <v>Haochun Wang</v>
      </c>
      <c r="E2676" s="7" t="str">
        <f>IFERROR(__xludf.DUMMYFUNCTION("""COMPUTED_VALUE"""),"Yes")</f>
        <v>Yes</v>
      </c>
      <c r="F2676" s="7" t="str">
        <f>IFERROR(__xludf.DUMMYFUNCTION("""COMPUTED_VALUE"""),"IP-Poster")</f>
        <v>IP-Poster</v>
      </c>
      <c r="G2676" s="7" t="str">
        <f>IFERROR(__xludf.DUMMYFUNCTION("""COMPUTED_VALUE"""),"In-Person")</f>
        <v>In-Person</v>
      </c>
      <c r="H2676" s="7" t="str">
        <f>IFERROR(__xludf.DUMMYFUNCTION("""COMPUTED_VALUE"""),"Hall 4/5")</f>
        <v>Hall 4/5</v>
      </c>
      <c r="I2676" s="7" t="str">
        <f>IFERROR(__xludf.DUMMYFUNCTION("""COMPUTED_VALUE"""),"Session 12: IP-Posters")</f>
        <v>Session 12: IP-Posters</v>
      </c>
      <c r="J2676" s="7" t="str">
        <f>IFERROR(__xludf.DUMMYFUNCTION("""COMPUTED_VALUE"""),"Poster Session 4")</f>
        <v>Poster Session 4</v>
      </c>
      <c r="K2676" s="7"/>
      <c r="L2676" s="8">
        <f>IFERROR(__xludf.DUMMYFUNCTION("""COMPUTED_VALUE"""),45868.0)</f>
        <v>45868</v>
      </c>
      <c r="M2676" s="7" t="str">
        <f>IFERROR(__xludf.DUMMYFUNCTION("""COMPUTED_VALUE"""),"11:00-12:30")</f>
        <v>11:00-12:30</v>
      </c>
      <c r="N2676" s="7"/>
    </row>
    <row r="2677">
      <c r="A2677" s="7" t="str">
        <f>IFERROR(__xludf.DUMMYFUNCTION("""COMPUTED_VALUE"""),"2781-MAIN")</f>
        <v>2781-MAIN</v>
      </c>
      <c r="B2677" s="7" t="str">
        <f>IFERROR(__xludf.DUMMYFUNCTION("""COMPUTED_VALUE"""),"The Invisible Hand: Unveiling Provider Bias in Large Language Models for Code Generation")</f>
        <v>The Invisible Hand: Unveiling Provider Bias in Large Language Models for Code Generation</v>
      </c>
      <c r="C2677" s="7" t="str">
        <f>IFERROR(__xludf.DUMMYFUNCTION("""COMPUTED_VALUE"""),"Large Language Models (LLMs) have emerged as the new recommendation engines, surpassing traditional methods in both capability and scope, particularly in code generation. In this paper, we reveal a novel **provider bias** in LLMs: without explicit directi"&amp;"ves, these models show systematic preferences for services from specific providers in their recommendations (e.g., favoring Google Cloud over Microsoft Azure). To systematically investigate this bias, we develop an automated pipeline to construct the data"&amp;"set, incorporating 6 distinct coding task categories and 30 real-world application scenarios. Leveraging this dataset, we conduct the **first** comprehensive empirical study of provider bias in LLM code generation across seven state-of-the-art LLMs, utili"&amp;"zing approximately 500 million tokens (equivalent to $5,000+ in computational costs). Our findings reveal that LLMs exhibit significant provider preferences, predominantly favoring services from Google and Amazon, and can autonomously modify input code to"&amp;" incorporate their preferred providers without users' requests. Such a bias holds far-reaching implications for market dynamics and societal equilibrium, potentially contributing to digital monopolies. It may also deceive users and violate their expectati"&amp;"ons, leading to various consequences. We call on the academic community to recognize this emerging issue and develop effective evaluation and mitigation methods to uphold AI security and fairness.")</f>
        <v>Large Language Models (LLMs) have emerged as the new recommendation engines, surpassing traditional methods in both capability and scope, particularly in code generation. In this paper, we reveal a novel **provider bias** in LLMs: without explicit directives, these models show systematic preferences for services from specific providers in their recommendations (e.g., favoring Google Cloud over Microsoft Azure). To systematically investigate this bias, we develop an automated pipeline to construct the dataset, incorporating 6 distinct coding task categories and 30 real-world application scenarios. Leveraging this dataset, we conduct the **first** comprehensive empirical study of provider bias in LLM code generation across seven state-of-the-art LLMs, utilizing approximately 500 million tokens (equivalent to $5,000+ in computational costs). Our findings reveal that LLMs exhibit significant provider preferences, predominantly favoring services from Google and Amazon, and can autonomously modify input code to incorporate their preferred providers without users' requests. Such a bias holds far-reaching implications for market dynamics and societal equilibrium, potentially contributing to digital monopolies. It may also deceive users and violate their expectations, leading to various consequences. We call on the academic community to recognize this emerging issue and develop effective evaluation and mitigation methods to uphold AI security and fairness.</v>
      </c>
      <c r="D2677" s="7" t="str">
        <f>IFERROR(__xludf.DUMMYFUNCTION("""COMPUTED_VALUE"""),"Xiaoyu Zhang")</f>
        <v>Xiaoyu Zhang</v>
      </c>
      <c r="E2677" s="7" t="str">
        <f>IFERROR(__xludf.DUMMYFUNCTION("""COMPUTED_VALUE"""),"Yes")</f>
        <v>Yes</v>
      </c>
      <c r="F2677" s="7" t="str">
        <f>IFERROR(__xludf.DUMMYFUNCTION("""COMPUTED_VALUE"""),"IP-Poster")</f>
        <v>IP-Poster</v>
      </c>
      <c r="G2677" s="7" t="str">
        <f>IFERROR(__xludf.DUMMYFUNCTION("""COMPUTED_VALUE"""),"In-Person")</f>
        <v>In-Person</v>
      </c>
      <c r="H2677" s="7" t="str">
        <f>IFERROR(__xludf.DUMMYFUNCTION("""COMPUTED_VALUE"""),"Hall 4/5")</f>
        <v>Hall 4/5</v>
      </c>
      <c r="I2677" s="7" t="str">
        <f>IFERROR(__xludf.DUMMYFUNCTION("""COMPUTED_VALUE"""),"Session 2: IP-Posters ")</f>
        <v>Session 2: IP-Posters </v>
      </c>
      <c r="J2677" s="7" t="str">
        <f>IFERROR(__xludf.DUMMYFUNCTION("""COMPUTED_VALUE"""),"Poster Session 1")</f>
        <v>Poster Session 1</v>
      </c>
      <c r="K2677" s="7"/>
      <c r="L2677" s="8">
        <f>IFERROR(__xludf.DUMMYFUNCTION("""COMPUTED_VALUE"""),45866.0)</f>
        <v>45866</v>
      </c>
      <c r="M2677" s="7" t="str">
        <f>IFERROR(__xludf.DUMMYFUNCTION("""COMPUTED_VALUE"""),"11:00-12:30")</f>
        <v>11:00-12:30</v>
      </c>
      <c r="N2677" s="7"/>
    </row>
    <row r="2678">
      <c r="A2678" s="7" t="str">
        <f>IFERROR(__xludf.DUMMYFUNCTION("""COMPUTED_VALUE"""),"2784-MAIN")</f>
        <v>2784-MAIN</v>
      </c>
      <c r="B2678" s="7" t="str">
        <f>IFERROR(__xludf.DUMMYFUNCTION("""COMPUTED_VALUE"""),"K/DA: Automated Data Generation Pipeline for Detoxifying Implicitly Offensive Language in Korean")</f>
        <v>K/DA: Automated Data Generation Pipeline for Detoxifying Implicitly Offensive Language in Korean</v>
      </c>
      <c r="C2678" s="7" t="str">
        <f>IFERROR(__xludf.DUMMYFUNCTION("""COMPUTED_VALUE"""),"Language detoxification involves removing toxicity from offensive language. While a neutral-toxic paired dataset provides a straightforward approach for training detoxification models, creating such datasets presents several challenges: i) the need for hu"&amp;"man annotation to build paired data, and ii) the rapid evolution of offensive terms, rendering static datasets quickly outdated. To tackle these challenges, we introduce an automated paired data generation pipeline, called K/DA. This pipeline is designed "&amp;"to generate offensive language with implicit offensiveness and trend-aligned slang, making the resulting dataset suitable for detoxification model training. We demonstrate that the dataset generated by K/DA exhibits high pair consistency and greater impli"&amp;"cit offensiveness compared to existing Korean datasets, and also demonstrates applicability to other languages. Furthermore, it enables effective training of a high-performing detoxification model with simple instruction fine-tuning.")</f>
        <v>Language detoxification involves removing toxicity from offensive language. While a neutral-toxic paired dataset provides a straightforward approach for training detoxification models, creating such datasets presents several challenges: i) the need for human annotation to build paired data, and ii) the rapid evolution of offensive terms, rendering static datasets quickly outdated. To tackle these challenges, we introduce an automated paired data generation pipeline, called K/DA. This pipeline is designed to generate offensive language with implicit offensiveness and trend-aligned slang, making the resulting dataset suitable for detoxification model training. We demonstrate that the dataset generated by K/DA exhibits high pair consistency and greater implicit offensiveness compared to existing Korean datasets, and also demonstrates applicability to other languages. Furthermore, it enables effective training of a high-performing detoxification model with simple instruction fine-tuning.</v>
      </c>
      <c r="D2678" s="7" t="str">
        <f>IFERROR(__xludf.DUMMYFUNCTION("""COMPUTED_VALUE"""),"Minkyeong Jeon, Hyemin Jeong")</f>
        <v>Minkyeong Jeon, Hyemin Jeong</v>
      </c>
      <c r="E2678" s="7" t="str">
        <f>IFERROR(__xludf.DUMMYFUNCTION("""COMPUTED_VALUE"""),"Yes")</f>
        <v>Yes</v>
      </c>
      <c r="F2678" s="7" t="str">
        <f>IFERROR(__xludf.DUMMYFUNCTION("""COMPUTED_VALUE"""),"IP-Poster")</f>
        <v>IP-Poster</v>
      </c>
      <c r="G2678" s="7" t="str">
        <f>IFERROR(__xludf.DUMMYFUNCTION("""COMPUTED_VALUE"""),"In-Person")</f>
        <v>In-Person</v>
      </c>
      <c r="H2678" s="7" t="str">
        <f>IFERROR(__xludf.DUMMYFUNCTION("""COMPUTED_VALUE"""),"Hall 4/5")</f>
        <v>Hall 4/5</v>
      </c>
      <c r="I2678" s="7" t="str">
        <f>IFERROR(__xludf.DUMMYFUNCTION("""COMPUTED_VALUE"""),"Session 2: IP-Posters ")</f>
        <v>Session 2: IP-Posters </v>
      </c>
      <c r="J2678" s="7" t="str">
        <f>IFERROR(__xludf.DUMMYFUNCTION("""COMPUTED_VALUE"""),"Poster Session 1")</f>
        <v>Poster Session 1</v>
      </c>
      <c r="K2678" s="7"/>
      <c r="L2678" s="8">
        <f>IFERROR(__xludf.DUMMYFUNCTION("""COMPUTED_VALUE"""),45866.0)</f>
        <v>45866</v>
      </c>
      <c r="M2678" s="7" t="str">
        <f>IFERROR(__xludf.DUMMYFUNCTION("""COMPUTED_VALUE"""),"11:00-12:30")</f>
        <v>11:00-12:30</v>
      </c>
      <c r="N2678" s="7"/>
    </row>
    <row r="2679">
      <c r="A2679" s="7" t="str">
        <f>IFERROR(__xludf.DUMMYFUNCTION("""COMPUTED_VALUE"""),"2789-MAIN")</f>
        <v>2789-MAIN</v>
      </c>
      <c r="B2679" s="7" t="str">
        <f>IFERROR(__xludf.DUMMYFUNCTION("""COMPUTED_VALUE"""),"THOR-MoE: Hierarchical Task-Guided and Context-Responsive Routing for Neural Machine Translation")</f>
        <v>THOR-MoE: Hierarchical Task-Guided and Context-Responsive Routing for Neural Machine Translation</v>
      </c>
      <c r="C2679" s="7" t="str">
        <f>IFERROR(__xludf.DUMMYFUNCTION("""COMPUTED_VALUE"""),"The sparse Mixture-of-Experts (MoE) has achieved significant progress for neural machine translation (NMT). However, there exist two limitations in current MoE solutions which may lead to sub-optimal performance: 1) they directly use the task knowledge of"&amp;" NMT into MoE (\emph{e.g.}, domain/linguistics-specific knowledge), which are generally unavailable at practical application and neglect the naturally grouped domain/linguistic properties; 2) the expert selection only depends on the localized token repres"&amp;"entation without considering the context, which fully grasps the state of each token in a global view. To address the above limitations, we propose THOR-MoE via arming the MoE with hierarchical task-guided and context-responsive routing policies. Specific"&amp;"ally, it 1) firstly predicts the domain/language label and then extracts mixed domain/language representation to allocate task-level experts in a hierarchical manner; 2) injects the context information to enhance the token routing from the pre-selected ta"&amp;"sk-level experts set, which can help each token to be accurately routed to more specialized and suitable experts. Extensive experiments on multi-domain translation and multilingual translation benchmarks with different architectures consistently demonstra"&amp;"te the superior performance of THOR-MoE. Additionally, the THOR-MoE operates as a plug-and-play module compatible with existing Top-\cite{shazeer2017} or Top-\cite{huang-etal-2024-harder} routing schemes, ensuring broad applicability across diverse MoE ar"&amp;"chitectures. For instance, compared with vanilla Top-~\cite{huang-etal-2024-harder} routing, the context-aware manner can achieve an average improvement of 0.75 BLEU with less than 22% activated parameters on multi-domain translation tasks.")</f>
        <v>The sparse Mixture-of-Experts (MoE) has achieved significant progress for neural machine translation (NMT). However, there exist two limitations in current MoE solutions which may lead to sub-optimal performance: 1) they directly use the task knowledge of NMT into MoE (\emph{e.g.}, domain/linguistics-specific knowledge), which are generally unavailable at practical application and neglect the naturally grouped domain/linguistic properties; 2) the expert selection only depends on the localized token representation without considering the context, which fully grasps the state of each token in a global view. To address the above limitations, we propose THOR-MoE via arming the MoE with hierarchical task-guided and context-responsive routing policies. Specifically, it 1) firstly predicts the domain/language label and then extracts mixed domain/language representation to allocate task-level experts in a hierarchical manner; 2) injects the context information to enhance the token routing from the pre-selected task-level experts set, which can help each token to be accurately routed to more specialized and suitable experts. Extensive experiments on multi-domain translation and multilingual translation benchmarks with different architectures consistently demonstrate the superior performance of THOR-MoE. Additionally, the THOR-MoE operates as a plug-and-play module compatible with existing Top-\cite{shazeer2017} or Top-\cite{huang-etal-2024-harder} routing schemes, ensuring broad applicability across diverse MoE architectures. For instance, compared with vanilla Top-~\cite{huang-etal-2024-harder} routing, the context-aware manner can achieve an average improvement of 0.75 BLEU with less than 22% activated parameters on multi-domain translation tasks.</v>
      </c>
      <c r="D2679" s="7" t="str">
        <f>IFERROR(__xludf.DUMMYFUNCTION("""COMPUTED_VALUE"""),"Yunlong Liang")</f>
        <v>Yunlong Liang</v>
      </c>
      <c r="E2679" s="7" t="str">
        <f>IFERROR(__xludf.DUMMYFUNCTION("""COMPUTED_VALUE"""),"Yes")</f>
        <v>Yes</v>
      </c>
      <c r="F2679" s="7" t="str">
        <f>IFERROR(__xludf.DUMMYFUNCTION("""COMPUTED_VALUE"""),"IP-Poster")</f>
        <v>IP-Poster</v>
      </c>
      <c r="G2679" s="7" t="str">
        <f>IFERROR(__xludf.DUMMYFUNCTION("""COMPUTED_VALUE"""),"In-Person")</f>
        <v>In-Person</v>
      </c>
      <c r="H2679" s="7" t="str">
        <f>IFERROR(__xludf.DUMMYFUNCTION("""COMPUTED_VALUE"""),"Hall 4/5")</f>
        <v>Hall 4/5</v>
      </c>
      <c r="I2679" s="7" t="str">
        <f>IFERROR(__xludf.DUMMYFUNCTION("""COMPUTED_VALUE"""),"Session 10: IP-Posters")</f>
        <v>Session 10: IP-Posters</v>
      </c>
      <c r="J2679" s="7" t="str">
        <f>IFERROR(__xludf.DUMMYFUNCTION("""COMPUTED_VALUE"""),"Poster Session 3")</f>
        <v>Poster Session 3</v>
      </c>
      <c r="K2679" s="7"/>
      <c r="L2679" s="8">
        <f>IFERROR(__xludf.DUMMYFUNCTION("""COMPUTED_VALUE"""),45867.0)</f>
        <v>45867</v>
      </c>
      <c r="M2679" s="7" t="str">
        <f>IFERROR(__xludf.DUMMYFUNCTION("""COMPUTED_VALUE"""),"16:00-17:30")</f>
        <v>16:00-17:30</v>
      </c>
      <c r="N2679" s="7"/>
    </row>
    <row r="2680">
      <c r="A2680" s="7" t="str">
        <f>IFERROR(__xludf.DUMMYFUNCTION("""COMPUTED_VALUE"""),"2790-MAIN")</f>
        <v>2790-MAIN</v>
      </c>
      <c r="B2680" s="7" t="str">
        <f>IFERROR(__xludf.DUMMYFUNCTION("""COMPUTED_VALUE"""),"Neuron Empirical Gradient: Discovering and Quantifying Neurons’ Global Linear Controllability")</f>
        <v>Neuron Empirical Gradient: Discovering and Quantifying Neurons’ Global Linear Controllability</v>
      </c>
      <c r="C2680" s="7" t="str">
        <f>IFERROR(__xludf.DUMMYFUNCTION("""COMPUTED_VALUE"""),"While feed-forward neurons in pre-trained language models (PLMs) can encode knowledge, past research targeted a small subset of neurons that heavily influence outputs.
This leaves the broader role of neuron activations unclear, limiting progress in areas "&amp;"like knowledge editing.
We uncover a global linear relationship between neuron activations and outputs using neuron interventions on a knowledge probing dataset.
The gradient of this linear relationship, which we call the **neuron empirical gradient (NEG)"&amp;"**, captures how changes in activations affect predictions.
To compute NEG efficiently, we propose **NeurGrad**, enabling large-scale analysis of neuron behavior in PLMs.
We also show that NEG effectively captures language skills across diverse prompts th"&amp;"rough skill neuron probing. 
Experiments on **MCEval8k**, a multi-genre multiple-choice knowledge benchmark, support NEG's ability to represent model knowledge. 
Further analysis highlights the key properties of NEG-based skill representation: efficiency,"&amp;" robustness, flexibility, and interdependency.
Code and data are released.")</f>
        <v>While feed-forward neurons in pre-trained language models (PLMs) can encode knowledge, past research targeted a small subset of neurons that heavily influence outputs.
This leaves the broader role of neuron activations unclear, limiting progress in areas like knowledge editing.
We uncover a global linear relationship between neuron activations and outputs using neuron interventions on a knowledge probing dataset.
The gradient of this linear relationship, which we call the **neuron empirical gradient (NEG)**, captures how changes in activations affect predictions.
To compute NEG efficiently, we propose **NeurGrad**, enabling large-scale analysis of neuron behavior in PLMs.
We also show that NEG effectively captures language skills across diverse prompts through skill neuron probing. 
Experiments on **MCEval8k**, a multi-genre multiple-choice knowledge benchmark, support NEG's ability to represent model knowledge. 
Further analysis highlights the key properties of NEG-based skill representation: efficiency, robustness, flexibility, and interdependency.
Code and data are released.</v>
      </c>
      <c r="D2680" s="7" t="str">
        <f>IFERROR(__xludf.DUMMYFUNCTION("""COMPUTED_VALUE"""),"Xin Zhao")</f>
        <v>Xin Zhao</v>
      </c>
      <c r="E2680" s="7" t="str">
        <f>IFERROR(__xludf.DUMMYFUNCTION("""COMPUTED_VALUE"""),"Yes")</f>
        <v>Yes</v>
      </c>
      <c r="F2680" s="7" t="str">
        <f>IFERROR(__xludf.DUMMYFUNCTION("""COMPUTED_VALUE"""),"IP-Poster")</f>
        <v>IP-Poster</v>
      </c>
      <c r="G2680" s="7" t="str">
        <f>IFERROR(__xludf.DUMMYFUNCTION("""COMPUTED_VALUE"""),"In-Person")</f>
        <v>In-Person</v>
      </c>
      <c r="H2680" s="7" t="str">
        <f>IFERROR(__xludf.DUMMYFUNCTION("""COMPUTED_VALUE"""),"Hall 4/5")</f>
        <v>Hall 4/5</v>
      </c>
      <c r="I2680" s="7" t="str">
        <f>IFERROR(__xludf.DUMMYFUNCTION("""COMPUTED_VALUE"""),"Session 12: IP-Posters")</f>
        <v>Session 12: IP-Posters</v>
      </c>
      <c r="J2680" s="7" t="str">
        <f>IFERROR(__xludf.DUMMYFUNCTION("""COMPUTED_VALUE"""),"Poster Session 4")</f>
        <v>Poster Session 4</v>
      </c>
      <c r="K2680" s="7"/>
      <c r="L2680" s="8">
        <f>IFERROR(__xludf.DUMMYFUNCTION("""COMPUTED_VALUE"""),45868.0)</f>
        <v>45868</v>
      </c>
      <c r="M2680" s="7" t="str">
        <f>IFERROR(__xludf.DUMMYFUNCTION("""COMPUTED_VALUE"""),"11:00-12:30")</f>
        <v>11:00-12:30</v>
      </c>
      <c r="N2680" s="7"/>
    </row>
    <row r="2681">
      <c r="A2681" s="7" t="str">
        <f>IFERROR(__xludf.DUMMYFUNCTION("""COMPUTED_VALUE"""),"2797-MAIN")</f>
        <v>2797-MAIN</v>
      </c>
      <c r="B2681" s="7" t="str">
        <f>IFERROR(__xludf.DUMMYFUNCTION("""COMPUTED_VALUE"""),"Can third-parties read our emotions?")</f>
        <v>Can third-parties read our emotions?</v>
      </c>
      <c r="C2681" s="7" t="str">
        <f>IFERROR(__xludf.DUMMYFUNCTION("""COMPUTED_VALUE"""),"Natural Language Processing tasks that aim to infer an author's private states, e.g., emotions and opinions, from their written text, typically rely on datasets annotated by third-party annotators. However, the assumption that third-party annotators can a"&amp;"ccurately capture authors' private states remains largely unexamined. In this study, we present human subjects experiments on emotion recognition tasks that directly compare third-party annotations with first-party (author-provided) emotion labels. Our fi"&amp;"ndings reveal significant limitations in third-party annotations—whether provided by human annotators or large language models (LLMs)—in faithfully representing authors' private states. However, LLMs outperform human annotators nearly across the board. We"&amp;" further explore methods to improve third-party annotation quality. We find that demographic similarity between first-party authors and third-party human annotators enhances annotation performance. While incorporating first-party demographic information i"&amp;"nto prompts leads to a marginal but statistically significant improvement in LLMs' performance. We introduce a framework for evaluating the limitations of third-party annotations and call for refined annotation practices to accurately represent and model "&amp;"authors' private states.")</f>
        <v>Natural Language Processing tasks that aim to infer an author's private states, e.g., emotions and opinions, from their written text, typically rely on datasets annotated by third-party annotators. However, the assumption that third-party annotators can accurately capture authors' private states remains largely unexamined. In this study, we present human subjects experiments on emotion recognition tasks that directly compare third-party annotations with first-party (author-provided) emotion labels. Our findings reveal significant limitations in third-party annotations—whether provided by human annotators or large language models (LLMs)—in faithfully representing authors' private states. However, LLMs outperform human annotators nearly across the board. We further explore methods to improve third-party annotation quality. We find that demographic similarity between first-party authors and third-party human annotators enhances annotation performance. While incorporating first-party demographic information into prompts leads to a marginal but statistically significant improvement in LLMs' performance. We introduce a framework for evaluating the limitations of third-party annotations and call for refined annotation practices to accurately represent and model authors' private states.</v>
      </c>
      <c r="D2681" s="7" t="str">
        <f>IFERROR(__xludf.DUMMYFUNCTION("""COMPUTED_VALUE"""),"Shomir Wilson")</f>
        <v>Shomir Wilson</v>
      </c>
      <c r="E2681" s="7" t="str">
        <f>IFERROR(__xludf.DUMMYFUNCTION("""COMPUTED_VALUE"""),"Yes")</f>
        <v>Yes</v>
      </c>
      <c r="F2681" s="7" t="str">
        <f>IFERROR(__xludf.DUMMYFUNCTION("""COMPUTED_VALUE"""),"IP-Poster")</f>
        <v>IP-Poster</v>
      </c>
      <c r="G2681" s="7" t="str">
        <f>IFERROR(__xludf.DUMMYFUNCTION("""COMPUTED_VALUE"""),"In-Person")</f>
        <v>In-Person</v>
      </c>
      <c r="H2681" s="7" t="str">
        <f>IFERROR(__xludf.DUMMYFUNCTION("""COMPUTED_VALUE"""),"Hall 4/5")</f>
        <v>Hall 4/5</v>
      </c>
      <c r="I2681" s="7" t="str">
        <f>IFERROR(__xludf.DUMMYFUNCTION("""COMPUTED_VALUE"""),"Session 2: IP-Posters ")</f>
        <v>Session 2: IP-Posters </v>
      </c>
      <c r="J2681" s="7" t="str">
        <f>IFERROR(__xludf.DUMMYFUNCTION("""COMPUTED_VALUE"""),"Poster Session 1")</f>
        <v>Poster Session 1</v>
      </c>
      <c r="K2681" s="7"/>
      <c r="L2681" s="8">
        <f>IFERROR(__xludf.DUMMYFUNCTION("""COMPUTED_VALUE"""),45866.0)</f>
        <v>45866</v>
      </c>
      <c r="M2681" s="7" t="str">
        <f>IFERROR(__xludf.DUMMYFUNCTION("""COMPUTED_VALUE"""),"11:00-12:30")</f>
        <v>11:00-12:30</v>
      </c>
      <c r="N2681" s="7"/>
    </row>
    <row r="2682">
      <c r="A2682" s="7" t="str">
        <f>IFERROR(__xludf.DUMMYFUNCTION("""COMPUTED_VALUE"""),"2798-MAIN")</f>
        <v>2798-MAIN</v>
      </c>
      <c r="B2682" s="7" t="str">
        <f>IFERROR(__xludf.DUMMYFUNCTION("""COMPUTED_VALUE"""),"OZSpeech: One-step Zero-shot Speech Synthesis with Learned-Prior-Conditioned Flow Matching")</f>
        <v>OZSpeech: One-step Zero-shot Speech Synthesis with Learned-Prior-Conditioned Flow Matching</v>
      </c>
      <c r="C2682" s="7" t="str">
        <f>IFERROR(__xludf.DUMMYFUNCTION("""COMPUTED_VALUE"""),"Text-to-speech (TTS) systems have seen significant advancements in recent years, driven by improvements in deep learning and neural network architectures. Viewing the output speech as a data distribution, previous approaches often employ traditional speec"&amp;"h representations, such as waveforms or spectrograms, within the Flow Matching framework. However, these methods have limitations, including overlooking various speech attributes and incurring high computational costs due to additional constraints introdu"&amp;"ced during training. To address these challenges, we introduce OZSpeech, the first TTS method to explore optimal transport conditional flow matching with one-step sampling and a learned prior as the condition, effectively disregarding preceding states and"&amp;" reducing the number of sampling steps. Our approach operates on disentangled, factorized components of speech in token format, enabling accurate modeling of each speech attribute, which enhances the TTS system's ability to precisely clone the prompt spee"&amp;"ch. Experimental results show that our method achieves promising performance over existing methods in content accuracy, naturalness, prosody generation, and speaker style preservation. Audio samples are available at our demo page https://ozspeech.github.i"&amp;"o/OZSpeech_Web/.")</f>
        <v>Text-to-speech (TTS) systems have seen significant advancements in recent years, driven by improvements in deep learning and neural network architectures. Viewing the output speech as a data distribution, previous approaches often employ traditional speech representations, such as waveforms or spectrograms, within the Flow Matching framework. However, these methods have limitations, including overlooking various speech attributes and incurring high computational costs due to additional constraints introduced during training. To address these challenges, we introduce OZSpeech, the first TTS method to explore optimal transport conditional flow matching with one-step sampling and a learned prior as the condition, effectively disregarding preceding states and reducing the number of sampling steps. Our approach operates on disentangled, factorized components of speech in token format, enabling accurate modeling of each speech attribute, which enhances the TTS system's ability to precisely clone the prompt speech. Experimental results show that our method achieves promising performance over existing methods in content accuracy, naturalness, prosody generation, and speaker style preservation. Audio samples are available at our demo page https://ozspeech.github.io/OZSpeech_Web/.</v>
      </c>
      <c r="D2682" s="7" t="str">
        <f>IFERROR(__xludf.DUMMYFUNCTION("""COMPUTED_VALUE"""),"Hieu-Nghia Huynh-Nguyen")</f>
        <v>Hieu-Nghia Huynh-Nguyen</v>
      </c>
      <c r="E2682" s="7" t="str">
        <f>IFERROR(__xludf.DUMMYFUNCTION("""COMPUTED_VALUE"""),"Yes")</f>
        <v>Yes</v>
      </c>
      <c r="F2682" s="7" t="str">
        <f>IFERROR(__xludf.DUMMYFUNCTION("""COMPUTED_VALUE"""),"V-Presentation")</f>
        <v>V-Presentation</v>
      </c>
      <c r="G2682" s="7" t="str">
        <f>IFERROR(__xludf.DUMMYFUNCTION("""COMPUTED_VALUE"""),"Virtual/Gather")</f>
        <v>Virtual/Gather</v>
      </c>
      <c r="H2682" s="7" t="str">
        <f>IFERROR(__xludf.DUMMYFUNCTION("""COMPUTED_VALUE"""),"Zoom")</f>
        <v>Zoom</v>
      </c>
      <c r="I2682" s="7" t="str">
        <f>IFERROR(__xludf.DUMMYFUNCTION("""COMPUTED_VALUE"""),"Session 2: V-Presentations")</f>
        <v>Session 2: V-Presentations</v>
      </c>
      <c r="J2682" s="7" t="str">
        <f>IFERROR(__xludf.DUMMYFUNCTION("""COMPUTED_VALUE"""),"Virtual Presentations 1")</f>
        <v>Virtual Presentations 1</v>
      </c>
      <c r="K2682" s="7"/>
      <c r="L2682" s="8">
        <f>IFERROR(__xludf.DUMMYFUNCTION("""COMPUTED_VALUE"""),45866.0)</f>
        <v>45866</v>
      </c>
      <c r="M2682" s="7" t="str">
        <f>IFERROR(__xludf.DUMMYFUNCTION("""COMPUTED_VALUE"""),"11:00-12:30")</f>
        <v>11:00-12:30</v>
      </c>
      <c r="N2682" s="7"/>
    </row>
    <row r="2683">
      <c r="A2683" s="7" t="str">
        <f>IFERROR(__xludf.DUMMYFUNCTION("""COMPUTED_VALUE"""),"2799-MAIN")</f>
        <v>2799-MAIN</v>
      </c>
      <c r="B2683" s="7" t="str">
        <f>IFERROR(__xludf.DUMMYFUNCTION("""COMPUTED_VALUE"""),"World Modeling Makes a Better Planner: Dual Preference Optimization for Embodied Task Planning")</f>
        <v>World Modeling Makes a Better Planner: Dual Preference Optimization for Embodied Task Planning</v>
      </c>
      <c r="C2683" s="7" t="str">
        <f>IFERROR(__xludf.DUMMYFUNCTION("""COMPUTED_VALUE"""),"Recent advances in large vision-language models (LVLMs) have shown promise for embodied task planning, yet they struggle with fundamental challenges like dependency constraints and efficiency. Existing approaches either solely optimize action selection or"&amp;" directly leverage pre-trained models as world models during inference, overlooking the benefits of learning to model the world as a way to enhance planning capabilities. We propose Dual Preference Optimization (D$^2$PO), a new learning framework that joi"&amp;"ntly optimizes state prediction and action selection through preference learning, enabling LVLMs to understand environment dynamics for better planning. To automatically collect trajectories and stepwise preference data without human annotation, we introd"&amp;"uce a tree search mechanism for extensive exploration via trial-and-error. Extensive experiments on VoTa-Bench demonstrate that our D$^2$PO-based method significantly outperforms existing methods and GPT-4o when applied to Qwen2-VL (7B), LLaVA-1.6 (7B), a"&amp;"nd LLaMA-3.2 (11B), achieving superior task success rates with more efficient execution paths.")</f>
        <v>Recent advances in large vision-language models (LVLMs) have shown promise for embodied task planning, yet they struggle with fundamental challenges like dependency constraints and efficiency. Existing approaches either solely optimize action selection or directly leverage pre-trained models as world models during inference, overlooking the benefits of learning to model the world as a way to enhance planning capabilities. We propose Dual Preference Optimization (D$^2$PO), a new learning framework that jointly optimizes state prediction and action selection through preference learning, enabling LVLMs to understand environment dynamics for better planning. To automatically collect trajectories and stepwise preference data without human annotation, we introduce a tree search mechanism for extensive exploration via trial-and-error. Extensive experiments on VoTa-Bench demonstrate that our D$^2$PO-based method significantly outperforms existing methods and GPT-4o when applied to Qwen2-VL (7B), LLaVA-1.6 (7B), and LLaMA-3.2 (11B), achieving superior task success rates with more efficient execution paths.</v>
      </c>
      <c r="D2683" s="7" t="str">
        <f>IFERROR(__xludf.DUMMYFUNCTION("""COMPUTED_VALUE"""),"Siyin Wang")</f>
        <v>Siyin Wang</v>
      </c>
      <c r="E2683" s="7" t="str">
        <f>IFERROR(__xludf.DUMMYFUNCTION("""COMPUTED_VALUE"""),"Yes")</f>
        <v>Yes</v>
      </c>
      <c r="F2683" s="7" t="str">
        <f>IFERROR(__xludf.DUMMYFUNCTION("""COMPUTED_VALUE"""),"IP-Poster")</f>
        <v>IP-Poster</v>
      </c>
      <c r="G2683" s="7" t="str">
        <f>IFERROR(__xludf.DUMMYFUNCTION("""COMPUTED_VALUE"""),"In-Person")</f>
        <v>In-Person</v>
      </c>
      <c r="H2683" s="7" t="str">
        <f>IFERROR(__xludf.DUMMYFUNCTION("""COMPUTED_VALUE"""),"Hall 4/5")</f>
        <v>Hall 4/5</v>
      </c>
      <c r="I2683" s="7" t="str">
        <f>IFERROR(__xludf.DUMMYFUNCTION("""COMPUTED_VALUE"""),"Session 10: IP-Posters")</f>
        <v>Session 10: IP-Posters</v>
      </c>
      <c r="J2683" s="7" t="str">
        <f>IFERROR(__xludf.DUMMYFUNCTION("""COMPUTED_VALUE"""),"Poster Session 3")</f>
        <v>Poster Session 3</v>
      </c>
      <c r="K2683" s="7"/>
      <c r="L2683" s="8">
        <f>IFERROR(__xludf.DUMMYFUNCTION("""COMPUTED_VALUE"""),45867.0)</f>
        <v>45867</v>
      </c>
      <c r="M2683" s="7" t="str">
        <f>IFERROR(__xludf.DUMMYFUNCTION("""COMPUTED_VALUE"""),"16:00-17:30")</f>
        <v>16:00-17:30</v>
      </c>
      <c r="N2683" s="7"/>
    </row>
    <row r="2684">
      <c r="A2684" s="7" t="str">
        <f>IFERROR(__xludf.DUMMYFUNCTION("""COMPUTED_VALUE"""),"2800-MAIN")</f>
        <v>2800-MAIN</v>
      </c>
      <c r="B2684" s="7" t="str">
        <f>IFERROR(__xludf.DUMMYFUNCTION("""COMPUTED_VALUE"""),"JailbreakRadar: Comprehensive Assessment of Jailbreak Attacks Against LLMs")</f>
        <v>JailbreakRadar: Comprehensive Assessment of Jailbreak Attacks Against LLMs</v>
      </c>
      <c r="C2684" s="7" t="str">
        <f>IFERROR(__xludf.DUMMYFUNCTION("""COMPUTED_VALUE"""),"Jailbreak attacks aim to bypass the LLMs' safeguards. While researchers have proposed different jailbreak attacks in depth, they have done so in isolation---either with unaligned settings or comparing a limited range of methods. To fill this gap, we prese"&amp;"nt a large-scale evaluation of various jailbreak attacks. We collect 17 representative jailbreak attacks, summarize their features, and establish a novel jailbreak attack taxonomy. Then we conduct comprehensive measurement and ablation studies across nine"&amp;" aligned LLMs on 160 forbidden questions from 16 violation categories. Also, we test jailbreak attacks under eight advanced defenses. Based on our taxonomy and experiments, we identify some important patterns, such as heuristic-based attacks, which could "&amp;"achieve high attack success rates but are easy to mitigate by defenses. Our study offers valuable insights for future research on jailbreak attacks and defenses and serves as a benchmark tool for researchers and practitioners to evaluate them effectively.")</f>
        <v>Jailbreak attacks aim to bypass the LLMs' safeguards. While researchers have proposed different jailbreak attacks in depth, they have done so in isolation---either with unaligned settings or comparing a limited range of methods. To fill this gap, we present a large-scale evaluation of various jailbreak attacks. We collect 17 representative jailbreak attacks, summarize their features, and establish a novel jailbreak attack taxonomy. Then we conduct comprehensive measurement and ablation studies across nine aligned LLMs on 160 forbidden questions from 16 violation categories. Also, we test jailbreak attacks under eight advanced defenses. Based on our taxonomy and experiments, we identify some important patterns, such as heuristic-based attacks, which could achieve high attack success rates but are easy to mitigate by defenses. Our study offers valuable insights for future research on jailbreak attacks and defenses and serves as a benchmark tool for researchers and practitioners to evaluate them effectively.</v>
      </c>
      <c r="D2684" s="7" t="str">
        <f>IFERROR(__xludf.DUMMYFUNCTION("""COMPUTED_VALUE"""),"Junjie Chu")</f>
        <v>Junjie Chu</v>
      </c>
      <c r="E2684" s="7" t="str">
        <f>IFERROR(__xludf.DUMMYFUNCTION("""COMPUTED_VALUE"""),"Yes")</f>
        <v>Yes</v>
      </c>
      <c r="F2684" s="7" t="str">
        <f>IFERROR(__xludf.DUMMYFUNCTION("""COMPUTED_VALUE"""),"IP-Oral")</f>
        <v>IP-Oral</v>
      </c>
      <c r="G2684" s="7" t="str">
        <f>IFERROR(__xludf.DUMMYFUNCTION("""COMPUTED_VALUE"""),"In-Person")</f>
        <v>In-Person</v>
      </c>
      <c r="H2684" s="7" t="str">
        <f>IFERROR(__xludf.DUMMYFUNCTION("""COMPUTED_VALUE"""),"Hall N.1")</f>
        <v>Hall N.1</v>
      </c>
      <c r="I2684" s="7" t="str">
        <f>IFERROR(__xludf.DUMMYFUNCTION("""COMPUTED_VALUE"""),"Session 9: IP-Orals")</f>
        <v>Session 9: IP-Orals</v>
      </c>
      <c r="J2684" s="7" t="str">
        <f>IFERROR(__xludf.DUMMYFUNCTION("""COMPUTED_VALUE"""),"Dialogue and Interactive Systems")</f>
        <v>Dialogue and Interactive Systems</v>
      </c>
      <c r="K2684" s="7"/>
      <c r="L2684" s="8">
        <f>IFERROR(__xludf.DUMMYFUNCTION("""COMPUTED_VALUE"""),45867.0)</f>
        <v>45867</v>
      </c>
      <c r="M2684" s="7" t="str">
        <f>IFERROR(__xludf.DUMMYFUNCTION("""COMPUTED_VALUE"""),"14:00-15:30")</f>
        <v>14:00-15:30</v>
      </c>
      <c r="N2684" s="7">
        <f>IFERROR(__xludf.DUMMYFUNCTION("""COMPUTED_VALUE"""),8.0)</f>
        <v>8</v>
      </c>
    </row>
    <row r="2685">
      <c r="A2685" s="7" t="str">
        <f>IFERROR(__xludf.DUMMYFUNCTION("""COMPUTED_VALUE"""),"2802-MAIN")</f>
        <v>2802-MAIN</v>
      </c>
      <c r="B2685" s="7" t="str">
        <f>IFERROR(__xludf.DUMMYFUNCTION("""COMPUTED_VALUE"""),"CogniBench: A Legal-inspired Framework and Dataset for Assessing Cognitive Faithfulness of Large Language Models")</f>
        <v>CogniBench: A Legal-inspired Framework and Dataset for Assessing Cognitive Faithfulness of Large Language Models</v>
      </c>
      <c r="C2685" s="7" t="str">
        <f>IFERROR(__xludf.DUMMYFUNCTION("""COMPUTED_VALUE"""),"Faithfulness hallucinations are claims generated by a Large Language Model (LLM) not supported by contexts provided to the LLM. Lacking assessment standards, existing benchmarks focus on ""factual statements"" that rephrase source materials while overlook"&amp;"ing ""cognitive statements"" that involve making inferences from the given context. Consequently, evaluating and detecting the hallucination of cognitive statements remains challenging. Inspired by how evidence is assessed in the legal domain, we design a"&amp;" rigorous framework to assess different levels of faithfulness of cognitive statements and introduce the CogniBench dataset where we reveal insightful statistics. To keep pace with rapidly evolving LLMs, we further develop an automatic annotation pipeline"&amp;" that scales easily across different models. This results in a large-scale CogniBench-L dataset, which facilitates training accurate detectors for both factual and cognitive hallucinations. We release our model and datasets at: https://github.com/FUTUREEE"&amp;"EEE/CogniBench")</f>
        <v>Faithfulness hallucinations are claims generated by a Large Language Model (LLM) not supported by contexts provided to the LLM. Lacking assessment standards, existing benchmarks focus on "factual statements" that rephrase source materials while overlooking "cognitive statements" that involve making inferences from the given context. Consequently, evaluating and detecting the hallucination of cognitive statements remains challenging. Inspired by how evidence is assessed in the legal domain, we design a rigorous framework to assess different levels of faithfulness of cognitive statements and introduce the CogniBench dataset where we reveal insightful statistics. To keep pace with rapidly evolving LLMs, we further develop an automatic annotation pipeline that scales easily across different models. This results in a large-scale CogniBench-L dataset, which facilitates training accurate detectors for both factual and cognitive hallucinations. We release our model and datasets at: https://github.com/FUTUREEEEEE/CogniBench</v>
      </c>
      <c r="D2685" s="7" t="str">
        <f>IFERROR(__xludf.DUMMYFUNCTION("""COMPUTED_VALUE"""),"Xiaqiang Tang")</f>
        <v>Xiaqiang Tang</v>
      </c>
      <c r="E2685" s="7" t="str">
        <f>IFERROR(__xludf.DUMMYFUNCTION("""COMPUTED_VALUE"""),"Yes")</f>
        <v>Yes</v>
      </c>
      <c r="F2685" s="7" t="str">
        <f>IFERROR(__xludf.DUMMYFUNCTION("""COMPUTED_VALUE"""),"IP-Poster")</f>
        <v>IP-Poster</v>
      </c>
      <c r="G2685" s="7" t="str">
        <f>IFERROR(__xludf.DUMMYFUNCTION("""COMPUTED_VALUE"""),"In-Person")</f>
        <v>In-Person</v>
      </c>
      <c r="H2685" s="7" t="str">
        <f>IFERROR(__xludf.DUMMYFUNCTION("""COMPUTED_VALUE"""),"Hall 4/5")</f>
        <v>Hall 4/5</v>
      </c>
      <c r="I2685" s="7" t="str">
        <f>IFERROR(__xludf.DUMMYFUNCTION("""COMPUTED_VALUE"""),"Session 12: IP-Posters")</f>
        <v>Session 12: IP-Posters</v>
      </c>
      <c r="J2685" s="7" t="str">
        <f>IFERROR(__xludf.DUMMYFUNCTION("""COMPUTED_VALUE"""),"Poster Session 4")</f>
        <v>Poster Session 4</v>
      </c>
      <c r="K2685" s="7"/>
      <c r="L2685" s="8">
        <f>IFERROR(__xludf.DUMMYFUNCTION("""COMPUTED_VALUE"""),45868.0)</f>
        <v>45868</v>
      </c>
      <c r="M2685" s="7" t="str">
        <f>IFERROR(__xludf.DUMMYFUNCTION("""COMPUTED_VALUE"""),"11:00-12:30")</f>
        <v>11:00-12:30</v>
      </c>
      <c r="N2685" s="7"/>
    </row>
    <row r="2686">
      <c r="A2686" s="7" t="str">
        <f>IFERROR(__xludf.DUMMYFUNCTION("""COMPUTED_VALUE"""),"2803-MAIN")</f>
        <v>2803-MAIN</v>
      </c>
      <c r="B2686" s="7" t="str">
        <f>IFERROR(__xludf.DUMMYFUNCTION("""COMPUTED_VALUE"""),"Neural Incompatibility: The Unbridgeable Gap of Cross-Scale Parametric Knowledge Transfer in Large Language Models")</f>
        <v>Neural Incompatibility: The Unbridgeable Gap of Cross-Scale Parametric Knowledge Transfer in Large Language Models</v>
      </c>
      <c r="C2686" s="7" t="str">
        <f>IFERROR(__xludf.DUMMYFUNCTION("""COMPUTED_VALUE"""),"Large Language Models (LLMs) offer a transparent brain with accessible parameters that encode extensive knowledge, which can be analyzed, located and transferred. Consequently, a key research challenge is to transcend traditional knowledge transfer paradi"&amp;"gms rooted in symbolic language and achieve genuine Parametric Knowledge Transfer (PKT). Significantly, exploring effective methods for transferring knowledge across LLMs of different scales through parameters presents an intriguing and valuable research "&amp;"direction. In this paper, we first demonstrate $\textbf{Alignment}$ in parametric space is the fundamental prerequisite to achieve successful cross-scale PKT. We redefine the previously explored knowledge transfer as Post-Align PKT (PostPKT), which utiliz"&amp;"es extracted parameters for LoRA initialization and requires subsequent fine-tune for alignment. Hence, to reduce cost for further fine-tuning, we introduce a novel Pre-Align PKT (PrePKT) paradigm and propose a solution called $\textbf{LaTen}$ ($\textbf{L"&amp;"}$oc$\textbf{a}$te-$\textbf{T}$h$\textbf{e}$n-Alig$\textbf{n}$) that aligns the parametric spaces of LLMs across scales only using several training steps without following training. Comprehensive experiments on four benchmarks demonstrate that both PostPK"&amp;"T and PrePKT face challenges in achieving consistently stable transfer. Through in-depth analysis, we identify $\textbf{Neural Incompatibility}$ as the ethological and parametric structural differences between LLMs of varying scales, presenting fundamenta"&amp;"l challenges to achieving effective PKT. These findings provide fresh insights into the parametric architectures of LLMs and highlight promising directions for future research on efficient PKT. Our code is available at https://github.com/Trae1ounG/Neural_"&amp;"Incompatibility.")</f>
        <v>Large Language Models (LLMs) offer a transparent brain with accessible parameters that encode extensive knowledge, which can be analyzed, located and transferred. Consequently, a key research challenge is to transcend traditional knowledge transfer paradigms rooted in symbolic language and achieve genuine Parametric Knowledge Transfer (PKT). Significantly, exploring effective methods for transferring knowledge across LLMs of different scales through parameters presents an intriguing and valuable research direction. In this paper, we first demonstrate $\textbf{Alignment}$ in parametric space is the fundamental prerequisite to achieve successful cross-scale PKT. We redefine the previously explored knowledge transfer as Post-Align PKT (PostPKT), which utilizes extracted parameters for LoRA initialization and requires subsequent fine-tune for alignment. Hence, to reduce cost for further fine-tuning, we introduce a novel Pre-Align PKT (PrePKT) paradigm and propose a solution called $\textbf{LaTen}$ ($\textbf{L}$oc$\textbf{a}$te-$\textbf{T}$h$\textbf{e}$n-Alig$\textbf{n}$) that aligns the parametric spaces of LLMs across scales only using several training steps without following training. Comprehensive experiments on four benchmarks demonstrate that both PostPKT and PrePKT face challenges in achieving consistently stable transfer. Through in-depth analysis, we identify $\textbf{Neural Incompatibility}$ as the ethological and parametric structural differences between LLMs of varying scales, presenting fundamental challenges to achieving effective PKT. These findings provide fresh insights into the parametric architectures of LLMs and highlight promising directions for future research on efficient PKT. Our code is available at https://github.com/Trae1ounG/Neural_Incompatibility.</v>
      </c>
      <c r="D2686" s="7" t="str">
        <f>IFERROR(__xludf.DUMMYFUNCTION("""COMPUTED_VALUE"""),"Yuqiao Tan")</f>
        <v>Yuqiao Tan</v>
      </c>
      <c r="E2686" s="7" t="str">
        <f>IFERROR(__xludf.DUMMYFUNCTION("""COMPUTED_VALUE"""),"Yes")</f>
        <v>Yes</v>
      </c>
      <c r="F2686" s="7" t="str">
        <f>IFERROR(__xludf.DUMMYFUNCTION("""COMPUTED_VALUE"""),"V-Presentation")</f>
        <v>V-Presentation</v>
      </c>
      <c r="G2686" s="7" t="str">
        <f>IFERROR(__xludf.DUMMYFUNCTION("""COMPUTED_VALUE"""),"Virtual/Gather")</f>
        <v>Virtual/Gather</v>
      </c>
      <c r="H2686" s="7" t="str">
        <f>IFERROR(__xludf.DUMMYFUNCTION("""COMPUTED_VALUE"""),"Zoom")</f>
        <v>Zoom</v>
      </c>
      <c r="I2686" s="7" t="str">
        <f>IFERROR(__xludf.DUMMYFUNCTION("""COMPUTED_VALUE"""),"Session 7: V--Presentations ")</f>
        <v>Session 7: V--Presentations </v>
      </c>
      <c r="J2686" s="7" t="str">
        <f>IFERROR(__xludf.DUMMYFUNCTION("""COMPUTED_VALUE"""),"Virtual Presentations 2")</f>
        <v>Virtual Presentations 2</v>
      </c>
      <c r="K2686" s="7"/>
      <c r="L2686" s="8"/>
      <c r="M2686" s="7" t="str">
        <f>IFERROR(__xludf.DUMMYFUNCTION("""COMPUTED_VALUE"""),"10:30-12:00")</f>
        <v>10:30-12:00</v>
      </c>
      <c r="N2686" s="7"/>
    </row>
    <row r="2687">
      <c r="A2687" s="7" t="str">
        <f>IFERROR(__xludf.DUMMYFUNCTION("""COMPUTED_VALUE"""),"2804-MAIN")</f>
        <v>2804-MAIN</v>
      </c>
      <c r="B2687" s="7" t="str">
        <f>IFERROR(__xludf.DUMMYFUNCTION("""COMPUTED_VALUE"""),"Enhancing Mathematical Reasoning in LLMs by Stepwise Correction")</f>
        <v>Enhancing Mathematical Reasoning in LLMs by Stepwise Correction</v>
      </c>
      <c r="C2687" s="7" t="str">
        <f>IFERROR(__xludf.DUMMYFUNCTION("""COMPUTED_VALUE"""),"Best-of-N decoding methods instruct large language models (LLMs) to generate multiple solutions, score each using a scoring function, and select the highest scored as the final answer to mathematical reasoning problems. However, this repeated independent "&amp;"process often leads to the same mistakes, making the selected solution still incorrect. We propose a novel prompting method named Stepwise Correction (StepCo) that helps LLMs identify and revise incorrect steps in their generated reasoning paths. It itera"&amp;"tes verification and revision phases that employ a process-supervised verifier. The verify-then-revise process not only improves answer correctness but also reduces token consumption with fewer paths needed to generate. With StepCo, a series of LLMs demon"&amp;"strate exceptional performance. Notably, using GPT-4o as the backend LLM, StepCo achieves an average accuracy of 94.1 across eight datasets, significantly outperforming the state-of-the-art Best-of-N method by +2.4, while reducing token consumption by 77."&amp;"8\%. Our implementation is made publicly available at https://wzy6642.github.io/stepco.github.io.")</f>
        <v>Best-of-N decoding methods instruct large language models (LLMs) to generate multiple solutions, score each using a scoring function, and select the highest scored as the final answer to mathematical reasoning problems. However, this repeated independent process often leads to the same mistakes, making the selected solution still incorrect. We propose a novel prompting method named Stepwise Correction (StepCo) that helps LLMs identify and revise incorrect steps in their generated reasoning paths. It iterates verification and revision phases that employ a process-supervised verifier. The verify-then-revise process not only improves answer correctness but also reduces token consumption with fewer paths needed to generate. With StepCo, a series of LLMs demonstrate exceptional performance. Notably, using GPT-4o as the backend LLM, StepCo achieves an average accuracy of 94.1 across eight datasets, significantly outperforming the state-of-the-art Best-of-N method by +2.4, while reducing token consumption by 77.8\%. Our implementation is made publicly available at https://wzy6642.github.io/stepco.github.io.</v>
      </c>
      <c r="D2687" s="7" t="str">
        <f>IFERROR(__xludf.DUMMYFUNCTION("""COMPUTED_VALUE"""),"Zhenyu Wu")</f>
        <v>Zhenyu Wu</v>
      </c>
      <c r="E2687" s="7" t="str">
        <f>IFERROR(__xludf.DUMMYFUNCTION("""COMPUTED_VALUE"""),"Yes")</f>
        <v>Yes</v>
      </c>
      <c r="F2687" s="7" t="str">
        <f>IFERROR(__xludf.DUMMYFUNCTION("""COMPUTED_VALUE"""),"IP-Oral")</f>
        <v>IP-Oral</v>
      </c>
      <c r="G2687" s="7" t="str">
        <f>IFERROR(__xludf.DUMMYFUNCTION("""COMPUTED_VALUE"""),"In-Person")</f>
        <v>In-Person</v>
      </c>
      <c r="H2687" s="7" t="str">
        <f>IFERROR(__xludf.DUMMYFUNCTION("""COMPUTED_VALUE"""),"Hall M.1")</f>
        <v>Hall M.1</v>
      </c>
      <c r="I2687" s="7" t="str">
        <f>IFERROR(__xludf.DUMMYFUNCTION("""COMPUTED_VALUE"""),"Session 11: IP-Orals ")</f>
        <v>Session 11: IP-Orals </v>
      </c>
      <c r="J2687" s="7" t="str">
        <f>IFERROR(__xludf.DUMMYFUNCTION("""COMPUTED_VALUE"""),"NLP Applications 2")</f>
        <v>NLP Applications 2</v>
      </c>
      <c r="K2687" s="7"/>
      <c r="L2687" s="8">
        <f>IFERROR(__xludf.DUMMYFUNCTION("""COMPUTED_VALUE"""),45868.0)</f>
        <v>45868</v>
      </c>
      <c r="M2687" s="7" t="str">
        <f>IFERROR(__xludf.DUMMYFUNCTION("""COMPUTED_VALUE"""),"09:00-10:30")</f>
        <v>09:00-10:30</v>
      </c>
      <c r="N2687" s="7">
        <f>IFERROR(__xludf.DUMMYFUNCTION("""COMPUTED_VALUE"""),6.0)</f>
        <v>6</v>
      </c>
    </row>
    <row r="2688">
      <c r="A2688" s="7" t="str">
        <f>IFERROR(__xludf.DUMMYFUNCTION("""COMPUTED_VALUE"""),"2808-MAIN")</f>
        <v>2808-MAIN</v>
      </c>
      <c r="B2688" s="7" t="str">
        <f>IFERROR(__xludf.DUMMYFUNCTION("""COMPUTED_VALUE"""),"PsyDial: A Large-scale Long-term Conversational Dataset for Mental Health Support")</f>
        <v>PsyDial: A Large-scale Long-term Conversational Dataset for Mental Health Support</v>
      </c>
      <c r="C2688" s="7" t="str">
        <f>IFERROR(__xludf.DUMMYFUNCTION("""COMPUTED_VALUE"""),"Dialogue systems for mental health counseling aim to alleviate client distress and assist individuals in navigating personal challenges. Developing effective conversational agents for psychotherapy requires access to high-quality, real-world, long-term cl"&amp;"ient-counselor interaction data, which is difficult to obtain due to privacy concerns. Although removing personally identifiable information is feasible, this process is labor-intensive. To address these challenges, we propose a novel privacy-preserving d"&amp;"ata reconstruction method that reconstructs real-world client-counselor dialogues while mitigating privacy concerns. We apply the RMRR (Retrieve, Mask, Reconstruct, Refine) method, which facilitates the creation of the privacy-preserving PsyDial dataset, "&amp;"with an average of 37.8 turns per dialogue. Extensive analysis demonstrates that PsyDial effectively reduces privacy risks while maintaining dialogue diversity and conversational exchange. To fairly and reliably evaluate the performance of models fine-tun"&amp;"ed on our dataset, we manually collect 101 dialogues from professional counseling books. Experimental results show that models fine-tuned on PsyDial achieve improved psychological counseling performance, outperforming various baseline models. A user study"&amp;" involving counseling experts further reveals that our LLM-based counselor provides higher-quality responses. Code, data, and models are available at https://github.com/qiuhuachuan/PsyDial, serving as valuable resources for future advancements in AI psych"&amp;"otherapy.")</f>
        <v>Dialogue systems for mental health counseling aim to alleviate client distress and assist individuals in navigating personal challenges. Developing effective conversational agents for psychotherapy requires access to high-quality, real-world, long-term client-counselor interaction data, which is difficult to obtain due to privacy concerns. Although removing personally identifiable information is feasible, this process is labor-intensive. To address these challenges, we propose a novel privacy-preserving data reconstruction method that reconstructs real-world client-counselor dialogues while mitigating privacy concerns. We apply the RMRR (Retrieve, Mask, Reconstruct, Refine) method, which facilitates the creation of the privacy-preserving PsyDial dataset, with an average of 37.8 turns per dialogue. Extensive analysis demonstrates that PsyDial effectively reduces privacy risks while maintaining dialogue diversity and conversational exchange. To fairly and reliably evaluate the performance of models fine-tuned on our dataset, we manually collect 101 dialogues from professional counseling books. Experimental results show that models fine-tuned on PsyDial achieve improved psychological counseling performance, outperforming various baseline models. A user study involving counseling experts further reveals that our LLM-based counselor provides higher-quality responses. Code, data, and models are available at https://github.com/qiuhuachuan/PsyDial, serving as valuable resources for future advancements in AI psychotherapy.</v>
      </c>
      <c r="D2688" s="7" t="str">
        <f>IFERROR(__xludf.DUMMYFUNCTION("""COMPUTED_VALUE"""),"Huachuan Qiu")</f>
        <v>Huachuan Qiu</v>
      </c>
      <c r="E2688" s="7" t="str">
        <f>IFERROR(__xludf.DUMMYFUNCTION("""COMPUTED_VALUE"""),"Yes")</f>
        <v>Yes</v>
      </c>
      <c r="F2688" s="7" t="str">
        <f>IFERROR(__xludf.DUMMYFUNCTION("""COMPUTED_VALUE"""),"IP-Poster")</f>
        <v>IP-Poster</v>
      </c>
      <c r="G2688" s="7" t="str">
        <f>IFERROR(__xludf.DUMMYFUNCTION("""COMPUTED_VALUE"""),"In-Person")</f>
        <v>In-Person</v>
      </c>
      <c r="H2688" s="7" t="str">
        <f>IFERROR(__xludf.DUMMYFUNCTION("""COMPUTED_VALUE"""),"Hall 4/5")</f>
        <v>Hall 4/5</v>
      </c>
      <c r="I2688" s="7" t="str">
        <f>IFERROR(__xludf.DUMMYFUNCTION("""COMPUTED_VALUE"""),"Session 2: IP-Posters ")</f>
        <v>Session 2: IP-Posters </v>
      </c>
      <c r="J2688" s="7" t="str">
        <f>IFERROR(__xludf.DUMMYFUNCTION("""COMPUTED_VALUE"""),"Poster Session 1")</f>
        <v>Poster Session 1</v>
      </c>
      <c r="K2688" s="7"/>
      <c r="L2688" s="8">
        <f>IFERROR(__xludf.DUMMYFUNCTION("""COMPUTED_VALUE"""),45866.0)</f>
        <v>45866</v>
      </c>
      <c r="M2688" s="7" t="str">
        <f>IFERROR(__xludf.DUMMYFUNCTION("""COMPUTED_VALUE"""),"11:00-12:30")</f>
        <v>11:00-12:30</v>
      </c>
      <c r="N2688" s="7"/>
    </row>
    <row r="2689">
      <c r="A2689" s="7" t="str">
        <f>IFERROR(__xludf.DUMMYFUNCTION("""COMPUTED_VALUE"""),"2811-MAIN")</f>
        <v>2811-MAIN</v>
      </c>
      <c r="B2689" s="7" t="str">
        <f>IFERROR(__xludf.DUMMYFUNCTION("""COMPUTED_VALUE"""),"Enhancing Goal-oriented Proactive Dialogue Systems via Consistency Reflection and Correction")</f>
        <v>Enhancing Goal-oriented Proactive Dialogue Systems via Consistency Reflection and Correction</v>
      </c>
      <c r="C2689" s="7" t="str">
        <f>IFERROR(__xludf.DUMMYFUNCTION("""COMPUTED_VALUE"""),"Goal-oriented proactive dialogue systems are designed to guide user conversations seamlessly towards specific objectives by planning a goal-oriented path. However, previous research has focused predominantly on optimizing these paths while neglecting the "&amp;"inconsistencies that may arise between generated responses and dialogue contexts, including user profiles, dialogue history, domain knowledge, and subgoals. To address this issue, we introduce a model-agnostic two-stage Consistency Reflection and Correcti"&amp;"on (CRC) framework. Specifically, in the consistency reflection stage, the model is prompted to reflect on the discrepancies between generated responses and dialogue contexts, identifying inconsistencies and suggesting possible corrections. In the consist"&amp;"ency correction stage, the model generates responses that are more consistent with the dialogue context based on these reflection results. We conducted experiments on various model architectures with different parameter sizes, including encoder-decoder mo"&amp;"dels (BART, T5) and decoder-only models (GPT-2, DialoGPT, Phi3, Mistral and LLaMA3), and the experimental results on three datasets demonstrate that our CRC framework significantly improves the consistency between generated responses and dialogue contexts"&amp;".")</f>
        <v>Goal-oriented proactive dialogue systems are designed to guide user conversations seamlessly towards specific objectives by planning a goal-oriented path. However, previous research has focused predominantly on optimizing these paths while neglecting the inconsistencies that may arise between generated responses and dialogue contexts, including user profiles, dialogue history, domain knowledge, and subgoals. To address this issue, we introduce a model-agnostic two-stage Consistency Reflection and Correction (CRC) framework. Specifically, in the consistency reflection stage, the model is prompted to reflect on the discrepancies between generated responses and dialogue contexts, identifying inconsistencies and suggesting possible corrections. In the consistency correction stage, the model generates responses that are more consistent with the dialogue context based on these reflection results. We conducted experiments on various model architectures with different parameter sizes, including encoder-decoder models (BART, T5) and decoder-only models (GPT-2, DialoGPT, Phi3, Mistral and LLaMA3), and the experimental results on three datasets demonstrate that our CRC framework significantly improves the consistency between generated responses and dialogue contexts.</v>
      </c>
      <c r="D2689" s="7" t="str">
        <f>IFERROR(__xludf.DUMMYFUNCTION("""COMPUTED_VALUE"""),"Didi Zhang")</f>
        <v>Didi Zhang</v>
      </c>
      <c r="E2689" s="7" t="str">
        <f>IFERROR(__xludf.DUMMYFUNCTION("""COMPUTED_VALUE"""),"Yes")</f>
        <v>Yes</v>
      </c>
      <c r="F2689" s="7" t="str">
        <f>IFERROR(__xludf.DUMMYFUNCTION("""COMPUTED_VALUE"""),"IP-Poster")</f>
        <v>IP-Poster</v>
      </c>
      <c r="G2689" s="7" t="str">
        <f>IFERROR(__xludf.DUMMYFUNCTION("""COMPUTED_VALUE"""),"In-Person")</f>
        <v>In-Person</v>
      </c>
      <c r="H2689" s="7" t="str">
        <f>IFERROR(__xludf.DUMMYFUNCTION("""COMPUTED_VALUE"""),"Hall 4/5")</f>
        <v>Hall 4/5</v>
      </c>
      <c r="I2689" s="7" t="str">
        <f>IFERROR(__xludf.DUMMYFUNCTION("""COMPUTED_VALUE"""),"Session 2: IP-Posters ")</f>
        <v>Session 2: IP-Posters </v>
      </c>
      <c r="J2689" s="7" t="str">
        <f>IFERROR(__xludf.DUMMYFUNCTION("""COMPUTED_VALUE"""),"Poster Session 1")</f>
        <v>Poster Session 1</v>
      </c>
      <c r="K2689" s="7"/>
      <c r="L2689" s="8">
        <f>IFERROR(__xludf.DUMMYFUNCTION("""COMPUTED_VALUE"""),45866.0)</f>
        <v>45866</v>
      </c>
      <c r="M2689" s="7" t="str">
        <f>IFERROR(__xludf.DUMMYFUNCTION("""COMPUTED_VALUE"""),"11:00-12:30")</f>
        <v>11:00-12:30</v>
      </c>
      <c r="N2689" s="7"/>
    </row>
    <row r="2690">
      <c r="A2690" s="7" t="str">
        <f>IFERROR(__xludf.DUMMYFUNCTION("""COMPUTED_VALUE"""),"2813-MAIN")</f>
        <v>2813-MAIN</v>
      </c>
      <c r="B2690" s="7" t="str">
        <f>IFERROR(__xludf.DUMMYFUNCTION("""COMPUTED_VALUE"""),"Exclusion of Thought: Mitigating Cognitive Load in Large Language Models for Enhanced Reasoning in Multiple-Choice Tasks")</f>
        <v>Exclusion of Thought: Mitigating Cognitive Load in Large Language Models for Enhanced Reasoning in Multiple-Choice Tasks</v>
      </c>
      <c r="C2690" s="7" t="str">
        <f>IFERROR(__xludf.DUMMYFUNCTION("""COMPUTED_VALUE"""),"Multiple-choice questions (MCQs) are a widely used and vital assessment format for evaluating large language models (LLMs). This study reveals that LLMs are susceptible to ""cognitive load"" caused by distractor options in MCQs, leading to excessive atten"&amp;"tion to distractors and consequent vacillation between correct and incorrect options. To mitigate this cognitive burden, we introduce a novel reasoning prompt strategy, called EoT, which effectively reduces cognitive load by steering the model’s attention"&amp;" away from erroneous options. This enables the model to focus more effectively on reasonable answers. Additionally, by documenting the elimination process, EoT enhances the transparency and interpretability of the model's reasoning. Experimental results d"&amp;"emonstrate that EoT, as a plug-and-play approach, significantly reduces cognitive load and improves performance, showcasing its potential to enhance both the accuracy and interpretability of LLMs.")</f>
        <v>Multiple-choice questions (MCQs) are a widely used and vital assessment format for evaluating large language models (LLMs). This study reveals that LLMs are susceptible to "cognitive load" caused by distractor options in MCQs, leading to excessive attention to distractors and consequent vacillation between correct and incorrect options. To mitigate this cognitive burden, we introduce a novel reasoning prompt strategy, called EoT, which effectively reduces cognitive load by steering the model’s attention away from erroneous options. This enables the model to focus more effectively on reasonable answers. Additionally, by documenting the elimination process, EoT enhances the transparency and interpretability of the model's reasoning. Experimental results demonstrate that EoT, as a plug-and-play approach, significantly reduces cognitive load and improves performance, showcasing its potential to enhance both the accuracy and interpretability of LLMs.</v>
      </c>
      <c r="D2690" s="7" t="str">
        <f>IFERROR(__xludf.DUMMYFUNCTION("""COMPUTED_VALUE"""),"Qihang Fu")</f>
        <v>Qihang Fu</v>
      </c>
      <c r="E2690" s="7" t="str">
        <f>IFERROR(__xludf.DUMMYFUNCTION("""COMPUTED_VALUE"""),"Yes")</f>
        <v>Yes</v>
      </c>
      <c r="F2690" s="7" t="str">
        <f>IFERROR(__xludf.DUMMYFUNCTION("""COMPUTED_VALUE"""),"IP-Poster")</f>
        <v>IP-Poster</v>
      </c>
      <c r="G2690" s="7" t="str">
        <f>IFERROR(__xludf.DUMMYFUNCTION("""COMPUTED_VALUE"""),"In-Person")</f>
        <v>In-Person</v>
      </c>
      <c r="H2690" s="7" t="str">
        <f>IFERROR(__xludf.DUMMYFUNCTION("""COMPUTED_VALUE"""),"Hall 4/5")</f>
        <v>Hall 4/5</v>
      </c>
      <c r="I2690" s="7" t="str">
        <f>IFERROR(__xludf.DUMMYFUNCTION("""COMPUTED_VALUE"""),"Session 12: IP-Posters")</f>
        <v>Session 12: IP-Posters</v>
      </c>
      <c r="J2690" s="7" t="str">
        <f>IFERROR(__xludf.DUMMYFUNCTION("""COMPUTED_VALUE"""),"Poster Session 4")</f>
        <v>Poster Session 4</v>
      </c>
      <c r="K2690" s="7"/>
      <c r="L2690" s="8">
        <f>IFERROR(__xludf.DUMMYFUNCTION("""COMPUTED_VALUE"""),45868.0)</f>
        <v>45868</v>
      </c>
      <c r="M2690" s="7" t="str">
        <f>IFERROR(__xludf.DUMMYFUNCTION("""COMPUTED_VALUE"""),"11:00-12:30")</f>
        <v>11:00-12:30</v>
      </c>
      <c r="N2690" s="7"/>
    </row>
    <row r="2691">
      <c r="A2691" s="7" t="str">
        <f>IFERROR(__xludf.DUMMYFUNCTION("""COMPUTED_VALUE"""),"2815-MAIN")</f>
        <v>2815-MAIN</v>
      </c>
      <c r="B2691" s="7" t="str">
        <f>IFERROR(__xludf.DUMMYFUNCTION("""COMPUTED_VALUE"""),"Registering Source Tokens to Target Language Spaces in Multilingual Neural Machine Translation")</f>
        <v>Registering Source Tokens to Target Language Spaces in Multilingual Neural Machine Translation</v>
      </c>
      <c r="C2691" s="7" t="str">
        <f>IFERROR(__xludf.DUMMYFUNCTION("""COMPUTED_VALUE"""),"The multilingual neural machine translation (MNMT) aims for arbitrary translations across multiple languages.
Although MNMT-specific models trained on parallel data offer low costs in training and deployment, their performance consistently lags behind tha"&amp;"t of large language models (LLMs).
In this work, we introduce registering, a novel method that enables a small MNMT-specific model to compete with LLMs.
Specifically, we insert a set of artificial tokens specifying the target language, called registers, i"&amp;"nto the input sequence between the source and target tokens.
By modifying the attention mask, the target token generation only pays attention to the activation of registers, representing the source tokens in the target language space.
Experiments on EC-40"&amp;", a large-scale benchmark, show that our method advances the state-of-the-art of MNMT.
We further pre-train two models, namely MITRE (multilingual translation with registers), by 9.3 billion sentence pairs across 24 languages collected from public corpora"&amp;".
One of them, MITRE-913M, outperforms NLLB-3.3B, achieves comparable performance with commercial LLMs, and shows strong adaptability in fine-tuning.
Finally, we open-source our models to facilitate further research and development in MNMT: https://github"&amp;".com/zhiqu22/mitre.")</f>
        <v>The multilingual neural machine translation (MNMT) aims for arbitrary translations across multiple languages.
Although MNMT-specific models trained on parallel data offer low costs in training and deployment, their performance consistently lags behind that of large language models (LLMs).
In this work, we introduce registering, a novel method that enables a small MNMT-specific model to compete with LLMs.
Specifically, we insert a set of artificial tokens specifying the target language, called registers, into the input sequence between the source and target tokens.
By modifying the attention mask, the target token generation only pays attention to the activation of registers, representing the source tokens in the target language space.
Experiments on EC-40, a large-scale benchmark, show that our method advances the state-of-the-art of MNMT.
We further pre-train two models, namely MITRE (multilingual translation with registers), by 9.3 billion sentence pairs across 24 languages collected from public corpora.
One of them, MITRE-913M, outperforms NLLB-3.3B, achieves comparable performance with commercial LLMs, and shows strong adaptability in fine-tuning.
Finally, we open-source our models to facilitate further research and development in MNMT: https://github.com/zhiqu22/mitre.</v>
      </c>
      <c r="D2691" s="7" t="str">
        <f>IFERROR(__xludf.DUMMYFUNCTION("""COMPUTED_VALUE"""),"Zhi Qu")</f>
        <v>Zhi Qu</v>
      </c>
      <c r="E2691" s="7" t="str">
        <f>IFERROR(__xludf.DUMMYFUNCTION("""COMPUTED_VALUE"""),"Yes")</f>
        <v>Yes</v>
      </c>
      <c r="F2691" s="7" t="str">
        <f>IFERROR(__xludf.DUMMYFUNCTION("""COMPUTED_VALUE"""),"IP-Oral")</f>
        <v>IP-Oral</v>
      </c>
      <c r="G2691" s="7" t="str">
        <f>IFERROR(__xludf.DUMMYFUNCTION("""COMPUTED_VALUE"""),"In-Person")</f>
        <v>In-Person</v>
      </c>
      <c r="H2691" s="7" t="str">
        <f>IFERROR(__xludf.DUMMYFUNCTION("""COMPUTED_VALUE"""),"Room 1.85")</f>
        <v>Room 1.85</v>
      </c>
      <c r="I2691" s="7" t="str">
        <f>IFERROR(__xludf.DUMMYFUNCTION("""COMPUTED_VALUE"""),"Session 3: IP-Orals")</f>
        <v>Session 3: IP-Orals</v>
      </c>
      <c r="J2691" s="7" t="str">
        <f>IFERROR(__xludf.DUMMYFUNCTION("""COMPUTED_VALUE"""),"Machine Translation")</f>
        <v>Machine Translation</v>
      </c>
      <c r="K2691" s="7"/>
      <c r="L2691" s="8">
        <f>IFERROR(__xludf.DUMMYFUNCTION("""COMPUTED_VALUE"""),45866.0)</f>
        <v>45866</v>
      </c>
      <c r="M2691" s="7" t="str">
        <f>IFERROR(__xludf.DUMMYFUNCTION("""COMPUTED_VALUE"""),"14:00-15:30")</f>
        <v>14:00-15:30</v>
      </c>
      <c r="N2691" s="7">
        <f>IFERROR(__xludf.DUMMYFUNCTION("""COMPUTED_VALUE"""),5.0)</f>
        <v>5</v>
      </c>
    </row>
    <row r="2692">
      <c r="A2692" s="7" t="str">
        <f>IFERROR(__xludf.DUMMYFUNCTION("""COMPUTED_VALUE"""),"2822-MAIN")</f>
        <v>2822-MAIN</v>
      </c>
      <c r="B2692" s="7" t="str">
        <f>IFERROR(__xludf.DUMMYFUNCTION("""COMPUTED_VALUE"""),"VisuoThink: Empowering LVLM Reasoning with Multimodal Tree Search")</f>
        <v>VisuoThink: Empowering LVLM Reasoning with Multimodal Tree Search</v>
      </c>
      <c r="C2692" s="7" t="str">
        <f>IFERROR(__xludf.DUMMYFUNCTION("""COMPUTED_VALUE"""),"Recent advancements in Large Vision-Language Models have showcased remarkable capabilities. However, they often falter when confronted with complex reasoning tasks that humans typically address through visual aids and deliberate, step-by-step thinking. Wh"&amp;"ile existing methods have explored text-based slow thinking or rudimentary visual assistance, they fall short of capturing the intricate, interleaved nature of human visual-verbal reasoning processes. To overcome these limitations and inspired by the mech"&amp;"anisms of slow thinking in human cognition, we introduce VisuoThink, a novel framework that seamlessly integrates visuospatial and linguistic domains. VisuoThink facilitates multimodal slow thinking by enabling progressive visual-textual reasoning and inc"&amp;"orporates test-time scaling through look-ahead tree search. Extensive experiments demonstrate that VisuoThink significantly enhances reasoning capabilities via inference-time scaling, even without fine-tuning, achieving state-of-the-art performance in tas"&amp;"ks involving geometry and spatial reasoning.")</f>
        <v>Recent advancements in Large Vision-Language Models have showcased remarkable capabilities. However, they often falter when confronted with complex reasoning tasks that humans typically address through visual aids and deliberate, step-by-step thinking. While existing methods have explored text-based slow thinking or rudimentary visual assistance, they fall short of capturing the intricate, interleaved nature of human visual-verbal reasoning processes. To overcome these limitations and inspired by the mechanisms of slow thinking in human cognition, we introduce VisuoThink, a novel framework that seamlessly integrates visuospatial and linguistic domains. VisuoThink facilitates multimodal slow thinking by enabling progressive visual-textual reasoning and incorporates test-time scaling through look-ahead tree search. Extensive experiments demonstrate that VisuoThink significantly enhances reasoning capabilities via inference-time scaling, even without fine-tuning, achieving state-of-the-art performance in tasks involving geometry and spatial reasoning.</v>
      </c>
      <c r="D2692" s="7" t="str">
        <f>IFERROR(__xludf.DUMMYFUNCTION("""COMPUTED_VALUE"""),"Siyin Wang")</f>
        <v>Siyin Wang</v>
      </c>
      <c r="E2692" s="7" t="str">
        <f>IFERROR(__xludf.DUMMYFUNCTION("""COMPUTED_VALUE"""),"Yes")</f>
        <v>Yes</v>
      </c>
      <c r="F2692" s="7" t="str">
        <f>IFERROR(__xludf.DUMMYFUNCTION("""COMPUTED_VALUE"""),"IP-Poster")</f>
        <v>IP-Poster</v>
      </c>
      <c r="G2692" s="7" t="str">
        <f>IFERROR(__xludf.DUMMYFUNCTION("""COMPUTED_VALUE"""),"In-Person")</f>
        <v>In-Person</v>
      </c>
      <c r="H2692" s="7" t="str">
        <f>IFERROR(__xludf.DUMMYFUNCTION("""COMPUTED_VALUE"""),"Hall 4/5")</f>
        <v>Hall 4/5</v>
      </c>
      <c r="I2692" s="7" t="str">
        <f>IFERROR(__xludf.DUMMYFUNCTION("""COMPUTED_VALUE"""),"Session 10: IP-Posters")</f>
        <v>Session 10: IP-Posters</v>
      </c>
      <c r="J2692" s="7" t="str">
        <f>IFERROR(__xludf.DUMMYFUNCTION("""COMPUTED_VALUE"""),"Poster Session 3")</f>
        <v>Poster Session 3</v>
      </c>
      <c r="K2692" s="7"/>
      <c r="L2692" s="8">
        <f>IFERROR(__xludf.DUMMYFUNCTION("""COMPUTED_VALUE"""),45867.0)</f>
        <v>45867</v>
      </c>
      <c r="M2692" s="7" t="str">
        <f>IFERROR(__xludf.DUMMYFUNCTION("""COMPUTED_VALUE"""),"16:00-17:30")</f>
        <v>16:00-17:30</v>
      </c>
      <c r="N2692" s="7"/>
    </row>
    <row r="2693">
      <c r="A2693" s="7" t="str">
        <f>IFERROR(__xludf.DUMMYFUNCTION("""COMPUTED_VALUE"""),"2835-MAIN")</f>
        <v>2835-MAIN</v>
      </c>
      <c r="B2693" s="7" t="str">
        <f>IFERROR(__xludf.DUMMYFUNCTION("""COMPUTED_VALUE"""),"Automated CAD Modeling Sequence Generation from Text Descriptions via Transformer-Based Large Language Models")</f>
        <v>Automated CAD Modeling Sequence Generation from Text Descriptions via Transformer-Based Large Language Models</v>
      </c>
      <c r="C2693" s="7" t="str">
        <f>IFERROR(__xludf.DUMMYFUNCTION("""COMPUTED_VALUE"""),"Designing complex computer-aided design (CAD) models is often time-consuming due to challenges such as computational inefficiency and the difficulty of generating precise models. We propose a novel language-guided framework for industrial design automatio"&amp;"n to address these issues, integrating large language models (LLMs) with computer-automated design (CAutoD).Through this framework, CAD models are automatically generated from parameters and appearance descriptions, supporting the automation of design tas"&amp;"ks during the detailed CAD design phase. Our approach introduces three key innovations: (1) a semi-automated data annotation pipeline that leverages LLMs and vision-language large models (VLLMs) to generate high-quality parameters and appearance descripti"&amp;"ons; (2) a Transformer-based CAD generator (TCADGen) that predicts modeling sequences via dual-channel feature aggregation; (3) an enhanced CAD modeling generation model, called CADLLM, that is designed to refine the generated sequences by incorporating t"&amp;"he confidence scores from TCADGen. Experimental results demonstrate that the proposed approach outperforms traditional methods in both accuracy and efficiency, providing a powerful tool for automating industrial workflows and generating complex CAD models"&amp;" from textual prompts.The code is available at https://jianxliao.github.io/cadllm-page/")</f>
        <v>Designing complex computer-aided design (CAD) models is often time-consuming due to challenges such as computational inefficiency and the difficulty of generating precise models. We propose a novel language-guided framework for industrial design automation to address these issues, integrating large language models (LLMs) with computer-automated design (CAutoD).Through this framework, CAD models are automatically generated from parameters and appearance descriptions, supporting the automation of design tasks during the detailed CAD design phase. Our approach introduces three key innovations: (1) a semi-automated data annotation pipeline that leverages LLMs and vision-language large models (VLLMs) to generate high-quality parameters and appearance descriptions; (2) a Transformer-based CAD generator (TCADGen) that predicts modeling sequences via dual-channel feature aggregation; (3) an enhanced CAD modeling generation model, called CADLLM, that is designed to refine the generated sequences by incorporating the confidence scores from TCADGen. Experimental results demonstrate that the proposed approach outperforms traditional methods in both accuracy and efficiency, providing a powerful tool for automating industrial workflows and generating complex CAD models from textual prompts.The code is available at https://jianxliao.github.io/cadllm-page/</v>
      </c>
      <c r="D2693" s="7" t="str">
        <f>IFERROR(__xludf.DUMMYFUNCTION("""COMPUTED_VALUE"""),"jianxing liao, junyan xu")</f>
        <v>jianxing liao, junyan xu</v>
      </c>
      <c r="E2693" s="7" t="str">
        <f>IFERROR(__xludf.DUMMYFUNCTION("""COMPUTED_VALUE"""),"Yes")</f>
        <v>Yes</v>
      </c>
      <c r="F2693" s="7" t="str">
        <f>IFERROR(__xludf.DUMMYFUNCTION("""COMPUTED_VALUE"""),"IP-Poster")</f>
        <v>IP-Poster</v>
      </c>
      <c r="G2693" s="7" t="str">
        <f>IFERROR(__xludf.DUMMYFUNCTION("""COMPUTED_VALUE"""),"In-Person")</f>
        <v>In-Person</v>
      </c>
      <c r="H2693" s="7" t="str">
        <f>IFERROR(__xludf.DUMMYFUNCTION("""COMPUTED_VALUE"""),"Hall 4/5")</f>
        <v>Hall 4/5</v>
      </c>
      <c r="I2693" s="7" t="str">
        <f>IFERROR(__xludf.DUMMYFUNCTION("""COMPUTED_VALUE"""),"Session 7: IP-Posters")</f>
        <v>Session 7: IP-Posters</v>
      </c>
      <c r="J2693" s="7" t="str">
        <f>IFERROR(__xludf.DUMMYFUNCTION("""COMPUTED_VALUE"""),"Poster Session 2")</f>
        <v>Poster Session 2</v>
      </c>
      <c r="K2693" s="7"/>
      <c r="L2693" s="8">
        <f>IFERROR(__xludf.DUMMYFUNCTION("""COMPUTED_VALUE"""),45867.0)</f>
        <v>45867</v>
      </c>
      <c r="M2693" s="7" t="str">
        <f>IFERROR(__xludf.DUMMYFUNCTION("""COMPUTED_VALUE"""),"10:30-12:00")</f>
        <v>10:30-12:00</v>
      </c>
      <c r="N2693" s="7"/>
    </row>
    <row r="2694">
      <c r="A2694" s="7" t="str">
        <f>IFERROR(__xludf.DUMMYFUNCTION("""COMPUTED_VALUE"""),"2840-MAIN")</f>
        <v>2840-MAIN</v>
      </c>
      <c r="B2694" s="7" t="str">
        <f>IFERROR(__xludf.DUMMYFUNCTION("""COMPUTED_VALUE"""),"LED-Merging: Mitigating Safety-Utility Conflicts in Model Merging with Location-Election-Disjoint")</f>
        <v>LED-Merging: Mitigating Safety-Utility Conflicts in Model Merging with Location-Election-Disjoint</v>
      </c>
      <c r="C2694" s="7" t="str">
        <f>IFERROR(__xludf.DUMMYFUNCTION("""COMPUTED_VALUE"""),"Fine-tuning pre-trained Large Language Models (LLMs) for specialized tasks incurs substantial computational and data costs. While model merging offers a training-free solution to integrate multiple task-specific models, existing methods suffer from safety"&amp;"-utility conflicts where enhanced general capabilities degrade safety safeguards. 
We identify two root causes: \textbf{neuron misidentification} due to simplistic parameter magnitude-based selection, and \textbf{cross-task neuron interference} during mer"&amp;"ging.
To address these challenges, we propose \textbf{LED-Merging}, a three-stage framework that \textbf{L}ocates task-specific neurons via gradient-based attribution, dynamically \textbf{E}lects critical neurons through multi-model importance fusion, and"&amp;" \textbf{D}isjoints conflicting updates through parameter isolation.
Extensive experiments on Llama-3-8B, Mistral-7B, and Llama2-13B demonstrate that LED-Merging effectively reduces harmful response rates, showing a 31.4\% decrease on Llama-3-8B-Instruct "&amp;"on HarmBench, while simultaneously preserving 95\% of utility performance, such as achieving 52.39\% accuracy on GSM8K.
LED-Merging resolves safety-utility conflicts and provides a lightweight, training-free paradigm for constructing reliable multi-task L"&amp;"LMs.
Code is available at https://github.com/MqLeet/LED-Merging")</f>
        <v>Fine-tuning pre-trained Large Language Models (LLMs) for specialized tasks incurs substantial computational and data costs. While model merging offers a training-free solution to integrate multiple task-specific models, existing methods suffer from safety-utility conflicts where enhanced general capabilities degrade safety safeguards. 
We identify two root causes: \textbf{neuron misidentification} due to simplistic parameter magnitude-based selection, and \textbf{cross-task neuron interference} during merging.
To address these challenges, we propose \textbf{LED-Merging}, a three-stage framework that \textbf{L}ocates task-specific neurons via gradient-based attribution, dynamically \textbf{E}lects critical neurons through multi-model importance fusion, and \textbf{D}isjoints conflicting updates through parameter isolation.
Extensive experiments on Llama-3-8B, Mistral-7B, and Llama2-13B demonstrate that LED-Merging effectively reduces harmful response rates, showing a 31.4\% decrease on Llama-3-8B-Instruct on HarmBench, while simultaneously preserving 95\% of utility performance, such as achieving 52.39\% accuracy on GSM8K.
LED-Merging resolves safety-utility conflicts and provides a lightweight, training-free paradigm for constructing reliable multi-task LLMs.
Code is available at https://github.com/MqLeet/LED-Merging</v>
      </c>
      <c r="D2694" s="7" t="str">
        <f>IFERROR(__xludf.DUMMYFUNCTION("""COMPUTED_VALUE"""),"Qianli Ma")</f>
        <v>Qianli Ma</v>
      </c>
      <c r="E2694" s="7" t="str">
        <f>IFERROR(__xludf.DUMMYFUNCTION("""COMPUTED_VALUE"""),"Yes")</f>
        <v>Yes</v>
      </c>
      <c r="F2694" s="7" t="str">
        <f>IFERROR(__xludf.DUMMYFUNCTION("""COMPUTED_VALUE"""),"IP-Poster")</f>
        <v>IP-Poster</v>
      </c>
      <c r="G2694" s="7" t="str">
        <f>IFERROR(__xludf.DUMMYFUNCTION("""COMPUTED_VALUE"""),"In-Person")</f>
        <v>In-Person</v>
      </c>
      <c r="H2694" s="7" t="str">
        <f>IFERROR(__xludf.DUMMYFUNCTION("""COMPUTED_VALUE"""),"Hall 4/5")</f>
        <v>Hall 4/5</v>
      </c>
      <c r="I2694" s="7" t="str">
        <f>IFERROR(__xludf.DUMMYFUNCTION("""COMPUTED_VALUE"""),"Session 2: IP-Posters ")</f>
        <v>Session 2: IP-Posters </v>
      </c>
      <c r="J2694" s="7" t="str">
        <f>IFERROR(__xludf.DUMMYFUNCTION("""COMPUTED_VALUE"""),"Poster Session 1")</f>
        <v>Poster Session 1</v>
      </c>
      <c r="K2694" s="7"/>
      <c r="L2694" s="8">
        <f>IFERROR(__xludf.DUMMYFUNCTION("""COMPUTED_VALUE"""),45866.0)</f>
        <v>45866</v>
      </c>
      <c r="M2694" s="7" t="str">
        <f>IFERROR(__xludf.DUMMYFUNCTION("""COMPUTED_VALUE"""),"11:00-12:30")</f>
        <v>11:00-12:30</v>
      </c>
      <c r="N2694" s="7"/>
    </row>
    <row r="2695">
      <c r="A2695" s="7" t="str">
        <f>IFERROR(__xludf.DUMMYFUNCTION("""COMPUTED_VALUE"""),"2844-MAIN")</f>
        <v>2844-MAIN</v>
      </c>
      <c r="B2695" s="7" t="str">
        <f>IFERROR(__xludf.DUMMYFUNCTION("""COMPUTED_VALUE"""),"Dolphin: Moving Towards Closed-loop Auto-research through Thinking, Practice, and Feedback")</f>
        <v>Dolphin: Moving Towards Closed-loop Auto-research through Thinking, Practice, and Feedback</v>
      </c>
      <c r="C2695" s="7" t="str">
        <f>IFERROR(__xludf.DUMMYFUNCTION("""COMPUTED_VALUE"""),"The scientific research paradigm is undergoing a profound transformation owing to the development of Artificial Intelligence (AI). Recent works demonstrate that various AI-assisted research methods can largely improve research efficiency by improving data"&amp;" analysis, accelerating computation, and fostering novel idea generation. To further move towards the ultimate goal (i.e., automatic scientific research), in this paper, we introduce Dolphin, a closed-loop LLM-driven framework to enhance the automation le"&amp;"vel of scientific research. Dolphin first generates novel ideas based on feedback from previous experiments and relevant papers ranked by the topic and task attributes. Then, the generated ideas can be implemented using a code template refined and debugge"&amp;"d with the designed exception-traceback-guided local code structure. Finally, Dolphin automatically analyzes the results of each idea and feeds the results back to the next round of idea generation. Experiments are conducted on the benchmark datasets of d"&amp;"ifferent topics and a subset of MLE-bench. Results show that Dolphin can continuously improve the performance of the input topic in a loop. We highlight that Dolphin can automatically propose methods that are comparable to the state-of-the-art in some tas"&amp;"ks such as 3D point classification.")</f>
        <v>The scientific research paradigm is undergoing a profound transformation owing to the development of Artificial Intelligence (AI). Recent works demonstrate that various AI-assisted research methods can largely improve research efficiency by improving data analysis, accelerating computation, and fostering novel idea generation. To further move towards the ultimate goal (i.e., automatic scientific research), in this paper, we introduce Dolphin, a closed-loop LLM-driven framework to enhance the automation level of scientific research. Dolphin first generates novel ideas based on feedback from previous experiments and relevant papers ranked by the topic and task attributes. Then, the generated ideas can be implemented using a code template refined and debugged with the designed exception-traceback-guided local code structure. Finally, Dolphin automatically analyzes the results of each idea and feeds the results back to the next round of idea generation. Experiments are conducted on the benchmark datasets of different topics and a subset of MLE-bench. Results show that Dolphin can continuously improve the performance of the input topic in a loop. We highlight that Dolphin can automatically propose methods that are comparable to the state-of-the-art in some tasks such as 3D point classification.</v>
      </c>
      <c r="D2695" s="7" t="str">
        <f>IFERROR(__xludf.DUMMYFUNCTION("""COMPUTED_VALUE"""),"Jiakang Yuan")</f>
        <v>Jiakang Yuan</v>
      </c>
      <c r="E2695" s="7" t="str">
        <f>IFERROR(__xludf.DUMMYFUNCTION("""COMPUTED_VALUE"""),"Yes")</f>
        <v>Yes</v>
      </c>
      <c r="F2695" s="7" t="str">
        <f>IFERROR(__xludf.DUMMYFUNCTION("""COMPUTED_VALUE"""),"V-Presentation")</f>
        <v>V-Presentation</v>
      </c>
      <c r="G2695" s="7" t="str">
        <f>IFERROR(__xludf.DUMMYFUNCTION("""COMPUTED_VALUE"""),"Virtual/Gather")</f>
        <v>Virtual/Gather</v>
      </c>
      <c r="H2695" s="7" t="str">
        <f>IFERROR(__xludf.DUMMYFUNCTION("""COMPUTED_VALUE"""),"Zoom")</f>
        <v>Zoom</v>
      </c>
      <c r="I2695" s="7" t="str">
        <f>IFERROR(__xludf.DUMMYFUNCTION("""COMPUTED_VALUE"""),"Session 10: V-Presenations")</f>
        <v>Session 10: V-Presenations</v>
      </c>
      <c r="J2695" s="7" t="str">
        <f>IFERROR(__xludf.DUMMYFUNCTION("""COMPUTED_VALUE"""),"Virtual Presentations 3")</f>
        <v>Virtual Presentations 3</v>
      </c>
      <c r="K2695" s="7"/>
      <c r="L2695" s="8">
        <f>IFERROR(__xludf.DUMMYFUNCTION("""COMPUTED_VALUE"""),45867.0)</f>
        <v>45867</v>
      </c>
      <c r="M2695" s="7" t="str">
        <f>IFERROR(__xludf.DUMMYFUNCTION("""COMPUTED_VALUE"""),"16:00-17:30")</f>
        <v>16:00-17:30</v>
      </c>
      <c r="N2695" s="7"/>
    </row>
    <row r="2696">
      <c r="A2696" s="7" t="str">
        <f>IFERROR(__xludf.DUMMYFUNCTION("""COMPUTED_VALUE"""),"2846-MAIN")</f>
        <v>2846-MAIN</v>
      </c>
      <c r="B2696" s="7" t="str">
        <f>IFERROR(__xludf.DUMMYFUNCTION("""COMPUTED_VALUE"""),"PerSphere: A Comprehensive Framework for Multi-Faceted Perspective Retrieval and Summarization")</f>
        <v>PerSphere: A Comprehensive Framework for Multi-Faceted Perspective Retrieval and Summarization</v>
      </c>
      <c r="C2696" s="7" t="str">
        <f>IFERROR(__xludf.DUMMYFUNCTION("""COMPUTED_VALUE"""),"As online platforms and recommendation algorithms evolve, people are increasingly trapped in echo chambers, leading to biased understandings of various issues. To combat this issue, we have introduced PerSphere, a benchmark designed to facilitate multi-fa"&amp;"ceted perspective retrieval and summarization, thus breaking free from these information silos. For each query within PerSphere, there are two opposing claims, each supported by distinct, non-overlapping perspectives drawn from one or more documents. Our "&amp;"goal is to accurately summarize these documents, aligning the summaries with the respective claims and their underlying perspectives. This task is structured as a two-step end-to-end pipeline that includes comprehensive document retrieval and multi-facete"&amp;"d summarization. Furthermore, we propose a set of metrics to evaluate the comprehensiveness of the retrieval and summarization content. Experimental results on various counterparts for the pipeline show that recent models struggle with such a complex task"&amp;". Analysis shows that the main challenge lies in long context and perspective extraction, and we propose a simple but effective multi-agent summarization system, offering a promising solution to enhance performance on PerSphere.")</f>
        <v>As online platforms and recommendation algorithms evolve, people are increasingly trapped in echo chambers, leading to biased understandings of various issues. To combat this issue, we have introduced PerSphere, a benchmark designed to facilitate multi-faceted perspective retrieval and summarization, thus breaking free from these information silos. For each query within PerSphere, there are two opposing claims, each supported by distinct, non-overlapping perspectives drawn from one or more documents. Our goal is to accurately summarize these documents, aligning the summaries with the respective claims and their underlying perspectives. This task is structured as a two-step end-to-end pipeline that includes comprehensive document retrieval and multi-faceted summarization. Furthermore, we propose a set of metrics to evaluate the comprehensiveness of the retrieval and summarization content. Experimental results on various counterparts for the pipeline show that recent models struggle with such a complex task. Analysis shows that the main challenge lies in long context and perspective extraction, and we propose a simple but effective multi-agent summarization system, offering a promising solution to enhance performance on PerSphere.</v>
      </c>
      <c r="D2696" s="7" t="str">
        <f>IFERROR(__xludf.DUMMYFUNCTION("""COMPUTED_VALUE"""),"Yun Luo")</f>
        <v>Yun Luo</v>
      </c>
      <c r="E2696" s="7" t="str">
        <f>IFERROR(__xludf.DUMMYFUNCTION("""COMPUTED_VALUE"""),"Yes")</f>
        <v>Yes</v>
      </c>
      <c r="F2696" s="7" t="str">
        <f>IFERROR(__xludf.DUMMYFUNCTION("""COMPUTED_VALUE"""),"IP-Poster")</f>
        <v>IP-Poster</v>
      </c>
      <c r="G2696" s="7" t="str">
        <f>IFERROR(__xludf.DUMMYFUNCTION("""COMPUTED_VALUE"""),"In-Person")</f>
        <v>In-Person</v>
      </c>
      <c r="H2696" s="7" t="str">
        <f>IFERROR(__xludf.DUMMYFUNCTION("""COMPUTED_VALUE"""),"Hall 4/5")</f>
        <v>Hall 4/5</v>
      </c>
      <c r="I2696" s="7" t="str">
        <f>IFERROR(__xludf.DUMMYFUNCTION("""COMPUTED_VALUE"""),"Session 2: IP-Posters ")</f>
        <v>Session 2: IP-Posters </v>
      </c>
      <c r="J2696" s="7" t="str">
        <f>IFERROR(__xludf.DUMMYFUNCTION("""COMPUTED_VALUE"""),"Poster Session 1")</f>
        <v>Poster Session 1</v>
      </c>
      <c r="K2696" s="7"/>
      <c r="L2696" s="8">
        <f>IFERROR(__xludf.DUMMYFUNCTION("""COMPUTED_VALUE"""),45866.0)</f>
        <v>45866</v>
      </c>
      <c r="M2696" s="7" t="str">
        <f>IFERROR(__xludf.DUMMYFUNCTION("""COMPUTED_VALUE"""),"11:00-12:30")</f>
        <v>11:00-12:30</v>
      </c>
      <c r="N2696" s="7"/>
    </row>
    <row r="2697">
      <c r="A2697" s="7" t="str">
        <f>IFERROR(__xludf.DUMMYFUNCTION("""COMPUTED_VALUE"""),"2851-MAIN")</f>
        <v>2851-MAIN</v>
      </c>
      <c r="B2697" s="7" t="str">
        <f>IFERROR(__xludf.DUMMYFUNCTION("""COMPUTED_VALUE"""),"Prompt-Guided Internal States for Hallucination Detection of Large Language Models")</f>
        <v>Prompt-Guided Internal States for Hallucination Detection of Large Language Models</v>
      </c>
      <c r="C2697" s="7" t="str">
        <f>IFERROR(__xludf.DUMMYFUNCTION("""COMPUTED_VALUE"""),"Large Language Models (LLMs) have demonstrated remarkable capabilities across a variety of tasks in different domains. However, they sometimes generate responses that are logically coherent but factually incorrect or misleading, which is known as LLM hall"&amp;"ucinations. Data-driven supervised methods train hallucination detectors by leveraging the internal states of LLMs, but detectors trained on specific domains often struggle to generalize well to other domains. In this paper, we aim to enhance the cross-do"&amp;"main performance of supervised detectors with only in-domain data. We propose a novel framework, prompt-guided internal states for hallucination detection of LLMs, namely PRISM. By utilizing appropriate prompts to guide changes to the structure related to"&amp;" text truthfulness in LLMs' internal states, we make this structure more salient and consistent across texts from different domains. We integrated our framework with existing hallucination detection methods and conducted experiments on datasets from diffe"&amp;"rent domains. The experimental results indicate that our framework significantly enhances the cross-domain generalization of existing hallucination detection methods.")</f>
        <v>Large Language Models (LLMs) have demonstrated remarkable capabilities across a variety of tasks in different domains. However, they sometimes generate responses that are logically coherent but factually incorrect or misleading, which is known as LLM hallucinations. Data-driven supervised methods train hallucination detectors by leveraging the internal states of LLMs, but detectors trained on specific domains often struggle to generalize well to other domains. In this paper, we aim to enhance the cross-domain performance of supervised detectors with only in-domain data. We propose a novel framework, prompt-guided internal states for hallucination detection of LLMs, namely PRISM. By utilizing appropriate prompts to guide changes to the structure related to text truthfulness in LLMs' internal states, we make this structure more salient and consistent across texts from different domains. We integrated our framework with existing hallucination detection methods and conducted experiments on datasets from different domains. The experimental results indicate that our framework significantly enhances the cross-domain generalization of existing hallucination detection methods.</v>
      </c>
      <c r="D2697" s="7" t="str">
        <f>IFERROR(__xludf.DUMMYFUNCTION("""COMPUTED_VALUE"""),"Fujie Zhang")</f>
        <v>Fujie Zhang</v>
      </c>
      <c r="E2697" s="7" t="str">
        <f>IFERROR(__xludf.DUMMYFUNCTION("""COMPUTED_VALUE"""),"Yes")</f>
        <v>Yes</v>
      </c>
      <c r="F2697" s="7" t="str">
        <f>IFERROR(__xludf.DUMMYFUNCTION("""COMPUTED_VALUE"""),"V-Presentation")</f>
        <v>V-Presentation</v>
      </c>
      <c r="G2697" s="7" t="str">
        <f>IFERROR(__xludf.DUMMYFUNCTION("""COMPUTED_VALUE"""),"Virtual/Gather")</f>
        <v>Virtual/Gather</v>
      </c>
      <c r="H2697" s="7" t="str">
        <f>IFERROR(__xludf.DUMMYFUNCTION("""COMPUTED_VALUE"""),"Zoom")</f>
        <v>Zoom</v>
      </c>
      <c r="I2697" s="7" t="str">
        <f>IFERROR(__xludf.DUMMYFUNCTION("""COMPUTED_VALUE"""),"Session 7: V--Presentations ")</f>
        <v>Session 7: V--Presentations </v>
      </c>
      <c r="J2697" s="7" t="str">
        <f>IFERROR(__xludf.DUMMYFUNCTION("""COMPUTED_VALUE"""),"Virtual Presentations 2")</f>
        <v>Virtual Presentations 2</v>
      </c>
      <c r="K2697" s="7"/>
      <c r="L2697" s="8"/>
      <c r="M2697" s="7" t="str">
        <f>IFERROR(__xludf.DUMMYFUNCTION("""COMPUTED_VALUE"""),"10:30-12:00")</f>
        <v>10:30-12:00</v>
      </c>
      <c r="N2697" s="7"/>
    </row>
    <row r="2698">
      <c r="A2698" s="7" t="str">
        <f>IFERROR(__xludf.DUMMYFUNCTION("""COMPUTED_VALUE"""),"2853-MAIN")</f>
        <v>2853-MAIN</v>
      </c>
      <c r="B2698" s="7" t="str">
        <f>IFERROR(__xludf.DUMMYFUNCTION("""COMPUTED_VALUE"""),"Typology-Guided Adaptation for African NLP")</f>
        <v>Typology-Guided Adaptation for African NLP</v>
      </c>
      <c r="C2698" s="7" t="str">
        <f>IFERROR(__xludf.DUMMYFUNCTION("""COMPUTED_VALUE"""),"Multilingual models often treat language diversity as a problem of data imbalance, overlooking  structural variation. We introduce the *Morphological Index* (MoI), a typologically grounded metric  that quantifies how strongly a language relies on surface "&amp;"morphology for noun classification. Building on MoI, we propose *MoI-MoE*, a Mixture of Experts model that routes inputs based on morphological structure. Evaluated on 10 Bantu languages—a large, morphologically rich and underrepresented family—MoI-MoE ou"&amp;"tperforms strong baselines, improving Swahili accuracy by 14 points on noun class recognition while maintaining performance on morphology-rich languages like Zulu. These findings highlight typological structure as a practical and interpretable signal for "&amp;"multilingual model adaptation.")</f>
        <v>Multilingual models often treat language diversity as a problem of data imbalance, overlooking  structural variation. We introduce the *Morphological Index* (MoI), a typologically grounded metric  that quantifies how strongly a language relies on surface morphology for noun classification. Building on MoI, we propose *MoI-MoE*, a Mixture of Experts model that routes inputs based on morphological structure. Evaluated on 10 Bantu languages—a large, morphologically rich and underrepresented family—MoI-MoE outperforms strong baselines, improving Swahili accuracy by 14 points on noun class recognition while maintaining performance on morphology-rich languages like Zulu. These findings highlight typological structure as a practical and interpretable signal for multilingual model adaptation.</v>
      </c>
      <c r="D2698" s="7" t="str">
        <f>IFERROR(__xludf.DUMMYFUNCTION("""COMPUTED_VALUE"""),"Ndapa Nakashole")</f>
        <v>Ndapa Nakashole</v>
      </c>
      <c r="E2698" s="7" t="str">
        <f>IFERROR(__xludf.DUMMYFUNCTION("""COMPUTED_VALUE"""),"Yes")</f>
        <v>Yes</v>
      </c>
      <c r="F2698" s="7" t="str">
        <f>IFERROR(__xludf.DUMMYFUNCTION("""COMPUTED_VALUE"""),"V-Presentation")</f>
        <v>V-Presentation</v>
      </c>
      <c r="G2698" s="7" t="str">
        <f>IFERROR(__xludf.DUMMYFUNCTION("""COMPUTED_VALUE"""),"Virtual/Gather")</f>
        <v>Virtual/Gather</v>
      </c>
      <c r="H2698" s="7" t="str">
        <f>IFERROR(__xludf.DUMMYFUNCTION("""COMPUTED_VALUE"""),"Zoom")</f>
        <v>Zoom</v>
      </c>
      <c r="I2698" s="7" t="str">
        <f>IFERROR(__xludf.DUMMYFUNCTION("""COMPUTED_VALUE"""),"Session 10: V-Presenations")</f>
        <v>Session 10: V-Presenations</v>
      </c>
      <c r="J2698" s="7" t="str">
        <f>IFERROR(__xludf.DUMMYFUNCTION("""COMPUTED_VALUE"""),"Virtual Presentations 3")</f>
        <v>Virtual Presentations 3</v>
      </c>
      <c r="K2698" s="7"/>
      <c r="L2698" s="8">
        <f>IFERROR(__xludf.DUMMYFUNCTION("""COMPUTED_VALUE"""),45867.0)</f>
        <v>45867</v>
      </c>
      <c r="M2698" s="7" t="str">
        <f>IFERROR(__xludf.DUMMYFUNCTION("""COMPUTED_VALUE"""),"16:00-17:30")</f>
        <v>16:00-17:30</v>
      </c>
      <c r="N2698" s="7"/>
    </row>
    <row r="2699">
      <c r="A2699" s="7" t="str">
        <f>IFERROR(__xludf.DUMMYFUNCTION("""COMPUTED_VALUE"""),"2855-MAIN")</f>
        <v>2855-MAIN</v>
      </c>
      <c r="B2699" s="7" t="str">
        <f>IFERROR(__xludf.DUMMYFUNCTION("""COMPUTED_VALUE"""),"Don't Erase, Inform! Detecting and Contextualizing Harmful Language in Cultural Heritage Collections")</f>
        <v>Don't Erase, Inform! Detecting and Contextualizing Harmful Language in Cultural Heritage Collections</v>
      </c>
      <c r="C2699" s="7" t="str">
        <f>IFERROR(__xludf.DUMMYFUNCTION("""COMPUTED_VALUE"""),"Cultural Heritage (CH) data hold invaluable knowledge, reflecting the history, traditions, and identities of societies, and shaping our understanding of the past and present. However, many CH collections contain outdated or offensive descriptions that ref"&amp;"lect historical biases. CH Institutions (CHIs) face significant challenges in curating these data due to the vast scale and complexity of the task. To address this, we develop an AI-powered tool that detects offensive terms in CH metadata and provides con"&amp;"textual insights into their historical background and contemporary perception. We leverage a multilingual vocabulary co-created with marginalized communities, researchers, and CH professionals, along with traditional NLP techniques and Large Language Mode"&amp;"ls (LLMs). Available as a standalone web app and integrated with major CH platforms, the tool has processed over 7.9 million records, contextualizing the contentious terms detected in their metadata. Rather than erasing these terms, our approach seeks to "&amp;"inform, making biases visible and providing actionable insights for creating more inclusive and accessible CH collections.")</f>
        <v>Cultural Heritage (CH) data hold invaluable knowledge, reflecting the history, traditions, and identities of societies, and shaping our understanding of the past and present. However, many CH collections contain outdated or offensive descriptions that reflect historical biases. CH Institutions (CHIs) face significant challenges in curating these data due to the vast scale and complexity of the task. To address this, we develop an AI-powered tool that detects offensive terms in CH metadata and provides contextual insights into their historical background and contemporary perception. We leverage a multilingual vocabulary co-created with marginalized communities, researchers, and CH professionals, along with traditional NLP techniques and Large Language Models (LLMs). Available as a standalone web app and integrated with major CH platforms, the tool has processed over 7.9 million records, contextualizing the contentious terms detected in their metadata. Rather than erasing these terms, our approach seeks to inform, making biases visible and providing actionable insights for creating more inclusive and accessible CH collections.</v>
      </c>
      <c r="D2699" s="7" t="str">
        <f>IFERROR(__xludf.DUMMYFUNCTION("""COMPUTED_VALUE"""),"Orfeas Menis Mastromichalakis")</f>
        <v>Orfeas Menis Mastromichalakis</v>
      </c>
      <c r="E2699" s="7" t="str">
        <f>IFERROR(__xludf.DUMMYFUNCTION("""COMPUTED_VALUE"""),"Yes")</f>
        <v>Yes</v>
      </c>
      <c r="F2699" s="7" t="str">
        <f>IFERROR(__xludf.DUMMYFUNCTION("""COMPUTED_VALUE"""),"IP-Poster")</f>
        <v>IP-Poster</v>
      </c>
      <c r="G2699" s="7" t="str">
        <f>IFERROR(__xludf.DUMMYFUNCTION("""COMPUTED_VALUE"""),"In-Person")</f>
        <v>In-Person</v>
      </c>
      <c r="H2699" s="7" t="str">
        <f>IFERROR(__xludf.DUMMYFUNCTION("""COMPUTED_VALUE"""),"Hall 4/5")</f>
        <v>Hall 4/5</v>
      </c>
      <c r="I2699" s="7" t="str">
        <f>IFERROR(__xludf.DUMMYFUNCTION("""COMPUTED_VALUE"""),"Session 12: IP-Posters")</f>
        <v>Session 12: IP-Posters</v>
      </c>
      <c r="J2699" s="7" t="str">
        <f>IFERROR(__xludf.DUMMYFUNCTION("""COMPUTED_VALUE"""),"Poster Session 4")</f>
        <v>Poster Session 4</v>
      </c>
      <c r="K2699" s="7"/>
      <c r="L2699" s="8">
        <f>IFERROR(__xludf.DUMMYFUNCTION("""COMPUTED_VALUE"""),45868.0)</f>
        <v>45868</v>
      </c>
      <c r="M2699" s="7" t="str">
        <f>IFERROR(__xludf.DUMMYFUNCTION("""COMPUTED_VALUE"""),"11:00-12:30")</f>
        <v>11:00-12:30</v>
      </c>
      <c r="N2699" s="7"/>
    </row>
    <row r="2700">
      <c r="A2700" s="7" t="str">
        <f>IFERROR(__xludf.DUMMYFUNCTION("""COMPUTED_VALUE"""),"2856-MAIN")</f>
        <v>2856-MAIN</v>
      </c>
      <c r="B2700" s="7" t="str">
        <f>IFERROR(__xludf.DUMMYFUNCTION("""COMPUTED_VALUE"""),"ECLM: Entity Level Language Model for Spoken Language Understanding with Chain of Intent")</f>
        <v>ECLM: Entity Level Language Model for Spoken Language Understanding with Chain of Intent</v>
      </c>
      <c r="C2700" s="7" t="str">
        <f>IFERROR(__xludf.DUMMYFUNCTION("""COMPUTED_VALUE"""),"Large Language Models (LLMs) have demonstrated impressive capabilities in language generation and general task performance. However, their application to spoken language understanding (SLU) remains challenging, particularly for token-level tasks, where th"&amp;"e autoregressive nature of LLMs often leads to misalignment issues. They also struggle to capture nuanced interrelations in semantic-level tasks through direct fine-tuning alone. To address these challenges, we propose the Entity-level Language Model (ECL"&amp;"M) framework, which reformulates slot-filling as an entity recognition task and introduces a novel concept, Chain of Intent, to enable step-by-step multi-intent recognition. Experimental results show that ECLM significantly outperforms strong baselines su"&amp;"ch as Uni-MIS, achieving gains of 3.7% on MixATIS and 3.1% on MixSNIPS. Compared to standard supervised fine-tuning of LLMs, ECLM further achieves improvements of 8.5% and 21.2% on these datasets, respectively. Our code is available at https://github.com/"&amp;"SJY8460/ECLM.")</f>
        <v>Large Language Models (LLMs) have demonstrated impressive capabilities in language generation and general task performance. However, their application to spoken language understanding (SLU) remains challenging, particularly for token-level tasks, where the autoregressive nature of LLMs often leads to misalignment issues. They also struggle to capture nuanced interrelations in semantic-level tasks through direct fine-tuning alone. To address these challenges, we propose the Entity-level Language Model (ECLM) framework, which reformulates slot-filling as an entity recognition task and introduces a novel concept, Chain of Intent, to enable step-by-step multi-intent recognition. Experimental results show that ECLM significantly outperforms strong baselines such as Uni-MIS, achieving gains of 3.7% on MixATIS and 3.1% on MixSNIPS. Compared to standard supervised fine-tuning of LLMs, ECLM further achieves improvements of 8.5% and 21.2% on these datasets, respectively. Our code is available at https://github.com/SJY8460/ECLM.</v>
      </c>
      <c r="D2700" s="7" t="str">
        <f>IFERROR(__xludf.DUMMYFUNCTION("""COMPUTED_VALUE"""),"Shangjian Yin")</f>
        <v>Shangjian Yin</v>
      </c>
      <c r="E2700" s="7" t="str">
        <f>IFERROR(__xludf.DUMMYFUNCTION("""COMPUTED_VALUE"""),"Yes")</f>
        <v>Yes</v>
      </c>
      <c r="F2700" s="7" t="str">
        <f>IFERROR(__xludf.DUMMYFUNCTION("""COMPUTED_VALUE"""),"V-Presentation")</f>
        <v>V-Presentation</v>
      </c>
      <c r="G2700" s="7" t="str">
        <f>IFERROR(__xludf.DUMMYFUNCTION("""COMPUTED_VALUE"""),"Virtual/Gather")</f>
        <v>Virtual/Gather</v>
      </c>
      <c r="H2700" s="7" t="str">
        <f>IFERROR(__xludf.DUMMYFUNCTION("""COMPUTED_VALUE"""),"Zoom")</f>
        <v>Zoom</v>
      </c>
      <c r="I2700" s="7" t="str">
        <f>IFERROR(__xludf.DUMMYFUNCTION("""COMPUTED_VALUE"""),"Session 10: V-Presenations")</f>
        <v>Session 10: V-Presenations</v>
      </c>
      <c r="J2700" s="7" t="str">
        <f>IFERROR(__xludf.DUMMYFUNCTION("""COMPUTED_VALUE"""),"Virtual Presentations 3")</f>
        <v>Virtual Presentations 3</v>
      </c>
      <c r="K2700" s="7"/>
      <c r="L2700" s="8">
        <f>IFERROR(__xludf.DUMMYFUNCTION("""COMPUTED_VALUE"""),45867.0)</f>
        <v>45867</v>
      </c>
      <c r="M2700" s="7" t="str">
        <f>IFERROR(__xludf.DUMMYFUNCTION("""COMPUTED_VALUE"""),"16:00-17:30")</f>
        <v>16:00-17:30</v>
      </c>
      <c r="N2700" s="7"/>
    </row>
    <row r="2701">
      <c r="A2701" s="7" t="str">
        <f>IFERROR(__xludf.DUMMYFUNCTION("""COMPUTED_VALUE"""),"2857-MAIN")</f>
        <v>2857-MAIN</v>
      </c>
      <c r="B2701" s="7" t="str">
        <f>IFERROR(__xludf.DUMMYFUNCTION("""COMPUTED_VALUE"""),"FaithfulRAG: Fact-Level Conflict Modeling for Context-Faithful Retrieval-Augmented Generation")</f>
        <v>FaithfulRAG: Fact-Level Conflict Modeling for Context-Faithful Retrieval-Augmented Generation</v>
      </c>
      <c r="C2701" s="7" t="str">
        <f>IFERROR(__xludf.DUMMYFUNCTION("""COMPUTED_VALUE"""),"Large language models (LLMs) augmented with retrieval systems have demonstrated significant potential in handling knowledge-intensive tasks. However, these models often struggle with unfaithfulness issues, generating outputs that either ignore the retriev"&amp;"ed context or inconsistently blend it with the LLM's parametric knowledge. This issue is particularly severe in cases of knowledge conflict, where the retrieved context conflicts with the model’s parametric knowledge. While existing faithful RAG approache"&amp;"s enforce strict context adherence through well-designed prompts or modified decoding strategies, our analysis reveals a critical limitation: they achieve faithfulness by forcibly suppressing the model's parametric knowledge, which undermines the model’s "&amp;"internal knowledge structure and increases the risk of misinterpreting the context. To this end, this paper proposes FaithfulRAG, a novel framework that resolves knowledge conflicts by explicitly modeling discrepancies between the model’s parametric knowl"&amp;"edge and retrieved context. Specifically, FaithfulRAG identifies conflicting knowledge at the fact level and designs a self-thinking process, allowing LLMs to reason about and integrate conflicting facts before generating responses. Extensive experiments "&amp;"demonstrate that our method outperforms state-of-the-art methods. The code is available at https://github.com/DeepLearnXMU/Faithful-RAG.")</f>
        <v>Large language models (LLMs) augmented with retrieval systems have demonstrated significant potential in handling knowledge-intensive tasks. However, these models often struggle with unfaithfulness issues, generating outputs that either ignore the retrieved context or inconsistently blend it with the LLM's parametric knowledge. This issue is particularly severe in cases of knowledge conflict, where the retrieved context conflicts with the model’s parametric knowledge. While existing faithful RAG approaches enforce strict context adherence through well-designed prompts or modified decoding strategies, our analysis reveals a critical limitation: they achieve faithfulness by forcibly suppressing the model's parametric knowledge, which undermines the model’s internal knowledge structure and increases the risk of misinterpreting the context. To this end, this paper proposes FaithfulRAG, a novel framework that resolves knowledge conflicts by explicitly modeling discrepancies between the model’s parametric knowledge and retrieved context. Specifically, FaithfulRAG identifies conflicting knowledge at the fact level and designs a self-thinking process, allowing LLMs to reason about and integrate conflicting facts before generating responses. Extensive experiments demonstrate that our method outperforms state-of-the-art methods. The code is available at https://github.com/DeepLearnXMU/Faithful-RAG.</v>
      </c>
      <c r="D2701" s="7" t="str">
        <f>IFERROR(__xludf.DUMMYFUNCTION("""COMPUTED_VALUE"""),"Zhishang Xiang")</f>
        <v>Zhishang Xiang</v>
      </c>
      <c r="E2701" s="7" t="str">
        <f>IFERROR(__xludf.DUMMYFUNCTION("""COMPUTED_VALUE"""),"Yes")</f>
        <v>Yes</v>
      </c>
      <c r="F2701" s="7" t="str">
        <f>IFERROR(__xludf.DUMMYFUNCTION("""COMPUTED_VALUE"""),"IP-Poster")</f>
        <v>IP-Poster</v>
      </c>
      <c r="G2701" s="7" t="str">
        <f>IFERROR(__xludf.DUMMYFUNCTION("""COMPUTED_VALUE"""),"In-Person")</f>
        <v>In-Person</v>
      </c>
      <c r="H2701" s="7" t="str">
        <f>IFERROR(__xludf.DUMMYFUNCTION("""COMPUTED_VALUE"""),"Hall 4/5")</f>
        <v>Hall 4/5</v>
      </c>
      <c r="I2701" s="7" t="str">
        <f>IFERROR(__xludf.DUMMYFUNCTION("""COMPUTED_VALUE"""),"Session 2: IP-Posters ")</f>
        <v>Session 2: IP-Posters </v>
      </c>
      <c r="J2701" s="7" t="str">
        <f>IFERROR(__xludf.DUMMYFUNCTION("""COMPUTED_VALUE"""),"Poster Session 1")</f>
        <v>Poster Session 1</v>
      </c>
      <c r="K2701" s="7"/>
      <c r="L2701" s="8">
        <f>IFERROR(__xludf.DUMMYFUNCTION("""COMPUTED_VALUE"""),45866.0)</f>
        <v>45866</v>
      </c>
      <c r="M2701" s="7" t="str">
        <f>IFERROR(__xludf.DUMMYFUNCTION("""COMPUTED_VALUE"""),"11:00-12:30")</f>
        <v>11:00-12:30</v>
      </c>
      <c r="N2701" s="7"/>
    </row>
    <row r="2702">
      <c r="A2702" s="7" t="str">
        <f>IFERROR(__xludf.DUMMYFUNCTION("""COMPUTED_VALUE"""),"2864-MAIN")</f>
        <v>2864-MAIN</v>
      </c>
      <c r="B2702" s="7" t="str">
        <f>IFERROR(__xludf.DUMMYFUNCTION("""COMPUTED_VALUE"""),"Knowledge Image Matters: Improving Knowledge-Based Visual Reasoning with Multi-Image Large Language Models")</f>
        <v>Knowledge Image Matters: Improving Knowledge-Based Visual Reasoning with Multi-Image Large Language Models</v>
      </c>
      <c r="C2702" s="7" t="str">
        <f>IFERROR(__xludf.DUMMYFUNCTION("""COMPUTED_VALUE"""),"We revisit knowledge-based visual reasoning (KB-VR) in light of modern advances in multimodal large language models (MLLMs), and make the following contributions: (i) We propose Visual Knowledge Card (VKC) – a novel image that incorporates not only intern"&amp;"al visual knowledge (e.g., scene-aware information) detected from the raw image, but also external world knowledge (e.g., attribute or object knowledge) produced by a knowledge generator; (ii) We present VKC-based Multi-Image Reasoning (VKC-MIR) – a four-"&amp;"stage pipeline which harnesses a state-of-the-art scene perception engine to construct an initial VKC (Stage-1), a powerful LLM to generate relevant domain knowledge (Stage-2), an excellent image editing toolkit to introduce generated knowledge into the u"&amp;"pdated VKC (Stage-3), and finally, an emerging multi-image MLLM to solve the VKC-enhanced task (Stage-4). By performing experiments on three popular KB-VR benchmarks, our approach achieves new state-of-the-art results compared to previous top-performing m"&amp;"odels.")</f>
        <v>We revisit knowledge-based visual reasoning (KB-VR) in light of modern advances in multimodal large language models (MLLMs), and make the following contributions: (i) We propose Visual Knowledge Card (VKC) – a novel image that incorporates not only internal visual knowledge (e.g., scene-aware information) detected from the raw image, but also external world knowledge (e.g., attribute or object knowledge) produced by a knowledge generator; (ii) We present VKC-based Multi-Image Reasoning (VKC-MIR) – a four-stage pipeline which harnesses a state-of-the-art scene perception engine to construct an initial VKC (Stage-1), a powerful LLM to generate relevant domain knowledge (Stage-2), an excellent image editing toolkit to introduce generated knowledge into the updated VKC (Stage-3), and finally, an emerging multi-image MLLM to solve the VKC-enhanced task (Stage-4). By performing experiments on three popular KB-VR benchmarks, our approach achieves new state-of-the-art results compared to previous top-performing models.</v>
      </c>
      <c r="D2702" s="7" t="str">
        <f>IFERROR(__xludf.DUMMYFUNCTION("""COMPUTED_VALUE"""),"Guanghui Ye")</f>
        <v>Guanghui Ye</v>
      </c>
      <c r="E2702" s="7" t="str">
        <f>IFERROR(__xludf.DUMMYFUNCTION("""COMPUTED_VALUE"""),"Yes")</f>
        <v>Yes</v>
      </c>
      <c r="F2702" s="7" t="str">
        <f>IFERROR(__xludf.DUMMYFUNCTION("""COMPUTED_VALUE"""),"IP-Poster")</f>
        <v>IP-Poster</v>
      </c>
      <c r="G2702" s="7" t="str">
        <f>IFERROR(__xludf.DUMMYFUNCTION("""COMPUTED_VALUE"""),"In-Person")</f>
        <v>In-Person</v>
      </c>
      <c r="H2702" s="7" t="str">
        <f>IFERROR(__xludf.DUMMYFUNCTION("""COMPUTED_VALUE"""),"Hall 4/5")</f>
        <v>Hall 4/5</v>
      </c>
      <c r="I2702" s="7" t="str">
        <f>IFERROR(__xludf.DUMMYFUNCTION("""COMPUTED_VALUE"""),"Session 7: IP-Posters")</f>
        <v>Session 7: IP-Posters</v>
      </c>
      <c r="J2702" s="7" t="str">
        <f>IFERROR(__xludf.DUMMYFUNCTION("""COMPUTED_VALUE"""),"Poster Session 2")</f>
        <v>Poster Session 2</v>
      </c>
      <c r="K2702" s="7"/>
      <c r="L2702" s="8">
        <f>IFERROR(__xludf.DUMMYFUNCTION("""COMPUTED_VALUE"""),45867.0)</f>
        <v>45867</v>
      </c>
      <c r="M2702" s="7" t="str">
        <f>IFERROR(__xludf.DUMMYFUNCTION("""COMPUTED_VALUE"""),"10:30-12:00")</f>
        <v>10:30-12:00</v>
      </c>
      <c r="N2702" s="7"/>
    </row>
    <row r="2703">
      <c r="A2703" s="7" t="str">
        <f>IFERROR(__xludf.DUMMYFUNCTION("""COMPUTED_VALUE"""),"2866-MAIN")</f>
        <v>2866-MAIN</v>
      </c>
      <c r="B2703" s="7" t="str">
        <f>IFERROR(__xludf.DUMMYFUNCTION("""COMPUTED_VALUE"""),"Evaluating Personalized Tool-Augmented LLMs from the Perspectives of Personalization and Proactivity")</f>
        <v>Evaluating Personalized Tool-Augmented LLMs from the Perspectives of Personalization and Proactivity</v>
      </c>
      <c r="C2703" s="7" t="str">
        <f>IFERROR(__xludf.DUMMYFUNCTION("""COMPUTED_VALUE"""),"Personalized tool utilization is essential for aligning large language models (LLMs) with user preference in interaction scenarios with various tools. However, most of the current benchmarks primarily focus on either personalization of text generation or "&amp;"direct tool-utilizing, without considering both. In this work, we introduce a novel benchmark \textbf{ETAPP} for evaluating personalized tool invocation, establishing a sandbox environment, and a comprehensive dataset of 800 testing cases covering diverse"&amp;" user profiles. To improve the accuracy of our evaluation, we propose a key-point-based LLM evaluation method, mitigating biases in the LLM-as-a-judge system by manually annotating key points for each test case and providing them to LLM as the reference. "&amp;"Additionally, we evaluate the excellent LLMs and provide an in-depth analysis. Furthermore, we investigate the impact of different tool-invoking strategies on LLMs' personalization performance and the effects of fine-tuning in our task. The effectiveness "&amp;"of our preference-setting and key-point-based evaluation method is also validated. Our findings offer insights into improving personalized LLM agents. Our code is available at https://github.com/hypasd-art/ETAPP.")</f>
        <v>Personalized tool utilization is essential for aligning large language models (LLMs) with user preference in interaction scenarios with various tools. However, most of the current benchmarks primarily focus on either personalization of text generation or direct tool-utilizing, without considering both. In this work, we introduce a novel benchmark \textbf{ETAPP} for evaluating personalized tool invocation, establishing a sandbox environment, and a comprehensive dataset of 800 testing cases covering diverse user profiles. To improve the accuracy of our evaluation, we propose a key-point-based LLM evaluation method, mitigating biases in the LLM-as-a-judge system by manually annotating key points for each test case and providing them to LLM as the reference. Additionally, we evaluate the excellent LLMs and provide an in-depth analysis. Furthermore, we investigate the impact of different tool-invoking strategies on LLMs' personalization performance and the effects of fine-tuning in our task. The effectiveness of our preference-setting and key-point-based evaluation method is also validated. Our findings offer insights into improving personalized LLM agents. Our code is available at https://github.com/hypasd-art/ETAPP.</v>
      </c>
      <c r="D2703" s="7" t="str">
        <f>IFERROR(__xludf.DUMMYFUNCTION("""COMPUTED_VALUE"""),"Yupu Hao")</f>
        <v>Yupu Hao</v>
      </c>
      <c r="E2703" s="7" t="str">
        <f>IFERROR(__xludf.DUMMYFUNCTION("""COMPUTED_VALUE"""),"Yes")</f>
        <v>Yes</v>
      </c>
      <c r="F2703" s="7" t="str">
        <f>IFERROR(__xludf.DUMMYFUNCTION("""COMPUTED_VALUE"""),"IP-Poster")</f>
        <v>IP-Poster</v>
      </c>
      <c r="G2703" s="7" t="str">
        <f>IFERROR(__xludf.DUMMYFUNCTION("""COMPUTED_VALUE"""),"In-Person")</f>
        <v>In-Person</v>
      </c>
      <c r="H2703" s="7" t="str">
        <f>IFERROR(__xludf.DUMMYFUNCTION("""COMPUTED_VALUE"""),"Hall 4/5")</f>
        <v>Hall 4/5</v>
      </c>
      <c r="I2703" s="7" t="str">
        <f>IFERROR(__xludf.DUMMYFUNCTION("""COMPUTED_VALUE"""),"Session 2: IP-Posters ")</f>
        <v>Session 2: IP-Posters </v>
      </c>
      <c r="J2703" s="7" t="str">
        <f>IFERROR(__xludf.DUMMYFUNCTION("""COMPUTED_VALUE"""),"Poster Session 1")</f>
        <v>Poster Session 1</v>
      </c>
      <c r="K2703" s="7"/>
      <c r="L2703" s="8">
        <f>IFERROR(__xludf.DUMMYFUNCTION("""COMPUTED_VALUE"""),45866.0)</f>
        <v>45866</v>
      </c>
      <c r="M2703" s="7" t="str">
        <f>IFERROR(__xludf.DUMMYFUNCTION("""COMPUTED_VALUE"""),"11:00-12:30")</f>
        <v>11:00-12:30</v>
      </c>
      <c r="N2703" s="7"/>
    </row>
    <row r="2704">
      <c r="A2704" s="7" t="str">
        <f>IFERROR(__xludf.DUMMYFUNCTION("""COMPUTED_VALUE"""),"2867-MAIN")</f>
        <v>2867-MAIN</v>
      </c>
      <c r="B2704" s="7" t="str">
        <f>IFERROR(__xludf.DUMMYFUNCTION("""COMPUTED_VALUE"""),"GUICourse: From General Vision Language Model to Versatile GUI Agent")</f>
        <v>GUICourse: From General Vision Language Model to Versatile GUI Agent</v>
      </c>
      <c r="C2704" s="7" t="str">
        <f>IFERROR(__xludf.DUMMYFUNCTION("""COMPUTED_VALUE"""),"Utilizing Graphic User Interfaces (GUIs) for human-computer interaction is essential for accessing various digital tools. Recent advancements in Vision Language Models (VLMs) reveal significant potential for developing versatile agents that assist humans "&amp;"in navigating GUIs. However, current VLMs face challenges related to fundamental abilities, such as OCR and grounding, as well as a lack of knowledge about GUI elements functionalities and control methods. These limitations hinder their effectiveness as p"&amp;"ractical GUI agents. To address these challenges, we introduce GUICourse, a series of datasets for training visual-based GUI agents using general VLMs. First, we enhance the OCR and grounding capabilities of VLMs using the GUIEnv dataset. Next, we enrich "&amp;"the GUI knowledge of VLMs using the GUIAct and GUIChat datasets. Our experiments demonstrate that even a small-sized GUI agent (with 3.1 billion parameters) performs effectively on both single-step and multi-step GUI tasks. We further finetune our GUI age"&amp;"nts on other GUI tasks with different action spaces (AITW and Mind2Web), and the results show that our agents are better than their baseline VLMs. Additionally, we analyze the impact of OCR and grounding capabilities through an ablation study, revealing a"&amp;" positive correlation with GUI navigation ability.")</f>
        <v>Utilizing Graphic User Interfaces (GUIs) for human-computer interaction is essential for accessing various digital tools. Recent advancements in Vision Language Models (VLMs) reveal significant potential for developing versatile agents that assist humans in navigating GUIs. However, current VLMs face challenges related to fundamental abilities, such as OCR and grounding, as well as a lack of knowledge about GUI elements functionalities and control methods. These limitations hinder their effectiveness as practical GUI agents. To address these challenges, we introduce GUICourse, a series of datasets for training visual-based GUI agents using general VLMs. First, we enhance the OCR and grounding capabilities of VLMs using the GUIEnv dataset. Next, we enrich the GUI knowledge of VLMs using the GUIAct and GUIChat datasets. Our experiments demonstrate that even a small-sized GUI agent (with 3.1 billion parameters) performs effectively on both single-step and multi-step GUI tasks. We further finetune our GUI agents on other GUI tasks with different action spaces (AITW and Mind2Web), and the results show that our agents are better than their baseline VLMs. Additionally, we analyze the impact of OCR and grounding capabilities through an ablation study, revealing a positive correlation with GUI navigation ability.</v>
      </c>
      <c r="D2704" s="7" t="str">
        <f>IFERROR(__xludf.DUMMYFUNCTION("""COMPUTED_VALUE"""),"Wentong Chen")</f>
        <v>Wentong Chen</v>
      </c>
      <c r="E2704" s="7" t="str">
        <f>IFERROR(__xludf.DUMMYFUNCTION("""COMPUTED_VALUE"""),"Yes")</f>
        <v>Yes</v>
      </c>
      <c r="F2704" s="7" t="str">
        <f>IFERROR(__xludf.DUMMYFUNCTION("""COMPUTED_VALUE"""),"IP-Poster")</f>
        <v>IP-Poster</v>
      </c>
      <c r="G2704" s="7" t="str">
        <f>IFERROR(__xludf.DUMMYFUNCTION("""COMPUTED_VALUE"""),"In-Person")</f>
        <v>In-Person</v>
      </c>
      <c r="H2704" s="7" t="str">
        <f>IFERROR(__xludf.DUMMYFUNCTION("""COMPUTED_VALUE"""),"Hall 4/5")</f>
        <v>Hall 4/5</v>
      </c>
      <c r="I2704" s="7" t="str">
        <f>IFERROR(__xludf.DUMMYFUNCTION("""COMPUTED_VALUE"""),"Session 2: IP-Posters ")</f>
        <v>Session 2: IP-Posters </v>
      </c>
      <c r="J2704" s="7" t="str">
        <f>IFERROR(__xludf.DUMMYFUNCTION("""COMPUTED_VALUE"""),"Poster Session 1")</f>
        <v>Poster Session 1</v>
      </c>
      <c r="K2704" s="7"/>
      <c r="L2704" s="8">
        <f>IFERROR(__xludf.DUMMYFUNCTION("""COMPUTED_VALUE"""),45866.0)</f>
        <v>45866</v>
      </c>
      <c r="M2704" s="7" t="str">
        <f>IFERROR(__xludf.DUMMYFUNCTION("""COMPUTED_VALUE"""),"11:00-12:30")</f>
        <v>11:00-12:30</v>
      </c>
      <c r="N2704" s="7"/>
    </row>
    <row r="2705">
      <c r="A2705" s="7" t="str">
        <f>IFERROR(__xludf.DUMMYFUNCTION("""COMPUTED_VALUE"""),"2874-MAIN")</f>
        <v>2874-MAIN</v>
      </c>
      <c r="B2705" s="7" t="str">
        <f>IFERROR(__xludf.DUMMYFUNCTION("""COMPUTED_VALUE"""),"Evaluating Visual and Cultural Interpretation: The K-Viscuit Benchmark with Human-VLM Collaboration")</f>
        <v>Evaluating Visual and Cultural Interpretation: The K-Viscuit Benchmark with Human-VLM Collaboration</v>
      </c>
      <c r="C2705" s="7" t="str">
        <f>IFERROR(__xludf.DUMMYFUNCTION("""COMPUTED_VALUE"""),"To create culturally inclusive vision-language models (VLMs), developing a benchmark that tests their ability to address culturally relevant questions is essential. Existing approaches typically rely on human annotators, making the process labor-intensive"&amp;" and creating a cognitive burden in generating diverse questions. To address this, we propose a semi-automated framework for constructing cultural VLM benchmarks, specifically targeting multiple-choice QA. This framework combines human-VLM collaboration, "&amp;"where VLMs generate questions based on guidelines, a small set of annotated examples, and relevant knowledge, followed by a verification process by native speakers. We demonstrate the effectiveness of this framework through the creation of K-Viscuit, a da"&amp;"taset focused on Korean culture. Our experiments on this dataset reveal that open-source models lag behind proprietary ones in understanding Korean culture, highlighting key areas for improvement. We also present a series of further analyses, including hu"&amp;"man evaluation, augmenting VLMs with external knowledge, and the evaluation beyond multiple-choice QA. Our dataset is available at https://huggingface.co/datasets/ddehun/k-viscuit.")</f>
        <v>To create culturally inclusive vision-language models (VLMs), developing a benchmark that tests their ability to address culturally relevant questions is essential. Existing approaches typically rely on human annotators, making the process labor-intensive and creating a cognitive burden in generating diverse questions. To address this, we propose a semi-automated framework for constructing cultural VLM benchmarks, specifically targeting multiple-choice QA. This framework combines human-VLM collaboration, where VLMs generate questions based on guidelines, a small set of annotated examples, and relevant knowledge, followed by a verification process by native speakers. We demonstrate the effectiveness of this framework through the creation of K-Viscuit, a dataset focused on Korean culture. Our experiments on this dataset reveal that open-source models lag behind proprietary ones in understanding Korean culture, highlighting key areas for improvement. We also present a series of further analyses, including human evaluation, augmenting VLMs with external knowledge, and the evaluation beyond multiple-choice QA. Our dataset is available at https://huggingface.co/datasets/ddehun/k-viscuit.</v>
      </c>
      <c r="D2705" s="7" t="str">
        <f>IFERROR(__xludf.DUMMYFUNCTION("""COMPUTED_VALUE"""),"ChaeHun Park")</f>
        <v>ChaeHun Park</v>
      </c>
      <c r="E2705" s="7" t="str">
        <f>IFERROR(__xludf.DUMMYFUNCTION("""COMPUTED_VALUE"""),"Yes")</f>
        <v>Yes</v>
      </c>
      <c r="F2705" s="7" t="str">
        <f>IFERROR(__xludf.DUMMYFUNCTION("""COMPUTED_VALUE"""),"V-Presentation")</f>
        <v>V-Presentation</v>
      </c>
      <c r="G2705" s="7" t="str">
        <f>IFERROR(__xludf.DUMMYFUNCTION("""COMPUTED_VALUE"""),"Virtual/Gather")</f>
        <v>Virtual/Gather</v>
      </c>
      <c r="H2705" s="7" t="str">
        <f>IFERROR(__xludf.DUMMYFUNCTION("""COMPUTED_VALUE"""),"Zoom")</f>
        <v>Zoom</v>
      </c>
      <c r="I2705" s="7" t="str">
        <f>IFERROR(__xludf.DUMMYFUNCTION("""COMPUTED_VALUE"""),"Session 10: V-Presenations")</f>
        <v>Session 10: V-Presenations</v>
      </c>
      <c r="J2705" s="7" t="str">
        <f>IFERROR(__xludf.DUMMYFUNCTION("""COMPUTED_VALUE"""),"Virtual Presentations 3")</f>
        <v>Virtual Presentations 3</v>
      </c>
      <c r="K2705" s="7"/>
      <c r="L2705" s="8">
        <f>IFERROR(__xludf.DUMMYFUNCTION("""COMPUTED_VALUE"""),45867.0)</f>
        <v>45867</v>
      </c>
      <c r="M2705" s="7" t="str">
        <f>IFERROR(__xludf.DUMMYFUNCTION("""COMPUTED_VALUE"""),"16:00-17:30")</f>
        <v>16:00-17:30</v>
      </c>
      <c r="N2705" s="7"/>
    </row>
    <row r="2706">
      <c r="A2706" s="7" t="str">
        <f>IFERROR(__xludf.DUMMYFUNCTION("""COMPUTED_VALUE"""),"2876-MAIN")</f>
        <v>2876-MAIN</v>
      </c>
      <c r="B2706" s="7" t="str">
        <f>IFERROR(__xludf.DUMMYFUNCTION("""COMPUTED_VALUE"""),"Maximizing the Effectiveness of Larger BERT Models for Compression")</f>
        <v>Maximizing the Effectiveness of Larger BERT Models for Compression</v>
      </c>
      <c r="C2706" s="7" t="str">
        <f>IFERROR(__xludf.DUMMYFUNCTION("""COMPUTED_VALUE"""),"Knowledge distillation (KD) is a widely used approach for BERT compression, where a larger BERT model serves as a teacher to transfer knowledge to a smaller student model. Prior works have found that distilling a larger BERT with superior performance may "&amp;"degrade student's performance than a smaller BERT. In this paper, we investigate the limitations of existing KD methods for larger BERT models. Through Canonical Correlation Analysis, we identify that these methods fail to fully exploit the potential adva"&amp;"ntages of larger teachers. To address this, we propose an improved distillation approach that effectively enhances knowledge transfer. Comprehensive experiments demonstrate the effectiveness of our method in enabling larger BERT models to distill knowledg"&amp;"e more efficiently.")</f>
        <v>Knowledge distillation (KD) is a widely used approach for BERT compression, where a larger BERT model serves as a teacher to transfer knowledge to a smaller student model. Prior works have found that distilling a larger BERT with superior performance may degrade student's performance than a smaller BERT. In this paper, we investigate the limitations of existing KD methods for larger BERT models. Through Canonical Correlation Analysis, we identify that these methods fail to fully exploit the potential advantages of larger teachers. To address this, we propose an improved distillation approach that effectively enhances knowledge transfer. Comprehensive experiments demonstrate the effectiveness of our method in enabling larger BERT models to distill knowledge more efficiently.</v>
      </c>
      <c r="D2706" s="7" t="str">
        <f>IFERROR(__xludf.DUMMYFUNCTION("""COMPUTED_VALUE"""),"Wen-Shu Fan")</f>
        <v>Wen-Shu Fan</v>
      </c>
      <c r="E2706" s="7" t="str">
        <f>IFERROR(__xludf.DUMMYFUNCTION("""COMPUTED_VALUE"""),"Yes")</f>
        <v>Yes</v>
      </c>
      <c r="F2706" s="7" t="str">
        <f>IFERROR(__xludf.DUMMYFUNCTION("""COMPUTED_VALUE"""),"IP-Poster")</f>
        <v>IP-Poster</v>
      </c>
      <c r="G2706" s="7" t="str">
        <f>IFERROR(__xludf.DUMMYFUNCTION("""COMPUTED_VALUE"""),"In-Person")</f>
        <v>In-Person</v>
      </c>
      <c r="H2706" s="7" t="str">
        <f>IFERROR(__xludf.DUMMYFUNCTION("""COMPUTED_VALUE"""),"Hall 4/5")</f>
        <v>Hall 4/5</v>
      </c>
      <c r="I2706" s="7" t="str">
        <f>IFERROR(__xludf.DUMMYFUNCTION("""COMPUTED_VALUE"""),"Session 2: IP-Posters ")</f>
        <v>Session 2: IP-Posters </v>
      </c>
      <c r="J2706" s="7" t="str">
        <f>IFERROR(__xludf.DUMMYFUNCTION("""COMPUTED_VALUE"""),"Poster Session 1")</f>
        <v>Poster Session 1</v>
      </c>
      <c r="K2706" s="7"/>
      <c r="L2706" s="8">
        <f>IFERROR(__xludf.DUMMYFUNCTION("""COMPUTED_VALUE"""),45866.0)</f>
        <v>45866</v>
      </c>
      <c r="M2706" s="7" t="str">
        <f>IFERROR(__xludf.DUMMYFUNCTION("""COMPUTED_VALUE"""),"11:00-12:30")</f>
        <v>11:00-12:30</v>
      </c>
      <c r="N2706" s="7"/>
    </row>
    <row r="2707">
      <c r="A2707" s="7" t="str">
        <f>IFERROR(__xludf.DUMMYFUNCTION("""COMPUTED_VALUE"""),"2878-MAIN")</f>
        <v>2878-MAIN</v>
      </c>
      <c r="B2707" s="7" t="str">
        <f>IFERROR(__xludf.DUMMYFUNCTION("""COMPUTED_VALUE"""),"Can LLMs Reason About Program Semantics? A Comprehensive Evaluation of LLMs on Formal Specification Inference")</f>
        <v>Can LLMs Reason About Program Semantics? A Comprehensive Evaluation of LLMs on Formal Specification Inference</v>
      </c>
      <c r="C2707" s="7" t="str">
        <f>IFERROR(__xludf.DUMMYFUNCTION("""COMPUTED_VALUE"""),"Large Language Models (LLMs) are increasingly being used to automate programming tasks. However, the capabilities of LLMs in reasoning about program semantics are still inadequately studied, leaving substantial potential for further exploration. This pape"&amp;"r introduces FormalBench, a comprehensive benchmark designed to evaluate the reasoning abilities of Large Language Models (LLMs) on program semantics. Specifically, it utilizes the task of synthesizing formal program specifications as a proxy measure for "&amp;"assessing the semantic reasoning of LLMs. This task requires both comprehensive reasoning over all possible program executions and the generation of precise, syntactically correct expressions that adhere to formal syntax and semantics. Using this benchmar"&amp;"k, we evaluated the ability of LLMs to synthesize consistent and complete specifications. Our findings show that LLMs perform well with simple control flows but struggle with more complex structures, especially loops, even with advanced prompting. Additio"&amp;"nally, LLMs exhibit limited robustness against semantic-preserving transformations. We also highlight common failure patterns and design self-repair prompts, improving success rates by 25%. FormalBench is packaged as an executable library and has been rel"&amp;"eased at https://github.com/thanhlecongg/FormalBench/.")</f>
        <v>Large Language Models (LLMs) are increasingly being used to automate programming tasks. However, the capabilities of LLMs in reasoning about program semantics are still inadequately studied, leaving substantial potential for further exploration. This paper introduces FormalBench, a comprehensive benchmark designed to evaluate the reasoning abilities of Large Language Models (LLMs) on program semantics. Specifically, it utilizes the task of synthesizing formal program specifications as a proxy measure for assessing the semantic reasoning of LLMs. This task requires both comprehensive reasoning over all possible program executions and the generation of precise, syntactically correct expressions that adhere to formal syntax and semantics. Using this benchmark, we evaluated the ability of LLMs to synthesize consistent and complete specifications. Our findings show that LLMs perform well with simple control flows but struggle with more complex structures, especially loops, even with advanced prompting. Additionally, LLMs exhibit limited robustness against semantic-preserving transformations. We also highlight common failure patterns and design self-repair prompts, improving success rates by 25%. FormalBench is packaged as an executable library and has been released at https://github.com/thanhlecongg/FormalBench/.</v>
      </c>
      <c r="D2707" s="7" t="str">
        <f>IFERROR(__xludf.DUMMYFUNCTION("""COMPUTED_VALUE"""),"Thanh Le-Cong")</f>
        <v>Thanh Le-Cong</v>
      </c>
      <c r="E2707" s="7" t="str">
        <f>IFERROR(__xludf.DUMMYFUNCTION("""COMPUTED_VALUE"""),"Yes")</f>
        <v>Yes</v>
      </c>
      <c r="F2707" s="7" t="str">
        <f>IFERROR(__xludf.DUMMYFUNCTION("""COMPUTED_VALUE"""),"IP-Poster")</f>
        <v>IP-Poster</v>
      </c>
      <c r="G2707" s="7" t="str">
        <f>IFERROR(__xludf.DUMMYFUNCTION("""COMPUTED_VALUE"""),"In-Person")</f>
        <v>In-Person</v>
      </c>
      <c r="H2707" s="7" t="str">
        <f>IFERROR(__xludf.DUMMYFUNCTION("""COMPUTED_VALUE"""),"Hall 4/5")</f>
        <v>Hall 4/5</v>
      </c>
      <c r="I2707" s="7" t="str">
        <f>IFERROR(__xludf.DUMMYFUNCTION("""COMPUTED_VALUE"""),"Session 7: IP-Posters")</f>
        <v>Session 7: IP-Posters</v>
      </c>
      <c r="J2707" s="7" t="str">
        <f>IFERROR(__xludf.DUMMYFUNCTION("""COMPUTED_VALUE"""),"Poster Session 2")</f>
        <v>Poster Session 2</v>
      </c>
      <c r="K2707" s="7"/>
      <c r="L2707" s="8">
        <f>IFERROR(__xludf.DUMMYFUNCTION("""COMPUTED_VALUE"""),45867.0)</f>
        <v>45867</v>
      </c>
      <c r="M2707" s="7" t="str">
        <f>IFERROR(__xludf.DUMMYFUNCTION("""COMPUTED_VALUE"""),"10:30-12:00")</f>
        <v>10:30-12:00</v>
      </c>
      <c r="N2707" s="7"/>
    </row>
    <row r="2708">
      <c r="A2708" s="7" t="str">
        <f>IFERROR(__xludf.DUMMYFUNCTION("""COMPUTED_VALUE"""),"2879-MAIN")</f>
        <v>2879-MAIN</v>
      </c>
      <c r="B2708" s="7" t="str">
        <f>IFERROR(__xludf.DUMMYFUNCTION("""COMPUTED_VALUE"""),"HACo-Det: A Study Towards Fine-Grained Machine-Generated Text Detection under Human-AI Coauthoring")</f>
        <v>HACo-Det: A Study Towards Fine-Grained Machine-Generated Text Detection under Human-AI Coauthoring</v>
      </c>
      <c r="C2708" s="7" t="str">
        <f>IFERROR(__xludf.DUMMYFUNCTION("""COMPUTED_VALUE"""),"The misuse of large language models (LLMs) poses potential risks, motivating the development of machine-generated text (MGT) detection. Existing literature primarily concentrates on binary, document-level detection, thereby neglecting texts that are compo"&amp;"sed jointly by human and LLM contributions. Hence, this paper explores the possibility of fine-grained MGT detection under human-AI coauthoring.
We suggest fine-grained detectors can pave pathways toward coauthored text detection with a numeric AI ratio.
"&amp;"Specifically, we propose a dataset, HACo-Det, which produces human-AI coauthored texts via an automatic pipeline with word-level attribution labels. We retrofit seven prevailing document-level detectors to generalize them to word-level detection.
Then we "&amp;"evaluate these detectors on HACo-Det on both word- and sentence-level detection tasks.
Empirical results show that metric-based methods struggle to conduct fine-grained detection with a 0.462 average F1 score, while finetuned models show superior performa"&amp;"nce and better generalization across domains. However, we argue that fine-grained co-authored text detection is far from solved.
We further analyze factors influencing performance, e.g., context window, and highlight the limitations of current methods, po"&amp;"inting to potential avenues for improvement.")</f>
        <v>The misuse of large language models (LLMs) poses potential risks, motivating the development of machine-generated text (MGT) detection. Existing literature primarily concentrates on binary, document-level detection, thereby neglecting texts that are composed jointly by human and LLM contributions. Hence, this paper explores the possibility of fine-grained MGT detection under human-AI coauthoring.
We suggest fine-grained detectors can pave pathways toward coauthored text detection with a numeric AI ratio.
Specifically, we propose a dataset, HACo-Det, which produces human-AI coauthored texts via an automatic pipeline with word-level attribution labels. We retrofit seven prevailing document-level detectors to generalize them to word-level detection.
Then we evaluate these detectors on HACo-Det on both word- and sentence-level detection tasks.
Empirical results show that metric-based methods struggle to conduct fine-grained detection with a 0.462 average F1 score, while finetuned models show superior performance and better generalization across domains. However, we argue that fine-grained co-authored text detection is far from solved.
We further analyze factors influencing performance, e.g., context window, and highlight the limitations of current methods, pointing to potential avenues for improvement.</v>
      </c>
      <c r="D2708" s="7" t="str">
        <f>IFERROR(__xludf.DUMMYFUNCTION("""COMPUTED_VALUE"""),"Zhixiong Su")</f>
        <v>Zhixiong Su</v>
      </c>
      <c r="E2708" s="7" t="str">
        <f>IFERROR(__xludf.DUMMYFUNCTION("""COMPUTED_VALUE"""),"Yes")</f>
        <v>Yes</v>
      </c>
      <c r="F2708" s="7" t="str">
        <f>IFERROR(__xludf.DUMMYFUNCTION("""COMPUTED_VALUE"""),"IP-Poster")</f>
        <v>IP-Poster</v>
      </c>
      <c r="G2708" s="7" t="str">
        <f>IFERROR(__xludf.DUMMYFUNCTION("""COMPUTED_VALUE"""),"In-Person")</f>
        <v>In-Person</v>
      </c>
      <c r="H2708" s="7" t="str">
        <f>IFERROR(__xludf.DUMMYFUNCTION("""COMPUTED_VALUE"""),"Hall 4/5")</f>
        <v>Hall 4/5</v>
      </c>
      <c r="I2708" s="7" t="str">
        <f>IFERROR(__xludf.DUMMYFUNCTION("""COMPUTED_VALUE"""),"Session 12: IP-Posters")</f>
        <v>Session 12: IP-Posters</v>
      </c>
      <c r="J2708" s="7" t="str">
        <f>IFERROR(__xludf.DUMMYFUNCTION("""COMPUTED_VALUE"""),"Poster Session 4")</f>
        <v>Poster Session 4</v>
      </c>
      <c r="K2708" s="7"/>
      <c r="L2708" s="8">
        <f>IFERROR(__xludf.DUMMYFUNCTION("""COMPUTED_VALUE"""),45868.0)</f>
        <v>45868</v>
      </c>
      <c r="M2708" s="7" t="str">
        <f>IFERROR(__xludf.DUMMYFUNCTION("""COMPUTED_VALUE"""),"11:00-12:30")</f>
        <v>11:00-12:30</v>
      </c>
      <c r="N2708" s="7"/>
    </row>
    <row r="2709">
      <c r="A2709" s="7" t="str">
        <f>IFERROR(__xludf.DUMMYFUNCTION("""COMPUTED_VALUE"""),"2880-MAIN")</f>
        <v>2880-MAIN</v>
      </c>
      <c r="B2709" s="7" t="str">
        <f>IFERROR(__xludf.DUMMYFUNCTION("""COMPUTED_VALUE"""),"IndicSynth: A Large-Scale Multilingual Synthetic Speech Dataset for Low-Resource Indian Languages")</f>
        <v>IndicSynth: A Large-Scale Multilingual Synthetic Speech Dataset for Low-Resource Indian Languages</v>
      </c>
      <c r="C2709" s="7" t="str">
        <f>IFERROR(__xludf.DUMMYFUNCTION("""COMPUTED_VALUE"""),"Recent advances in synthetic speech generation technology have facilitated the generation of high-quality synthetic (fake) speech that emulates human voices. These technologies pose a threat of misuse for identity theft and the spread of misinformation. C"&amp;"onsequently, the misuse of such powerful technologies necessitates the development of robust and generalizable audio deepfake detection (ADD) and anti-spoofing models. However, such models are often linguistically biased. Consequently, the models trained "&amp;"on datasets in one language exhibit a low accuracy when evaluated on out-of-domain languages. Such biases reduce the usability of these models and highlight the urgent need for multilingual synthetic speech datasets for bias mitigation research. However, "&amp;"most available datasets are in English or Chinese. The dearth of multilingual synthetic datasets hinders multilingual ADD and anti-spoofing research. Furthermore, the problem intensifies in countries with rich linguistic diversity, such as India. Therefor"&amp;"e, we introduce IndicSynth, which contains 4,000 hours of synthetic speech from 989 target speakers, including 456 females and 533 males for 12 low-resourced Indian languages. The dataset includes rich metadata covering gender details and target speaker i"&amp;"dentifiers. Experimental results demonstrate that IndicSynth is a valuable contribution to multilingual ADD and anti-spoofing research. The dataset can be accessed from https://github.com/vdivyas/IndicSynth.")</f>
        <v>Recent advances in synthetic speech generation technology have facilitated the generation of high-quality synthetic (fake) speech that emulates human voices. These technologies pose a threat of misuse for identity theft and the spread of misinformation. Consequently, the misuse of such powerful technologies necessitates the development of robust and generalizable audio deepfake detection (ADD) and anti-spoofing models. However, such models are often linguistically biased. Consequently, the models trained on datasets in one language exhibit a low accuracy when evaluated on out-of-domain languages. Such biases reduce the usability of these models and highlight the urgent need for multilingual synthetic speech datasets for bias mitigation research. However, most available datasets are in English or Chinese. The dearth of multilingual synthetic datasets hinders multilingual ADD and anti-spoofing research. Furthermore, the problem intensifies in countries with rich linguistic diversity, such as India. Therefore, we introduce IndicSynth, which contains 4,000 hours of synthetic speech from 989 target speakers, including 456 females and 533 males for 12 low-resourced Indian languages. The dataset includes rich metadata covering gender details and target speaker identifiers. Experimental results demonstrate that IndicSynth is a valuable contribution to multilingual ADD and anti-spoofing research. The dataset can be accessed from https://github.com/vdivyas/IndicSynth.</v>
      </c>
      <c r="D2709" s="7" t="str">
        <f>IFERROR(__xludf.DUMMYFUNCTION("""COMPUTED_VALUE"""),"Divya V. Sharma")</f>
        <v>Divya V. Sharma</v>
      </c>
      <c r="E2709" s="7" t="str">
        <f>IFERROR(__xludf.DUMMYFUNCTION("""COMPUTED_VALUE"""),"Yes")</f>
        <v>Yes</v>
      </c>
      <c r="F2709" s="7" t="str">
        <f>IFERROR(__xludf.DUMMYFUNCTION("""COMPUTED_VALUE"""),"IP-Poster")</f>
        <v>IP-Poster</v>
      </c>
      <c r="G2709" s="7" t="str">
        <f>IFERROR(__xludf.DUMMYFUNCTION("""COMPUTED_VALUE"""),"In-Person")</f>
        <v>In-Person</v>
      </c>
      <c r="H2709" s="7" t="str">
        <f>IFERROR(__xludf.DUMMYFUNCTION("""COMPUTED_VALUE"""),"Hall 4/5")</f>
        <v>Hall 4/5</v>
      </c>
      <c r="I2709" s="7" t="str">
        <f>IFERROR(__xludf.DUMMYFUNCTION("""COMPUTED_VALUE"""),"Session 2: IP-Posters ")</f>
        <v>Session 2: IP-Posters </v>
      </c>
      <c r="J2709" s="7" t="str">
        <f>IFERROR(__xludf.DUMMYFUNCTION("""COMPUTED_VALUE"""),"Poster Session 1")</f>
        <v>Poster Session 1</v>
      </c>
      <c r="K2709" s="7"/>
      <c r="L2709" s="8">
        <f>IFERROR(__xludf.DUMMYFUNCTION("""COMPUTED_VALUE"""),45866.0)</f>
        <v>45866</v>
      </c>
      <c r="M2709" s="7" t="str">
        <f>IFERROR(__xludf.DUMMYFUNCTION("""COMPUTED_VALUE"""),"11:00-12:30")</f>
        <v>11:00-12:30</v>
      </c>
      <c r="N2709" s="7"/>
    </row>
    <row r="2710">
      <c r="A2710" s="7" t="str">
        <f>IFERROR(__xludf.DUMMYFUNCTION("""COMPUTED_VALUE"""),"2881-MAIN")</f>
        <v>2881-MAIN</v>
      </c>
      <c r="B2710" s="7" t="str">
        <f>IFERROR(__xludf.DUMMYFUNCTION("""COMPUTED_VALUE"""),"Reinforced IR: A Dual Reinforcement Framework For Domain-Adapted Information Retrieval")</f>
        <v>Reinforced IR: A Dual Reinforcement Framework For Domain-Adapted Information Retrieval</v>
      </c>
      <c r="C2710" s="7" t="str">
        <f>IFERROR(__xludf.DUMMYFUNCTION("""COMPUTED_VALUE"""),"While retrieval techniques are widely used in practice, they still face significant challenges in cross-domain scenarios. Recently, generation-augmented methods have emerged as a promising solution to this problem. These methods enhance raw queries by inc"&amp;"orporating additional information from an LLM-based generator, facilitating more direct retrieval of relevant documents.  However, existing methods struggle with highly specialized situations that require extensive domain expertise. To address this proble"&amp;"m, we present \textbf{Reinforced-IR}, a novel approach that jointly adapts a pre-trained retriever and generator for precise cross-domain retrieval. A key innovation of Reinforced-IR is its \textbf{Self-Boosting} framework, which enables retriever and gen"&amp;"erator to learn from each other's feedback. Specifically, the generator is reinforced to generate query augmentations that enhance the retriever's performance, while the retriever is trained to better discriminate the relevant documents identified by the "&amp;"generator. This iterative process allows the end-to-end retrieval performance to be progressively optimized using an unlabeled corpus from the target domain. In our experiment, Reinforced-IR outperforms existing domain adaptation methods by a large margin"&amp;", leading to substantial improvements in retrieval quality across a wide range of application scenarios.
We have publicly released our code at this \href{https://github.com/FlagOpen/FlagEmbedding/tree/master/research/Reinforced_IR}{repo}.")</f>
        <v>While retrieval techniques are widely used in practice, they still face significant challenges in cross-domain scenarios. Recently, generation-augmented methods have emerged as a promising solution to this problem. These methods enhance raw queries by incorporating additional information from an LLM-based generator, facilitating more direct retrieval of relevant documents.  However, existing methods struggle with highly specialized situations that require extensive domain expertise. To address this problem, we present \textbf{Reinforced-IR}, a novel approach that jointly adapts a pre-trained retriever and generator for precise cross-domain retrieval. A key innovation of Reinforced-IR is its \textbf{Self-Boosting} framework, which enables retriever and generator to learn from each other's feedback. Specifically, the generator is reinforced to generate query augmentations that enhance the retriever's performance, while the retriever is trained to better discriminate the relevant documents identified by the generator. This iterative process allows the end-to-end retrieval performance to be progressively optimized using an unlabeled corpus from the target domain. In our experiment, Reinforced-IR outperforms existing domain adaptation methods by a large margin, leading to substantial improvements in retrieval quality across a wide range of application scenarios.
We have publicly released our code at this \href{https://github.com/FlagOpen/FlagEmbedding/tree/master/research/Reinforced_IR}{repo}.</v>
      </c>
      <c r="D2710" s="7" t="str">
        <f>IFERROR(__xludf.DUMMYFUNCTION("""COMPUTED_VALUE"""),"Chaofan Li")</f>
        <v>Chaofan Li</v>
      </c>
      <c r="E2710" s="7" t="str">
        <f>IFERROR(__xludf.DUMMYFUNCTION("""COMPUTED_VALUE"""),"Yes")</f>
        <v>Yes</v>
      </c>
      <c r="F2710" s="7" t="str">
        <f>IFERROR(__xludf.DUMMYFUNCTION("""COMPUTED_VALUE"""),"IP-Oral")</f>
        <v>IP-Oral</v>
      </c>
      <c r="G2710" s="7" t="str">
        <f>IFERROR(__xludf.DUMMYFUNCTION("""COMPUTED_VALUE"""),"In-Person")</f>
        <v>In-Person</v>
      </c>
      <c r="H2710" s="7" t="str">
        <f>IFERROR(__xludf.DUMMYFUNCTION("""COMPUTED_VALUE"""),"Hall N.1")</f>
        <v>Hall N.1</v>
      </c>
      <c r="I2710" s="7" t="str">
        <f>IFERROR(__xludf.DUMMYFUNCTION("""COMPUTED_VALUE"""),"Session 3: IP-Orals")</f>
        <v>Session 3: IP-Orals</v>
      </c>
      <c r="J2710" s="7" t="str">
        <f>IFERROR(__xludf.DUMMYFUNCTION("""COMPUTED_VALUE"""),"Information Retrieval and Text Mining")</f>
        <v>Information Retrieval and Text Mining</v>
      </c>
      <c r="K2710" s="7"/>
      <c r="L2710" s="8">
        <f>IFERROR(__xludf.DUMMYFUNCTION("""COMPUTED_VALUE"""),45866.0)</f>
        <v>45866</v>
      </c>
      <c r="M2710" s="7" t="str">
        <f>IFERROR(__xludf.DUMMYFUNCTION("""COMPUTED_VALUE"""),"14:00-15:30")</f>
        <v>14:00-15:30</v>
      </c>
      <c r="N2710" s="7">
        <f>IFERROR(__xludf.DUMMYFUNCTION("""COMPUTED_VALUE"""),3.0)</f>
        <v>3</v>
      </c>
    </row>
    <row r="2711">
      <c r="A2711" s="7" t="str">
        <f>IFERROR(__xludf.DUMMYFUNCTION("""COMPUTED_VALUE"""),"2882-MAIN")</f>
        <v>2882-MAIN</v>
      </c>
      <c r="B2711" s="7" t="str">
        <f>IFERROR(__xludf.DUMMYFUNCTION("""COMPUTED_VALUE"""),"CoIR: A Comprehensive Benchmark for Code Information Retrieval Models")</f>
        <v>CoIR: A Comprehensive Benchmark for Code Information Retrieval Models</v>
      </c>
      <c r="C2711" s="7" t="str">
        <f>IFERROR(__xludf.DUMMYFUNCTION("""COMPUTED_VALUE"""),"Despite the substantial success of Information Retrieval (IR) in various NLP tasks, most IR systems predominantly handle queries and corpora in natural language, neglecting the domain of code retrieval. Code retrieval is critically important yet remains u"&amp;"nder-explored, with existing methods and benchmarks inadequately representing the diversity of code in various domains and tasks. Moreover, many models have begun to overfit existing leaderboards, limiting their generalizability and real-world applicabili"&amp;"ty. Addressing this gap, we present CoIR (**Co**de **I**nformation **R**etrieval Benchmark), a robust and comprehensive benchmark specifically designed to assess code retrieval capabilities. CoIR comprises ten meticulously curated code datasets, spanning "&amp;"eight distinctive retrieval tasks across seven diverse domains. We first discuss the construction of CoIR and its diverse dataset composition. Further, we evaluate ten widely used retrieval models using CoIR, uncovering significant difficulties in perform"&amp;"ing code retrieval tasks even with state-of-the-art systems. CoIR also introduces a simple yet effective python framework, which additionally defines various advanced modes to facilitate researchers in evaluating their models. It shares the same data sche"&amp;"ma as other popular benchmarks like MTEB and BEIR, enabling seamless cross-benchmark evaluations. Through CoIR, we aim to invigorate research in the code retrieval domain, providing a versatile benchmarking tool that encourages further development and exp"&amp;"loration of code retrieval systems.")</f>
        <v>Despite the substantial success of Information Retrieval (IR) in various NLP tasks, most IR systems predominantly handle queries and corpora in natural language, neglecting the domain of code retrieval. Code retrieval is critically important yet remains under-explored, with existing methods and benchmarks inadequately representing the diversity of code in various domains and tasks. Moreover, many models have begun to overfit existing leaderboards, limiting their generalizability and real-world applicability. Addressing this gap, we present CoIR (**Co**de **I**nformation **R**etrieval Benchmark), a robust and comprehensive benchmark specifically designed to assess code retrieval capabilities. CoIR comprises ten meticulously curated code datasets, spanning eight distinctive retrieval tasks across seven diverse domains. We first discuss the construction of CoIR and its diverse dataset composition. Further, we evaluate ten widely used retrieval models using CoIR, uncovering significant difficulties in performing code retrieval tasks even with state-of-the-art systems. CoIR also introduces a simple yet effective python framework, which additionally defines various advanced modes to facilitate researchers in evaluating their models. It shares the same data schema as other popular benchmarks like MTEB and BEIR, enabling seamless cross-benchmark evaluations. Through CoIR, we aim to invigorate research in the code retrieval domain, providing a versatile benchmarking tool that encourages further development and exploration of code retrieval systems.</v>
      </c>
      <c r="D2711" s="7" t="str">
        <f>IFERROR(__xludf.DUMMYFUNCTION("""COMPUTED_VALUE"""),"Xiangyang Li")</f>
        <v>Xiangyang Li</v>
      </c>
      <c r="E2711" s="7" t="str">
        <f>IFERROR(__xludf.DUMMYFUNCTION("""COMPUTED_VALUE"""),"Yes")</f>
        <v>Yes</v>
      </c>
      <c r="F2711" s="7" t="str">
        <f>IFERROR(__xludf.DUMMYFUNCTION("""COMPUTED_VALUE"""),"IP-Poster")</f>
        <v>IP-Poster</v>
      </c>
      <c r="G2711" s="7" t="str">
        <f>IFERROR(__xludf.DUMMYFUNCTION("""COMPUTED_VALUE"""),"In-Person")</f>
        <v>In-Person</v>
      </c>
      <c r="H2711" s="7" t="str">
        <f>IFERROR(__xludf.DUMMYFUNCTION("""COMPUTED_VALUE"""),"Hall 4/5")</f>
        <v>Hall 4/5</v>
      </c>
      <c r="I2711" s="7" t="str">
        <f>IFERROR(__xludf.DUMMYFUNCTION("""COMPUTED_VALUE"""),"Session 12: IP-Posters")</f>
        <v>Session 12: IP-Posters</v>
      </c>
      <c r="J2711" s="7" t="str">
        <f>IFERROR(__xludf.DUMMYFUNCTION("""COMPUTED_VALUE"""),"Poster Session 4")</f>
        <v>Poster Session 4</v>
      </c>
      <c r="K2711" s="7"/>
      <c r="L2711" s="8">
        <f>IFERROR(__xludf.DUMMYFUNCTION("""COMPUTED_VALUE"""),45868.0)</f>
        <v>45868</v>
      </c>
      <c r="M2711" s="7" t="str">
        <f>IFERROR(__xludf.DUMMYFUNCTION("""COMPUTED_VALUE"""),"11:00-12:30")</f>
        <v>11:00-12:30</v>
      </c>
      <c r="N2711" s="7"/>
    </row>
    <row r="2712">
      <c r="A2712" s="7" t="str">
        <f>IFERROR(__xludf.DUMMYFUNCTION("""COMPUTED_VALUE"""),"2885-MAIN")</f>
        <v>2885-MAIN</v>
      </c>
      <c r="B2712" s="7" t="str">
        <f>IFERROR(__xludf.DUMMYFUNCTION("""COMPUTED_VALUE"""),"Enhancing Multimodal Retrieval via Complementary Information Extraction and Alignment")</f>
        <v>Enhancing Multimodal Retrieval via Complementary Information Extraction and Alignment</v>
      </c>
      <c r="C2712" s="7" t="str">
        <f>IFERROR(__xludf.DUMMYFUNCTION("""COMPUTED_VALUE"""),"Multimodal retrieval has emerged as a promising yet challenging research direction in recent years. Most existing studies in multimodal retrieval focus on capturing information in multimodal data that is similar to their paired texts, but often ignores th"&amp;"e complementary information contained in multimodal data. In this study, we propose CIEA, a novel multimodal retrieval approach that employs Complementary Information Extraction and Alignment, which transforms both text and images in documents into a unif"&amp;"ied latent space and features a complementary information extractor designed to identify and preserve differences in the image representations. We optimize CIEA using two complementary contrastive losses to ensure semantic integrity and effectively captur"&amp;"e the complementary information contained in images. Extensive experiments demonstrate the effectiveness of CIEA, which achieves significant improvements over both divide-and-conquer models and universal dense retrieval models. We provide an ablation stud"&amp;"y, further discussions, and case studies to highlight the advancements achieved by CIEA. To promote further research in the community, we have released the source code at https://github.com/zengdlong/CIEA.")</f>
        <v>Multimodal retrieval has emerged as a promising yet challenging research direction in recent years. Most existing studies in multimodal retrieval focus on capturing information in multimodal data that is similar to their paired texts, but often ignores the complementary information contained in multimodal data. In this study, we propose CIEA, a novel multimodal retrieval approach that employs Complementary Information Extraction and Alignment, which transforms both text and images in documents into a unified latent space and features a complementary information extractor designed to identify and preserve differences in the image representations. We optimize CIEA using two complementary contrastive losses to ensure semantic integrity and effectively capture the complementary information contained in images. Extensive experiments demonstrate the effectiveness of CIEA, which achieves significant improvements over both divide-and-conquer models and universal dense retrieval models. We provide an ablation study, further discussions, and case studies to highlight the advancements achieved by CIEA. To promote further research in the community, we have released the source code at https://github.com/zengdlong/CIEA.</v>
      </c>
      <c r="D2712" s="7" t="str">
        <f>IFERROR(__xludf.DUMMYFUNCTION("""COMPUTED_VALUE"""),"Delong Zeng")</f>
        <v>Delong Zeng</v>
      </c>
      <c r="E2712" s="7" t="str">
        <f>IFERROR(__xludf.DUMMYFUNCTION("""COMPUTED_VALUE"""),"Yes")</f>
        <v>Yes</v>
      </c>
      <c r="F2712" s="7" t="str">
        <f>IFERROR(__xludf.DUMMYFUNCTION("""COMPUTED_VALUE"""),"IP-Poster")</f>
        <v>IP-Poster</v>
      </c>
      <c r="G2712" s="7" t="str">
        <f>IFERROR(__xludf.DUMMYFUNCTION("""COMPUTED_VALUE"""),"In-Person")</f>
        <v>In-Person</v>
      </c>
      <c r="H2712" s="7" t="str">
        <f>IFERROR(__xludf.DUMMYFUNCTION("""COMPUTED_VALUE"""),"Hall 4/5")</f>
        <v>Hall 4/5</v>
      </c>
      <c r="I2712" s="7" t="str">
        <f>IFERROR(__xludf.DUMMYFUNCTION("""COMPUTED_VALUE"""),"Session 2: IP-Posters ")</f>
        <v>Session 2: IP-Posters </v>
      </c>
      <c r="J2712" s="7" t="str">
        <f>IFERROR(__xludf.DUMMYFUNCTION("""COMPUTED_VALUE"""),"Poster Session 1")</f>
        <v>Poster Session 1</v>
      </c>
      <c r="K2712" s="7"/>
      <c r="L2712" s="8">
        <f>IFERROR(__xludf.DUMMYFUNCTION("""COMPUTED_VALUE"""),45866.0)</f>
        <v>45866</v>
      </c>
      <c r="M2712" s="7" t="str">
        <f>IFERROR(__xludf.DUMMYFUNCTION("""COMPUTED_VALUE"""),"11:00-12:30")</f>
        <v>11:00-12:30</v>
      </c>
      <c r="N2712" s="7"/>
    </row>
    <row r="2713">
      <c r="A2713" s="7" t="str">
        <f>IFERROR(__xludf.DUMMYFUNCTION("""COMPUTED_VALUE"""),"2903-MAIN")</f>
        <v>2903-MAIN</v>
      </c>
      <c r="B2713" s="7" t="str">
        <f>IFERROR(__xludf.DUMMYFUNCTION("""COMPUTED_VALUE"""),"JoPA: Explaining Large Language Model's Generation via Joint Prompt Attribution")</f>
        <v>JoPA: Explaining Large Language Model's Generation via Joint Prompt Attribution</v>
      </c>
      <c r="C2713" s="7" t="str">
        <f>IFERROR(__xludf.DUMMYFUNCTION("""COMPUTED_VALUE"""),"Large Language Models (LLMs) have demonstrated impressive performances in complex text generation tasks. However, the contribution of the input prompt to the generated content still remains obscure to humans, underscoring the necessity of understanding th"&amp;"e causality between input and output pairs. Existing works for providing prompt-specific explanation often confine model output to be classification or next-word prediction. Few initial attempts aiming to explain the entire language generation often treat"&amp;" input prompt texts independently, ignoring their combinatorial effects on the follow-up generation. In this study, we introduce a counterfactual explanation framework based on joint prompt attribution, JoPA, which aims to explain how a few prompt texts c"&amp;"ollaboratively influences the LLM's complete generation. Particularly, we formulate the task of prompt attribution for generation interpretation as a combinatorial optimization problem, and introduce a probabilistic algorithm to search for the casual inpu"&amp;"t combination in the discrete space. We define and utilize multiple metrics to evaluate the produced explanations, demonstrating both the faithfulness and efficiency of our framework.")</f>
        <v>Large Language Models (LLMs) have demonstrated impressive performances in complex text generation tasks. However, the contribution of the input prompt to the generated content still remains obscure to humans, underscoring the necessity of understanding the causality between input and output pairs. Existing works for providing prompt-specific explanation often confine model output to be classification or next-word prediction. Few initial attempts aiming to explain the entire language generation often treat input prompt texts independently, ignoring their combinatorial effects on the follow-up generation. In this study, we introduce a counterfactual explanation framework based on joint prompt attribution, JoPA, which aims to explain how a few prompt texts collaboratively influences the LLM's complete generation. Particularly, we formulate the task of prompt attribution for generation interpretation as a combinatorial optimization problem, and introduce a probabilistic algorithm to search for the casual input combination in the discrete space. We define and utilize multiple metrics to evaluate the produced explanations, demonstrating both the faithfulness and efficiency of our framework.</v>
      </c>
      <c r="D2713" s="7" t="str">
        <f>IFERROR(__xludf.DUMMYFUNCTION("""COMPUTED_VALUE"""),"Yurui Chang")</f>
        <v>Yurui Chang</v>
      </c>
      <c r="E2713" s="7" t="str">
        <f>IFERROR(__xludf.DUMMYFUNCTION("""COMPUTED_VALUE"""),"Yes")</f>
        <v>Yes</v>
      </c>
      <c r="F2713" s="7" t="str">
        <f>IFERROR(__xludf.DUMMYFUNCTION("""COMPUTED_VALUE"""),"V-Presentation")</f>
        <v>V-Presentation</v>
      </c>
      <c r="G2713" s="7" t="str">
        <f>IFERROR(__xludf.DUMMYFUNCTION("""COMPUTED_VALUE"""),"Virtual/Gather")</f>
        <v>Virtual/Gather</v>
      </c>
      <c r="H2713" s="7" t="str">
        <f>IFERROR(__xludf.DUMMYFUNCTION("""COMPUTED_VALUE"""),"Zoom")</f>
        <v>Zoom</v>
      </c>
      <c r="I2713" s="7" t="str">
        <f>IFERROR(__xludf.DUMMYFUNCTION("""COMPUTED_VALUE"""),"Session 2: V-Presentations")</f>
        <v>Session 2: V-Presentations</v>
      </c>
      <c r="J2713" s="7" t="str">
        <f>IFERROR(__xludf.DUMMYFUNCTION("""COMPUTED_VALUE"""),"Virtual Presentations 1")</f>
        <v>Virtual Presentations 1</v>
      </c>
      <c r="K2713" s="7"/>
      <c r="L2713" s="8">
        <f>IFERROR(__xludf.DUMMYFUNCTION("""COMPUTED_VALUE"""),45866.0)</f>
        <v>45866</v>
      </c>
      <c r="M2713" s="7" t="str">
        <f>IFERROR(__xludf.DUMMYFUNCTION("""COMPUTED_VALUE"""),"11:00-12:30")</f>
        <v>11:00-12:30</v>
      </c>
      <c r="N2713" s="7"/>
    </row>
    <row r="2714">
      <c r="A2714" s="7" t="str">
        <f>IFERROR(__xludf.DUMMYFUNCTION("""COMPUTED_VALUE"""),"2908-MAIN")</f>
        <v>2908-MAIN</v>
      </c>
      <c r="B2714" s="7" t="str">
        <f>IFERROR(__xludf.DUMMYFUNCTION("""COMPUTED_VALUE"""),"Proxy-Driven Robust Multimodal Sentiment Analysis with Incomplete Data")</f>
        <v>Proxy-Driven Robust Multimodal Sentiment Analysis with Incomplete Data</v>
      </c>
      <c r="C2714" s="7" t="str">
        <f>IFERROR(__xludf.DUMMYFUNCTION("""COMPUTED_VALUE"""),"Multimodal Sentiment Analysis (MSA) with incomplete data has gained significant attention recently. Existing studies focus on optimizing model structures to handle modality missingness, but models still face challenges in robustness when dealing with unce"&amp;"rtain missingness. To this end, we propose a data-centric robust multimodal sentiment analysis method, Proxy-Driven Robust Multimodal Fusion (P-RMF). First, we map unimodal data to the latent space of Gaussian distributions to capture core features and st"&amp;"ructure, thereby learn stable modality representation. Then, we combine the quantified inherent modality uncertainty to learn stable multimodal joint representation (i.e., proxy modality), which is further enhanced through multi-layer dynamic cross-modal "&amp;"injection to increase its diversity. Extensive experimental results show that P-RMF outperforms existing models in noise resistance and achieves state-of-the-art performance on multiple benchmark datasets. Code will be available at https://github.com/***/"&amp;"P-RMF.")</f>
        <v>Multimodal Sentiment Analysis (MSA) with incomplete data has gained significant attention recently. Existing studies focus on optimizing model structures to handle modality missingness, but models still face challenges in robustness when dealing with uncertain missingness. To this end, we propose a data-centric robust multimodal sentiment analysis method, Proxy-Driven Robust Multimodal Fusion (P-RMF). First, we map unimodal data to the latent space of Gaussian distributions to capture core features and structure, thereby learn stable modality representation. Then, we combine the quantified inherent modality uncertainty to learn stable multimodal joint representation (i.e., proxy modality), which is further enhanced through multi-layer dynamic cross-modal injection to increase its diversity. Extensive experimental results show that P-RMF outperforms existing models in noise resistance and achieves state-of-the-art performance on multiple benchmark datasets. Code will be available at https://github.com/***/P-RMF.</v>
      </c>
      <c r="D2714" s="7" t="str">
        <f>IFERROR(__xludf.DUMMYFUNCTION("""COMPUTED_VALUE"""),"Aoqiang Zhu")</f>
        <v>Aoqiang Zhu</v>
      </c>
      <c r="E2714" s="7" t="str">
        <f>IFERROR(__xludf.DUMMYFUNCTION("""COMPUTED_VALUE"""),"Yes")</f>
        <v>Yes</v>
      </c>
      <c r="F2714" s="7" t="str">
        <f>IFERROR(__xludf.DUMMYFUNCTION("""COMPUTED_VALUE"""),"V-Presentation")</f>
        <v>V-Presentation</v>
      </c>
      <c r="G2714" s="7" t="str">
        <f>IFERROR(__xludf.DUMMYFUNCTION("""COMPUTED_VALUE"""),"Virtual/Gather")</f>
        <v>Virtual/Gather</v>
      </c>
      <c r="H2714" s="7" t="str">
        <f>IFERROR(__xludf.DUMMYFUNCTION("""COMPUTED_VALUE"""),"Zoom")</f>
        <v>Zoom</v>
      </c>
      <c r="I2714" s="7" t="str">
        <f>IFERROR(__xludf.DUMMYFUNCTION("""COMPUTED_VALUE"""),"Session 12: V-Presentations")</f>
        <v>Session 12: V-Presentations</v>
      </c>
      <c r="J2714" s="7" t="str">
        <f>IFERROR(__xludf.DUMMYFUNCTION("""COMPUTED_VALUE"""),"Virtual Presentations 4")</f>
        <v>Virtual Presentations 4</v>
      </c>
      <c r="K2714" s="7"/>
      <c r="L2714" s="8">
        <f>IFERROR(__xludf.DUMMYFUNCTION("""COMPUTED_VALUE"""),45868.0)</f>
        <v>45868</v>
      </c>
      <c r="M2714" s="7" t="str">
        <f>IFERROR(__xludf.DUMMYFUNCTION("""COMPUTED_VALUE"""),"11:00-12:30")</f>
        <v>11:00-12:30</v>
      </c>
      <c r="N2714" s="7"/>
    </row>
    <row r="2715">
      <c r="A2715" s="7" t="str">
        <f>IFERROR(__xludf.DUMMYFUNCTION("""COMPUTED_VALUE"""),"2909-MAIN")</f>
        <v>2909-MAIN</v>
      </c>
      <c r="B2715" s="7" t="str">
        <f>IFERROR(__xludf.DUMMYFUNCTION("""COMPUTED_VALUE"""),"Not All Terms Matter: Recall-Oriented Adaptive Learning for PLM-aided Query Expansion in Open-Domain Question Answering")</f>
        <v>Not All Terms Matter: Recall-Oriented Adaptive Learning for PLM-aided Query Expansion in Open-Domain Question Answering</v>
      </c>
      <c r="C2715" s="7" t="str">
        <f>IFERROR(__xludf.DUMMYFUNCTION("""COMPUTED_VALUE"""),"The effectiveness of open-domain question answering (ODQA), particularly those employing a retriever-reader architecture, depends on the ability to recall relevant documents - a critical step that enables the reader to accurately extract answers. To enhan"&amp;"ce this retrieval phase, current query expansion (QE) techniques leverage pre-trained language models (PLM) to mitigate word mismatches and improve the recall of relevant documents. Despite their advancements, these techniques often treat all expanded ter"&amp;"ms uniformly, which can lead to less-than-optimal retrieval outcomes. In response, we propose a novel Recall-oriented Adaptive Learning (ReAL) method, which iteratively adjusts the importance weights of QE terms based on their relevance, thereby refining "&amp;"term distinction and enhancing the separation of relevant terms. Specifically, ReAL employs a similarity-based model to classify documents into pseudo-relevant and pseudo-irrelevant sets, and then optimizes term weights via two tailored loss functions to "&amp;"maximize the scoring gap between them. Experiments on four ODQA datasets and five QE methods show that ReAL consistently enhances retrieval accuracy and overall end-to-end QA performance, providing a robust and efficient solution for improving QE strategi"&amp;"es in ODQA scenarios.")</f>
        <v>The effectiveness of open-domain question answering (ODQA), particularly those employing a retriever-reader architecture, depends on the ability to recall relevant documents - a critical step that enables the reader to accurately extract answers. To enhance this retrieval phase, current query expansion (QE) techniques leverage pre-trained language models (PLM) to mitigate word mismatches and improve the recall of relevant documents. Despite their advancements, these techniques often treat all expanded terms uniformly, which can lead to less-than-optimal retrieval outcomes. In response, we propose a novel Recall-oriented Adaptive Learning (ReAL) method, which iteratively adjusts the importance weights of QE terms based on their relevance, thereby refining term distinction and enhancing the separation of relevant terms. Specifically, ReAL employs a similarity-based model to classify documents into pseudo-relevant and pseudo-irrelevant sets, and then optimizes term weights via two tailored loss functions to maximize the scoring gap between them. Experiments on four ODQA datasets and five QE methods show that ReAL consistently enhances retrieval accuracy and overall end-to-end QA performance, providing a robust and efficient solution for improving QE strategies in ODQA scenarios.</v>
      </c>
      <c r="D2715" s="7" t="str">
        <f>IFERROR(__xludf.DUMMYFUNCTION("""COMPUTED_VALUE"""),"Xuanang Chen")</f>
        <v>Xuanang Chen</v>
      </c>
      <c r="E2715" s="7" t="str">
        <f>IFERROR(__xludf.DUMMYFUNCTION("""COMPUTED_VALUE"""),"Yes")</f>
        <v>Yes</v>
      </c>
      <c r="F2715" s="7" t="str">
        <f>IFERROR(__xludf.DUMMYFUNCTION("""COMPUTED_VALUE"""),"IP-Poster")</f>
        <v>IP-Poster</v>
      </c>
      <c r="G2715" s="7" t="str">
        <f>IFERROR(__xludf.DUMMYFUNCTION("""COMPUTED_VALUE"""),"In-Person")</f>
        <v>In-Person</v>
      </c>
      <c r="H2715" s="7" t="str">
        <f>IFERROR(__xludf.DUMMYFUNCTION("""COMPUTED_VALUE"""),"Hall 4/5")</f>
        <v>Hall 4/5</v>
      </c>
      <c r="I2715" s="7" t="str">
        <f>IFERROR(__xludf.DUMMYFUNCTION("""COMPUTED_VALUE"""),"Session 7: IP-Posters")</f>
        <v>Session 7: IP-Posters</v>
      </c>
      <c r="J2715" s="7" t="str">
        <f>IFERROR(__xludf.DUMMYFUNCTION("""COMPUTED_VALUE"""),"Poster Session 2")</f>
        <v>Poster Session 2</v>
      </c>
      <c r="K2715" s="7"/>
      <c r="L2715" s="8">
        <f>IFERROR(__xludf.DUMMYFUNCTION("""COMPUTED_VALUE"""),45867.0)</f>
        <v>45867</v>
      </c>
      <c r="M2715" s="7" t="str">
        <f>IFERROR(__xludf.DUMMYFUNCTION("""COMPUTED_VALUE"""),"10:30-12:00")</f>
        <v>10:30-12:00</v>
      </c>
      <c r="N2715" s="7"/>
    </row>
    <row r="2716">
      <c r="A2716" s="7" t="str">
        <f>IFERROR(__xludf.DUMMYFUNCTION("""COMPUTED_VALUE"""),"2912-MAIN")</f>
        <v>2912-MAIN</v>
      </c>
      <c r="B2716" s="7" t="str">
        <f>IFERROR(__xludf.DUMMYFUNCTION("""COMPUTED_VALUE"""),"A Mutual Information Perspective on Knowledge Graph Embedding")</f>
        <v>A Mutual Information Perspective on Knowledge Graph Embedding</v>
      </c>
      <c r="C2716" s="7" t="str">
        <f>IFERROR(__xludf.DUMMYFUNCTION("""COMPUTED_VALUE"""),"Knowledge graph embedding techniques have emerged as a critical approach for addressing the issue of missing relations in knowledge graphs. However, existing methods often suffer from limitations, including high intra-group similarity, loss of semantic in"&amp;"formation, and insufficient inference capability, particularly in complex relation patterns such as 1-N and N-1 relations. To address these challenges, we introduce a novel KGE framework that leverages mutual information maximization to improve the semant"&amp;"ic representation of entities and relations. By maximizing the mutual information between different components of triples, such as \((h, r)\) and \(t\), or \((r, t)\) and \(h\), the proposed method improves the model’s ability to preserve semantic depende"&amp;"ncies while maintaining the relational structure of the knowledge graph. Extensive experiments on benchmark datasets  demonstrate the effectiveness of our approach, with consistent performance improvements across various baseline models. Additionally, vis"&amp;"ualization analyses and case studies demonstrate the improved ability of the MI framework to capture complex relation patterns.")</f>
        <v>Knowledge graph embedding techniques have emerged as a critical approach for addressing the issue of missing relations in knowledge graphs. However, existing methods often suffer from limitations, including high intra-group similarity, loss of semantic information, and insufficient inference capability, particularly in complex relation patterns such as 1-N and N-1 relations. To address these challenges, we introduce a novel KGE framework that leverages mutual information maximization to improve the semantic representation of entities and relations. By maximizing the mutual information between different components of triples, such as \((h, r)\) and \(t\), or \((r, t)\) and \(h\), the proposed method improves the model’s ability to preserve semantic dependencies while maintaining the relational structure of the knowledge graph. Extensive experiments on benchmark datasets  demonstrate the effectiveness of our approach, with consistent performance improvements across various baseline models. Additionally, visualization analyses and case studies demonstrate the improved ability of the MI framework to capture complex relation patterns.</v>
      </c>
      <c r="D2716" s="7" t="str">
        <f>IFERROR(__xludf.DUMMYFUNCTION("""COMPUTED_VALUE"""),"Jiang Li")</f>
        <v>Jiang Li</v>
      </c>
      <c r="E2716" s="7" t="str">
        <f>IFERROR(__xludf.DUMMYFUNCTION("""COMPUTED_VALUE"""),"Yes")</f>
        <v>Yes</v>
      </c>
      <c r="F2716" s="7" t="str">
        <f>IFERROR(__xludf.DUMMYFUNCTION("""COMPUTED_VALUE"""),"IP-Poster")</f>
        <v>IP-Poster</v>
      </c>
      <c r="G2716" s="7" t="str">
        <f>IFERROR(__xludf.DUMMYFUNCTION("""COMPUTED_VALUE"""),"In-Person")</f>
        <v>In-Person</v>
      </c>
      <c r="H2716" s="7" t="str">
        <f>IFERROR(__xludf.DUMMYFUNCTION("""COMPUTED_VALUE"""),"Hall 4/5")</f>
        <v>Hall 4/5</v>
      </c>
      <c r="I2716" s="7" t="str">
        <f>IFERROR(__xludf.DUMMYFUNCTION("""COMPUTED_VALUE"""),"Session 7: IP-Posters")</f>
        <v>Session 7: IP-Posters</v>
      </c>
      <c r="J2716" s="7" t="str">
        <f>IFERROR(__xludf.DUMMYFUNCTION("""COMPUTED_VALUE"""),"Poster Session 2")</f>
        <v>Poster Session 2</v>
      </c>
      <c r="K2716" s="7"/>
      <c r="L2716" s="8">
        <f>IFERROR(__xludf.DUMMYFUNCTION("""COMPUTED_VALUE"""),45867.0)</f>
        <v>45867</v>
      </c>
      <c r="M2716" s="7" t="str">
        <f>IFERROR(__xludf.DUMMYFUNCTION("""COMPUTED_VALUE"""),"10:30-12:00")</f>
        <v>10:30-12:00</v>
      </c>
      <c r="N2716" s="7"/>
    </row>
    <row r="2717">
      <c r="A2717" s="7" t="str">
        <f>IFERROR(__xludf.DUMMYFUNCTION("""COMPUTED_VALUE"""),"2916-MAIN")</f>
        <v>2916-MAIN</v>
      </c>
      <c r="B2717" s="7" t="str">
        <f>IFERROR(__xludf.DUMMYFUNCTION("""COMPUTED_VALUE"""),"Aligned but Blind: Alignment Increases Implicit Bias by Reducing Awareness of Race")</f>
        <v>Aligned but Blind: Alignment Increases Implicit Bias by Reducing Awareness of Race</v>
      </c>
      <c r="C2717" s="7" t="str">
        <f>IFERROR(__xludf.DUMMYFUNCTION("""COMPUTED_VALUE"""),"Although value-aligned language models (LMs) appear unbiased in explicit bias evaluations, they often exhibit stereotypes in implicit word association tasks, raising concerns about their fair usage. We investigate the mechanisms behind this discrepancy an"&amp;"d find that alignment surprisingly amplifies implicit bias in model outputs. Specifically, we show that aligned LMs, unlike their unaligned counterparts, overlook racial concepts in early internal representations when the context is ambiguous. Not represe"&amp;"nting race likely fails to activate safety guardrails, leading to unintended biases. Inspired by this insight, we propose a new bias mitigation strategy that works by incentivizing the representation of racial concepts in the early model layers. In contra"&amp;"st to conventional mitigation methods of machine unlearning, our interventions find that steering the model to be more aware of racial concepts effectively mitigates implicit bias. Similar to race blindness in humans, ignoring racial nuances can inadverte"&amp;"ntly perpetuate subtle biases in LMs.")</f>
        <v>Although value-aligned language models (LMs) appear unbiased in explicit bias evaluations, they often exhibit stereotypes in implicit word association tasks, raising concerns about their fair usage. We investigate the mechanisms behind this discrepancy and find that alignment surprisingly amplifies implicit bias in model outputs. Specifically, we show that aligned LMs, unlike their unaligned counterparts, overlook racial concepts in early internal representations when the context is ambiguous. Not representing race likely fails to activate safety guardrails, leading to unintended biases. Inspired by this insight, we propose a new bias mitigation strategy that works by incentivizing the representation of racial concepts in the early model layers. In contrast to conventional mitigation methods of machine unlearning, our interventions find that steering the model to be more aware of racial concepts effectively mitigates implicit bias. Similar to race blindness in humans, ignoring racial nuances can inadvertently perpetuate subtle biases in LMs.</v>
      </c>
      <c r="D2717" s="7" t="str">
        <f>IFERROR(__xludf.DUMMYFUNCTION("""COMPUTED_VALUE"""),"Lihao Sun")</f>
        <v>Lihao Sun</v>
      </c>
      <c r="E2717" s="7" t="str">
        <f>IFERROR(__xludf.DUMMYFUNCTION("""COMPUTED_VALUE"""),"Yes")</f>
        <v>Yes</v>
      </c>
      <c r="F2717" s="7" t="str">
        <f>IFERROR(__xludf.DUMMYFUNCTION("""COMPUTED_VALUE"""),"IP-Poster")</f>
        <v>IP-Poster</v>
      </c>
      <c r="G2717" s="7" t="str">
        <f>IFERROR(__xludf.DUMMYFUNCTION("""COMPUTED_VALUE"""),"In-Person")</f>
        <v>In-Person</v>
      </c>
      <c r="H2717" s="7" t="str">
        <f>IFERROR(__xludf.DUMMYFUNCTION("""COMPUTED_VALUE"""),"Hall 4/5")</f>
        <v>Hall 4/5</v>
      </c>
      <c r="I2717" s="7" t="str">
        <f>IFERROR(__xludf.DUMMYFUNCTION("""COMPUTED_VALUE"""),"Session 2: IP-Posters ")</f>
        <v>Session 2: IP-Posters </v>
      </c>
      <c r="J2717" s="7" t="str">
        <f>IFERROR(__xludf.DUMMYFUNCTION("""COMPUTED_VALUE"""),"Poster Session 1")</f>
        <v>Poster Session 1</v>
      </c>
      <c r="K2717" s="7"/>
      <c r="L2717" s="8">
        <f>IFERROR(__xludf.DUMMYFUNCTION("""COMPUTED_VALUE"""),45866.0)</f>
        <v>45866</v>
      </c>
      <c r="M2717" s="7" t="str">
        <f>IFERROR(__xludf.DUMMYFUNCTION("""COMPUTED_VALUE"""),"11:00-12:30")</f>
        <v>11:00-12:30</v>
      </c>
      <c r="N2717" s="7"/>
    </row>
    <row r="2718">
      <c r="A2718" s="7" t="str">
        <f>IFERROR(__xludf.DUMMYFUNCTION("""COMPUTED_VALUE"""),"2923-MAIN")</f>
        <v>2923-MAIN</v>
      </c>
      <c r="B2718" s="7" t="str">
        <f>IFERROR(__xludf.DUMMYFUNCTION("""COMPUTED_VALUE"""),"IOPO: Empowering LLMs with Complex Instruction Following via Input-Output Preference Optimization")</f>
        <v>IOPO: Empowering LLMs with Complex Instruction Following via Input-Output Preference Optimization</v>
      </c>
      <c r="C2718" s="7" t="str">
        <f>IFERROR(__xludf.DUMMYFUNCTION("""COMPUTED_VALUE"""),"In the realm of large language models (LLMs), the ability of models to accurately follow instructions is paramount as more agents and applications leverage LLMs for construction, where the complexity of instructions are rapidly increasing. However, on the"&amp;" one hand, there is only a certain amount of complex instruction evaluation data; on the other hand, there are no dedicated algorithms to improve the ability to follow complex instructions. To this end, this paper introduces Trace, a benchmark for improvi"&amp;"ng and evaluating the complex instruction-following ability, which consists of 120K training data and 1K evaluation data. Furthermore, we propose IOPO (Input-Output Preference Optimization) alignment method which takes both input and output preference pai"&amp;"rs into consideration, where LLMs not only rapidly align with response preferences but also meticulously explore the instruction preferences. Extensive experiments on both in-domain and out-of-domain datasets confirm the effectiveness of IOPO, showing 8.1"&amp;"5%, 2.18% improvements on in-domain data and 5.91%, 2.83% on out-of-domain data compared to SFT and DPO respectively. Our code and dataset are released at https://anonymous.4open.science/r/Code7-34A5.")</f>
        <v>In the realm of large language models (LLMs), the ability of models to accurately follow instructions is paramount as more agents and applications leverage LLMs for construction, where the complexity of instructions are rapidly increasing. However, on the one hand, there is only a certain amount of complex instruction evaluation data; on the other hand, there are no dedicated algorithms to improve the ability to follow complex instructions. To this end, this paper introduces Trace, a benchmark for improving and evaluating the complex instruction-following ability, which consists of 120K training data and 1K evaluation data. Furthermore, we propose IOPO (Input-Output Preference Optimization) alignment method which takes both input and output preference pairs into consideration, where LLMs not only rapidly align with response preferences but also meticulously explore the instruction preferences. Extensive experiments on both in-domain and out-of-domain datasets confirm the effectiveness of IOPO, showing 8.15%, 2.18% improvements on in-domain data and 5.91%, 2.83% on out-of-domain data compared to SFT and DPO respectively. Our code and dataset are released at https://anonymous.4open.science/r/Code7-34A5.</v>
      </c>
      <c r="D2718" s="7" t="str">
        <f>IFERROR(__xludf.DUMMYFUNCTION("""COMPUTED_VALUE"""),"Xinghua Zhang")</f>
        <v>Xinghua Zhang</v>
      </c>
      <c r="E2718" s="7" t="str">
        <f>IFERROR(__xludf.DUMMYFUNCTION("""COMPUTED_VALUE"""),"Yes")</f>
        <v>Yes</v>
      </c>
      <c r="F2718" s="7" t="str">
        <f>IFERROR(__xludf.DUMMYFUNCTION("""COMPUTED_VALUE"""),"IP-Poster")</f>
        <v>IP-Poster</v>
      </c>
      <c r="G2718" s="7" t="str">
        <f>IFERROR(__xludf.DUMMYFUNCTION("""COMPUTED_VALUE"""),"In-Person")</f>
        <v>In-Person</v>
      </c>
      <c r="H2718" s="7" t="str">
        <f>IFERROR(__xludf.DUMMYFUNCTION("""COMPUTED_VALUE"""),"Hall 4/5")</f>
        <v>Hall 4/5</v>
      </c>
      <c r="I2718" s="7" t="str">
        <f>IFERROR(__xludf.DUMMYFUNCTION("""COMPUTED_VALUE"""),"Session 7: IP-Posters")</f>
        <v>Session 7: IP-Posters</v>
      </c>
      <c r="J2718" s="7" t="str">
        <f>IFERROR(__xludf.DUMMYFUNCTION("""COMPUTED_VALUE"""),"Poster Session 2")</f>
        <v>Poster Session 2</v>
      </c>
      <c r="K2718" s="7"/>
      <c r="L2718" s="8">
        <f>IFERROR(__xludf.DUMMYFUNCTION("""COMPUTED_VALUE"""),45867.0)</f>
        <v>45867</v>
      </c>
      <c r="M2718" s="7" t="str">
        <f>IFERROR(__xludf.DUMMYFUNCTION("""COMPUTED_VALUE"""),"10:30-12:00")</f>
        <v>10:30-12:00</v>
      </c>
      <c r="N2718" s="7"/>
    </row>
    <row r="2719">
      <c r="A2719" s="7" t="str">
        <f>IFERROR(__xludf.DUMMYFUNCTION("""COMPUTED_VALUE"""),"2937-MAIN")</f>
        <v>2937-MAIN</v>
      </c>
      <c r="B2719" s="7" t="str">
        <f>IFERROR(__xludf.DUMMYFUNCTION("""COMPUTED_VALUE"""),"ProMALex: Progressive Modular Adapters for Multi-Jurisdictional Legal Language Modeling")</f>
        <v>ProMALex: Progressive Modular Adapters for Multi-Jurisdictional Legal Language Modeling</v>
      </c>
      <c r="C2719" s="7" t="str">
        <f>IFERROR(__xludf.DUMMYFUNCTION("""COMPUTED_VALUE"""),"This paper addresses the challenge of adapting language models to the jurisdiction-specific nature of legal corpora. Existing approaches—training separate models for each jurisdiction or using a single shared model—either fail to leverage common legal pri"&amp;"nciples beneficial for low-resource settings or risk negative interference from conflicting jurisdictional interpretations. To overcome these limitations, we propose a parameter-efficient framework ProMALex, that first derives hierarchical relationships a"&amp;"cross jurisdictions and progressively inserts adapter modules across model layers based on jurisdictional similarity. This design allows modules in lower layers to be shared across jurisdictions, capturing common legal principles, while higher layers spec"&amp;"ialize through jurisdiction-specific adapters. Experimental results on two legal language modeling benchmarks demonstrate that ProMALex outperforms both fully shared and jurisdiction-specific models.")</f>
        <v>This paper addresses the challenge of adapting language models to the jurisdiction-specific nature of legal corpora. Existing approaches—training separate models for each jurisdiction or using a single shared model—either fail to leverage common legal principles beneficial for low-resource settings or risk negative interference from conflicting jurisdictional interpretations. To overcome these limitations, we propose a parameter-efficient framework ProMALex, that first derives hierarchical relationships across jurisdictions and progressively inserts adapter modules across model layers based on jurisdictional similarity. This design allows modules in lower layers to be shared across jurisdictions, capturing common legal principles, while higher layers specialize through jurisdiction-specific adapters. Experimental results on two legal language modeling benchmarks demonstrate that ProMALex outperforms both fully shared and jurisdiction-specific models.</v>
      </c>
      <c r="D2719" s="7" t="str">
        <f>IFERROR(__xludf.DUMMYFUNCTION("""COMPUTED_VALUE"""),"Mohamed Hesham Elganayni")</f>
        <v>Mohamed Hesham Elganayni</v>
      </c>
      <c r="E2719" s="7" t="str">
        <f>IFERROR(__xludf.DUMMYFUNCTION("""COMPUTED_VALUE"""),"Yes")</f>
        <v>Yes</v>
      </c>
      <c r="F2719" s="7" t="str">
        <f>IFERROR(__xludf.DUMMYFUNCTION("""COMPUTED_VALUE"""),"V-Presentation")</f>
        <v>V-Presentation</v>
      </c>
      <c r="G2719" s="7" t="str">
        <f>IFERROR(__xludf.DUMMYFUNCTION("""COMPUTED_VALUE"""),"Virtual/Gather")</f>
        <v>Virtual/Gather</v>
      </c>
      <c r="H2719" s="7" t="str">
        <f>IFERROR(__xludf.DUMMYFUNCTION("""COMPUTED_VALUE"""),"Zoom")</f>
        <v>Zoom</v>
      </c>
      <c r="I2719" s="7" t="str">
        <f>IFERROR(__xludf.DUMMYFUNCTION("""COMPUTED_VALUE"""),"Session 10: V-Presenations")</f>
        <v>Session 10: V-Presenations</v>
      </c>
      <c r="J2719" s="7" t="str">
        <f>IFERROR(__xludf.DUMMYFUNCTION("""COMPUTED_VALUE"""),"Virtual Presentations 3")</f>
        <v>Virtual Presentations 3</v>
      </c>
      <c r="K2719" s="7"/>
      <c r="L2719" s="8">
        <f>IFERROR(__xludf.DUMMYFUNCTION("""COMPUTED_VALUE"""),45867.0)</f>
        <v>45867</v>
      </c>
      <c r="M2719" s="7" t="str">
        <f>IFERROR(__xludf.DUMMYFUNCTION("""COMPUTED_VALUE"""),"16:00-17:30")</f>
        <v>16:00-17:30</v>
      </c>
      <c r="N2719" s="7"/>
    </row>
    <row r="2720">
      <c r="A2720" s="7" t="str">
        <f>IFERROR(__xludf.DUMMYFUNCTION("""COMPUTED_VALUE"""),"2938-MAIN")</f>
        <v>2938-MAIN</v>
      </c>
      <c r="B2720" s="7" t="str">
        <f>IFERROR(__xludf.DUMMYFUNCTION("""COMPUTED_VALUE"""),"Flipping Knowledge Distillation: Leveraging Small Models' Expertise to Enhance LLMs in Text Matching")</f>
        <v>Flipping Knowledge Distillation: Leveraging Small Models' Expertise to Enhance LLMs in Text Matching</v>
      </c>
      <c r="C2720" s="7" t="str">
        <f>IFERROR(__xludf.DUMMYFUNCTION("""COMPUTED_VALUE"""),"Knowledge distillation typically involves transferring knowledge from a Large Language Model (LLM) to a Smaller Language Model (SLM). However, in tasks like text matching, smaller fine-tuned models often produce more effective domain-specific representati"&amp;"ons as they focus on optimizing the similarity between input pairs. To combine the specialized strengths of small models with the rich semantic understanding of LLMs, we propose a flipped knowledge distillation paradigm, where the LLM learns from the SLM."&amp;" To bridge the architectural gap between commonly used decoder-only LLMs and the encoder-based frameworks of smaller models, we reinterpret LLMs as encoder-decoder models using LoRA. In this setup, the encoder generates compressed text representations, wh"&amp;"ile the decoder transforms them into the output space. During training, the encoder produces text representations and computes their similarities, which are then aligned with the similarity scores produced by the teacher model. We achieve this alignment u"&amp;"sing our proposed Margin-aware Contrastive Learning (MCL) approach. MCL ensures accurate similarity for both positive and negative pairs, while also adaptively handling differences within positive and negative samples. We validate the effectiveness of our"&amp;" approach on financial and healthcare benchmarks as well as real-world online applications. Our model has been fully deployed in an online application environment, demonstrating its practical utility.")</f>
        <v>Knowledge distillation typically involves transferring knowledge from a Large Language Model (LLM) to a Smaller Language Model (SLM). However, in tasks like text matching, smaller fine-tuned models often produce more effective domain-specific representations as they focus on optimizing the similarity between input pairs. To combine the specialized strengths of small models with the rich semantic understanding of LLMs, we propose a flipped knowledge distillation paradigm, where the LLM learns from the SLM. To bridge the architectural gap between commonly used decoder-only LLMs and the encoder-based frameworks of smaller models, we reinterpret LLMs as encoder-decoder models using LoRA. In this setup, the encoder generates compressed text representations, while the decoder transforms them into the output space. During training, the encoder produces text representations and computes their similarities, which are then aligned with the similarity scores produced by the teacher model. We achieve this alignment using our proposed Margin-aware Contrastive Learning (MCL) approach. MCL ensures accurate similarity for both positive and negative pairs, while also adaptively handling differences within positive and negative samples. We validate the effectiveness of our approach on financial and healthcare benchmarks as well as real-world online applications. Our model has been fully deployed in an online application environment, demonstrating its practical utility.</v>
      </c>
      <c r="D2720" s="7" t="str">
        <f>IFERROR(__xludf.DUMMYFUNCTION("""COMPUTED_VALUE"""),"Mingzhe Li")</f>
        <v>Mingzhe Li</v>
      </c>
      <c r="E2720" s="7" t="str">
        <f>IFERROR(__xludf.DUMMYFUNCTION("""COMPUTED_VALUE"""),"Yes")</f>
        <v>Yes</v>
      </c>
      <c r="F2720" s="7" t="str">
        <f>IFERROR(__xludf.DUMMYFUNCTION("""COMPUTED_VALUE"""),"IP-Poster")</f>
        <v>IP-Poster</v>
      </c>
      <c r="G2720" s="7" t="str">
        <f>IFERROR(__xludf.DUMMYFUNCTION("""COMPUTED_VALUE"""),"In-Person")</f>
        <v>In-Person</v>
      </c>
      <c r="H2720" s="7" t="str">
        <f>IFERROR(__xludf.DUMMYFUNCTION("""COMPUTED_VALUE"""),"Hall 4/5")</f>
        <v>Hall 4/5</v>
      </c>
      <c r="I2720" s="7" t="str">
        <f>IFERROR(__xludf.DUMMYFUNCTION("""COMPUTED_VALUE"""),"Session 2: IP-Posters ")</f>
        <v>Session 2: IP-Posters </v>
      </c>
      <c r="J2720" s="7" t="str">
        <f>IFERROR(__xludf.DUMMYFUNCTION("""COMPUTED_VALUE"""),"Poster Session 1")</f>
        <v>Poster Session 1</v>
      </c>
      <c r="K2720" s="7"/>
      <c r="L2720" s="8">
        <f>IFERROR(__xludf.DUMMYFUNCTION("""COMPUTED_VALUE"""),45866.0)</f>
        <v>45866</v>
      </c>
      <c r="M2720" s="7" t="str">
        <f>IFERROR(__xludf.DUMMYFUNCTION("""COMPUTED_VALUE"""),"11:00-12:30")</f>
        <v>11:00-12:30</v>
      </c>
      <c r="N2720" s="7"/>
    </row>
    <row r="2721">
      <c r="A2721" s="7" t="str">
        <f>IFERROR(__xludf.DUMMYFUNCTION("""COMPUTED_VALUE"""),"2940-MAIN")</f>
        <v>2940-MAIN</v>
      </c>
      <c r="B2721" s="7" t="str">
        <f>IFERROR(__xludf.DUMMYFUNCTION("""COMPUTED_VALUE"""),"Disentangling Language Medium and Culture Context for Evaluating Multilingual Large Language Models")</f>
        <v>Disentangling Language Medium and Culture Context for Evaluating Multilingual Large Language Models</v>
      </c>
      <c r="C2721" s="7" t="str">
        <f>IFERROR(__xludf.DUMMYFUNCTION("""COMPUTED_VALUE"""),"This paper introduces a Dual Evaluation Framework to comprehensively assess the multilingual capabilities of LLMs. By decomposing the evaluation along the dimensions of linguistic medium and cultural context, this framework enables a nuanced analysis of L"&amp;"LMs’ ability to process questions within both native and cross-cultural contexts cross-lingually. Extensive evaluations are conducted on a wide range of models, revealing a notable “Cultural-Linguistic Synergy” phenomenon, where models exhibit better perf"&amp;"ormance when questions are culturally aligned with the language. This phenomenon is further explored through interpretability probing, which shows that a higher proportion of specific neurons are activated in a language’s cultural context. This activation"&amp;" proportion could serve as a potential indicator for evaluating multilingual performance during model training. Our findings challenge the prevailing notion that LLMs, primarily trained on English data, perform uniformly across languages and highlight the"&amp;" necessity of culturally and linguistically model evaluations.")</f>
        <v>This paper introduces a Dual Evaluation Framework to comprehensively assess the multilingual capabilities of LLMs. By decomposing the evaluation along the dimensions of linguistic medium and cultural context, this framework enables a nuanced analysis of LLMs’ ability to process questions within both native and cross-cultural contexts cross-lingually. Extensive evaluations are conducted on a wide range of models, revealing a notable “Cultural-Linguistic Synergy” phenomenon, where models exhibit better performance when questions are culturally aligned with the language. This phenomenon is further explored through interpretability probing, which shows that a higher proportion of specific neurons are activated in a language’s cultural context. This activation proportion could serve as a potential indicator for evaluating multilingual performance during model training. Our findings challenge the prevailing notion that LLMs, primarily trained on English data, perform uniformly across languages and highlight the necessity of culturally and linguistically model evaluations.</v>
      </c>
      <c r="D2721" s="7" t="str">
        <f>IFERROR(__xludf.DUMMYFUNCTION("""COMPUTED_VALUE"""),"wenxuan zhang, jiahao ying")</f>
        <v>wenxuan zhang, jiahao ying</v>
      </c>
      <c r="E2721" s="7" t="str">
        <f>IFERROR(__xludf.DUMMYFUNCTION("""COMPUTED_VALUE"""),"Yes")</f>
        <v>Yes</v>
      </c>
      <c r="F2721" s="7" t="str">
        <f>IFERROR(__xludf.DUMMYFUNCTION("""COMPUTED_VALUE"""),"IP-Poster")</f>
        <v>IP-Poster</v>
      </c>
      <c r="G2721" s="7" t="str">
        <f>IFERROR(__xludf.DUMMYFUNCTION("""COMPUTED_VALUE"""),"In-Person")</f>
        <v>In-Person</v>
      </c>
      <c r="H2721" s="7" t="str">
        <f>IFERROR(__xludf.DUMMYFUNCTION("""COMPUTED_VALUE"""),"Hall 4/5")</f>
        <v>Hall 4/5</v>
      </c>
      <c r="I2721" s="7" t="str">
        <f>IFERROR(__xludf.DUMMYFUNCTION("""COMPUTED_VALUE"""),"Session 7: IP-Posters")</f>
        <v>Session 7: IP-Posters</v>
      </c>
      <c r="J2721" s="7" t="str">
        <f>IFERROR(__xludf.DUMMYFUNCTION("""COMPUTED_VALUE"""),"Poster Session 2")</f>
        <v>Poster Session 2</v>
      </c>
      <c r="K2721" s="7"/>
      <c r="L2721" s="8">
        <f>IFERROR(__xludf.DUMMYFUNCTION("""COMPUTED_VALUE"""),45867.0)</f>
        <v>45867</v>
      </c>
      <c r="M2721" s="7" t="str">
        <f>IFERROR(__xludf.DUMMYFUNCTION("""COMPUTED_VALUE"""),"10:30-12:00")</f>
        <v>10:30-12:00</v>
      </c>
      <c r="N2721" s="7"/>
    </row>
    <row r="2722">
      <c r="A2722" s="7" t="str">
        <f>IFERROR(__xludf.DUMMYFUNCTION("""COMPUTED_VALUE"""),"2943-MAIN")</f>
        <v>2943-MAIN</v>
      </c>
      <c r="B2722" s="7" t="str">
        <f>IFERROR(__xludf.DUMMYFUNCTION("""COMPUTED_VALUE"""),"Detecting Sockpuppetry on Wikipedia Using Meta-Learning")</f>
        <v>Detecting Sockpuppetry on Wikipedia Using Meta-Learning</v>
      </c>
      <c r="C2722" s="7" t="str">
        <f>IFERROR(__xludf.DUMMYFUNCTION("""COMPUTED_VALUE"""),"Malicious sockpuppet detection on Wikipedia is critical to preserving access to reliable information on the internet and preventing the spread of disinformation. Prior machine learning approaches rely on stylistic and meta-data features, but do not priori"&amp;"tise adaptability to author-specific behaviours. As a result, they struggle to effectively model the behaviour of specific sockpuppet-groups, especially when text data is limited. To address this, we propose the application of meta-learning, a machine lea"&amp;"rning technique designed to improve performance in data-scarce settings by training models across multiple tasks. Meta-learning optimises a model for rapid adaptation to the writing style of a new sockpuppet-group. Our results show that meta-learning sign"&amp;"ificantly enhances the precision of predictions compared to pre-trained models, marking an advancement in combating sockpuppetry on open editing platforms. We release an updated dataset of sockpuppet investigations to foster future research in both sockpu"&amp;"ppetry and meta-learning fields.")</f>
        <v>Malicious sockpuppet detection on Wikipedia is critical to preserving access to reliable information on the internet and preventing the spread of disinformation. Prior machine learning approaches rely on stylistic and meta-data features, but do not prioritise adaptability to author-specific behaviours. As a result, they struggle to effectively model the behaviour of specific sockpuppet-groups, especially when text data is limited. To address this, we propose the application of meta-learning, a machine learning technique designed to improve performance in data-scarce settings by training models across multiple tasks. Meta-learning optimises a model for rapid adaptation to the writing style of a new sockpuppet-group. Our results show that meta-learning significantly enhances the precision of predictions compared to pre-trained models, marking an advancement in combating sockpuppetry on open editing platforms. We release an updated dataset of sockpuppet investigations to foster future research in both sockpuppetry and meta-learning fields.</v>
      </c>
      <c r="D2722" s="7" t="str">
        <f>IFERROR(__xludf.DUMMYFUNCTION("""COMPUTED_VALUE"""),"Luc Raszewski")</f>
        <v>Luc Raszewski</v>
      </c>
      <c r="E2722" s="7" t="str">
        <f>IFERROR(__xludf.DUMMYFUNCTION("""COMPUTED_VALUE"""),"Yes")</f>
        <v>Yes</v>
      </c>
      <c r="F2722" s="7" t="str">
        <f>IFERROR(__xludf.DUMMYFUNCTION("""COMPUTED_VALUE"""),"IP-Poster")</f>
        <v>IP-Poster</v>
      </c>
      <c r="G2722" s="7" t="str">
        <f>IFERROR(__xludf.DUMMYFUNCTION("""COMPUTED_VALUE"""),"In-Person")</f>
        <v>In-Person</v>
      </c>
      <c r="H2722" s="7" t="str">
        <f>IFERROR(__xludf.DUMMYFUNCTION("""COMPUTED_VALUE"""),"Hall 4/5")</f>
        <v>Hall 4/5</v>
      </c>
      <c r="I2722" s="7" t="str">
        <f>IFERROR(__xludf.DUMMYFUNCTION("""COMPUTED_VALUE"""),"Session 7: IP-Posters")</f>
        <v>Session 7: IP-Posters</v>
      </c>
      <c r="J2722" s="7" t="str">
        <f>IFERROR(__xludf.DUMMYFUNCTION("""COMPUTED_VALUE"""),"Poster Session 2")</f>
        <v>Poster Session 2</v>
      </c>
      <c r="K2722" s="7"/>
      <c r="L2722" s="8">
        <f>IFERROR(__xludf.DUMMYFUNCTION("""COMPUTED_VALUE"""),45867.0)</f>
        <v>45867</v>
      </c>
      <c r="M2722" s="7" t="str">
        <f>IFERROR(__xludf.DUMMYFUNCTION("""COMPUTED_VALUE"""),"10:30-12:00")</f>
        <v>10:30-12:00</v>
      </c>
      <c r="N2722" s="7"/>
    </row>
    <row r="2723">
      <c r="A2723" s="7" t="str">
        <f>IFERROR(__xludf.DUMMYFUNCTION("""COMPUTED_VALUE"""),"2945-MAIN")</f>
        <v>2945-MAIN</v>
      </c>
      <c r="B2723" s="7" t="str">
        <f>IFERROR(__xludf.DUMMYFUNCTION("""COMPUTED_VALUE"""),"Diversity-oriented Data Augmentation with Large Language Models")</f>
        <v>Diversity-oriented Data Augmentation with Large Language Models</v>
      </c>
      <c r="C2723" s="7" t="str">
        <f>IFERROR(__xludf.DUMMYFUNCTION("""COMPUTED_VALUE"""),"Data augmentation is an essential technique in natural language processing (NLP) for enriching training datasets by generating diverse samples. This process is crucial for improving the robustness and generalization capabilities of NLP models. However, a "&amp;"significant challenge remains: Insufficient Attention to Sample Distribution Diversity. Most existing methods focus on increasing the sample numbers while neglecting the sample distribution diversity, which can lead to model overfitting. In response, we e"&amp;"xplore data augmentation's impact on dataset diversity and propose a Diversity-oriented data Augmentation framework (DoAug). Specifically, we utilize a diversity-oriented fine-tuning approach to train a large language model (LLM) as a diverse paraphraser,"&amp;" which is capable of augmenting textual datasets by generating diversified paraphrases. Then, we apply the LLM paraphraser to a selected coreset of highly informative samples and integrate the paraphrases with the original data to create a more diverse au"&amp;"gmented dataset. Finally, we conduct extensive experiments on 12 real-world textual datasets. The results show that our fine-tuned LLM augmenter improves diversity while preserving label consistency, thereby enhancing the robustness and performance of dow"&amp;"nstream tasks. Specifically, it achieves an average performance gain of 10.52%, surpassing the runner-up baseline with more than three percentage points.")</f>
        <v>Data augmentation is an essential technique in natural language processing (NLP) for enriching training datasets by generating diverse samples. This process is crucial for improving the robustness and generalization capabilities of NLP models. However, a significant challenge remains: Insufficient Attention to Sample Distribution Diversity. Most existing methods focus on increasing the sample numbers while neglecting the sample distribution diversity, which can lead to model overfitting. In response, we explore data augmentation's impact on dataset diversity and propose a Diversity-oriented data Augmentation framework (DoAug). Specifically, we utilize a diversity-oriented fine-tuning approach to train a large language model (LLM) as a diverse paraphraser, which is capable of augmenting textual datasets by generating diversified paraphrases. Then, we apply the LLM paraphraser to a selected coreset of highly informative samples and integrate the paraphrases with the original data to create a more diverse augmented dataset. Finally, we conduct extensive experiments on 12 real-world textual datasets. The results show that our fine-tuned LLM augmenter improves diversity while preserving label consistency, thereby enhancing the robustness and performance of downstream tasks. Specifically, it achieves an average performance gain of 10.52%, surpassing the runner-up baseline with more than three percentage points.</v>
      </c>
      <c r="D2723" s="7" t="str">
        <f>IFERROR(__xludf.DUMMYFUNCTION("""COMPUTED_VALUE"""),"Zaitian Wang")</f>
        <v>Zaitian Wang</v>
      </c>
      <c r="E2723" s="7" t="str">
        <f>IFERROR(__xludf.DUMMYFUNCTION("""COMPUTED_VALUE"""),"Yes")</f>
        <v>Yes</v>
      </c>
      <c r="F2723" s="7" t="str">
        <f>IFERROR(__xludf.DUMMYFUNCTION("""COMPUTED_VALUE"""),"IP-Oral")</f>
        <v>IP-Oral</v>
      </c>
      <c r="G2723" s="7" t="str">
        <f>IFERROR(__xludf.DUMMYFUNCTION("""COMPUTED_VALUE"""),"In-Person")</f>
        <v>In-Person</v>
      </c>
      <c r="H2723" s="7" t="str">
        <f>IFERROR(__xludf.DUMMYFUNCTION("""COMPUTED_VALUE"""),"Hall M.1")</f>
        <v>Hall M.1</v>
      </c>
      <c r="I2723" s="7" t="str">
        <f>IFERROR(__xludf.DUMMYFUNCTION("""COMPUTED_VALUE"""),"Session 9: IP-Orals")</f>
        <v>Session 9: IP-Orals</v>
      </c>
      <c r="J2723" s="7" t="str">
        <f>IFERROR(__xludf.DUMMYFUNCTION("""COMPUTED_VALUE"""),"Efficient Methods for NLP 1")</f>
        <v>Efficient Methods for NLP 1</v>
      </c>
      <c r="K2723" s="7"/>
      <c r="L2723" s="8">
        <f>IFERROR(__xludf.DUMMYFUNCTION("""COMPUTED_VALUE"""),45867.0)</f>
        <v>45867</v>
      </c>
      <c r="M2723" s="7" t="str">
        <f>IFERROR(__xludf.DUMMYFUNCTION("""COMPUTED_VALUE"""),"14:00-15:30")</f>
        <v>14:00-15:30</v>
      </c>
      <c r="N2723" s="7">
        <f>IFERROR(__xludf.DUMMYFUNCTION("""COMPUTED_VALUE"""),6.0)</f>
        <v>6</v>
      </c>
    </row>
    <row r="2724">
      <c r="A2724" s="7" t="str">
        <f>IFERROR(__xludf.DUMMYFUNCTION("""COMPUTED_VALUE"""),"2951-MAIN")</f>
        <v>2951-MAIN</v>
      </c>
      <c r="B2724" s="7" t="str">
        <f>IFERROR(__xludf.DUMMYFUNCTION("""COMPUTED_VALUE"""),"Can LLMs Understand Unvoiced Speech? Exploring EMG-to-Text Conversion with LLMs")</f>
        <v>Can LLMs Understand Unvoiced Speech? Exploring EMG-to-Text Conversion with LLMs</v>
      </c>
      <c r="C2724" s="7" t="str">
        <f>IFERROR(__xludf.DUMMYFUNCTION("""COMPUTED_VALUE"""),"Unvoiced electromyography (EMG) is an effective communication tool for individuals unable to produce vocal speech. However, most prior methods rely on paired voiced and unvoiced EMG signals, along with speech data, for unvoiced EMG-to-text conversion, whi"&amp;"ch is not practical for these individuals. Given the rise of large language models (LLMs) in speech recognition, we explore their potential to understand unvoiced speech. To this end, we address the challenge of \emph{learning from unvoiced EMG alone} and"&amp;" propose a novel EMG adaptor module that maps EMG features to an LLM’s input space, achieving an average word error rate of 0.49 on a closed-vocabulary unvoiced EMG-to-text task. Even with a conservative data availability of just six minutes, our approach"&amp;" improves performance over specialized models by nearly 20%. While LLMs have been shown to be extendable to new language modalities—such as audio—understanding articulatory biosignals, like unvoiced EMG, is more challenging. This work takes a crucial firs"&amp;"t step toward enabling LLMs to comprehend unvoiced speech using surface EMG.")</f>
        <v>Unvoiced electromyography (EMG) is an effective communication tool for individuals unable to produce vocal speech. However, most prior methods rely on paired voiced and unvoiced EMG signals, along with speech data, for unvoiced EMG-to-text conversion, which is not practical for these individuals. Given the rise of large language models (LLMs) in speech recognition, we explore their potential to understand unvoiced speech. To this end, we address the challenge of \emph{learning from unvoiced EMG alone} and propose a novel EMG adaptor module that maps EMG features to an LLM’s input space, achieving an average word error rate of 0.49 on a closed-vocabulary unvoiced EMG-to-text task. Even with a conservative data availability of just six minutes, our approach improves performance over specialized models by nearly 20%. While LLMs have been shown to be extendable to new language modalities—such as audio—understanding articulatory biosignals, like unvoiced EMG, is more challenging. This work takes a crucial first step toward enabling LLMs to comprehend unvoiced speech using surface EMG.</v>
      </c>
      <c r="D2724" s="7" t="str">
        <f>IFERROR(__xludf.DUMMYFUNCTION("""COMPUTED_VALUE"""),"Qi Zhu")</f>
        <v>Qi Zhu</v>
      </c>
      <c r="E2724" s="7" t="str">
        <f>IFERROR(__xludf.DUMMYFUNCTION("""COMPUTED_VALUE"""),"Yes")</f>
        <v>Yes</v>
      </c>
      <c r="F2724" s="7" t="str">
        <f>IFERROR(__xludf.DUMMYFUNCTION("""COMPUTED_VALUE"""),"IP-Poster")</f>
        <v>IP-Poster</v>
      </c>
      <c r="G2724" s="7" t="str">
        <f>IFERROR(__xludf.DUMMYFUNCTION("""COMPUTED_VALUE"""),"In-Person")</f>
        <v>In-Person</v>
      </c>
      <c r="H2724" s="7" t="str">
        <f>IFERROR(__xludf.DUMMYFUNCTION("""COMPUTED_VALUE"""),"Hall 4/5")</f>
        <v>Hall 4/5</v>
      </c>
      <c r="I2724" s="7" t="str">
        <f>IFERROR(__xludf.DUMMYFUNCTION("""COMPUTED_VALUE"""),"Session 10: IP-Posters")</f>
        <v>Session 10: IP-Posters</v>
      </c>
      <c r="J2724" s="7" t="str">
        <f>IFERROR(__xludf.DUMMYFUNCTION("""COMPUTED_VALUE"""),"Poster Session 3")</f>
        <v>Poster Session 3</v>
      </c>
      <c r="K2724" s="7"/>
      <c r="L2724" s="8">
        <f>IFERROR(__xludf.DUMMYFUNCTION("""COMPUTED_VALUE"""),45867.0)</f>
        <v>45867</v>
      </c>
      <c r="M2724" s="7" t="str">
        <f>IFERROR(__xludf.DUMMYFUNCTION("""COMPUTED_VALUE"""),"16:00-17:30")</f>
        <v>16:00-17:30</v>
      </c>
      <c r="N2724" s="7"/>
    </row>
    <row r="2725">
      <c r="A2725" s="7" t="str">
        <f>IFERROR(__xludf.DUMMYFUNCTION("""COMPUTED_VALUE"""),"2953-MAIN")</f>
        <v>2953-MAIN</v>
      </c>
      <c r="B2725" s="7" t="str">
        <f>IFERROR(__xludf.DUMMYFUNCTION("""COMPUTED_VALUE"""),"CoreEval: Automatically Building Contamination-Resilient Datasets with Real-World Knowledge toward Reliable LLM Evaluation")</f>
        <v>CoreEval: Automatically Building Contamination-Resilient Datasets with Real-World Knowledge toward Reliable LLM Evaluation</v>
      </c>
      <c r="C2725" s="7" t="str">
        <f>IFERROR(__xludf.DUMMYFUNCTION("""COMPUTED_VALUE"""),"Data contamination poses a significant challenge to the fairness of LLM evaluations in natural language processing tasks by inadvertently exposing models to test data during training.
Current studies mitigate this issue by modifying existing datasets or g"&amp;"enerating new ones from freshly collected information. However, these methods fall short of ensuring contamination-resilient evaluation, as they fail to fully eliminate pre-existing knowledge from models or preserve the semantic complexity of the original"&amp;" datasets. To address these limitations, we propose $\textbf{CoreEval}$, a $\textbf{Co}$ntamination-$\textbf{re}$silient $\textbf{Eval}$uation strategy for automatically updating data with real-world knowledge. This approach begins by extracting entity re"&amp;"lationships from the original data and leveraging the GDELT database to retrieve relevant and up-to-date knowledge. The retrieved knowledge is then recontextualized and integrated with the original data, which is refined and restructured to ensure semanti"&amp;"c coherence and enhanced task relevance. Ultimately, a robust data reflection mechanism in a Chain-of-Thought manner to iteratively verify and refine labels, ensuring consistency between the updated and original datasets. Extensive experiments on updated "&amp;"datasets validate the robustness of CoreEval, demonstrating its effectiveness in mitigating performance overestimation caused by data contamination.")</f>
        <v>Data contamination poses a significant challenge to the fairness of LLM evaluations in natural language processing tasks by inadvertently exposing models to test data during training.
Current studies mitigate this issue by modifying existing datasets or generating new ones from freshly collected information. However, these methods fall short of ensuring contamination-resilient evaluation, as they fail to fully eliminate pre-existing knowledge from models or preserve the semantic complexity of the original datasets. To address these limitations, we propose $\textbf{CoreEval}$, a $\textbf{Co}$ntamination-$\textbf{re}$silient $\textbf{Eval}$uation strategy for automatically updating data with real-world knowledge. This approach begins by extracting entity relationships from the original data and leveraging the GDELT database to retrieve relevant and up-to-date knowledge. The retrieved knowledge is then recontextualized and integrated with the original data, which is refined and restructured to ensure semantic coherence and enhanced task relevance. Ultimately, a robust data reflection mechanism in a Chain-of-Thought manner to iteratively verify and refine labels, ensuring consistency between the updated and original datasets. Extensive experiments on updated datasets validate the robustness of CoreEval, demonstrating its effectiveness in mitigating performance overestimation caused by data contamination.</v>
      </c>
      <c r="D2725" s="7" t="str">
        <f>IFERROR(__xludf.DUMMYFUNCTION("""COMPUTED_VALUE"""),"Jingqian Zhao")</f>
        <v>Jingqian Zhao</v>
      </c>
      <c r="E2725" s="7" t="str">
        <f>IFERROR(__xludf.DUMMYFUNCTION("""COMPUTED_VALUE"""),"Yes")</f>
        <v>Yes</v>
      </c>
      <c r="F2725" s="7" t="str">
        <f>IFERROR(__xludf.DUMMYFUNCTION("""COMPUTED_VALUE"""),"IP-Poster")</f>
        <v>IP-Poster</v>
      </c>
      <c r="G2725" s="7" t="str">
        <f>IFERROR(__xludf.DUMMYFUNCTION("""COMPUTED_VALUE"""),"In-Person")</f>
        <v>In-Person</v>
      </c>
      <c r="H2725" s="7" t="str">
        <f>IFERROR(__xludf.DUMMYFUNCTION("""COMPUTED_VALUE"""),"Hall 4/5")</f>
        <v>Hall 4/5</v>
      </c>
      <c r="I2725" s="7" t="str">
        <f>IFERROR(__xludf.DUMMYFUNCTION("""COMPUTED_VALUE"""),"Session 10: IP-Posters")</f>
        <v>Session 10: IP-Posters</v>
      </c>
      <c r="J2725" s="7" t="str">
        <f>IFERROR(__xludf.DUMMYFUNCTION("""COMPUTED_VALUE"""),"Poster Session 3")</f>
        <v>Poster Session 3</v>
      </c>
      <c r="K2725" s="7"/>
      <c r="L2725" s="8">
        <f>IFERROR(__xludf.DUMMYFUNCTION("""COMPUTED_VALUE"""),45867.0)</f>
        <v>45867</v>
      </c>
      <c r="M2725" s="7" t="str">
        <f>IFERROR(__xludf.DUMMYFUNCTION("""COMPUTED_VALUE"""),"16:00-17:30")</f>
        <v>16:00-17:30</v>
      </c>
      <c r="N2725" s="7"/>
    </row>
    <row r="2726">
      <c r="A2726" s="7" t="str">
        <f>IFERROR(__xludf.DUMMYFUNCTION("""COMPUTED_VALUE"""),"2955-MAIN")</f>
        <v>2955-MAIN</v>
      </c>
      <c r="B2726" s="7" t="str">
        <f>IFERROR(__xludf.DUMMYFUNCTION("""COMPUTED_VALUE"""),"RiOT: Efficient Prompt Refinement with Residual Optimization Tree")</f>
        <v>RiOT: Efficient Prompt Refinement with Residual Optimization Tree</v>
      </c>
      <c r="C2726" s="7" t="str">
        <f>IFERROR(__xludf.DUMMYFUNCTION("""COMPUTED_VALUE"""),"Recent advancements in large language models (LLMs) have highlighted their potential across a variety of tasks, but their performance still heavily relies on the design of effective prompts. Existing methods for automatic prompt optimization face two chal"&amp;"lenges: lack of diversity, limiting the exploration of valuable and innovative directions and semantic drift, where optimizations for one task can degrade performance in others. To address these issues, we propose Residual Optimization Tree (RiOT), a nove"&amp;"l framework for automatic prompt optimization. RiOT iteratively refines prompts through text gradients, generating multiple semantically diverse candidates at each step, and selects the best prompt using perplexity. Additionally, RiOT incorporates the tex"&amp;"t residual connection to mitigate semantic drift by selectively retaining beneficial content across optimization iterations. A tree structure efficiently manages the optimization process, ensuring scalability and flexibility. Extensive experiments across "&amp;"five benchmarks — covering commonsense, mathematical, logical, temporal, and semantic reasoning — demonstrate that RiOT outperforms both previous prompt optimization methods and manual prompting. Code will be released.")</f>
        <v>Recent advancements in large language models (LLMs) have highlighted their potential across a variety of tasks, but their performance still heavily relies on the design of effective prompts. Existing methods for automatic prompt optimization face two challenges: lack of diversity, limiting the exploration of valuable and innovative directions and semantic drift, where optimizations for one task can degrade performance in others. To address these issues, we propose Residual Optimization Tree (RiOT), a novel framework for automatic prompt optimization. RiOT iteratively refines prompts through text gradients, generating multiple semantically diverse candidates at each step, and selects the best prompt using perplexity. Additionally, RiOT incorporates the text residual connection to mitigate semantic drift by selectively retaining beneficial content across optimization iterations. A tree structure efficiently manages the optimization process, ensuring scalability and flexibility. Extensive experiments across five benchmarks — covering commonsense, mathematical, logical, temporal, and semantic reasoning — demonstrate that RiOT outperforms both previous prompt optimization methods and manual prompting. Code will be released.</v>
      </c>
      <c r="D2726" s="7" t="str">
        <f>IFERROR(__xludf.DUMMYFUNCTION("""COMPUTED_VALUE"""),"Chenyi Zhou")</f>
        <v>Chenyi Zhou</v>
      </c>
      <c r="E2726" s="7" t="str">
        <f>IFERROR(__xludf.DUMMYFUNCTION("""COMPUTED_VALUE"""),"Yes")</f>
        <v>Yes</v>
      </c>
      <c r="F2726" s="7" t="str">
        <f>IFERROR(__xludf.DUMMYFUNCTION("""COMPUTED_VALUE"""),"IP-Poster")</f>
        <v>IP-Poster</v>
      </c>
      <c r="G2726" s="7" t="str">
        <f>IFERROR(__xludf.DUMMYFUNCTION("""COMPUTED_VALUE"""),"In-Person")</f>
        <v>In-Person</v>
      </c>
      <c r="H2726" s="7" t="str">
        <f>IFERROR(__xludf.DUMMYFUNCTION("""COMPUTED_VALUE"""),"Hall 4/5")</f>
        <v>Hall 4/5</v>
      </c>
      <c r="I2726" s="7" t="str">
        <f>IFERROR(__xludf.DUMMYFUNCTION("""COMPUTED_VALUE"""),"Session 12: IP-Posters")</f>
        <v>Session 12: IP-Posters</v>
      </c>
      <c r="J2726" s="7" t="str">
        <f>IFERROR(__xludf.DUMMYFUNCTION("""COMPUTED_VALUE"""),"Poster Session 4")</f>
        <v>Poster Session 4</v>
      </c>
      <c r="K2726" s="7"/>
      <c r="L2726" s="8">
        <f>IFERROR(__xludf.DUMMYFUNCTION("""COMPUTED_VALUE"""),45868.0)</f>
        <v>45868</v>
      </c>
      <c r="M2726" s="7" t="str">
        <f>IFERROR(__xludf.DUMMYFUNCTION("""COMPUTED_VALUE"""),"11:00-12:30")</f>
        <v>11:00-12:30</v>
      </c>
      <c r="N2726" s="7"/>
    </row>
    <row r="2727">
      <c r="A2727" s="7" t="str">
        <f>IFERROR(__xludf.DUMMYFUNCTION("""COMPUTED_VALUE"""),"2959-MAIN")</f>
        <v>2959-MAIN</v>
      </c>
      <c r="B2727" s="7" t="str">
        <f>IFERROR(__xludf.DUMMYFUNCTION("""COMPUTED_VALUE"""),"Caution for the Environment: LLM Agents are Susceptible to Environmental Distractions")</f>
        <v>Caution for the Environment: LLM Agents are Susceptible to Environmental Distractions</v>
      </c>
      <c r="C2727" s="7" t="str">
        <f>IFERROR(__xludf.DUMMYFUNCTION("""COMPUTED_VALUE"""),"This paper investigates the faithfulness of multimodal large language model (MLLM) agents in a graphical user interface (GUI) environment, aiming to address the research question of whether multimodal GUI agents can be distracted by environmental context."&amp;" A general scenario is proposed where both the user and the agent are benign, and the environment, while not malicious, contains unrelated content. A wide range of MLLMs are evaluated as GUI agents using a simulated dataset, following three working patter"&amp;"ns with different levels of perception. Experimental results reveal that even the most powerful models, whether generalist agents or specialist GUI agents, are susceptible to distractions. While recent studies predominantly focus on the helpfulness of age"&amp;"nts, our findings first indicate that these agents are prone to environmental distractions. Furthermore, we implement an adversarial environment injection and analyze the approach to improve faithfulness, calling for a collective focus on this important t"&amp;"opic.")</f>
        <v>This paper investigates the faithfulness of multimodal large language model (MLLM) agents in a graphical user interface (GUI) environment, aiming to address the research question of whether multimodal GUI agents can be distracted by environmental context. A general scenario is proposed where both the user and the agent are benign, and the environment, while not malicious, contains unrelated content. A wide range of MLLMs are evaluated as GUI agents using a simulated dataset, following three working patterns with different levels of perception. Experimental results reveal that even the most powerful models, whether generalist agents or specialist GUI agents, are susceptible to distractions. While recent studies predominantly focus on the helpfulness of agents, our findings first indicate that these agents are prone to environmental distractions. Furthermore, we implement an adversarial environment injection and analyze the approach to improve faithfulness, calling for a collective focus on this important topic.</v>
      </c>
      <c r="D2727" s="7" t="str">
        <f>IFERROR(__xludf.DUMMYFUNCTION("""COMPUTED_VALUE"""),"Xinbei Ma")</f>
        <v>Xinbei Ma</v>
      </c>
      <c r="E2727" s="7" t="str">
        <f>IFERROR(__xludf.DUMMYFUNCTION("""COMPUTED_VALUE"""),"Yes")</f>
        <v>Yes</v>
      </c>
      <c r="F2727" s="7" t="str">
        <f>IFERROR(__xludf.DUMMYFUNCTION("""COMPUTED_VALUE"""),"IP-Poster")</f>
        <v>IP-Poster</v>
      </c>
      <c r="G2727" s="7" t="str">
        <f>IFERROR(__xludf.DUMMYFUNCTION("""COMPUTED_VALUE"""),"In-Person")</f>
        <v>In-Person</v>
      </c>
      <c r="H2727" s="7" t="str">
        <f>IFERROR(__xludf.DUMMYFUNCTION("""COMPUTED_VALUE"""),"Hall 4/5")</f>
        <v>Hall 4/5</v>
      </c>
      <c r="I2727" s="7" t="str">
        <f>IFERROR(__xludf.DUMMYFUNCTION("""COMPUTED_VALUE"""),"Session 2: IP-Posters ")</f>
        <v>Session 2: IP-Posters </v>
      </c>
      <c r="J2727" s="7" t="str">
        <f>IFERROR(__xludf.DUMMYFUNCTION("""COMPUTED_VALUE"""),"Poster Session 1")</f>
        <v>Poster Session 1</v>
      </c>
      <c r="K2727" s="7"/>
      <c r="L2727" s="8">
        <f>IFERROR(__xludf.DUMMYFUNCTION("""COMPUTED_VALUE"""),45866.0)</f>
        <v>45866</v>
      </c>
      <c r="M2727" s="7" t="str">
        <f>IFERROR(__xludf.DUMMYFUNCTION("""COMPUTED_VALUE"""),"11:00-12:30")</f>
        <v>11:00-12:30</v>
      </c>
      <c r="N2727" s="7"/>
    </row>
    <row r="2728">
      <c r="A2728" s="7" t="str">
        <f>IFERROR(__xludf.DUMMYFUNCTION("""COMPUTED_VALUE"""),"2960-MAIN")</f>
        <v>2960-MAIN</v>
      </c>
      <c r="B2728" s="7" t="str">
        <f>IFERROR(__xludf.DUMMYFUNCTION("""COMPUTED_VALUE"""),"Decoder-Only LLMs can be Masked Auto-Encoders")</f>
        <v>Decoder-Only LLMs can be Masked Auto-Encoders</v>
      </c>
      <c r="C2728" s="7" t="str">
        <f>IFERROR(__xludf.DUMMYFUNCTION("""COMPUTED_VALUE"""),"Modern NLP workflows (e.g., RAG systems) require different models for generation and embedding tasks, where bidirectional pre-trained encoders and decoder-only Large Language Models (LLMs) dominate respective tasks. Structural differences between models r"&amp;"esult in extra development costs and limit knowledge sharing between tasks. In this work, we present UniMAE, a novel unsupervised training method that transforms an Decoder-Only LLM into a \textbf{Uni}-Directional \textbf{M}asked \textbf{A}uto-\textbf{E}n"&amp;"coder. UniMAE compresses high-quality semantic information into the [EOS] embedding while preserving the generation capabilities of LLMs. Comprehensive evaluations across 56 MTEB datasets demonstrate that UniMAE can achieve state-of-the-art results under "&amp;"unsupervised settings with merely 100 training steps, establishing the first effective approach to unifying generation and representation learning in decoder-only architectures.")</f>
        <v>Modern NLP workflows (e.g., RAG systems) require different models for generation and embedding tasks, where bidirectional pre-trained encoders and decoder-only Large Language Models (LLMs) dominate respective tasks. Structural differences between models result in extra development costs and limit knowledge sharing between tasks. In this work, we present UniMAE, a novel unsupervised training method that transforms an Decoder-Only LLM into a \textbf{Uni}-Directional \textbf{M}asked \textbf{A}uto-\textbf{E}ncoder. UniMAE compresses high-quality semantic information into the [EOS] embedding while preserving the generation capabilities of LLMs. Comprehensive evaluations across 56 MTEB datasets demonstrate that UniMAE can achieve state-of-the-art results under unsupervised settings with merely 100 training steps, establishing the first effective approach to unifying generation and representation learning in decoder-only architectures.</v>
      </c>
      <c r="D2728" s="7" t="str">
        <f>IFERROR(__xludf.DUMMYFUNCTION("""COMPUTED_VALUE"""),"Dan Qiao")</f>
        <v>Dan Qiao</v>
      </c>
      <c r="E2728" s="7" t="str">
        <f>IFERROR(__xludf.DUMMYFUNCTION("""COMPUTED_VALUE"""),"Yes")</f>
        <v>Yes</v>
      </c>
      <c r="F2728" s="7" t="str">
        <f>IFERROR(__xludf.DUMMYFUNCTION("""COMPUTED_VALUE"""),"IP-Poster")</f>
        <v>IP-Poster</v>
      </c>
      <c r="G2728" s="7" t="str">
        <f>IFERROR(__xludf.DUMMYFUNCTION("""COMPUTED_VALUE"""),"In-Person")</f>
        <v>In-Person</v>
      </c>
      <c r="H2728" s="7" t="str">
        <f>IFERROR(__xludf.DUMMYFUNCTION("""COMPUTED_VALUE"""),"Hall 4/5")</f>
        <v>Hall 4/5</v>
      </c>
      <c r="I2728" s="7" t="str">
        <f>IFERROR(__xludf.DUMMYFUNCTION("""COMPUTED_VALUE"""),"Session 7: IP-Posters")</f>
        <v>Session 7: IP-Posters</v>
      </c>
      <c r="J2728" s="7" t="str">
        <f>IFERROR(__xludf.DUMMYFUNCTION("""COMPUTED_VALUE"""),"Poster Session 2")</f>
        <v>Poster Session 2</v>
      </c>
      <c r="K2728" s="7"/>
      <c r="L2728" s="8">
        <f>IFERROR(__xludf.DUMMYFUNCTION("""COMPUTED_VALUE"""),45867.0)</f>
        <v>45867</v>
      </c>
      <c r="M2728" s="7" t="str">
        <f>IFERROR(__xludf.DUMMYFUNCTION("""COMPUTED_VALUE"""),"10:30-12:00")</f>
        <v>10:30-12:00</v>
      </c>
      <c r="N2728" s="7"/>
    </row>
    <row r="2729">
      <c r="A2729" s="7" t="str">
        <f>IFERROR(__xludf.DUMMYFUNCTION("""COMPUTED_VALUE"""),"2962-MAIN")</f>
        <v>2962-MAIN</v>
      </c>
      <c r="B2729" s="7" t="str">
        <f>IFERROR(__xludf.DUMMYFUNCTION("""COMPUTED_VALUE"""),"Automatic Evaluation for Text-to-image Generation: Task-decomposed Framework, Distilled Training, and Meta-evaluation Benchmark")</f>
        <v>Automatic Evaluation for Text-to-image Generation: Task-decomposed Framework, Distilled Training, and Meta-evaluation Benchmark</v>
      </c>
      <c r="C2729" s="7" t="str">
        <f>IFERROR(__xludf.DUMMYFUNCTION("""COMPUTED_VALUE"""),"Driven by the remarkable progress in diffusion models, text-to-image generation has achieved substantial advancements, underscoring the urgent need for robust automatic quality assessment. This task is inherently complex, requiring evaluations that range "&amp;"from object presence and attribute correctness to relational consistency and visual fidelity. Consequently, current state-of-the-art MLLM-based approaches often rely on powerful commercial models such as GPT-4o, which offer superior reasoning and instruct"&amp;"ion-following capabilities but are not universally accessible. In contrast, while open-source MLLMs demonstrate promising skills in vision and language understanding, they underperform in comprehensive image quality assessment.
To address these challenges"&amp;", we propose a task decomposition evaluation framework based on GPT-4o to automatically construct a specialized training dataset, breaking down the multifaceted evaluation process into simpler sub-tasks and thus reducing learning complexity. Building on t"&amp;"his dataset, we design novel training strategies to distill GPT-4o’s evaluation capabilities into a $7\text{B}$ open-source MLLM, MiniCPM-V-2.6, enabling it to better follow instructions across diverse assessment criteria. Furthermore, to reliably and com"&amp;"prehensively assess prior works and our proposed model, we manually annotate a meta-evaluation benchmark that includes chain-of-thought explanations alongside quality scores for generated images.
Experimental results demonstrate that our distilled open-so"&amp;"urce MLLM significantly outperforms the current state-of-the-art GPT-4o-base baseline, VIEScore, with over 4.6\% improvement in Spearman and Kendall correlations with human judgments.")</f>
        <v>Driven by the remarkable progress in diffusion models, text-to-image generation has achieved substantial advancements, underscoring the urgent need for robust automatic quality assessment. This task is inherently complex, requiring evaluations that range from object presence and attribute correctness to relational consistency and visual fidelity. Consequently, current state-of-the-art MLLM-based approaches often rely on powerful commercial models such as GPT-4o, which offer superior reasoning and instruction-following capabilities but are not universally accessible. In contrast, while open-source MLLMs demonstrate promising skills in vision and language understanding, they underperform in comprehensive image quality assessment.
To address these challenges, we propose a task decomposition evaluation framework based on GPT-4o to automatically construct a specialized training dataset, breaking down the multifaceted evaluation process into simpler sub-tasks and thus reducing learning complexity. Building on this dataset, we design novel training strategies to distill GPT-4o’s evaluation capabilities into a $7\text{B}$ open-source MLLM, MiniCPM-V-2.6, enabling it to better follow instructions across diverse assessment criteria. Furthermore, to reliably and comprehensively assess prior works and our proposed model, we manually annotate a meta-evaluation benchmark that includes chain-of-thought explanations alongside quality scores for generated images.
Experimental results demonstrate that our distilled open-source MLLM significantly outperforms the current state-of-the-art GPT-4o-base baseline, VIEScore, with over 4.6\% improvement in Spearman and Kendall correlations with human judgments.</v>
      </c>
      <c r="D2729" s="7" t="str">
        <f>IFERROR(__xludf.DUMMYFUNCTION("""COMPUTED_VALUE"""),"Rong-Cheng Tu")</f>
        <v>Rong-Cheng Tu</v>
      </c>
      <c r="E2729" s="7" t="str">
        <f>IFERROR(__xludf.DUMMYFUNCTION("""COMPUTED_VALUE"""),"Yes")</f>
        <v>Yes</v>
      </c>
      <c r="F2729" s="7" t="str">
        <f>IFERROR(__xludf.DUMMYFUNCTION("""COMPUTED_VALUE"""),"IP-Poster")</f>
        <v>IP-Poster</v>
      </c>
      <c r="G2729" s="7" t="str">
        <f>IFERROR(__xludf.DUMMYFUNCTION("""COMPUTED_VALUE"""),"In-Person")</f>
        <v>In-Person</v>
      </c>
      <c r="H2729" s="7" t="str">
        <f>IFERROR(__xludf.DUMMYFUNCTION("""COMPUTED_VALUE"""),"Hall 4/5")</f>
        <v>Hall 4/5</v>
      </c>
      <c r="I2729" s="7" t="str">
        <f>IFERROR(__xludf.DUMMYFUNCTION("""COMPUTED_VALUE"""),"Session 12: IP-Posters")</f>
        <v>Session 12: IP-Posters</v>
      </c>
      <c r="J2729" s="7" t="str">
        <f>IFERROR(__xludf.DUMMYFUNCTION("""COMPUTED_VALUE"""),"Poster Session 4")</f>
        <v>Poster Session 4</v>
      </c>
      <c r="K2729" s="7"/>
      <c r="L2729" s="8">
        <f>IFERROR(__xludf.DUMMYFUNCTION("""COMPUTED_VALUE"""),45868.0)</f>
        <v>45868</v>
      </c>
      <c r="M2729" s="7" t="str">
        <f>IFERROR(__xludf.DUMMYFUNCTION("""COMPUTED_VALUE"""),"11:00-12:30")</f>
        <v>11:00-12:30</v>
      </c>
      <c r="N2729" s="7"/>
    </row>
    <row r="2730">
      <c r="A2730" s="7" t="str">
        <f>IFERROR(__xludf.DUMMYFUNCTION("""COMPUTED_VALUE"""),"2963-MAIN")</f>
        <v>2963-MAIN</v>
      </c>
      <c r="B2730" s="7" t="str">
        <f>IFERROR(__xludf.DUMMYFUNCTION("""COMPUTED_VALUE"""),"Mitigating Lost-in-Retrieval Problems in Retrieval Augmented Multi-Hop Question Answering")</f>
        <v>Mitigating Lost-in-Retrieval Problems in Retrieval Augmented Multi-Hop Question Answering</v>
      </c>
      <c r="C2730" s="7" t="str">
        <f>IFERROR(__xludf.DUMMYFUNCTION("""COMPUTED_VALUE"""),"In this paper, we identify a critical problem, ""lost-in-retrieval"", in retrieval-augmented multi-hop question answering (QA): the key entities are missed in LLMs' sub-question decomposition. ""Lost-in-retrieval"" significantly degrades the retrieval per"&amp;"formance, which disrupts the reasoning chain and leads to the incorrect answers. To resolve this problem, we propose a progressive retrieval and rewriting method, namely ChainRAG, which sequentially handles each sub-question by completing missing key enti"&amp;"ties and retrieving relevant sentences from a sentence graph for answer generation. Each step in our retrieval and rewriting process builds upon the previous one, creating a seamless chain that leads to accurate retrieval and answers. Finally, all retriev"&amp;"ed sentences and sub-question answers are integrated to generate a comprehensive answer to the original question. We evaluate ChainRAG on three multi-hop QA datasets—MuSiQue, 2Wiki, and HotpotQA—using three large language models: GPT4o-mini, Qwen2.5-72B, "&amp;"and GLM-4-Plus. Empirical results demonstrate that ChainRAG consistently outperforms baselines in both effectiveness and efficiency.")</f>
        <v>In this paper, we identify a critical problem, "lost-in-retrieval", in retrieval-augmented multi-hop question answering (QA): the key entities are missed in LLMs' sub-question decomposition. "Lost-in-retrieval" significantly degrades the retrieval performance, which disrupts the reasoning chain and leads to the incorrect answers. To resolve this problem, we propose a progressive retrieval and rewriting method, namely ChainRAG, which sequentially handles each sub-question by completing missing key entities and retrieving relevant sentences from a sentence graph for answer generation. Each step in our retrieval and rewriting process builds upon the previous one, creating a seamless chain that leads to accurate retrieval and answers. Finally, all retrieved sentences and sub-question answers are integrated to generate a comprehensive answer to the original question. We evaluate ChainRAG on three multi-hop QA datasets—MuSiQue, 2Wiki, and HotpotQA—using three large language models: GPT4o-mini, Qwen2.5-72B, and GLM-4-Plus. Empirical results demonstrate that ChainRAG consistently outperforms baselines in both effectiveness and efficiency.</v>
      </c>
      <c r="D2730" s="7" t="str">
        <f>IFERROR(__xludf.DUMMYFUNCTION("""COMPUTED_VALUE"""),"Rongzhi Zhu")</f>
        <v>Rongzhi Zhu</v>
      </c>
      <c r="E2730" s="7" t="str">
        <f>IFERROR(__xludf.DUMMYFUNCTION("""COMPUTED_VALUE"""),"Yes")</f>
        <v>Yes</v>
      </c>
      <c r="F2730" s="7" t="str">
        <f>IFERROR(__xludf.DUMMYFUNCTION("""COMPUTED_VALUE"""),"IP-Poster")</f>
        <v>IP-Poster</v>
      </c>
      <c r="G2730" s="7" t="str">
        <f>IFERROR(__xludf.DUMMYFUNCTION("""COMPUTED_VALUE"""),"In-Person")</f>
        <v>In-Person</v>
      </c>
      <c r="H2730" s="7" t="str">
        <f>IFERROR(__xludf.DUMMYFUNCTION("""COMPUTED_VALUE"""),"Hall 4/5")</f>
        <v>Hall 4/5</v>
      </c>
      <c r="I2730" s="7" t="str">
        <f>IFERROR(__xludf.DUMMYFUNCTION("""COMPUTED_VALUE"""),"Session 2: IP-Posters ")</f>
        <v>Session 2: IP-Posters </v>
      </c>
      <c r="J2730" s="7" t="str">
        <f>IFERROR(__xludf.DUMMYFUNCTION("""COMPUTED_VALUE"""),"Poster Session 1")</f>
        <v>Poster Session 1</v>
      </c>
      <c r="K2730" s="7"/>
      <c r="L2730" s="8">
        <f>IFERROR(__xludf.DUMMYFUNCTION("""COMPUTED_VALUE"""),45866.0)</f>
        <v>45866</v>
      </c>
      <c r="M2730" s="7" t="str">
        <f>IFERROR(__xludf.DUMMYFUNCTION("""COMPUTED_VALUE"""),"11:00-12:30")</f>
        <v>11:00-12:30</v>
      </c>
      <c r="N2730" s="7"/>
    </row>
    <row r="2731">
      <c r="A2731" s="7" t="str">
        <f>IFERROR(__xludf.DUMMYFUNCTION("""COMPUTED_VALUE"""),"2966-MAIN")</f>
        <v>2966-MAIN</v>
      </c>
      <c r="B2731" s="7" t="str">
        <f>IFERROR(__xludf.DUMMYFUNCTION("""COMPUTED_VALUE"""),"TableLoRA: Low-rank Adaptation on Table Structure Understanding for Large Language Models")</f>
        <v>TableLoRA: Low-rank Adaptation on Table Structure Understanding for Large Language Models</v>
      </c>
      <c r="C2731" s="7" t="str">
        <f>IFERROR(__xludf.DUMMYFUNCTION("""COMPUTED_VALUE"""),"Tabular data are crucial in many fields and their understanding by large language models (LLMs) under high parameter efficiency paradigm  is important. However, directly applying parameter-efficient fine-tuning (PEFT) techniques to tabular tasks presents "&amp;"significant challenges, particularly in terms of better table serialization and the representation of two-dimensional structured information within a one-dimensional sequence. To address this, we propose TableLoRA, a module designed to improve LLMs' under"&amp;"standing of table structure during PEFT. It incorporates special tokens for serializing tables with special token encoder and uses 2D LoRA to encode low-rank information on cell positions. Experiments on four tabular-related datasets demonstrate that Tabl"&amp;"eLoRA consistently outperforms vanilla LoRA and surpasses various table encoding methods tested in control experiments. These findings reveal that TableLoRA, as a table-specific LoRA, enhances the ability of LLMs to process tabular data effectively, espec"&amp;"ially in low-parameter settings, demonstrating its potential as a robust solution for handling table-related tasks.")</f>
        <v>Tabular data are crucial in many fields and their understanding by large language models (LLMs) under high parameter efficiency paradigm  is important. However, directly applying parameter-efficient fine-tuning (PEFT) techniques to tabular tasks presents significant challenges, particularly in terms of better table serialization and the representation of two-dimensional structured information within a one-dimensional sequence. To address this, we propose TableLoRA, a module designed to improve LLMs' understanding of table structure during PEFT. It incorporates special tokens for serializing tables with special token encoder and uses 2D LoRA to encode low-rank information on cell positions. Experiments on four tabular-related datasets demonstrate that TableLoRA consistently outperforms vanilla LoRA and surpasses various table encoding methods tested in control experiments. These findings reveal that TableLoRA, as a table-specific LoRA, enhances the ability of LLMs to process tabular data effectively, especially in low-parameter settings, demonstrating its potential as a robust solution for handling table-related tasks.</v>
      </c>
      <c r="D2731" s="7" t="str">
        <f>IFERROR(__xludf.DUMMYFUNCTION("""COMPUTED_VALUE"""),"Xinyi He")</f>
        <v>Xinyi He</v>
      </c>
      <c r="E2731" s="7" t="str">
        <f>IFERROR(__xludf.DUMMYFUNCTION("""COMPUTED_VALUE"""),"Yes")</f>
        <v>Yes</v>
      </c>
      <c r="F2731" s="7" t="str">
        <f>IFERROR(__xludf.DUMMYFUNCTION("""COMPUTED_VALUE"""),"IP-Poster")</f>
        <v>IP-Poster</v>
      </c>
      <c r="G2731" s="7" t="str">
        <f>IFERROR(__xludf.DUMMYFUNCTION("""COMPUTED_VALUE"""),"In-Person")</f>
        <v>In-Person</v>
      </c>
      <c r="H2731" s="7" t="str">
        <f>IFERROR(__xludf.DUMMYFUNCTION("""COMPUTED_VALUE"""),"Hall 4/5")</f>
        <v>Hall 4/5</v>
      </c>
      <c r="I2731" s="7" t="str">
        <f>IFERROR(__xludf.DUMMYFUNCTION("""COMPUTED_VALUE"""),"Session 12: IP-Posters")</f>
        <v>Session 12: IP-Posters</v>
      </c>
      <c r="J2731" s="7" t="str">
        <f>IFERROR(__xludf.DUMMYFUNCTION("""COMPUTED_VALUE"""),"Poster Session 4")</f>
        <v>Poster Session 4</v>
      </c>
      <c r="K2731" s="7"/>
      <c r="L2731" s="8">
        <f>IFERROR(__xludf.DUMMYFUNCTION("""COMPUTED_VALUE"""),45868.0)</f>
        <v>45868</v>
      </c>
      <c r="M2731" s="7" t="str">
        <f>IFERROR(__xludf.DUMMYFUNCTION("""COMPUTED_VALUE"""),"11:00-12:30")</f>
        <v>11:00-12:30</v>
      </c>
      <c r="N2731" s="7"/>
    </row>
    <row r="2732">
      <c r="A2732" s="7" t="str">
        <f>IFERROR(__xludf.DUMMYFUNCTION("""COMPUTED_VALUE"""),"2974-MAIN")</f>
        <v>2974-MAIN</v>
      </c>
      <c r="B2732" s="7" t="str">
        <f>IFERROR(__xludf.DUMMYFUNCTION("""COMPUTED_VALUE"""),"Condor: Enhance LLM Alignment with Knowledge-Driven Data Synthesis and Refinement")</f>
        <v>Condor: Enhance LLM Alignment with Knowledge-Driven Data Synthesis and Refinement</v>
      </c>
      <c r="C2732" s="7" t="str">
        <f>IFERROR(__xludf.DUMMYFUNCTION("""COMPUTED_VALUE"""),"The quality of Supervised Fine-Tuning (SFT) data plays a critical role in enhancing the conversational capabilities of Large Language Models (LLMs). However, the availability of high-quality human-annotated SFT data has become a significant bottleneck for"&amp;" LLMs, necessitating a greater reliance on synthetic training data. In this work, we introduce Condor, a two-stage synthetic data generation framework that incorporates World Knowledge Trees and Self-Reflection Refinement to produce high-quality SFT data "&amp;"at scale. Our experimental results demonstrate that a base model fine-tuned on only 20K Condor-generated samples achieves superior performance compared to instruct model trained with RLHF. The additional refinement stage in Condor further enables iterativ"&amp;"e self-improvement for LLMs at various scales (up to 72B), validating the effectiveness of our approach. Furthermore, our investigation into the scaling of synthetic data in post-training reveals substantial unexplored potential for performance improvemen"&amp;"ts, opening promising avenues for future research.")</f>
        <v>The quality of Supervised Fine-Tuning (SFT) data plays a critical role in enhancing the conversational capabilities of Large Language Models (LLMs). However, the availability of high-quality human-annotated SFT data has become a significant bottleneck for LLMs, necessitating a greater reliance on synthetic training data. In this work, we introduce Condor, a two-stage synthetic data generation framework that incorporates World Knowledge Trees and Self-Reflection Refinement to produce high-quality SFT data at scale. Our experimental results demonstrate that a base model fine-tuned on only 20K Condor-generated samples achieves superior performance compared to instruct model trained with RLHF. The additional refinement stage in Condor further enables iterative self-improvement for LLMs at various scales (up to 72B), validating the effectiveness of our approach. Furthermore, our investigation into the scaling of synthetic data in post-training reveals substantial unexplored potential for performance improvements, opening promising avenues for future research.</v>
      </c>
      <c r="D2732" s="7" t="str">
        <f>IFERROR(__xludf.DUMMYFUNCTION("""COMPUTED_VALUE"""),"Maosong Cao")</f>
        <v>Maosong Cao</v>
      </c>
      <c r="E2732" s="7" t="str">
        <f>IFERROR(__xludf.DUMMYFUNCTION("""COMPUTED_VALUE"""),"Yes")</f>
        <v>Yes</v>
      </c>
      <c r="F2732" s="7" t="str">
        <f>IFERROR(__xludf.DUMMYFUNCTION("""COMPUTED_VALUE"""),"IP-Poster")</f>
        <v>IP-Poster</v>
      </c>
      <c r="G2732" s="7" t="str">
        <f>IFERROR(__xludf.DUMMYFUNCTION("""COMPUTED_VALUE"""),"In-Person")</f>
        <v>In-Person</v>
      </c>
      <c r="H2732" s="7" t="str">
        <f>IFERROR(__xludf.DUMMYFUNCTION("""COMPUTED_VALUE"""),"Hall 4/5")</f>
        <v>Hall 4/5</v>
      </c>
      <c r="I2732" s="7" t="str">
        <f>IFERROR(__xludf.DUMMYFUNCTION("""COMPUTED_VALUE"""),"Session 2: IP-Posters ")</f>
        <v>Session 2: IP-Posters </v>
      </c>
      <c r="J2732" s="7" t="str">
        <f>IFERROR(__xludf.DUMMYFUNCTION("""COMPUTED_VALUE"""),"Poster Session 1")</f>
        <v>Poster Session 1</v>
      </c>
      <c r="K2732" s="7"/>
      <c r="L2732" s="8">
        <f>IFERROR(__xludf.DUMMYFUNCTION("""COMPUTED_VALUE"""),45866.0)</f>
        <v>45866</v>
      </c>
      <c r="M2732" s="7" t="str">
        <f>IFERROR(__xludf.DUMMYFUNCTION("""COMPUTED_VALUE"""),"11:00-12:30")</f>
        <v>11:00-12:30</v>
      </c>
      <c r="N2732" s="7"/>
    </row>
    <row r="2733">
      <c r="A2733" s="7" t="str">
        <f>IFERROR(__xludf.DUMMYFUNCTION("""COMPUTED_VALUE"""),"2976-MAIN")</f>
        <v>2976-MAIN</v>
      </c>
      <c r="B2733" s="7" t="str">
        <f>IFERROR(__xludf.DUMMYFUNCTION("""COMPUTED_VALUE"""),"CulFiT: A Fine-grained Cultural-aware LLM Training Paradigm via Multilingual Critique Data Synthesis")</f>
        <v>CulFiT: A Fine-grained Cultural-aware LLM Training Paradigm via Multilingual Critique Data Synthesis</v>
      </c>
      <c r="C2733" s="7" t="str">
        <f>IFERROR(__xludf.DUMMYFUNCTION("""COMPUTED_VALUE"""),"Large Language Models (LLMs) have demonstrated remarkable capabilities across various tasks, yet they often exhibit a specific cultural bias, neglecting the values and linguistic diversity of low-resource regions. This cultural bias not only undermines un"&amp;"iversal equality but also risks reinforcing stereotypes and perpetuating discrimination. To address this, we propose CulFiT, a novel culturally-aware training paradigm that leverages multilingual data and fine-grained reward modeling to enhance cultural s"&amp;"ensitivity and inclusivity. Our approach synthesizes diverse cultural-related questions, constructs critique data in multiple culturally relevant languages, and employs fine-grained rewards to decompose cultural texts into verifiable knowledge units for i"&amp;"nterpretable evaluation. We also introduce GlobalOpinionQA, a multilingual open-ended question-answering dataset designed to evaluate culturally-aware responses in a global context. Extensive experiments on three existing benchmarks and our GlobalOpinionQ"&amp;"A demonstrate that CulFiT achieves state-of-the-art open-source model performance in cultural alignment and general reasoning.")</f>
        <v>Large Language Models (LLMs) have demonstrated remarkable capabilities across various tasks, yet they often exhibit a specific cultural bias, neglecting the values and linguistic diversity of low-resource regions. This cultural bias not only undermines universal equality but also risks reinforcing stereotypes and perpetuating discrimination. To address this, we propose CulFiT, a novel culturally-aware training paradigm that leverages multilingual data and fine-grained reward modeling to enhance cultural sensitivity and inclusivity. Our approach synthesizes diverse cultural-related questions, constructs critique data in multiple culturally relevant languages, and employs fine-grained rewards to decompose cultural texts into verifiable knowledge units for interpretable evaluation. We also introduce GlobalOpinionQA, a multilingual open-ended question-answering dataset designed to evaluate culturally-aware responses in a global context. Extensive experiments on three existing benchmarks and our GlobalOpinionQA demonstrate that CulFiT achieves state-of-the-art open-source model performance in cultural alignment and general reasoning.</v>
      </c>
      <c r="D2733" s="7" t="str">
        <f>IFERROR(__xludf.DUMMYFUNCTION("""COMPUTED_VALUE"""),"Ruixiang Feng")</f>
        <v>Ruixiang Feng</v>
      </c>
      <c r="E2733" s="7" t="str">
        <f>IFERROR(__xludf.DUMMYFUNCTION("""COMPUTED_VALUE"""),"Yes")</f>
        <v>Yes</v>
      </c>
      <c r="F2733" s="7" t="str">
        <f>IFERROR(__xludf.DUMMYFUNCTION("""COMPUTED_VALUE"""),"IP-Oral")</f>
        <v>IP-Oral</v>
      </c>
      <c r="G2733" s="7" t="str">
        <f>IFERROR(__xludf.DUMMYFUNCTION("""COMPUTED_VALUE"""),"In-Person")</f>
        <v>In-Person</v>
      </c>
      <c r="H2733" s="7" t="str">
        <f>IFERROR(__xludf.DUMMYFUNCTION("""COMPUTED_VALUE"""),"Room 1.85")</f>
        <v>Room 1.85</v>
      </c>
      <c r="I2733" s="7" t="str">
        <f>IFERROR(__xludf.DUMMYFUNCTION("""COMPUTED_VALUE"""),"Session 9: IP-Orals")</f>
        <v>Session 9: IP-Orals</v>
      </c>
      <c r="J2733" s="7" t="str">
        <f>IFERROR(__xludf.DUMMYFUNCTION("""COMPUTED_VALUE"""),"Computational Social Science and Cultural Analytics")</f>
        <v>Computational Social Science and Cultural Analytics</v>
      </c>
      <c r="K2733" s="7"/>
      <c r="L2733" s="8">
        <f>IFERROR(__xludf.DUMMYFUNCTION("""COMPUTED_VALUE"""),45867.0)</f>
        <v>45867</v>
      </c>
      <c r="M2733" s="7" t="str">
        <f>IFERROR(__xludf.DUMMYFUNCTION("""COMPUTED_VALUE"""),"14:00-15:30")</f>
        <v>14:00-15:30</v>
      </c>
      <c r="N2733" s="7">
        <f>IFERROR(__xludf.DUMMYFUNCTION("""COMPUTED_VALUE"""),4.0)</f>
        <v>4</v>
      </c>
    </row>
    <row r="2734">
      <c r="A2734" s="7" t="str">
        <f>IFERROR(__xludf.DUMMYFUNCTION("""COMPUTED_VALUE"""),"2982-MAIN")</f>
        <v>2982-MAIN</v>
      </c>
      <c r="B2734" s="7" t="str">
        <f>IFERROR(__xludf.DUMMYFUNCTION("""COMPUTED_VALUE"""),"Decoding Knowledge Attribution in Mixture-of-Experts: A Framework of Basic-Refinement Collaboration and Efficiency Analysis")</f>
        <v>Decoding Knowledge Attribution in Mixture-of-Experts: A Framework of Basic-Refinement Collaboration and Efficiency Analysis</v>
      </c>
      <c r="C2734" s="7" t="str">
        <f>IFERROR(__xludf.DUMMYFUNCTION("""COMPUTED_VALUE"""),"The interpretability of Mixture-of-Experts (MoE) models, especially those with heterogeneous designs, remains underexplored. Existing attribution methods for dense models fail to capture dynamic routing-expert interactions in sparse MoE architectures. To "&amp;"address this issue, we propose a cross-level attribution algorithm to analyze sparse MoE architectures (Qwen 1.5-MoE, OLMoE, Mixtral-8x7B) against dense models (Qwen 1.5-7B, Llama-7B, Mistral-7B). Results show MoE models achieve 31\% higher per-layer effi"&amp;"ciency via a ""mid-activation, late-amplification"" pattern: early layers screen experts, while late layers refine knowledge collaboratively. Ablation studies reveal a ""basic-refinement"" framework—shared experts handle general tasks (entity recognition)"&amp;", while routed experts specialize in domain-specific processing (geographic attributes). Semantic-driven routing is evidenced by strong correlations between attention heads and experts ($r=0.68$), enabling task-aware coordination. Notably, architectural d"&amp;"epth dictates robustness: deep Qwen-MoE mitigates expert failures (e.g., 43% MRR drop in geographic tasks when blocking top-10 experts) through shared expert redundancy, whereas shallow Olmoe suffers severe degradation (76% drop). Task sensitivity further"&amp;" guides design: core-sensitive tasks (geography) require concentrated expertise, while distributed-tolerant tasks (object attributes) leverage broader participation. These insights advance MoE interpretability, offering principles to balance efficiency, s"&amp;"pecialization, and robustness.")</f>
        <v>The interpretability of Mixture-of-Experts (MoE) models, especially those with heterogeneous designs, remains underexplored. Existing attribution methods for dense models fail to capture dynamic routing-expert interactions in sparse MoE architectures. To address this issue, we propose a cross-level attribution algorithm to analyze sparse MoE architectures (Qwen 1.5-MoE, OLMoE, Mixtral-8x7B) against dense models (Qwen 1.5-7B, Llama-7B, Mistral-7B). Results show MoE models achieve 31\% higher per-layer efficiency via a "mid-activation, late-amplification" pattern: early layers screen experts, while late layers refine knowledge collaboratively. Ablation studies reveal a "basic-refinement" framework—shared experts handle general tasks (entity recognition), while routed experts specialize in domain-specific processing (geographic attributes). Semantic-driven routing is evidenced by strong correlations between attention heads and experts ($r=0.68$), enabling task-aware coordination. Notably, architectural depth dictates robustness: deep Qwen-MoE mitigates expert failures (e.g., 43% MRR drop in geographic tasks when blocking top-10 experts) through shared expert redundancy, whereas shallow Olmoe suffers severe degradation (76% drop). Task sensitivity further guides design: core-sensitive tasks (geography) require concentrated expertise, while distributed-tolerant tasks (object attributes) leverage broader participation. These insights advance MoE interpretability, offering principles to balance efficiency, specialization, and robustness.</v>
      </c>
      <c r="D2734" s="7" t="str">
        <f>IFERROR(__xludf.DUMMYFUNCTION("""COMPUTED_VALUE"""),"Junzhuo Li")</f>
        <v>Junzhuo Li</v>
      </c>
      <c r="E2734" s="7" t="str">
        <f>IFERROR(__xludf.DUMMYFUNCTION("""COMPUTED_VALUE"""),"Yes")</f>
        <v>Yes</v>
      </c>
      <c r="F2734" s="7" t="str">
        <f>IFERROR(__xludf.DUMMYFUNCTION("""COMPUTED_VALUE"""),"IP-Poster")</f>
        <v>IP-Poster</v>
      </c>
      <c r="G2734" s="7" t="str">
        <f>IFERROR(__xludf.DUMMYFUNCTION("""COMPUTED_VALUE"""),"In-Person")</f>
        <v>In-Person</v>
      </c>
      <c r="H2734" s="7" t="str">
        <f>IFERROR(__xludf.DUMMYFUNCTION("""COMPUTED_VALUE"""),"Hall 4/5")</f>
        <v>Hall 4/5</v>
      </c>
      <c r="I2734" s="7" t="str">
        <f>IFERROR(__xludf.DUMMYFUNCTION("""COMPUTED_VALUE"""),"Session 12: IP-Posters")</f>
        <v>Session 12: IP-Posters</v>
      </c>
      <c r="J2734" s="7" t="str">
        <f>IFERROR(__xludf.DUMMYFUNCTION("""COMPUTED_VALUE"""),"Poster Session 4")</f>
        <v>Poster Session 4</v>
      </c>
      <c r="K2734" s="7"/>
      <c r="L2734" s="8">
        <f>IFERROR(__xludf.DUMMYFUNCTION("""COMPUTED_VALUE"""),45868.0)</f>
        <v>45868</v>
      </c>
      <c r="M2734" s="7" t="str">
        <f>IFERROR(__xludf.DUMMYFUNCTION("""COMPUTED_VALUE"""),"11:00-12:30")</f>
        <v>11:00-12:30</v>
      </c>
      <c r="N2734" s="7"/>
    </row>
    <row r="2735">
      <c r="A2735" s="7" t="str">
        <f>IFERROR(__xludf.DUMMYFUNCTION("""COMPUTED_VALUE"""),"2984-MAIN")</f>
        <v>2984-MAIN</v>
      </c>
      <c r="B2735" s="7" t="str">
        <f>IFERROR(__xludf.DUMMYFUNCTION("""COMPUTED_VALUE"""),"ChartLens: Fine-grained Visual Attribution in Charts")</f>
        <v>ChartLens: Fine-grained Visual Attribution in Charts</v>
      </c>
      <c r="C2735" s="7" t="str">
        <f>IFERROR(__xludf.DUMMYFUNCTION("""COMPUTED_VALUE"""),"The growing capabilities of multimodal large language models (MLLMs) have advanced tasks like chart understanding. However, these models often suffer from hallucinations, where generated text sequences conflict with the provided visual data. To address th"&amp;"is, we introduce Post-Hoc Visual Attribution for Charts, which identifies fine-grained chart elements that validate a given chart-associated response. We propose ChartLens, a novel chart attribution algorithm that uses segmentation-based techniques to ide"&amp;"ntify chart objects and employs set-of-marks prompting with MLLMs for fine-grained visual attribution. Additionally, we present ChartVA-Eval, a benchmark with synthetic and real-world charts from diverse domains like finance, policy, and economics, featur"&amp;"ing fine-grained attribution annotations. Our evaluations show that ChartLens improves fine-grained attributions by 26-66%.")</f>
        <v>The growing capabilities of multimodal large language models (MLLMs) have advanced tasks like chart understanding. However, these models often suffer from hallucinations, where generated text sequences conflict with the provided visual data. To address this, we introduce Post-Hoc Visual Attribution for Charts, which identifies fine-grained chart elements that validate a given chart-associated response. We propose ChartLens, a novel chart attribution algorithm that uses segmentation-based techniques to identify chart objects and employs set-of-marks prompting with MLLMs for fine-grained visual attribution. Additionally, we present ChartVA-Eval, a benchmark with synthetic and real-world charts from diverse domains like finance, policy, and economics, featuring fine-grained attribution annotations. Our evaluations show that ChartLens improves fine-grained attributions by 26-66%.</v>
      </c>
      <c r="D2735" s="7" t="str">
        <f>IFERROR(__xludf.DUMMYFUNCTION("""COMPUTED_VALUE"""),"Manan Suri")</f>
        <v>Manan Suri</v>
      </c>
      <c r="E2735" s="7" t="str">
        <f>IFERROR(__xludf.DUMMYFUNCTION("""COMPUTED_VALUE"""),"Yes")</f>
        <v>Yes</v>
      </c>
      <c r="F2735" s="7" t="str">
        <f>IFERROR(__xludf.DUMMYFUNCTION("""COMPUTED_VALUE"""),"V-Presentation")</f>
        <v>V-Presentation</v>
      </c>
      <c r="G2735" s="7" t="str">
        <f>IFERROR(__xludf.DUMMYFUNCTION("""COMPUTED_VALUE"""),"Virtual/Gather")</f>
        <v>Virtual/Gather</v>
      </c>
      <c r="H2735" s="7" t="str">
        <f>IFERROR(__xludf.DUMMYFUNCTION("""COMPUTED_VALUE"""),"Zoom")</f>
        <v>Zoom</v>
      </c>
      <c r="I2735" s="7" t="str">
        <f>IFERROR(__xludf.DUMMYFUNCTION("""COMPUTED_VALUE"""),"Session 12: V-Presentations")</f>
        <v>Session 12: V-Presentations</v>
      </c>
      <c r="J2735" s="7" t="str">
        <f>IFERROR(__xludf.DUMMYFUNCTION("""COMPUTED_VALUE"""),"Virtual Presentations 4")</f>
        <v>Virtual Presentations 4</v>
      </c>
      <c r="K2735" s="7"/>
      <c r="L2735" s="8">
        <f>IFERROR(__xludf.DUMMYFUNCTION("""COMPUTED_VALUE"""),45868.0)</f>
        <v>45868</v>
      </c>
      <c r="M2735" s="7" t="str">
        <f>IFERROR(__xludf.DUMMYFUNCTION("""COMPUTED_VALUE"""),"11:00-12:30")</f>
        <v>11:00-12:30</v>
      </c>
      <c r="N2735" s="7"/>
    </row>
    <row r="2736">
      <c r="A2736" s="7" t="str">
        <f>IFERROR(__xludf.DUMMYFUNCTION("""COMPUTED_VALUE"""),"2987-MAIN")</f>
        <v>2987-MAIN</v>
      </c>
      <c r="B2736" s="7" t="str">
        <f>IFERROR(__xludf.DUMMYFUNCTION("""COMPUTED_VALUE"""),"LESA: Learnable LLM Layer Scaling-Up")</f>
        <v>LESA: Learnable LLM Layer Scaling-Up</v>
      </c>
      <c r="C2736" s="7" t="str">
        <f>IFERROR(__xludf.DUMMYFUNCTION("""COMPUTED_VALUE"""),"Training Large Language Models (LLMs) from scratch requires immense computational resources, making it prohibitively expensive. Model scaling-up offers a promising solution by leveraging the parameters of smaller models to create larger ones. However, exi"&amp;"sting depth scaling-up methods rely on empirical heuristic rules for layer duplication, which result in poorer initialization and slower convergence during continual pre-training. We propose $\textbf{LESA}$, a novel learnable method for depth scaling-up. "&amp;"By concatenating parameters from each layer and applying Singular Value Decomposition, we uncover latent patterns between layers, suggesting that inter-layer parameters can be learned. LESA uses a neural network to predict the parameters inserted between "&amp;"adjacent layers, enabling better initialization and faster training. Experiments show that LESA outperforms existing baselines, achieving superior performance with less than half the computational cost during continual pre-training. Extensive analyses dem"&amp;"onstrate its effectiveness across different model sizes and tasks.")</f>
        <v>Training Large Language Models (LLMs) from scratch requires immense computational resources, making it prohibitively expensive. Model scaling-up offers a promising solution by leveraging the parameters of smaller models to create larger ones. However, existing depth scaling-up methods rely on empirical heuristic rules for layer duplication, which result in poorer initialization and slower convergence during continual pre-training. We propose $\textbf{LESA}$, a novel learnable method for depth scaling-up. By concatenating parameters from each layer and applying Singular Value Decomposition, we uncover latent patterns between layers, suggesting that inter-layer parameters can be learned. LESA uses a neural network to predict the parameters inserted between adjacent layers, enabling better initialization and faster training. Experiments show that LESA outperforms existing baselines, achieving superior performance with less than half the computational cost during continual pre-training. Extensive analyses demonstrate its effectiveness across different model sizes and tasks.</v>
      </c>
      <c r="D2736" s="7" t="str">
        <f>IFERROR(__xludf.DUMMYFUNCTION("""COMPUTED_VALUE"""),"Yifei Yang")</f>
        <v>Yifei Yang</v>
      </c>
      <c r="E2736" s="7" t="str">
        <f>IFERROR(__xludf.DUMMYFUNCTION("""COMPUTED_VALUE"""),"Yes")</f>
        <v>Yes</v>
      </c>
      <c r="F2736" s="7" t="str">
        <f>IFERROR(__xludf.DUMMYFUNCTION("""COMPUTED_VALUE"""),"IP-Poster")</f>
        <v>IP-Poster</v>
      </c>
      <c r="G2736" s="7" t="str">
        <f>IFERROR(__xludf.DUMMYFUNCTION("""COMPUTED_VALUE"""),"In-Person")</f>
        <v>In-Person</v>
      </c>
      <c r="H2736" s="7" t="str">
        <f>IFERROR(__xludf.DUMMYFUNCTION("""COMPUTED_VALUE"""),"Hall 4/5")</f>
        <v>Hall 4/5</v>
      </c>
      <c r="I2736" s="7" t="str">
        <f>IFERROR(__xludf.DUMMYFUNCTION("""COMPUTED_VALUE"""),"Session 7: IP-Posters")</f>
        <v>Session 7: IP-Posters</v>
      </c>
      <c r="J2736" s="7" t="str">
        <f>IFERROR(__xludf.DUMMYFUNCTION("""COMPUTED_VALUE"""),"Poster Session 2")</f>
        <v>Poster Session 2</v>
      </c>
      <c r="K2736" s="7"/>
      <c r="L2736" s="8">
        <f>IFERROR(__xludf.DUMMYFUNCTION("""COMPUTED_VALUE"""),45867.0)</f>
        <v>45867</v>
      </c>
      <c r="M2736" s="7" t="str">
        <f>IFERROR(__xludf.DUMMYFUNCTION("""COMPUTED_VALUE"""),"10:30-12:00")</f>
        <v>10:30-12:00</v>
      </c>
      <c r="N2736" s="7"/>
    </row>
    <row r="2737">
      <c r="A2737" s="7" t="str">
        <f>IFERROR(__xludf.DUMMYFUNCTION("""COMPUTED_VALUE"""),"2988-MAIN")</f>
        <v>2988-MAIN</v>
      </c>
      <c r="B2737" s="7" t="str">
        <f>IFERROR(__xludf.DUMMYFUNCTION("""COMPUTED_VALUE"""),"MMRC: A Large-Scale Benchmark for Understanding Multimodal Large Language Model in Real-World Conversation")</f>
        <v>MMRC: A Large-Scale Benchmark for Understanding Multimodal Large Language Model in Real-World Conversation</v>
      </c>
      <c r="C2737" s="7" t="str">
        <f>IFERROR(__xludf.DUMMYFUNCTION("""COMPUTED_VALUE"""),"Recent multimodal large language models (MLLMs) have demonstrated significant potential in open-ended conversation, generating more accurate and personalized responses. However, their abilities to memorize, recall, and reason in sustained interactions wit"&amp;"hin real-world scenarios remain underexplored. This paper introduces MMRC, a Multi-Modal Real-world Conversation benchmark for evaluating six core open-ended abilities of MLLMs: information extraction, multi-turn reasoning, information update, image manag"&amp;"ement, memory recall, and answer refusal. With data collected from real-world scenarios, MMRC comprises 5,120 conversations and 28,720 corresponding manually labeled questions, posing a significant challenge to existing MLLMs. Evaluations on 20 MLLMs in M"&amp;"MRC indicate an accuracy drop during open-ended interactions. We identify four common failure patterns: long-term memory degradation, inadequacies in updating factual knowledge, accumulated assumption of error propagation, and reluctance to “say no.” To m"&amp;"itigate these issues, we propose a simple yet effective NOTE-TAKING strategy, which can record key information from the conversation and remind the model during its responses, enhancing conversational capabilities. Experiments across six MLLMs demonstrate"&amp;" significant performance improvements.")</f>
        <v>Recent multimodal large language models (MLLMs) have demonstrated significant potential in open-ended conversation, generating more accurate and personalized responses. However, their abilities to memorize, recall, and reason in sustained interactions within real-world scenarios remain underexplored. This paper introduces MMRC, a Multi-Modal Real-world Conversation benchmark for evaluating six core open-ended abilities of MLLMs: information extraction, multi-turn reasoning, information update, image management, memory recall, and answer refusal. With data collected from real-world scenarios, MMRC comprises 5,120 conversations and 28,720 corresponding manually labeled questions, posing a significant challenge to existing MLLMs. Evaluations on 20 MLLMs in MMRC indicate an accuracy drop during open-ended interactions. We identify four common failure patterns: long-term memory degradation, inadequacies in updating factual knowledge, accumulated assumption of error propagation, and reluctance to “say no.” To mitigate these issues, we propose a simple yet effective NOTE-TAKING strategy, which can record key information from the conversation and remind the model during its responses, enhancing conversational capabilities. Experiments across six MLLMs demonstrate significant performance improvements.</v>
      </c>
      <c r="D2737" s="7" t="str">
        <f>IFERROR(__xludf.DUMMYFUNCTION("""COMPUTED_VALUE"""),"Haochen Xue")</f>
        <v>Haochen Xue</v>
      </c>
      <c r="E2737" s="7" t="str">
        <f>IFERROR(__xludf.DUMMYFUNCTION("""COMPUTED_VALUE"""),"Yes")</f>
        <v>Yes</v>
      </c>
      <c r="F2737" s="7" t="str">
        <f>IFERROR(__xludf.DUMMYFUNCTION("""COMPUTED_VALUE"""),"IP-Poster")</f>
        <v>IP-Poster</v>
      </c>
      <c r="G2737" s="7" t="str">
        <f>IFERROR(__xludf.DUMMYFUNCTION("""COMPUTED_VALUE"""),"In-Person")</f>
        <v>In-Person</v>
      </c>
      <c r="H2737" s="7" t="str">
        <f>IFERROR(__xludf.DUMMYFUNCTION("""COMPUTED_VALUE"""),"Hall 4/5")</f>
        <v>Hall 4/5</v>
      </c>
      <c r="I2737" s="7" t="str">
        <f>IFERROR(__xludf.DUMMYFUNCTION("""COMPUTED_VALUE"""),"Session 10: IP-Posters")</f>
        <v>Session 10: IP-Posters</v>
      </c>
      <c r="J2737" s="7" t="str">
        <f>IFERROR(__xludf.DUMMYFUNCTION("""COMPUTED_VALUE"""),"Poster Session 3")</f>
        <v>Poster Session 3</v>
      </c>
      <c r="K2737" s="7"/>
      <c r="L2737" s="8">
        <f>IFERROR(__xludf.DUMMYFUNCTION("""COMPUTED_VALUE"""),45867.0)</f>
        <v>45867</v>
      </c>
      <c r="M2737" s="7" t="str">
        <f>IFERROR(__xludf.DUMMYFUNCTION("""COMPUTED_VALUE"""),"16:00-17:30")</f>
        <v>16:00-17:30</v>
      </c>
      <c r="N2737" s="7"/>
    </row>
    <row r="2738">
      <c r="A2738" s="7" t="str">
        <f>IFERROR(__xludf.DUMMYFUNCTION("""COMPUTED_VALUE"""),"2994-MAIN")</f>
        <v>2994-MAIN</v>
      </c>
      <c r="B2738" s="7" t="str">
        <f>IFERROR(__xludf.DUMMYFUNCTION("""COMPUTED_VALUE"""),"Towards the Law of Capacity Gap in Distilling Language Models")</f>
        <v>Towards the Law of Capacity Gap in Distilling Language Models</v>
      </c>
      <c r="C2738" s="7" t="str">
        <f>IFERROR(__xludf.DUMMYFUNCTION("""COMPUTED_VALUE"""),"Language model (LM) distillation aims at distilling the knowledge in a large teacher LM to a small student one. As a critical issue facing LM distillation, a superior student often arises from a teacher of a relatively small scale instead of a larger one,"&amp;" especially in the presence of substantial capacity gap between the teacher and student. This issue, often referred to as the \textit{curse of capacity gap}, suggests that there is likely an optimal teacher yielding the best-performing student along the s"&amp;"caling course of the teacher. Consequently, distillation trials on teachers of a wide range of scales are called for to determine the optimal teacher, which becomes computationally intensive in the context of large LMs (LLMs). This paper addresses this cr"&amp;"itical bottleneck by providing the \textit{law of capacity gap} inducted from a preliminary study on distilling a broad range of small-scale (&lt;3B) LMs, where the optimal teacher consistently scales linearly with the student scale across different model an"&amp;"d data scales. By extending the law to LLM distillation on a larger scale (7B), we succeed in obtaining versatile LLMs that outperform a wide array of competitors.")</f>
        <v>Language model (LM) distillation aims at distilling the knowledge in a large teacher LM to a small student one. As a critical issue facing LM distillation, a superior student often arises from a teacher of a relatively small scale instead of a larger one, especially in the presence of substantial capacity gap between the teacher and student. This issue, often referred to as the \textit{curse of capacity gap}, suggests that there is likely an optimal teacher yielding the best-performing student along the scaling course of the teacher. Consequently, distillation trials on teachers of a wide range of scales are called for to determine the optimal teacher, which becomes computationally intensive in the context of large LMs (LLMs). This paper addresses this critical bottleneck by providing the \textit{law of capacity gap} inducted from a preliminary study on distilling a broad range of small-scale (&lt;3B) LMs, where the optimal teacher consistently scales linearly with the student scale across different model and data scales. By extending the law to LLM distillation on a larger scale (7B), we succeed in obtaining versatile LLMs that outperform a wide array of competitors.</v>
      </c>
      <c r="D2738" s="7" t="str">
        <f>IFERROR(__xludf.DUMMYFUNCTION("""COMPUTED_VALUE"""),"Chen Zhang")</f>
        <v>Chen Zhang</v>
      </c>
      <c r="E2738" s="7" t="str">
        <f>IFERROR(__xludf.DUMMYFUNCTION("""COMPUTED_VALUE"""),"Yes")</f>
        <v>Yes</v>
      </c>
      <c r="F2738" s="7" t="str">
        <f>IFERROR(__xludf.DUMMYFUNCTION("""COMPUTED_VALUE"""),"IP-Oral")</f>
        <v>IP-Oral</v>
      </c>
      <c r="G2738" s="7" t="str">
        <f>IFERROR(__xludf.DUMMYFUNCTION("""COMPUTED_VALUE"""),"In-Person")</f>
        <v>In-Person</v>
      </c>
      <c r="H2738" s="7" t="str">
        <f>IFERROR(__xludf.DUMMYFUNCTION("""COMPUTED_VALUE"""),"Room 1.62")</f>
        <v>Room 1.62</v>
      </c>
      <c r="I2738" s="7" t="str">
        <f>IFERROR(__xludf.DUMMYFUNCTION("""COMPUTED_VALUE"""),"Session 11: IP-Orals ")</f>
        <v>Session 11: IP-Orals </v>
      </c>
      <c r="J2738" s="7" t="str">
        <f>IFERROR(__xludf.DUMMYFUNCTION("""COMPUTED_VALUE"""),"Efficient Methods for NLP 2")</f>
        <v>Efficient Methods for NLP 2</v>
      </c>
      <c r="K2738" s="7"/>
      <c r="L2738" s="8">
        <f>IFERROR(__xludf.DUMMYFUNCTION("""COMPUTED_VALUE"""),45868.0)</f>
        <v>45868</v>
      </c>
      <c r="M2738" s="7" t="str">
        <f>IFERROR(__xludf.DUMMYFUNCTION("""COMPUTED_VALUE"""),"09:00-10:30")</f>
        <v>09:00-10:30</v>
      </c>
      <c r="N2738" s="7">
        <f>IFERROR(__xludf.DUMMYFUNCTION("""COMPUTED_VALUE"""),6.0)</f>
        <v>6</v>
      </c>
    </row>
    <row r="2739">
      <c r="A2739" s="7" t="str">
        <f>IFERROR(__xludf.DUMMYFUNCTION("""COMPUTED_VALUE"""),"2996-MAIN")</f>
        <v>2996-MAIN</v>
      </c>
      <c r="B2739" s="7" t="str">
        <f>IFERROR(__xludf.DUMMYFUNCTION("""COMPUTED_VALUE"""),"WhiSPA: Semantically and Psychologically Aligned Whisper with Self-Supervised Contrastive and Student-Teacher Learning")</f>
        <v>WhiSPA: Semantically and Psychologically Aligned Whisper with Self-Supervised Contrastive and Student-Teacher Learning</v>
      </c>
      <c r="C2739" s="7" t="str">
        <f>IFERROR(__xludf.DUMMYFUNCTION("""COMPUTED_VALUE"""),"Current speech encoding pipelines often rely on an additional text-based LM to get robust representations of human communication, even though SotA speech-to-text models often have a LM within. This work proposes an approach to improve the LM within an aud"&amp;"io model such that the subsequent text-LM is unnecessary. We introduce **WhiSPA** (**Whi**sper with **S**emantic and **P**sychological **A**lignment), which leverages a novel audio training objective: contrastive loss with a language model embedding as a "&amp;"teacher. Using over 500k speech segments from mental health audio interviews, we evaluate the utility of aligning Whisper’s latent space with semantic representations from a text autoencoder (SBERT) and lexically derived embeddings of basic psychological "&amp;"dimensions: emotion and personality. Over self-supervised affective tasks and downstream psychological tasks, WhiSPA surpasses current speech encoders, achieving an average error reduction of $73.4$% and $83.8$%, respectively. WhiSPA demonstrates that it "&amp;"is not always necessary to run a subsequent text LM on speech-to-text output in order to get a rich psychological representation of human communication.")</f>
        <v>Current speech encoding pipelines often rely on an additional text-based LM to get robust representations of human communication, even though SotA speech-to-text models often have a LM within. This work proposes an approach to improve the LM within an audio model such that the subsequent text-LM is unnecessary. We introduce **WhiSPA** (**Whi**sper with **S**emantic and **P**sychological **A**lignment), which leverages a novel audio training objective: contrastive loss with a language model embedding as a teacher. Using over 500k speech segments from mental health audio interviews, we evaluate the utility of aligning Whisper’s latent space with semantic representations from a text autoencoder (SBERT) and lexically derived embeddings of basic psychological dimensions: emotion and personality. Over self-supervised affective tasks and downstream psychological tasks, WhiSPA surpasses current speech encoders, achieving an average error reduction of $73.4$% and $83.8$%, respectively. WhiSPA demonstrates that it is not always necessary to run a subsequent text LM on speech-to-text output in order to get a rich psychological representation of human communication.</v>
      </c>
      <c r="D2739" s="7" t="str">
        <f>IFERROR(__xludf.DUMMYFUNCTION("""COMPUTED_VALUE"""),"Rajath Rao")</f>
        <v>Rajath Rao</v>
      </c>
      <c r="E2739" s="7" t="str">
        <f>IFERROR(__xludf.DUMMYFUNCTION("""COMPUTED_VALUE"""),"Yes")</f>
        <v>Yes</v>
      </c>
      <c r="F2739" s="7" t="str">
        <f>IFERROR(__xludf.DUMMYFUNCTION("""COMPUTED_VALUE"""),"IP-Poster")</f>
        <v>IP-Poster</v>
      </c>
      <c r="G2739" s="7" t="str">
        <f>IFERROR(__xludf.DUMMYFUNCTION("""COMPUTED_VALUE"""),"In-Person")</f>
        <v>In-Person</v>
      </c>
      <c r="H2739" s="7" t="str">
        <f>IFERROR(__xludf.DUMMYFUNCTION("""COMPUTED_VALUE"""),"Hall 4/5")</f>
        <v>Hall 4/5</v>
      </c>
      <c r="I2739" s="7" t="str">
        <f>IFERROR(__xludf.DUMMYFUNCTION("""COMPUTED_VALUE"""),"Session 12: IP-Posters")</f>
        <v>Session 12: IP-Posters</v>
      </c>
      <c r="J2739" s="7" t="str">
        <f>IFERROR(__xludf.DUMMYFUNCTION("""COMPUTED_VALUE"""),"Poster Session 4")</f>
        <v>Poster Session 4</v>
      </c>
      <c r="K2739" s="7"/>
      <c r="L2739" s="8">
        <f>IFERROR(__xludf.DUMMYFUNCTION("""COMPUTED_VALUE"""),45868.0)</f>
        <v>45868</v>
      </c>
      <c r="M2739" s="7" t="str">
        <f>IFERROR(__xludf.DUMMYFUNCTION("""COMPUTED_VALUE"""),"11:00-12:30")</f>
        <v>11:00-12:30</v>
      </c>
      <c r="N2739" s="7"/>
    </row>
    <row r="2740">
      <c r="A2740" s="7" t="str">
        <f>IFERROR(__xludf.DUMMYFUNCTION("""COMPUTED_VALUE"""),"3000-MAIN")</f>
        <v>3000-MAIN</v>
      </c>
      <c r="B2740" s="7" t="str">
        <f>IFERROR(__xludf.DUMMYFUNCTION("""COMPUTED_VALUE"""),"Keys to Robust Edits: From Theoretical Insights to Practical Advances")</f>
        <v>Keys to Robust Edits: From Theoretical Insights to Practical Advances</v>
      </c>
      <c r="C2740" s="7" t="str">
        <f>IFERROR(__xludf.DUMMYFUNCTION("""COMPUTED_VALUE"""),"Large language models (LLMs) struggle with maintaining accurate knowledge due to conflicting/outdated parametric memories. While locate-and-edit methods address this, their reliance on models' internal representations leads to robustness failures in long-"&amp;"context reasoning and paraphrased queries. We identify a fundamental limitation of locate-and-edit methods: existing semantic keys (for memory localization) cannot simultaneously satisfy robustness (context-invariant activation) and specificity (precise k"&amp;"nowledge discrimination). Through theoretical error-bound analysis, we establish formal criteria for effective editing.
Our solution introduces \textit{Robust Edit Pathway (REP)}, a plug-and-play module that: (1) disentangles editing keys from native mode"&amp;"l representations; (2) dynamically adjusts keys via contrastive learning to achieve robustness-specificity balance. 
Extensive experiments across various editing methods (ROME/MEMIT/R-ROME/EMMET), existing LLMs (LLaMA2, QWen, Mistral), and datasets (Count"&amp;"erFact, ZsRE) show that REP improves success rate over robustness tests by up-to 66.4\% while maintaining the success rate unaffected.")</f>
        <v>Large language models (LLMs) struggle with maintaining accurate knowledge due to conflicting/outdated parametric memories. While locate-and-edit methods address this, their reliance on models' internal representations leads to robustness failures in long-context reasoning and paraphrased queries. We identify a fundamental limitation of locate-and-edit methods: existing semantic keys (for memory localization) cannot simultaneously satisfy robustness (context-invariant activation) and specificity (precise knowledge discrimination). Through theoretical error-bound analysis, we establish formal criteria for effective editing.
Our solution introduces \textit{Robust Edit Pathway (REP)}, a plug-and-play module that: (1) disentangles editing keys from native model representations; (2) dynamically adjusts keys via contrastive learning to achieve robustness-specificity balance. 
Extensive experiments across various editing methods (ROME/MEMIT/R-ROME/EMMET), existing LLMs (LLaMA2, QWen, Mistral), and datasets (CounterFact, ZsRE) show that REP improves success rate over robustness tests by up-to 66.4\% while maintaining the success rate unaffected.</v>
      </c>
      <c r="D2740" s="7" t="str">
        <f>IFERROR(__xludf.DUMMYFUNCTION("""COMPUTED_VALUE"""),"Jianhao Yan")</f>
        <v>Jianhao Yan</v>
      </c>
      <c r="E2740" s="7" t="str">
        <f>IFERROR(__xludf.DUMMYFUNCTION("""COMPUTED_VALUE"""),"Yes")</f>
        <v>Yes</v>
      </c>
      <c r="F2740" s="7" t="str">
        <f>IFERROR(__xludf.DUMMYFUNCTION("""COMPUTED_VALUE"""),"IP-Oral")</f>
        <v>IP-Oral</v>
      </c>
      <c r="G2740" s="7" t="str">
        <f>IFERROR(__xludf.DUMMYFUNCTION("""COMPUTED_VALUE"""),"In-Person")</f>
        <v>In-Person</v>
      </c>
      <c r="H2740" s="7" t="str">
        <f>IFERROR(__xludf.DUMMYFUNCTION("""COMPUTED_VALUE"""),"Room 1.61")</f>
        <v>Room 1.61</v>
      </c>
      <c r="I2740" s="7" t="str">
        <f>IFERROR(__xludf.DUMMYFUNCTION("""COMPUTED_VALUE"""),"Session 11: IP-Orals ")</f>
        <v>Session 11: IP-Orals </v>
      </c>
      <c r="J2740" s="7" t="str">
        <f>IFERROR(__xludf.DUMMYFUNCTION("""COMPUTED_VALUE"""),"Machine Learning for NLP")</f>
        <v>Machine Learning for NLP</v>
      </c>
      <c r="K2740" s="7"/>
      <c r="L2740" s="8">
        <f>IFERROR(__xludf.DUMMYFUNCTION("""COMPUTED_VALUE"""),45868.0)</f>
        <v>45868</v>
      </c>
      <c r="M2740" s="7" t="str">
        <f>IFERROR(__xludf.DUMMYFUNCTION("""COMPUTED_VALUE"""),"09:00-10:30")</f>
        <v>09:00-10:30</v>
      </c>
      <c r="N2740" s="7">
        <f>IFERROR(__xludf.DUMMYFUNCTION("""COMPUTED_VALUE"""),7.0)</f>
        <v>7</v>
      </c>
    </row>
    <row r="2741">
      <c r="A2741" s="7" t="str">
        <f>IFERROR(__xludf.DUMMYFUNCTION("""COMPUTED_VALUE"""),"3001-MAIN")</f>
        <v>3001-MAIN</v>
      </c>
      <c r="B2741" s="7" t="str">
        <f>IFERROR(__xludf.DUMMYFUNCTION("""COMPUTED_VALUE"""),"Boosting LLM’s Molecular Structure Elucidation with Knowledge Enhanced Tree Search Reasoning")</f>
        <v>Boosting LLM’s Molecular Structure Elucidation with Knowledge Enhanced Tree Search Reasoning</v>
      </c>
      <c r="C2741" s="7" t="str">
        <f>IFERROR(__xludf.DUMMYFUNCTION("""COMPUTED_VALUE"""),"Molecular structure elucidation involves deducing a molecule's structure from various types of spectral data, which is crucial in chemical experimental analysis. While large language models (LLMs) have shown remarkable proficiency in analyzing and reasoni"&amp;"ng through complex tasks, they still encounter substantial challenges in molecular structure elucidation. We identify that these challenges largely stem from LLMs' limited grasp of specialized chemical knowledge. In this work, we introduce a Knowledge-enh"&amp;"anced reasoning framework for Molecular Structure Elucidation (K-MSE), leveraging Monte Carlo Tree Search for test-time scaling as a plugin. Specifically, we construct an external molecular substructure knowledge base to extend the LLMs' coverage of the c"&amp;"hemical structure space. Furthermore, we design a specialized molecule-spectrum scorer to act as a reward model for the reasoning process, addressing the issue of inaccurate solution evaluation in LLMs. Experimental results show that our approach signific"&amp;"antly boosts performance, particularly gaining more than 20% improvement on both GPT-4o-mini and GPT-4o.")</f>
        <v>Molecular structure elucidation involves deducing a molecule's structure from various types of spectral data, which is crucial in chemical experimental analysis. While large language models (LLMs) have shown remarkable proficiency in analyzing and reasoning through complex tasks, they still encounter substantial challenges in molecular structure elucidation. We identify that these challenges largely stem from LLMs' limited grasp of specialized chemical knowledge. In this work, we introduce a Knowledge-enhanced reasoning framework for Molecular Structure Elucidation (K-MSE), leveraging Monte Carlo Tree Search for test-time scaling as a plugin. Specifically, we construct an external molecular substructure knowledge base to extend the LLMs' coverage of the chemical structure space. Furthermore, we design a specialized molecule-spectrum scorer to act as a reward model for the reasoning process, addressing the issue of inaccurate solution evaluation in LLMs. Experimental results show that our approach significantly boosts performance, particularly gaining more than 20% improvement on both GPT-4o-mini and GPT-4o.</v>
      </c>
      <c r="D2741" s="7" t="str">
        <f>IFERROR(__xludf.DUMMYFUNCTION("""COMPUTED_VALUE"""),"Xiang Zhuang")</f>
        <v>Xiang Zhuang</v>
      </c>
      <c r="E2741" s="7" t="str">
        <f>IFERROR(__xludf.DUMMYFUNCTION("""COMPUTED_VALUE"""),"Yes")</f>
        <v>Yes</v>
      </c>
      <c r="F2741" s="7" t="str">
        <f>IFERROR(__xludf.DUMMYFUNCTION("""COMPUTED_VALUE"""),"IP-Poster")</f>
        <v>IP-Poster</v>
      </c>
      <c r="G2741" s="7" t="str">
        <f>IFERROR(__xludf.DUMMYFUNCTION("""COMPUTED_VALUE"""),"In-Person")</f>
        <v>In-Person</v>
      </c>
      <c r="H2741" s="7" t="str">
        <f>IFERROR(__xludf.DUMMYFUNCTION("""COMPUTED_VALUE"""),"Hall 4/5")</f>
        <v>Hall 4/5</v>
      </c>
      <c r="I2741" s="7" t="str">
        <f>IFERROR(__xludf.DUMMYFUNCTION("""COMPUTED_VALUE"""),"Session 7: IP-Posters")</f>
        <v>Session 7: IP-Posters</v>
      </c>
      <c r="J2741" s="7" t="str">
        <f>IFERROR(__xludf.DUMMYFUNCTION("""COMPUTED_VALUE"""),"Poster Session 2")</f>
        <v>Poster Session 2</v>
      </c>
      <c r="K2741" s="7"/>
      <c r="L2741" s="8">
        <f>IFERROR(__xludf.DUMMYFUNCTION("""COMPUTED_VALUE"""),45867.0)</f>
        <v>45867</v>
      </c>
      <c r="M2741" s="7" t="str">
        <f>IFERROR(__xludf.DUMMYFUNCTION("""COMPUTED_VALUE"""),"10:30-12:00")</f>
        <v>10:30-12:00</v>
      </c>
      <c r="N2741" s="7"/>
    </row>
    <row r="2742">
      <c r="A2742" s="7" t="str">
        <f>IFERROR(__xludf.DUMMYFUNCTION("""COMPUTED_VALUE"""),"3003-MAIN")</f>
        <v>3003-MAIN</v>
      </c>
      <c r="B2742" s="7" t="str">
        <f>IFERROR(__xludf.DUMMYFUNCTION("""COMPUTED_VALUE"""),"MEMERAG: A Multilingual End-to-End Meta-Evaluation Benchmark for Retrieval Augmented Generation")</f>
        <v>MEMERAG: A Multilingual End-to-End Meta-Evaluation Benchmark for Retrieval Augmented Generation</v>
      </c>
      <c r="C2742" s="7" t="str">
        <f>IFERROR(__xludf.DUMMYFUNCTION("""COMPUTED_VALUE"""),"Automatic evaluation of retrieval augmented generation (RAG) systems relies on fine-grained dimensions like faithfulness and relevance, as judged by expert human annotators. Meta-evaluation benchmarks support the development of automatic evaluators that c"&amp;"orrelate well with human judgement. However, existing benchmarks predominantly focus on English or use translated data, which fails to capture cultural nuances. A native approach provides a better representation of the end user experience.
In this work, "&amp;"we develop a Multilingual End-to-end Meta-Evaluation RAG benchmark MEMERAG. Our benchmark builds on the popular MIRACL dataset, using native-language questions and generating responses with diverse large language models (LLMs), which are then assessed by "&amp;"expert annotators for faithfulness and relevance. We describe our annotation process and show that it achieves high inter-annotator agreement. We then analyse the performance of the answer-generating LLMs across languages as per the human evaluators. Fina"&amp;"lly we apply the dataset to our main use-case which is to benchmark multilingual automatic evaluators (LLM-as-a-judge). We show that our benchmark can reliably identify improvements offered by advanced prompting techniques and LLMs. We release our benchma"&amp;"rk to support the community developing accurate evaluation methods for multilingual RAG systems.")</f>
        <v>Automatic evaluation of retrieval augmented generation (RAG) systems relies on fine-grained dimensions like faithfulness and relevance, as judged by expert human annotators. Meta-evaluation benchmarks support the development of automatic evaluators that correlate well with human judgement. However, existing benchmarks predominantly focus on English or use translated data, which fails to capture cultural nuances. A native approach provides a better representation of the end user experience.
In this work, we develop a Multilingual End-to-end Meta-Evaluation RAG benchmark MEMERAG. Our benchmark builds on the popular MIRACL dataset, using native-language questions and generating responses with diverse large language models (LLMs), which are then assessed by expert annotators for faithfulness and relevance. We describe our annotation process and show that it achieves high inter-annotator agreement. We then analyse the performance of the answer-generating LLMs across languages as per the human evaluators. Finally we apply the dataset to our main use-case which is to benchmark multilingual automatic evaluators (LLM-as-a-judge). We show that our benchmark can reliably identify improvements offered by advanced prompting techniques and LLMs. We release our benchmark to support the community developing accurate evaluation methods for multilingual RAG systems.</v>
      </c>
      <c r="D2742" s="7" t="str">
        <f>IFERROR(__xludf.DUMMYFUNCTION("""COMPUTED_VALUE"""),"Jayasimha Talur")</f>
        <v>Jayasimha Talur</v>
      </c>
      <c r="E2742" s="7" t="str">
        <f>IFERROR(__xludf.DUMMYFUNCTION("""COMPUTED_VALUE"""),"Yes")</f>
        <v>Yes</v>
      </c>
      <c r="F2742" s="7" t="str">
        <f>IFERROR(__xludf.DUMMYFUNCTION("""COMPUTED_VALUE"""),"IP-Poster")</f>
        <v>IP-Poster</v>
      </c>
      <c r="G2742" s="7" t="str">
        <f>IFERROR(__xludf.DUMMYFUNCTION("""COMPUTED_VALUE"""),"In-Person")</f>
        <v>In-Person</v>
      </c>
      <c r="H2742" s="7" t="str">
        <f>IFERROR(__xludf.DUMMYFUNCTION("""COMPUTED_VALUE"""),"Hall 4/5")</f>
        <v>Hall 4/5</v>
      </c>
      <c r="I2742" s="7" t="str">
        <f>IFERROR(__xludf.DUMMYFUNCTION("""COMPUTED_VALUE"""),"Session 12: IP-Posters")</f>
        <v>Session 12: IP-Posters</v>
      </c>
      <c r="J2742" s="7" t="str">
        <f>IFERROR(__xludf.DUMMYFUNCTION("""COMPUTED_VALUE"""),"Poster Session 4")</f>
        <v>Poster Session 4</v>
      </c>
      <c r="K2742" s="7"/>
      <c r="L2742" s="8">
        <f>IFERROR(__xludf.DUMMYFUNCTION("""COMPUTED_VALUE"""),45868.0)</f>
        <v>45868</v>
      </c>
      <c r="M2742" s="7" t="str">
        <f>IFERROR(__xludf.DUMMYFUNCTION("""COMPUTED_VALUE"""),"11:00-12:30")</f>
        <v>11:00-12:30</v>
      </c>
      <c r="N2742" s="7"/>
    </row>
    <row r="2743">
      <c r="A2743" s="7" t="str">
        <f>IFERROR(__xludf.DUMMYFUNCTION("""COMPUTED_VALUE"""),"3012-MAIN")</f>
        <v>3012-MAIN</v>
      </c>
      <c r="B2743" s="7" t="str">
        <f>IFERROR(__xludf.DUMMYFUNCTION("""COMPUTED_VALUE"""),"The Role of Visual Modality in Multimodal Mathematical Reasoning: Challenges and Insights")</f>
        <v>The Role of Visual Modality in Multimodal Mathematical Reasoning: Challenges and Insights</v>
      </c>
      <c r="C2743" s="7" t="str">
        <f>IFERROR(__xludf.DUMMYFUNCTION("""COMPUTED_VALUE"""),"Recent research has increasingly focused on multimodal mathematical reasoning, particularly emphasizing the creation of relevant datasets and benchmarks. Despite this, the role of visual information in reasoning has been underexplored. Our findings show t"&amp;"hat existing multimodal mathematical models minimally leverage visual information, and model performance remains largely unaffected by changes to or removal of images in the dataset. We attribute this to the dominance of textual information and answer opt"&amp;"ions that inadvertently guide the model to correct answers. To improve evaluation methods, we introduce the HC-M3D dataset, specifically designed to require image reliance for problem-solving and to challenge models with similar, yet distinct, images that"&amp;" change the correct answer. In testing leading models, their failure to detect these subtle visual differences suggests limitations in current visual perception capabilities. Additionally, we observe that the common approach of improving general VQA capab"&amp;"ilities by combining various types of image encoders does not contribute to math reasoning performance. This finding also presents a challenge to enhancing visual reliance during math reasoning.")</f>
        <v>Recent research has increasingly focused on multimodal mathematical reasoning, particularly emphasizing the creation of relevant datasets and benchmarks. Despite this, the role of visual information in reasoning has been underexplored. Our findings show that existing multimodal mathematical models minimally leverage visual information, and model performance remains largely unaffected by changes to or removal of images in the dataset. We attribute this to the dominance of textual information and answer options that inadvertently guide the model to correct answers. To improve evaluation methods, we introduce the HC-M3D dataset, specifically designed to require image reliance for problem-solving and to challenge models with similar, yet distinct, images that change the correct answer. In testing leading models, their failure to detect these subtle visual differences suggests limitations in current visual perception capabilities. Additionally, we observe that the common approach of improving general VQA capabilities by combining various types of image encoders does not contribute to math reasoning performance. This finding also presents a challenge to enhancing visual reliance during math reasoning.</v>
      </c>
      <c r="D2743" s="7" t="str">
        <f>IFERROR(__xludf.DUMMYFUNCTION("""COMPUTED_VALUE"""),"Yufang Liu")</f>
        <v>Yufang Liu</v>
      </c>
      <c r="E2743" s="7" t="str">
        <f>IFERROR(__xludf.DUMMYFUNCTION("""COMPUTED_VALUE"""),"Yes")</f>
        <v>Yes</v>
      </c>
      <c r="F2743" s="7" t="str">
        <f>IFERROR(__xludf.DUMMYFUNCTION("""COMPUTED_VALUE"""),"IP-Oral")</f>
        <v>IP-Oral</v>
      </c>
      <c r="G2743" s="7" t="str">
        <f>IFERROR(__xludf.DUMMYFUNCTION("""COMPUTED_VALUE"""),"In-Person")</f>
        <v>In-Person</v>
      </c>
      <c r="H2743" s="7" t="str">
        <f>IFERROR(__xludf.DUMMYFUNCTION("""COMPUTED_VALUE"""),"Hall C")</f>
        <v>Hall C</v>
      </c>
      <c r="I2743" s="7" t="str">
        <f>IFERROR(__xludf.DUMMYFUNCTION("""COMPUTED_VALUE"""),"Session 3: IP-Orals")</f>
        <v>Session 3: IP-Orals</v>
      </c>
      <c r="J2743" s="7" t="str">
        <f>IFERROR(__xludf.DUMMYFUNCTION("""COMPUTED_VALUE"""),"Multimodality and Language Grounding 1")</f>
        <v>Multimodality and Language Grounding 1</v>
      </c>
      <c r="K2743" s="7"/>
      <c r="L2743" s="8">
        <f>IFERROR(__xludf.DUMMYFUNCTION("""COMPUTED_VALUE"""),45866.0)</f>
        <v>45866</v>
      </c>
      <c r="M2743" s="7" t="str">
        <f>IFERROR(__xludf.DUMMYFUNCTION("""COMPUTED_VALUE"""),"14:00-15:30")</f>
        <v>14:00-15:30</v>
      </c>
      <c r="N2743" s="7">
        <f>IFERROR(__xludf.DUMMYFUNCTION("""COMPUTED_VALUE"""),7.0)</f>
        <v>7</v>
      </c>
    </row>
    <row r="2744">
      <c r="A2744" s="7" t="str">
        <f>IFERROR(__xludf.DUMMYFUNCTION("""COMPUTED_VALUE"""),"3015-MAIN")</f>
        <v>3015-MAIN</v>
      </c>
      <c r="B2744" s="7" t="str">
        <f>IFERROR(__xludf.DUMMYFUNCTION("""COMPUTED_VALUE"""),"The Essence of Contextual Understanding in Theory of Mind: A Study on Question Answering with Story Characters")</f>
        <v>The Essence of Contextual Understanding in Theory of Mind: A Study on Question Answering with Story Characters</v>
      </c>
      <c r="C2744" s="7" t="str">
        <f>IFERROR(__xludf.DUMMYFUNCTION("""COMPUTED_VALUE"""),"Theory-of-Mind (ToM) is a fundamental psychological capability that allows humans to understand and interpret the mental states of others. Humans infer others’ thoughts by integrating causal cues and indirect clues from broad contextual information, often"&amp;" derived from past interactions. In other words, human ToM heavily relies on the understanding about the backgrounds and life stories of others. Unfortunately, this aspect is largely overlooked in existing benchmarks for evaluating machines' ToM capabilit"&amp;"ies, due to their usage of short narratives without global context, especially personal background of characters. In this paper, we verify the importance of comprehensive contextual understanding about personal backgrounds in ToM and assess the performanc"&amp;"e of LLMs in such complex scenarios. To achieve this, we introduce CharToM-QA benchmark, comprising 1,035 ToM questions based on characters from classic novels. Our human study reveals a significant disparity in performance: the same group of educated par"&amp;"ticipants performs dramatically better when they have read the novels compared to when they have not. In parallel, our experiments on state-of-the-art LLMs, including the very recent o1 and DeepSeek-R1 models, show that LLMs still perform notably worse th"&amp;"an humans, despite that they have seen these stories during pre-training. This highlights the limitations of current LLMs in capturing the nuanced contextual information required for ToM reasoning.")</f>
        <v>Theory-of-Mind (ToM) is a fundamental psychological capability that allows humans to understand and interpret the mental states of others. Humans infer others’ thoughts by integrating causal cues and indirect clues from broad contextual information, often derived from past interactions. In other words, human ToM heavily relies on the understanding about the backgrounds and life stories of others. Unfortunately, this aspect is largely overlooked in existing benchmarks for evaluating machines' ToM capabilities, due to their usage of short narratives without global context, especially personal background of characters. In this paper, we verify the importance of comprehensive contextual understanding about personal backgrounds in ToM and assess the performance of LLMs in such complex scenarios. To achieve this, we introduce CharToM-QA benchmark, comprising 1,035 ToM questions based on characters from classic novels. Our human study reveals a significant disparity in performance: the same group of educated participants performs dramatically better when they have read the novels compared to when they have not. In parallel, our experiments on state-of-the-art LLMs, including the very recent o1 and DeepSeek-R1 models, show that LLMs still perform notably worse than humans, despite that they have seen these stories during pre-training. This highlights the limitations of current LLMs in capturing the nuanced contextual information required for ToM reasoning.</v>
      </c>
      <c r="D2744" s="7" t="str">
        <f>IFERROR(__xludf.DUMMYFUNCTION("""COMPUTED_VALUE"""),"Chulun Zhou")</f>
        <v>Chulun Zhou</v>
      </c>
      <c r="E2744" s="7" t="str">
        <f>IFERROR(__xludf.DUMMYFUNCTION("""COMPUTED_VALUE"""),"Yes")</f>
        <v>Yes</v>
      </c>
      <c r="F2744" s="7" t="str">
        <f>IFERROR(__xludf.DUMMYFUNCTION("""COMPUTED_VALUE"""),"IP-Poster")</f>
        <v>IP-Poster</v>
      </c>
      <c r="G2744" s="7" t="str">
        <f>IFERROR(__xludf.DUMMYFUNCTION("""COMPUTED_VALUE"""),"In-Person")</f>
        <v>In-Person</v>
      </c>
      <c r="H2744" s="7" t="str">
        <f>IFERROR(__xludf.DUMMYFUNCTION("""COMPUTED_VALUE"""),"Hall 4/5")</f>
        <v>Hall 4/5</v>
      </c>
      <c r="I2744" s="7" t="str">
        <f>IFERROR(__xludf.DUMMYFUNCTION("""COMPUTED_VALUE"""),"Session 7: IP-Posters")</f>
        <v>Session 7: IP-Posters</v>
      </c>
      <c r="J2744" s="7" t="str">
        <f>IFERROR(__xludf.DUMMYFUNCTION("""COMPUTED_VALUE"""),"Poster Session 2")</f>
        <v>Poster Session 2</v>
      </c>
      <c r="K2744" s="7"/>
      <c r="L2744" s="8">
        <f>IFERROR(__xludf.DUMMYFUNCTION("""COMPUTED_VALUE"""),45867.0)</f>
        <v>45867</v>
      </c>
      <c r="M2744" s="7" t="str">
        <f>IFERROR(__xludf.DUMMYFUNCTION("""COMPUTED_VALUE"""),"10:30-12:00")</f>
        <v>10:30-12:00</v>
      </c>
      <c r="N2744" s="7"/>
    </row>
    <row r="2745">
      <c r="A2745" s="7" t="str">
        <f>IFERROR(__xludf.DUMMYFUNCTION("""COMPUTED_VALUE"""),"3018-MAIN")</f>
        <v>3018-MAIN</v>
      </c>
      <c r="B2745" s="7" t="str">
        <f>IFERROR(__xludf.DUMMYFUNCTION("""COMPUTED_VALUE"""),"S²R: Teaching LLMs to Self-verify and Self-correct via Reinforcement Learning")</f>
        <v>S²R: Teaching LLMs to Self-verify and Self-correct via Reinforcement Learning</v>
      </c>
      <c r="C2745" s="7" t="str">
        <f>IFERROR(__xludf.DUMMYFUNCTION("""COMPUTED_VALUE"""),"Recent studies have demonstrated the effectiveness of LLM test-time scaling. However, existing approaches to incentivize LLMs' deep thinking abilities generally require large-scale data or significant training efforts. Meanwhile, it remains unclear how to"&amp;" improve the thinking abilities of less powerful base models. In this work, we introduce S$^2$R, an efficient framework that enhances LLM reasoning by teaching models to self-verify and self-correct during inference. Specifically, we first initialize LLMs"&amp;" with iterative self-verification and self-correction behaviors through supervised fine-tuning on carefully curated data. The self-verification and self-correction skills are then further strengthened by outcome-level and process-level reinforcement learn"&amp;"ing with minimized resource requirements. Our results demonstrate that, with only 3.1k behavior initialization samples, Qwen2.5-math-7B achieves an accuracy improvement from 51.0% to 81.6%, outperforming models trained on an equivalent amount of long-CoT "&amp;"distilled data. We also discuss the effect of different RL strategies on enhancing LLMs' deep reasoning. Extensive experiments and analysis based on three base models across both in-domain and out-of-domain benchmarks validate the effectiveness of S$^2$R.")</f>
        <v>Recent studies have demonstrated the effectiveness of LLM test-time scaling. However, existing approaches to incentivize LLMs' deep thinking abilities generally require large-scale data or significant training efforts. Meanwhile, it remains unclear how to improve the thinking abilities of less powerful base models. In this work, we introduce S$^2$R, an efficient framework that enhances LLM reasoning by teaching models to self-verify and self-correct during inference. Specifically, we first initialize LLMs with iterative self-verification and self-correction behaviors through supervised fine-tuning on carefully curated data. The self-verification and self-correction skills are then further strengthened by outcome-level and process-level reinforcement learning with minimized resource requirements. Our results demonstrate that, with only 3.1k behavior initialization samples, Qwen2.5-math-7B achieves an accuracy improvement from 51.0% to 81.6%, outperforming models trained on an equivalent amount of long-CoT distilled data. We also discuss the effect of different RL strategies on enhancing LLMs' deep reasoning. Extensive experiments and analysis based on three base models across both in-domain and out-of-domain benchmarks validate the effectiveness of S$^2$R.</v>
      </c>
      <c r="D2745" s="7" t="str">
        <f>IFERROR(__xludf.DUMMYFUNCTION("""COMPUTED_VALUE"""),"Peisong Wang")</f>
        <v>Peisong Wang</v>
      </c>
      <c r="E2745" s="7" t="str">
        <f>IFERROR(__xludf.DUMMYFUNCTION("""COMPUTED_VALUE"""),"Yes")</f>
        <v>Yes</v>
      </c>
      <c r="F2745" s="7" t="str">
        <f>IFERROR(__xludf.DUMMYFUNCTION("""COMPUTED_VALUE"""),"IP-Poster")</f>
        <v>IP-Poster</v>
      </c>
      <c r="G2745" s="7" t="str">
        <f>IFERROR(__xludf.DUMMYFUNCTION("""COMPUTED_VALUE"""),"In-Person")</f>
        <v>In-Person</v>
      </c>
      <c r="H2745" s="7" t="str">
        <f>IFERROR(__xludf.DUMMYFUNCTION("""COMPUTED_VALUE"""),"Hall 4/5")</f>
        <v>Hall 4/5</v>
      </c>
      <c r="I2745" s="7" t="str">
        <f>IFERROR(__xludf.DUMMYFUNCTION("""COMPUTED_VALUE"""),"Session 12: IP-Posters")</f>
        <v>Session 12: IP-Posters</v>
      </c>
      <c r="J2745" s="7" t="str">
        <f>IFERROR(__xludf.DUMMYFUNCTION("""COMPUTED_VALUE"""),"Poster Session 4")</f>
        <v>Poster Session 4</v>
      </c>
      <c r="K2745" s="7"/>
      <c r="L2745" s="8">
        <f>IFERROR(__xludf.DUMMYFUNCTION("""COMPUTED_VALUE"""),45868.0)</f>
        <v>45868</v>
      </c>
      <c r="M2745" s="7" t="str">
        <f>IFERROR(__xludf.DUMMYFUNCTION("""COMPUTED_VALUE"""),"11:00-12:30")</f>
        <v>11:00-12:30</v>
      </c>
      <c r="N2745" s="7"/>
    </row>
    <row r="2746">
      <c r="A2746" s="7" t="str">
        <f>IFERROR(__xludf.DUMMYFUNCTION("""COMPUTED_VALUE"""),"3020-MAIN")</f>
        <v>3020-MAIN</v>
      </c>
      <c r="B2746" s="7" t="str">
        <f>IFERROR(__xludf.DUMMYFUNCTION("""COMPUTED_VALUE"""),"Advancing Collaborative Debates with Role Differentiation through Multi-Agent Reinforcement Learning")</f>
        <v>Advancing Collaborative Debates with Role Differentiation through Multi-Agent Reinforcement Learning</v>
      </c>
      <c r="C2746" s="7" t="str">
        <f>IFERROR(__xludf.DUMMYFUNCTION("""COMPUTED_VALUE"""),"Multi-agent collaborative tasks exhibit exceptional capabilities in natural language applications and generation. By prompting agents to assign clear roles, it is possible to facilitate cooperation and achieve complementary capabilities among LLMs. A comm"&amp;"on strategy involves adopting a relatively general role assignment mechanism, such as introducing a ``judge'' or a ``summarizer''. However, these approaches lack task-specific role customization based on task characteristics. Another strategy involves dec"&amp;"omposing the task based on domain knowledge and task characteristics, followed by assigning appropriate roles according to LLMs' respective strengths, such as programmers and testers. However, in some given tasks, obtaining domain knowledge related to tas"&amp;"k characteristics and getting the strengths of different LLMs is hard. To solve these problems, we propose a Multi-LLM Cooperation (MLC) framework with automatic role assignment capabilities. The core idea of the MLC is to initialize role assignments rand"&amp;"omly and then allow the role embeddings to be learned jointly with the downstream task. To capture the state transitions of multiple LLMs during turn-based speaking, the role embedding is sequence-aware. At the same time, to avoid role convergence, the ro"&amp;"le differentiation module in MLC encourages behavioral differentiation between LLMs while ensuring the LLM team consistency, guiding different LLMs to develop complementary strengths from the optimization level. Our experiments on seven datasets demonstra"&amp;"te that MLC significantly enhances collaboration and expertise, which collaboratively addresses multi-agent tasks.")</f>
        <v>Multi-agent collaborative tasks exhibit exceptional capabilities in natural language applications and generation. By prompting agents to assign clear roles, it is possible to facilitate cooperation and achieve complementary capabilities among LLMs. A common strategy involves adopting a relatively general role assignment mechanism, such as introducing a ``judge'' or a ``summarizer''. However, these approaches lack task-specific role customization based on task characteristics. Another strategy involves decomposing the task based on domain knowledge and task characteristics, followed by assigning appropriate roles according to LLMs' respective strengths, such as programmers and testers. However, in some given tasks, obtaining domain knowledge related to task characteristics and getting the strengths of different LLMs is hard. To solve these problems, we propose a Multi-LLM Cooperation (MLC) framework with automatic role assignment capabilities. The core idea of the MLC is to initialize role assignments randomly and then allow the role embeddings to be learned jointly with the downstream task. To capture the state transitions of multiple LLMs during turn-based speaking, the role embedding is sequence-aware. At the same time, to avoid role convergence, the role differentiation module in MLC encourages behavioral differentiation between LLMs while ensuring the LLM team consistency, guiding different LLMs to develop complementary strengths from the optimization level. Our experiments on seven datasets demonstrate that MLC significantly enhances collaboration and expertise, which collaboratively addresses multi-agent tasks.</v>
      </c>
      <c r="D2746" s="7" t="str">
        <f>IFERROR(__xludf.DUMMYFUNCTION("""COMPUTED_VALUE"""),"Yiping Song")</f>
        <v>Yiping Song</v>
      </c>
      <c r="E2746" s="7" t="str">
        <f>IFERROR(__xludf.DUMMYFUNCTION("""COMPUTED_VALUE"""),"Yes")</f>
        <v>Yes</v>
      </c>
      <c r="F2746" s="7" t="str">
        <f>IFERROR(__xludf.DUMMYFUNCTION("""COMPUTED_VALUE"""),"IP-Poster")</f>
        <v>IP-Poster</v>
      </c>
      <c r="G2746" s="7" t="str">
        <f>IFERROR(__xludf.DUMMYFUNCTION("""COMPUTED_VALUE"""),"In-Person")</f>
        <v>In-Person</v>
      </c>
      <c r="H2746" s="7" t="str">
        <f>IFERROR(__xludf.DUMMYFUNCTION("""COMPUTED_VALUE"""),"Hall 4/5")</f>
        <v>Hall 4/5</v>
      </c>
      <c r="I2746" s="7" t="str">
        <f>IFERROR(__xludf.DUMMYFUNCTION("""COMPUTED_VALUE"""),"Session 2: IP-Posters ")</f>
        <v>Session 2: IP-Posters </v>
      </c>
      <c r="J2746" s="7" t="str">
        <f>IFERROR(__xludf.DUMMYFUNCTION("""COMPUTED_VALUE"""),"Poster Session 1")</f>
        <v>Poster Session 1</v>
      </c>
      <c r="K2746" s="7"/>
      <c r="L2746" s="8">
        <f>IFERROR(__xludf.DUMMYFUNCTION("""COMPUTED_VALUE"""),45866.0)</f>
        <v>45866</v>
      </c>
      <c r="M2746" s="7" t="str">
        <f>IFERROR(__xludf.DUMMYFUNCTION("""COMPUTED_VALUE"""),"11:00-12:30")</f>
        <v>11:00-12:30</v>
      </c>
      <c r="N2746" s="7"/>
    </row>
    <row r="2747">
      <c r="A2747" s="7" t="str">
        <f>IFERROR(__xludf.DUMMYFUNCTION("""COMPUTED_VALUE"""),"3021-MAIN")</f>
        <v>3021-MAIN</v>
      </c>
      <c r="B2747" s="7" t="str">
        <f>IFERROR(__xludf.DUMMYFUNCTION("""COMPUTED_VALUE"""),"Retrieval-Augmented Fine-Tuning With Preference Optimization For Visual Program Generation")</f>
        <v>Retrieval-Augmented Fine-Tuning With Preference Optimization For Visual Program Generation</v>
      </c>
      <c r="C2747" s="7" t="str">
        <f>IFERROR(__xludf.DUMMYFUNCTION("""COMPUTED_VALUE"""),"Visual programming languages (VPLs) allow users to create programs through graphical interfaces, which results in easier accessibility and their widespread usage in various domains. To further enhance this accessibility, recent research has focused on gen"&amp;"erating VPL code from user instructions using large language models (LLMs). Specifically, by employing prompting-based methods, these studies have shown promising results. Nevertheless, such approaches can be less effective for industrial VPLs such as Lad"&amp;"der Diagram (LD). LD is a pivotal language used in industrial automation processes and involves extensive domain-specific configurations, which are difficult to capture in a single prompt. In this work, we demonstrate that training-based methods outperfor"&amp;"m prompting-based methods for LD generation accuracy, even with smaller backbone models. Building on these findings, we propose a two-stage training strategy to further enhance VPL generation. First, we employ retrieval-augmented fine-tuning to leverage t"&amp;"he repetitive use of subroutines commonly seen in industrial VPLs. Second, we apply direct preference optimization (DPO) to further guide the model toward accurate outputs, using systematically generated preference pairs through graph editing operations. "&amp;"Extensive experiments on real-world LD data demonstrate that our approach improves program-level accuracy by over 10\% compared to supervised fine-tuning, which highlights its potential to advance industrial automation.")</f>
        <v>Visual programming languages (VPLs) allow users to create programs through graphical interfaces, which results in easier accessibility and their widespread usage in various domains. To further enhance this accessibility, recent research has focused on generating VPL code from user instructions using large language models (LLMs). Specifically, by employing prompting-based methods, these studies have shown promising results. Nevertheless, such approaches can be less effective for industrial VPLs such as Ladder Diagram (LD). LD is a pivotal language used in industrial automation processes and involves extensive domain-specific configurations, which are difficult to capture in a single prompt. In this work, we demonstrate that training-based methods outperform prompting-based methods for LD generation accuracy, even with smaller backbone models. Building on these findings, we propose a two-stage training strategy to further enhance VPL generation. First, we employ retrieval-augmented fine-tuning to leverage the repetitive use of subroutines commonly seen in industrial VPLs. Second, we apply direct preference optimization (DPO) to further guide the model toward accurate outputs, using systematically generated preference pairs through graph editing operations. Extensive experiments on real-world LD data demonstrate that our approach improves program-level accuracy by over 10\% compared to supervised fine-tuning, which highlights its potential to advance industrial automation.</v>
      </c>
      <c r="D2747" s="7" t="str">
        <f>IFERROR(__xludf.DUMMYFUNCTION("""COMPUTED_VALUE"""),"Deokhyung Kang")</f>
        <v>Deokhyung Kang</v>
      </c>
      <c r="E2747" s="7" t="str">
        <f>IFERROR(__xludf.DUMMYFUNCTION("""COMPUTED_VALUE"""),"Yes")</f>
        <v>Yes</v>
      </c>
      <c r="F2747" s="7" t="str">
        <f>IFERROR(__xludf.DUMMYFUNCTION("""COMPUTED_VALUE"""),"IP-Poster")</f>
        <v>IP-Poster</v>
      </c>
      <c r="G2747" s="7" t="str">
        <f>IFERROR(__xludf.DUMMYFUNCTION("""COMPUTED_VALUE"""),"In-Person")</f>
        <v>In-Person</v>
      </c>
      <c r="H2747" s="7" t="str">
        <f>IFERROR(__xludf.DUMMYFUNCTION("""COMPUTED_VALUE"""),"Hall 4/5")</f>
        <v>Hall 4/5</v>
      </c>
      <c r="I2747" s="7" t="str">
        <f>IFERROR(__xludf.DUMMYFUNCTION("""COMPUTED_VALUE"""),"Session 12: IP-Posters")</f>
        <v>Session 12: IP-Posters</v>
      </c>
      <c r="J2747" s="7" t="str">
        <f>IFERROR(__xludf.DUMMYFUNCTION("""COMPUTED_VALUE"""),"Poster Session 4")</f>
        <v>Poster Session 4</v>
      </c>
      <c r="K2747" s="7"/>
      <c r="L2747" s="8">
        <f>IFERROR(__xludf.DUMMYFUNCTION("""COMPUTED_VALUE"""),45868.0)</f>
        <v>45868</v>
      </c>
      <c r="M2747" s="7" t="str">
        <f>IFERROR(__xludf.DUMMYFUNCTION("""COMPUTED_VALUE"""),"11:00-12:30")</f>
        <v>11:00-12:30</v>
      </c>
      <c r="N2747" s="7"/>
    </row>
    <row r="2748">
      <c r="A2748" s="7" t="str">
        <f>IFERROR(__xludf.DUMMYFUNCTION("""COMPUTED_VALUE"""),"3040-MAIN")</f>
        <v>3040-MAIN</v>
      </c>
      <c r="B2748" s="7" t="str">
        <f>IFERROR(__xludf.DUMMYFUNCTION("""COMPUTED_VALUE"""),"STRICTA: Structured Reasoning in Critical Text Assessment for Peer Review and Beyond")</f>
        <v>STRICTA: Structured Reasoning in Critical Text Assessment for Peer Review and Beyond</v>
      </c>
      <c r="C2748" s="7" t="str">
        <f>IFERROR(__xludf.DUMMYFUNCTION("""COMPUTED_VALUE"""),"Critical text assessment is at the core of many expert activities, such as fact-checking, peer review, and essay grading. Yet, existing work treats critical text assessment as a black box problem, limiting interpretability and human-AI collaboration. To c"&amp;"lose this gap, we introduce Structured Reasoning in Critical Text Assessment (STRICTA), a novel specification framework to model text assessment as an explicit, step-wise reasoning process. STRICTA breaks down the assessment into a graph of interconnected"&amp;" reasoning steps drawing on causality theory (Pearl, 1995). This graph is populated based on expert interaction data and used to study the assessment process and facilitate human-AI collaboration. We formally define STRICTA and apply it in a study on biom"&amp;"edical paper assessment, resulting in a dataset of over 4000 reasoning steps from roughly 40 biomedical experts on more than 20 papers. We use this dataset to empirically study expert reasoning in critical text assessment, and investigate if LLMs are able"&amp;" to imitate and support experts within these workflows. The resulting tools and datasets pave the way for studying collaborative expert-AI reasoning in text assessment, in peer review and beyond.")</f>
        <v>Critical text assessment is at the core of many expert activities, such as fact-checking, peer review, and essay grading. Yet, existing work treats critical text assessment as a black box problem, limiting interpretability and human-AI collaboration. To close this gap, we introduce Structured Reasoning in Critical Text Assessment (STRICTA), a novel specification framework to model text assessment as an explicit, step-wise reasoning process. STRICTA breaks down the assessment into a graph of interconnected reasoning steps drawing on causality theory (Pearl, 1995). This graph is populated based on expert interaction data and used to study the assessment process and facilitate human-AI collaboration. We formally define STRICTA and apply it in a study on biomedical paper assessment, resulting in a dataset of over 4000 reasoning steps from roughly 40 biomedical experts on more than 20 papers. We use this dataset to empirically study expert reasoning in critical text assessment, and investigate if LLMs are able to imitate and support experts within these workflows. The resulting tools and datasets pave the way for studying collaborative expert-AI reasoning in text assessment, in peer review and beyond.</v>
      </c>
      <c r="D2748" s="7" t="str">
        <f>IFERROR(__xludf.DUMMYFUNCTION("""COMPUTED_VALUE"""),"Nils Dycke")</f>
        <v>Nils Dycke</v>
      </c>
      <c r="E2748" s="7" t="str">
        <f>IFERROR(__xludf.DUMMYFUNCTION("""COMPUTED_VALUE"""),"Yes")</f>
        <v>Yes</v>
      </c>
      <c r="F2748" s="7" t="str">
        <f>IFERROR(__xludf.DUMMYFUNCTION("""COMPUTED_VALUE"""),"IP-Poster")</f>
        <v>IP-Poster</v>
      </c>
      <c r="G2748" s="7" t="str">
        <f>IFERROR(__xludf.DUMMYFUNCTION("""COMPUTED_VALUE"""),"In-Person")</f>
        <v>In-Person</v>
      </c>
      <c r="H2748" s="7" t="str">
        <f>IFERROR(__xludf.DUMMYFUNCTION("""COMPUTED_VALUE"""),"Hall 4/5")</f>
        <v>Hall 4/5</v>
      </c>
      <c r="I2748" s="7" t="str">
        <f>IFERROR(__xludf.DUMMYFUNCTION("""COMPUTED_VALUE"""),"Session 2: IP-Posters ")</f>
        <v>Session 2: IP-Posters </v>
      </c>
      <c r="J2748" s="7" t="str">
        <f>IFERROR(__xludf.DUMMYFUNCTION("""COMPUTED_VALUE"""),"Poster Session 1")</f>
        <v>Poster Session 1</v>
      </c>
      <c r="K2748" s="7"/>
      <c r="L2748" s="8">
        <f>IFERROR(__xludf.DUMMYFUNCTION("""COMPUTED_VALUE"""),45866.0)</f>
        <v>45866</v>
      </c>
      <c r="M2748" s="7" t="str">
        <f>IFERROR(__xludf.DUMMYFUNCTION("""COMPUTED_VALUE"""),"11:00-12:30")</f>
        <v>11:00-12:30</v>
      </c>
      <c r="N2748" s="7"/>
    </row>
    <row r="2749">
      <c r="A2749" s="7" t="str">
        <f>IFERROR(__xludf.DUMMYFUNCTION("""COMPUTED_VALUE"""),"3043-MAIN")</f>
        <v>3043-MAIN</v>
      </c>
      <c r="B2749" s="7" t="str">
        <f>IFERROR(__xludf.DUMMYFUNCTION("""COMPUTED_VALUE"""),"XDAC: XAI-Driven Detection and Attribution of LLM-Generated News Comments in Korean")</f>
        <v>XDAC: XAI-Driven Detection and Attribution of LLM-Generated News Comments in Korean</v>
      </c>
      <c r="C2749" s="7" t="str">
        <f>IFERROR(__xludf.DUMMYFUNCTION("""COMPUTED_VALUE"""),"Large language models (LLMs) generate human-like text, raising concerns about their misuse in creating deceptive content. Detecting LLM-generated comments (LGC) in online news is essential for preserving online discourse integrity and preventing opinion m"&amp;"anipulation. However, effective detection faces two key challenges; the brevity and informality of news comments limit traditional methods, and the absence of a publicly available LGC dataset hinders model training, especially for languages other than Eng"&amp;"lish. To address these challenges, we propose a twofold approach. First, we develop an LGC generation framework to construct a high-quality dataset with diverse and complex examples. Second, we introduce XDAC ($\textbf{X}$AI-Driven $\textbf{D}$etection an"&amp;"d $\textbf{A}$ttribution of LLM-Generated $\textbf{C}$omments), a framework utilizing explainable AI, designed for the detection and attribution of short-form LGC in Korean news articles. XDAC leverages XAI to uncover distinguishing linguistic patterns at"&amp;" both token and character levels. We present the first large-scale benchmark dataset, comprising 1.3M human-written comments from Korean news platforms and 1M LLM-generated comments from 14 distinct models. XDAC outperforms existing methods, achieving a 9"&amp;"8.5% F1 score in LGC detection with a relative improvement of 68.1%, and an 84.3% F1 score in attribution. To validate real-world applicability, we analyze 5.24M news comments from Naver, South Korea's leading online news platform, identifying 27,029 pote"&amp;"ntial LLM-generated comments.")</f>
        <v>Large language models (LLMs) generate human-like text, raising concerns about their misuse in creating deceptive content. Detecting LLM-generated comments (LGC) in online news is essential for preserving online discourse integrity and preventing opinion manipulation. However, effective detection faces two key challenges; the brevity and informality of news comments limit traditional methods, and the absence of a publicly available LGC dataset hinders model training, especially for languages other than English. To address these challenges, we propose a twofold approach. First, we develop an LGC generation framework to construct a high-quality dataset with diverse and complex examples. Second, we introduce XDAC ($\textbf{X}$AI-Driven $\textbf{D}$etection and $\textbf{A}$ttribution of LLM-Generated $\textbf{C}$omments), a framework utilizing explainable AI, designed for the detection and attribution of short-form LGC in Korean news articles. XDAC leverages XAI to uncover distinguishing linguistic patterns at both token and character levels. We present the first large-scale benchmark dataset, comprising 1.3M human-written comments from Korean news platforms and 1M LLM-generated comments from 14 distinct models. XDAC outperforms existing methods, achieving a 98.5% F1 score in LGC detection with a relative improvement of 68.1%, and an 84.3% F1 score in attribution. To validate real-world applicability, we analyze 5.24M news comments from Naver, South Korea's leading online news platform, identifying 27,029 potential LLM-generated comments.</v>
      </c>
      <c r="D2749" s="7" t="str">
        <f>IFERROR(__xludf.DUMMYFUNCTION("""COMPUTED_VALUE"""),"Wooyoung Go")</f>
        <v>Wooyoung Go</v>
      </c>
      <c r="E2749" s="7" t="str">
        <f>IFERROR(__xludf.DUMMYFUNCTION("""COMPUTED_VALUE"""),"Yes")</f>
        <v>Yes</v>
      </c>
      <c r="F2749" s="7" t="str">
        <f>IFERROR(__xludf.DUMMYFUNCTION("""COMPUTED_VALUE"""),"IP-Oral")</f>
        <v>IP-Oral</v>
      </c>
      <c r="G2749" s="7" t="str">
        <f>IFERROR(__xludf.DUMMYFUNCTION("""COMPUTED_VALUE"""),"In-Person")</f>
        <v>In-Person</v>
      </c>
      <c r="H2749" s="7" t="str">
        <f>IFERROR(__xludf.DUMMYFUNCTION("""COMPUTED_VALUE"""),"Hall M.1")</f>
        <v>Hall M.1</v>
      </c>
      <c r="I2749" s="7" t="str">
        <f>IFERROR(__xludf.DUMMYFUNCTION("""COMPUTED_VALUE"""),"Session 11: IP-Orals ")</f>
        <v>Session 11: IP-Orals </v>
      </c>
      <c r="J2749" s="7" t="str">
        <f>IFERROR(__xludf.DUMMYFUNCTION("""COMPUTED_VALUE"""),"NLP Applications 2")</f>
        <v>NLP Applications 2</v>
      </c>
      <c r="K2749" s="7"/>
      <c r="L2749" s="8">
        <f>IFERROR(__xludf.DUMMYFUNCTION("""COMPUTED_VALUE"""),45868.0)</f>
        <v>45868</v>
      </c>
      <c r="M2749" s="7" t="str">
        <f>IFERROR(__xludf.DUMMYFUNCTION("""COMPUTED_VALUE"""),"09:00-10:30")</f>
        <v>09:00-10:30</v>
      </c>
      <c r="N2749" s="7">
        <f>IFERROR(__xludf.DUMMYFUNCTION("""COMPUTED_VALUE"""),7.0)</f>
        <v>7</v>
      </c>
    </row>
    <row r="2750">
      <c r="A2750" s="7" t="str">
        <f>IFERROR(__xludf.DUMMYFUNCTION("""COMPUTED_VALUE"""),"3044-MAIN")</f>
        <v>3044-MAIN</v>
      </c>
      <c r="B2750" s="7" t="str">
        <f>IFERROR(__xludf.DUMMYFUNCTION("""COMPUTED_VALUE"""),"CENTAUR: Bridging the Impossible Trinity of Privacy, Efficiency, and Performance in Privacy-Preserving Transformer Inference")</f>
        <v>CENTAUR: Bridging the Impossible Trinity of Privacy, Efficiency, and Performance in Privacy-Preserving Transformer Inference</v>
      </c>
      <c r="C2750" s="7" t="str">
        <f>IFERROR(__xludf.DUMMYFUNCTION("""COMPUTED_VALUE"""),"With the growing deployment of pre-trained models like Transformers on cloud platforms, privacy concerns about model parameters and inference data are intensifying. Existing Privacy-Preserving Transformer Inference (PPTI) frameworks face the ""impossible "&amp;"trinity'' of balancing privacy, efficiency, and performance: Secure Multi-Party Computation (SMPC)-based approaches ensure strong privacy but suffer from high computational overhead and performance losses; Conversely, permutation-based methods achieve nea"&amp;"r-plaintext efficiency and accuracy but compromise privacy by exposing sensitive model parameters and intermediate results. Bridging this gap with a single approach presents substantial challenges, motivating the introduction of CENTAUR, a groundbreaking "&amp;"PPTI framework that seamlessly integrates random permutations and SMPC to address the ``impossible trinity''. By designing efficient PPTI algorithms tailored to the structural properties of Transformer models, CENTAUR achieves an unprecedented balance amo"&amp;"ng privacy, efficiency, and performance. Our experiments demonstrate CENTAUR’s ability to resist diverse data reconstruction attacks, achieve plaintext-level inference accuracy, and boost inference speed by 5.0$\sim$30.4 times, unlocking new possibilities"&amp;" for secure and efficient AI deployment.")</f>
        <v>With the growing deployment of pre-trained models like Transformers on cloud platforms, privacy concerns about model parameters and inference data are intensifying. Existing Privacy-Preserving Transformer Inference (PPTI) frameworks face the "impossible trinity'' of balancing privacy, efficiency, and performance: Secure Multi-Party Computation (SMPC)-based approaches ensure strong privacy but suffer from high computational overhead and performance losses; Conversely, permutation-based methods achieve near-plaintext efficiency and accuracy but compromise privacy by exposing sensitive model parameters and intermediate results. Bridging this gap with a single approach presents substantial challenges, motivating the introduction of CENTAUR, a groundbreaking PPTI framework that seamlessly integrates random permutations and SMPC to address the ``impossible trinity''. By designing efficient PPTI algorithms tailored to the structural properties of Transformer models, CENTAUR achieves an unprecedented balance among privacy, efficiency, and performance. Our experiments demonstrate CENTAUR’s ability to resist diverse data reconstruction attacks, achieve plaintext-level inference accuracy, and boost inference speed by 5.0$\sim$30.4 times, unlocking new possibilities for secure and efficient AI deployment.</v>
      </c>
      <c r="D2750" s="7" t="str">
        <f>IFERROR(__xludf.DUMMYFUNCTION("""COMPUTED_VALUE"""),"Jinglong Luo")</f>
        <v>Jinglong Luo</v>
      </c>
      <c r="E2750" s="7" t="str">
        <f>IFERROR(__xludf.DUMMYFUNCTION("""COMPUTED_VALUE"""),"Yes")</f>
        <v>Yes</v>
      </c>
      <c r="F2750" s="7" t="str">
        <f>IFERROR(__xludf.DUMMYFUNCTION("""COMPUTED_VALUE"""),"IP-Poster")</f>
        <v>IP-Poster</v>
      </c>
      <c r="G2750" s="7" t="str">
        <f>IFERROR(__xludf.DUMMYFUNCTION("""COMPUTED_VALUE"""),"In-Person")</f>
        <v>In-Person</v>
      </c>
      <c r="H2750" s="7" t="str">
        <f>IFERROR(__xludf.DUMMYFUNCTION("""COMPUTED_VALUE"""),"Hall 4/5")</f>
        <v>Hall 4/5</v>
      </c>
      <c r="I2750" s="7" t="str">
        <f>IFERROR(__xludf.DUMMYFUNCTION("""COMPUTED_VALUE"""),"Session 12: IP-Posters")</f>
        <v>Session 12: IP-Posters</v>
      </c>
      <c r="J2750" s="7" t="str">
        <f>IFERROR(__xludf.DUMMYFUNCTION("""COMPUTED_VALUE"""),"Poster Session 4")</f>
        <v>Poster Session 4</v>
      </c>
      <c r="K2750" s="7"/>
      <c r="L2750" s="8">
        <f>IFERROR(__xludf.DUMMYFUNCTION("""COMPUTED_VALUE"""),45868.0)</f>
        <v>45868</v>
      </c>
      <c r="M2750" s="7" t="str">
        <f>IFERROR(__xludf.DUMMYFUNCTION("""COMPUTED_VALUE"""),"11:00-12:30")</f>
        <v>11:00-12:30</v>
      </c>
      <c r="N2750" s="7"/>
    </row>
    <row r="2751">
      <c r="A2751" s="7" t="str">
        <f>IFERROR(__xludf.DUMMYFUNCTION("""COMPUTED_VALUE"""),"3046-MAIN")</f>
        <v>3046-MAIN</v>
      </c>
      <c r="B2751" s="7" t="str">
        <f>IFERROR(__xludf.DUMMYFUNCTION("""COMPUTED_VALUE"""),"Silencing Empowerment, Allowing Bigotry: Auditing the Moderation of Hate Speech on Twitch")</f>
        <v>Silencing Empowerment, Allowing Bigotry: Auditing the Moderation of Hate Speech on Twitch</v>
      </c>
      <c r="C2751" s="7" t="str">
        <f>IFERROR(__xludf.DUMMYFUNCTION("""COMPUTED_VALUE"""),"To meet the demands of content moderation, online platforms have resorted to automated systems. Newer forms of real-time engagement ($\textit{e.g.}$, users commenting on live streams) on platforms like Twitch exert additional pressures on the latency expe"&amp;"cted of such moderation systems. Despite their prevalence, relatively little is known about the effectiveness of these systems. In this paper, we conduct an audit of Twitch's automated moderation tool ($\texttt{AutoMod}$) to investigate its effectiveness "&amp;"in flagging hateful content. For our audit, we create streaming accounts to act as siloed test beds, and interface with the live chat using Twitch's APIs to send over $107,000$ comments collated from $4$ datasets. We measure $\texttt{AutoMod}$'s accuracy "&amp;"in flagging blatantly hateful content containing misogyny, racism, ableism and homophobia. Our experiments reveal that a large fraction of hateful messages, up to $94$% on some datasets, $\text{\textit{bypass moderation}}$. Contextual addition of slurs to"&amp;" these messages results in $100$% removal, revealing $\texttt{AutoMod}$'s reliance on slurs as a hate signal. We also find that contrary to Twitch's community guidelines, $\texttt{AutoMod}$ blocks up to $89.5$% of benign examples that use sensitive words "&amp;"in pedagogical or empowering contexts. Overall, our audit points to large gaps in $\texttt{AutoMod}$'s capabilities and underscores the importance for such systems to understand context effectively.")</f>
        <v>To meet the demands of content moderation, online platforms have resorted to automated systems. Newer forms of real-time engagement ($\textit{e.g.}$, users commenting on live streams) on platforms like Twitch exert additional pressures on the latency expected of such moderation systems. Despite their prevalence, relatively little is known about the effectiveness of these systems. In this paper, we conduct an audit of Twitch's automated moderation tool ($\texttt{AutoMod}$) to investigate its effectiveness in flagging hateful content. For our audit, we create streaming accounts to act as siloed test beds, and interface with the live chat using Twitch's APIs to send over $107,000$ comments collated from $4$ datasets. We measure $\texttt{AutoMod}$'s accuracy in flagging blatantly hateful content containing misogyny, racism, ableism and homophobia. Our experiments reveal that a large fraction of hateful messages, up to $94$% on some datasets, $\text{\textit{bypass moderation}}$. Contextual addition of slurs to these messages results in $100$% removal, revealing $\texttt{AutoMod}$'s reliance on slurs as a hate signal. We also find that contrary to Twitch's community guidelines, $\texttt{AutoMod}$ blocks up to $89.5$% of benign examples that use sensitive words in pedagogical or empowering contexts. Overall, our audit points to large gaps in $\texttt{AutoMod}$'s capabilities and underscores the importance for such systems to understand context effectively.</v>
      </c>
      <c r="D2751" s="7" t="str">
        <f>IFERROR(__xludf.DUMMYFUNCTION("""COMPUTED_VALUE"""),"Arjun Bhagoji")</f>
        <v>Arjun Bhagoji</v>
      </c>
      <c r="E2751" s="7" t="str">
        <f>IFERROR(__xludf.DUMMYFUNCTION("""COMPUTED_VALUE"""),"Yes")</f>
        <v>Yes</v>
      </c>
      <c r="F2751" s="7" t="str">
        <f>IFERROR(__xludf.DUMMYFUNCTION("""COMPUTED_VALUE"""),"IP-Poster")</f>
        <v>IP-Poster</v>
      </c>
      <c r="G2751" s="7" t="str">
        <f>IFERROR(__xludf.DUMMYFUNCTION("""COMPUTED_VALUE"""),"In-Person")</f>
        <v>In-Person</v>
      </c>
      <c r="H2751" s="7" t="str">
        <f>IFERROR(__xludf.DUMMYFUNCTION("""COMPUTED_VALUE"""),"Hall 4/5")</f>
        <v>Hall 4/5</v>
      </c>
      <c r="I2751" s="7" t="str">
        <f>IFERROR(__xludf.DUMMYFUNCTION("""COMPUTED_VALUE"""),"Session 2: IP-Posters ")</f>
        <v>Session 2: IP-Posters </v>
      </c>
      <c r="J2751" s="7" t="str">
        <f>IFERROR(__xludf.DUMMYFUNCTION("""COMPUTED_VALUE"""),"Poster Session 1")</f>
        <v>Poster Session 1</v>
      </c>
      <c r="K2751" s="7"/>
      <c r="L2751" s="8">
        <f>IFERROR(__xludf.DUMMYFUNCTION("""COMPUTED_VALUE"""),45866.0)</f>
        <v>45866</v>
      </c>
      <c r="M2751" s="7" t="str">
        <f>IFERROR(__xludf.DUMMYFUNCTION("""COMPUTED_VALUE"""),"11:00-12:30")</f>
        <v>11:00-12:30</v>
      </c>
      <c r="N2751" s="7"/>
    </row>
    <row r="2752">
      <c r="A2752" s="7" t="str">
        <f>IFERROR(__xludf.DUMMYFUNCTION("""COMPUTED_VALUE"""),"3048-MAIN")</f>
        <v>3048-MAIN</v>
      </c>
      <c r="B2752" s="7" t="str">
        <f>IFERROR(__xludf.DUMMYFUNCTION("""COMPUTED_VALUE"""),"EdiText: Controllable Coarse-to-Fine Text Editing with Diffusion Language Models")</f>
        <v>EdiText: Controllable Coarse-to-Fine Text Editing with Diffusion Language Models</v>
      </c>
      <c r="C2752" s="7" t="str">
        <f>IFERROR(__xludf.DUMMYFUNCTION("""COMPUTED_VALUE"""),"We propose EdiText, a controllable text editing method that modifies the reference text to desired attributes at various scales. We integrate an SDEdit-based editing technique that allows for broad adjustments in the degree of text editing. Additionally, "&amp;"we introduce a novel fine-level editing method based on self-conditioning, which allows subtle control of reference text. While being capable of editing on its own, this fine-grained method, integrated with the SDEdit approach, enables EdiText to make pre"&amp;"cise adjustments within the desired range. EdiText demonstrates its controllability to robustly adjust reference text at a broad range of levels across various tasks, including toxicity control and sentiment control.")</f>
        <v>We propose EdiText, a controllable text editing method that modifies the reference text to desired attributes at various scales. We integrate an SDEdit-based editing technique that allows for broad adjustments in the degree of text editing. Additionally, we introduce a novel fine-level editing method based on self-conditioning, which allows subtle control of reference text. While being capable of editing on its own, this fine-grained method, integrated with the SDEdit approach, enables EdiText to make precise adjustments within the desired range. EdiText demonstrates its controllability to robustly adjust reference text at a broad range of levels across various tasks, including toxicity control and sentiment control.</v>
      </c>
      <c r="D2752" s="7" t="str">
        <f>IFERROR(__xludf.DUMMYFUNCTION("""COMPUTED_VALUE"""),"Che Hyun Lee")</f>
        <v>Che Hyun Lee</v>
      </c>
      <c r="E2752" s="7" t="str">
        <f>IFERROR(__xludf.DUMMYFUNCTION("""COMPUTED_VALUE"""),"Yes")</f>
        <v>Yes</v>
      </c>
      <c r="F2752" s="7" t="str">
        <f>IFERROR(__xludf.DUMMYFUNCTION("""COMPUTED_VALUE"""),"IP-Poster")</f>
        <v>IP-Poster</v>
      </c>
      <c r="G2752" s="7" t="str">
        <f>IFERROR(__xludf.DUMMYFUNCTION("""COMPUTED_VALUE"""),"In-Person")</f>
        <v>In-Person</v>
      </c>
      <c r="H2752" s="7" t="str">
        <f>IFERROR(__xludf.DUMMYFUNCTION("""COMPUTED_VALUE"""),"Hall 4/5")</f>
        <v>Hall 4/5</v>
      </c>
      <c r="I2752" s="7" t="str">
        <f>IFERROR(__xludf.DUMMYFUNCTION("""COMPUTED_VALUE"""),"Session 2: IP-Posters ")</f>
        <v>Session 2: IP-Posters </v>
      </c>
      <c r="J2752" s="7" t="str">
        <f>IFERROR(__xludf.DUMMYFUNCTION("""COMPUTED_VALUE"""),"Poster Session 1")</f>
        <v>Poster Session 1</v>
      </c>
      <c r="K2752" s="7"/>
      <c r="L2752" s="8">
        <f>IFERROR(__xludf.DUMMYFUNCTION("""COMPUTED_VALUE"""),45866.0)</f>
        <v>45866</v>
      </c>
      <c r="M2752" s="7" t="str">
        <f>IFERROR(__xludf.DUMMYFUNCTION("""COMPUTED_VALUE"""),"11:00-12:30")</f>
        <v>11:00-12:30</v>
      </c>
      <c r="N2752" s="7"/>
    </row>
    <row r="2753">
      <c r="A2753" s="7" t="str">
        <f>IFERROR(__xludf.DUMMYFUNCTION("""COMPUTED_VALUE"""),"3052-MAIN")</f>
        <v>3052-MAIN</v>
      </c>
      <c r="B2753" s="7" t="str">
        <f>IFERROR(__xludf.DUMMYFUNCTION("""COMPUTED_VALUE"""),"TUMLU: A Unified and Native Language Understanding Benchmark for Turkic Languages")</f>
        <v>TUMLU: A Unified and Native Language Understanding Benchmark for Turkic Languages</v>
      </c>
      <c r="C2753" s="7" t="str">
        <f>IFERROR(__xludf.DUMMYFUNCTION("""COMPUTED_VALUE"""),"Being able to thoroughly assess massive multi-task language understanding (MMLU) capabilities is essential for advancing the applicability of multilingual language models. However, preparing such benchmarks in high quality native language is often costly "&amp;"and therefore limits the representativeness of evaluation datasets. While recent efforts focused on building more inclusive MMLU benchmarks, these are conventionally built using machine translation from high-resource languages, which may introduce errors "&amp;"and fail to account for the linguistic and cultural intricacies of the target languages. In this paper, we address the lack of native language MMLU benchmark especially in the under-represented Turkic language family with distinct morphosyntactic and cult"&amp;"ural characteristics. We propose two benchmarks for Turkic language MMLU: TUMLU is a comprehensive, multilingual, and natively developed language understanding benchmark specifically designed for Turkic languages. It consists of middle- and high-school le"&amp;"vel questions spanning 11 academic subjects in Azerbaijani, Crimean Tatar, Karakalpak, Kazakh, Kyrgyz, Tatar, Turkish, Uyghur, and Uzbek. We also present TUMLU-mini, a more concise, balanced, and manually verified subset of the dataset. Using this dataset"&amp;", we systematically evaluate a diverse range of open and proprietary multilingual large language models (LLMs), including Claude, Gemini, GPT, and LLaMA, offering an in-depth analysis of their performance across different languages, subjects, and alphabet"&amp;"s. To promote further research and development in multilingual language understanding, we release TUMLU-mini and all corresponding evaluation scripts.")</f>
        <v>Being able to thoroughly assess massive multi-task language understanding (MMLU) capabilities is essential for advancing the applicability of multilingual language models. However, preparing such benchmarks in high quality native language is often costly and therefore limits the representativeness of evaluation datasets. While recent efforts focused on building more inclusive MMLU benchmarks, these are conventionally built using machine translation from high-resource languages, which may introduce errors and fail to account for the linguistic and cultural intricacies of the target languages. In this paper, we address the lack of native language MMLU benchmark especially in the under-represented Turkic language family with distinct morphosyntactic and cultural characteristics. We propose two benchmarks for Turkic language MMLU: TUMLU is a comprehensive, multilingual, and natively developed language understanding benchmark specifically designed for Turkic languages. It consists of middle- and high-school level questions spanning 11 academic subjects in Azerbaijani, Crimean Tatar, Karakalpak, Kazakh, Kyrgyz, Tatar, Turkish, Uyghur, and Uzbek. We also present TUMLU-mini, a more concise, balanced, and manually verified subset of the dataset. Using this dataset, we systematically evaluate a diverse range of open and proprietary multilingual large language models (LLMs), including Claude, Gemini, GPT, and LLaMA, offering an in-depth analysis of their performance across different languages, subjects, and alphabets. To promote further research and development in multilingual language understanding, we release TUMLU-mini and all corresponding evaluation scripts.</v>
      </c>
      <c r="D2753" s="7" t="str">
        <f>IFERROR(__xludf.DUMMYFUNCTION("""COMPUTED_VALUE"""),"Jafar Isbarov")</f>
        <v>Jafar Isbarov</v>
      </c>
      <c r="E2753" s="7" t="str">
        <f>IFERROR(__xludf.DUMMYFUNCTION("""COMPUTED_VALUE"""),"Yes")</f>
        <v>Yes</v>
      </c>
      <c r="F2753" s="7" t="str">
        <f>IFERROR(__xludf.DUMMYFUNCTION("""COMPUTED_VALUE"""),"IP-Poster")</f>
        <v>IP-Poster</v>
      </c>
      <c r="G2753" s="7" t="str">
        <f>IFERROR(__xludf.DUMMYFUNCTION("""COMPUTED_VALUE"""),"In-Person")</f>
        <v>In-Person</v>
      </c>
      <c r="H2753" s="7" t="str">
        <f>IFERROR(__xludf.DUMMYFUNCTION("""COMPUTED_VALUE"""),"Hall 4/5")</f>
        <v>Hall 4/5</v>
      </c>
      <c r="I2753" s="7" t="str">
        <f>IFERROR(__xludf.DUMMYFUNCTION("""COMPUTED_VALUE"""),"Session 7: IP-Posters")</f>
        <v>Session 7: IP-Posters</v>
      </c>
      <c r="J2753" s="7" t="str">
        <f>IFERROR(__xludf.DUMMYFUNCTION("""COMPUTED_VALUE"""),"Poster Session 2")</f>
        <v>Poster Session 2</v>
      </c>
      <c r="K2753" s="7"/>
      <c r="L2753" s="8">
        <f>IFERROR(__xludf.DUMMYFUNCTION("""COMPUTED_VALUE"""),45867.0)</f>
        <v>45867</v>
      </c>
      <c r="M2753" s="7" t="str">
        <f>IFERROR(__xludf.DUMMYFUNCTION("""COMPUTED_VALUE"""),"10:30-12:00")</f>
        <v>10:30-12:00</v>
      </c>
      <c r="N2753" s="7"/>
    </row>
    <row r="2754">
      <c r="A2754" s="7" t="str">
        <f>IFERROR(__xludf.DUMMYFUNCTION("""COMPUTED_VALUE"""),"3054-MAIN")</f>
        <v>3054-MAIN</v>
      </c>
      <c r="B2754" s="7" t="str">
        <f>IFERROR(__xludf.DUMMYFUNCTION("""COMPUTED_VALUE"""),"Look Both Ways and No Sink: Converting LLMs into Text Encoders without Training")</f>
        <v>Look Both Ways and No Sink: Converting LLMs into Text Encoders without Training</v>
      </c>
      <c r="C2754" s="7" t="str">
        <f>IFERROR(__xludf.DUMMYFUNCTION("""COMPUTED_VALUE"""),"Recent advancements have demonstrated the advantage of converting pretrained large language models into powerful text encoders by enabling bidirectional attention in transformer layers. However, existing methods often require extensive training on large-s"&amp;"cale datasets, posing challenges in low-resource, domain-specific scenarios. In this work, we show that a pretrained large language model can be converted into a strong text encoder without additional training. We first conduct a comprehensive empirical s"&amp;"tudy to investigate different conversion strategies and identify the impact of the attention sink phenomenon on the performance of converted encoder models. Based on our findings, we propose a novel approach that enables bidirectional attention and suppre"&amp;"sses the attention sink phenomenon, resulting in superior performance. Extensive experiments on multiple domains demonstrate the effectiveness of our approach. Our work provides new insights into the training-free conversion of text encoders in low-resour"&amp;"ce scenarios and contributes to the advancement of domain-specific text representation generation. Our code is available at https://github.com/bigai-nlco/Look-Both-Ways-and-No-Sink.")</f>
        <v>Recent advancements have demonstrated the advantage of converting pretrained large language models into powerful text encoders by enabling bidirectional attention in transformer layers. However, existing methods often require extensive training on large-scale datasets, posing challenges in low-resource, domain-specific scenarios. In this work, we show that a pretrained large language model can be converted into a strong text encoder without additional training. We first conduct a comprehensive empirical study to investigate different conversion strategies and identify the impact of the attention sink phenomenon on the performance of converted encoder models. Based on our findings, we propose a novel approach that enables bidirectional attention and suppresses the attention sink phenomenon, resulting in superior performance. Extensive experiments on multiple domains demonstrate the effectiveness of our approach. Our work provides new insights into the training-free conversion of text encoders in low-resource scenarios and contributes to the advancement of domain-specific text representation generation. Our code is available at https://github.com/bigai-nlco/Look-Both-Ways-and-No-Sink.</v>
      </c>
      <c r="D2754" s="7" t="str">
        <f>IFERROR(__xludf.DUMMYFUNCTION("""COMPUTED_VALUE"""),"Ziyong Lin")</f>
        <v>Ziyong Lin</v>
      </c>
      <c r="E2754" s="7" t="str">
        <f>IFERROR(__xludf.DUMMYFUNCTION("""COMPUTED_VALUE"""),"Yes")</f>
        <v>Yes</v>
      </c>
      <c r="F2754" s="7" t="str">
        <f>IFERROR(__xludf.DUMMYFUNCTION("""COMPUTED_VALUE"""),"IP-Poster")</f>
        <v>IP-Poster</v>
      </c>
      <c r="G2754" s="7" t="str">
        <f>IFERROR(__xludf.DUMMYFUNCTION("""COMPUTED_VALUE"""),"In-Person")</f>
        <v>In-Person</v>
      </c>
      <c r="H2754" s="7" t="str">
        <f>IFERROR(__xludf.DUMMYFUNCTION("""COMPUTED_VALUE"""),"Hall 4/5")</f>
        <v>Hall 4/5</v>
      </c>
      <c r="I2754" s="7" t="str">
        <f>IFERROR(__xludf.DUMMYFUNCTION("""COMPUTED_VALUE"""),"Session 2: IP-Posters ")</f>
        <v>Session 2: IP-Posters </v>
      </c>
      <c r="J2754" s="7" t="str">
        <f>IFERROR(__xludf.DUMMYFUNCTION("""COMPUTED_VALUE"""),"Poster Session 1")</f>
        <v>Poster Session 1</v>
      </c>
      <c r="K2754" s="7"/>
      <c r="L2754" s="8">
        <f>IFERROR(__xludf.DUMMYFUNCTION("""COMPUTED_VALUE"""),45866.0)</f>
        <v>45866</v>
      </c>
      <c r="M2754" s="7" t="str">
        <f>IFERROR(__xludf.DUMMYFUNCTION("""COMPUTED_VALUE"""),"11:00-12:30")</f>
        <v>11:00-12:30</v>
      </c>
      <c r="N2754" s="7"/>
    </row>
    <row r="2755">
      <c r="A2755" s="7" t="str">
        <f>IFERROR(__xludf.DUMMYFUNCTION("""COMPUTED_VALUE"""),"3058-MAIN")</f>
        <v>3058-MAIN</v>
      </c>
      <c r="B2755" s="7" t="str">
        <f>IFERROR(__xludf.DUMMYFUNCTION("""COMPUTED_VALUE"""),"Mitigating Posterior Salience Attenuation in Long-Context LLMs with Positional Contrastive Decoding")</f>
        <v>Mitigating Posterior Salience Attenuation in Long-Context LLMs with Positional Contrastive Decoding</v>
      </c>
      <c r="C2755" s="7" t="str">
        <f>IFERROR(__xludf.DUMMYFUNCTION("""COMPUTED_VALUE"""),"While Large Language Models (LLMs) support long contexts, they struggle with performance degradation within the context window. Current solutions incur prohibitive training costs, leaving statistical behaviors and cost-effective approaches underexplored. "&amp;"From the decoding perspective, we identify the Posterior Salience Attenuation (PSA) phenomenon, where the salience ratio correlates with long-text performance degradation. Notably, despite the attenuation, gold tokens still occupy high-ranking positions i"&amp;"n the decoding space. Motivated by it, we propose the training-free Positional Contrastive Decoding (PCD) that contrasts the logits derived from long-aware attention with those from designed local-aware attention, enabling the model to focus on the gains "&amp;"introduced by large-scale short-to-long training. Through the analysis of long-term decay simulation, we demonstrate that PCD effectively alleviates attention score degradation. Experimental results show that PCD achieves state-of-the-art performance on l"&amp;"ong-context benchmarks.")</f>
        <v>While Large Language Models (LLMs) support long contexts, they struggle with performance degradation within the context window. Current solutions incur prohibitive training costs, leaving statistical behaviors and cost-effective approaches underexplored. From the decoding perspective, we identify the Posterior Salience Attenuation (PSA) phenomenon, where the salience ratio correlates with long-text performance degradation. Notably, despite the attenuation, gold tokens still occupy high-ranking positions in the decoding space. Motivated by it, we propose the training-free Positional Contrastive Decoding (PCD) that contrasts the logits derived from long-aware attention with those from designed local-aware attention, enabling the model to focus on the gains introduced by large-scale short-to-long training. Through the analysis of long-term decay simulation, we demonstrate that PCD effectively alleviates attention score degradation. Experimental results show that PCD achieves state-of-the-art performance on long-context benchmarks.</v>
      </c>
      <c r="D2755" s="7" t="str">
        <f>IFERROR(__xludf.DUMMYFUNCTION("""COMPUTED_VALUE"""),"Zikai Ziao")</f>
        <v>Zikai Ziao</v>
      </c>
      <c r="E2755" s="7" t="str">
        <f>IFERROR(__xludf.DUMMYFUNCTION("""COMPUTED_VALUE"""),"Yes")</f>
        <v>Yes</v>
      </c>
      <c r="F2755" s="7" t="str">
        <f>IFERROR(__xludf.DUMMYFUNCTION("""COMPUTED_VALUE"""),"V-Presentation")</f>
        <v>V-Presentation</v>
      </c>
      <c r="G2755" s="7" t="str">
        <f>IFERROR(__xludf.DUMMYFUNCTION("""COMPUTED_VALUE"""),"Virtual/Gather")</f>
        <v>Virtual/Gather</v>
      </c>
      <c r="H2755" s="7" t="str">
        <f>IFERROR(__xludf.DUMMYFUNCTION("""COMPUTED_VALUE"""),"Zoom")</f>
        <v>Zoom</v>
      </c>
      <c r="I2755" s="7" t="str">
        <f>IFERROR(__xludf.DUMMYFUNCTION("""COMPUTED_VALUE"""),"Session 7: V--Presentations ")</f>
        <v>Session 7: V--Presentations </v>
      </c>
      <c r="J2755" s="7" t="str">
        <f>IFERROR(__xludf.DUMMYFUNCTION("""COMPUTED_VALUE"""),"Virtual Presentations 2")</f>
        <v>Virtual Presentations 2</v>
      </c>
      <c r="K2755" s="7"/>
      <c r="L2755" s="8"/>
      <c r="M2755" s="7" t="str">
        <f>IFERROR(__xludf.DUMMYFUNCTION("""COMPUTED_VALUE"""),"10:30-12:00")</f>
        <v>10:30-12:00</v>
      </c>
      <c r="N2755" s="7"/>
    </row>
    <row r="2756">
      <c r="A2756" s="7" t="str">
        <f>IFERROR(__xludf.DUMMYFUNCTION("""COMPUTED_VALUE"""),"3061-MAIN")</f>
        <v>3061-MAIN</v>
      </c>
      <c r="B2756" s="7" t="str">
        <f>IFERROR(__xludf.DUMMYFUNCTION("""COMPUTED_VALUE"""),"A Statistical and Multi-Perspective Revisiting of the Membership Inference Attack in Large Language Models")</f>
        <v>A Statistical and Multi-Perspective Revisiting of the Membership Inference Attack in Large Language Models</v>
      </c>
      <c r="C2756" s="7" t="str">
        <f>IFERROR(__xludf.DUMMYFUNCTION("""COMPUTED_VALUE"""),"The lack of data transparency in Large Language Models (LLMs) has highlighted the importance of Membership Inference Attack (MIA), which differentiates trained (member) and untrained (non-member) data. Though it shows success in previous studies, recent r"&amp;"esearch reported a near-random performance in different settings, highlighting a significant performance inconsistency. We assume that a single setting doesn't represent the distribution of the vast corpora, causing members and non-members with different "&amp;"distributions to be sampled and causing inconsistency. In this study, instead of a single setting, we statistically revisit MIA methods from various settings with thousands of experiments for each MIA method, along with study in text feature, embedding, t"&amp;"hreshold decision, and decoding dynamics of members and non-members. We found that (1) MIA performance improves with model size and varies with domains, while most methods do not statistically outperform baselines, (2) Though MIA performance is generally "&amp;"low, a notable amount of differentiable member and non-member outliers exists and vary across MIA methods, (3) Deciding a threshold to separate members and non-members is an overlooked challenge, (4) Text dissimilarity and long text benefit MIA performanc"&amp;"e, (5) Differentiable or not is reflected in the LLM embedding, (6) Member and non-members show different decoding dynamics.")</f>
        <v>The lack of data transparency in Large Language Models (LLMs) has highlighted the importance of Membership Inference Attack (MIA), which differentiates trained (member) and untrained (non-member) data. Though it shows success in previous studies, recent research reported a near-random performance in different settings, highlighting a significant performance inconsistency. We assume that a single setting doesn't represent the distribution of the vast corpora, causing members and non-members with different distributions to be sampled and causing inconsistency. In this study, instead of a single setting, we statistically revisit MIA methods from various settings with thousands of experiments for each MIA method, along with study in text feature, embedding, threshold decision, and decoding dynamics of members and non-members. We found that (1) MIA performance improves with model size and varies with domains, while most methods do not statistically outperform baselines, (2) Though MIA performance is generally low, a notable amount of differentiable member and non-member outliers exists and vary across MIA methods, (3) Deciding a threshold to separate members and non-members is an overlooked challenge, (4) Text dissimilarity and long text benefit MIA performance, (5) Differentiable or not is reflected in the LLM embedding, (6) Member and non-members show different decoding dynamics.</v>
      </c>
      <c r="D2756" s="7" t="str">
        <f>IFERROR(__xludf.DUMMYFUNCTION("""COMPUTED_VALUE"""),"CHEN, BOWEN")</f>
        <v>CHEN, BOWEN</v>
      </c>
      <c r="E2756" s="7" t="str">
        <f>IFERROR(__xludf.DUMMYFUNCTION("""COMPUTED_VALUE"""),"Yes")</f>
        <v>Yes</v>
      </c>
      <c r="F2756" s="7" t="str">
        <f>IFERROR(__xludf.DUMMYFUNCTION("""COMPUTED_VALUE"""),"IP-Poster")</f>
        <v>IP-Poster</v>
      </c>
      <c r="G2756" s="7" t="str">
        <f>IFERROR(__xludf.DUMMYFUNCTION("""COMPUTED_VALUE"""),"In-Person")</f>
        <v>In-Person</v>
      </c>
      <c r="H2756" s="7" t="str">
        <f>IFERROR(__xludf.DUMMYFUNCTION("""COMPUTED_VALUE"""),"Hall 4/5")</f>
        <v>Hall 4/5</v>
      </c>
      <c r="I2756" s="7" t="str">
        <f>IFERROR(__xludf.DUMMYFUNCTION("""COMPUTED_VALUE"""),"Session 7: IP-Posters")</f>
        <v>Session 7: IP-Posters</v>
      </c>
      <c r="J2756" s="7" t="str">
        <f>IFERROR(__xludf.DUMMYFUNCTION("""COMPUTED_VALUE"""),"Poster Session 2")</f>
        <v>Poster Session 2</v>
      </c>
      <c r="K2756" s="7"/>
      <c r="L2756" s="8">
        <f>IFERROR(__xludf.DUMMYFUNCTION("""COMPUTED_VALUE"""),45867.0)</f>
        <v>45867</v>
      </c>
      <c r="M2756" s="7" t="str">
        <f>IFERROR(__xludf.DUMMYFUNCTION("""COMPUTED_VALUE"""),"10:30-12:00")</f>
        <v>10:30-12:00</v>
      </c>
      <c r="N2756" s="7"/>
    </row>
    <row r="2757">
      <c r="A2757" s="7" t="str">
        <f>IFERROR(__xludf.DUMMYFUNCTION("""COMPUTED_VALUE"""),"3062-MAIN")</f>
        <v>3062-MAIN</v>
      </c>
      <c r="B2757" s="7" t="str">
        <f>IFERROR(__xludf.DUMMYFUNCTION("""COMPUTED_VALUE"""),"Around the World in 24 Hours: Probing LLM Knowledge of Time and Place")</f>
        <v>Around the World in 24 Hours: Probing LLM Knowledge of Time and Place</v>
      </c>
      <c r="C2757" s="7" t="str">
        <f>IFERROR(__xludf.DUMMYFUNCTION("""COMPUTED_VALUE"""),"Reasoning over time and space is essential for understanding our world. However, the abilities of language models in this area are largely unexplored as previous work has tested their abilities for logical reasoning in terms of time and space in isolation"&amp;" or only in simple or artificial environments. In this paper, we present the first evaluation of the ability of language models to jointly reason over time and space. To enable our analysis, we create GeoTemp, a dataset of 320k prompts covering 289 cities"&amp;" in 217 countries and 37 time zones. Using GeoTemp, we evaluate eight open chat models of three different model families for different combinations of temporal and geographic knowledge. We find that most models perform well on reasoning tasks involving on"&amp;"ly temporal knowledge and that overall performance improves with scale. However, performance remains constrained in tasks that require connecting temporal and geographical information. We do not find clear correlations of performance with specific geograp"&amp;"hic regions. Instead, we find a significant performance increase for location names with low model perplexity, suggesting their repeated occurrence during model training. We further demonstrate that their performance is heavily influenced by prompt formul"&amp;"ation - a direct injection of geographical knowledge leads to performance gains, whereas, surprisingly, techniques like chain-of-thought prompting decrease performance on simpler tasks.")</f>
        <v>Reasoning over time and space is essential for understanding our world. However, the abilities of language models in this area are largely unexplored as previous work has tested their abilities for logical reasoning in terms of time and space in isolation or only in simple or artificial environments. In this paper, we present the first evaluation of the ability of language models to jointly reason over time and space. To enable our analysis, we create GeoTemp, a dataset of 320k prompts covering 289 cities in 217 countries and 37 time zones. Using GeoTemp, we evaluate eight open chat models of three different model families for different combinations of temporal and geographic knowledge. We find that most models perform well on reasoning tasks involving only temporal knowledge and that overall performance improves with scale. However, performance remains constrained in tasks that require connecting temporal and geographical information. We do not find clear correlations of performance with specific geographic regions. Instead, we find a significant performance increase for location names with low model perplexity, suggesting their repeated occurrence during model training. We further demonstrate that their performance is heavily influenced by prompt formulation - a direct injection of geographical knowledge leads to performance gains, whereas, surprisingly, techniques like chain-of-thought prompting decrease performance on simpler tasks.</v>
      </c>
      <c r="D2757" s="7" t="str">
        <f>IFERROR(__xludf.DUMMYFUNCTION("""COMPUTED_VALUE"""),"Carolin Holtermann")</f>
        <v>Carolin Holtermann</v>
      </c>
      <c r="E2757" s="7" t="str">
        <f>IFERROR(__xludf.DUMMYFUNCTION("""COMPUTED_VALUE"""),"Yes")</f>
        <v>Yes</v>
      </c>
      <c r="F2757" s="7" t="str">
        <f>IFERROR(__xludf.DUMMYFUNCTION("""COMPUTED_VALUE"""),"IP-Poster")</f>
        <v>IP-Poster</v>
      </c>
      <c r="G2757" s="7" t="str">
        <f>IFERROR(__xludf.DUMMYFUNCTION("""COMPUTED_VALUE"""),"In-Person")</f>
        <v>In-Person</v>
      </c>
      <c r="H2757" s="7" t="str">
        <f>IFERROR(__xludf.DUMMYFUNCTION("""COMPUTED_VALUE"""),"Hall 4/5")</f>
        <v>Hall 4/5</v>
      </c>
      <c r="I2757" s="7" t="str">
        <f>IFERROR(__xludf.DUMMYFUNCTION("""COMPUTED_VALUE"""),"Session 12: IP-Posters")</f>
        <v>Session 12: IP-Posters</v>
      </c>
      <c r="J2757" s="7" t="str">
        <f>IFERROR(__xludf.DUMMYFUNCTION("""COMPUTED_VALUE"""),"Poster Session 4")</f>
        <v>Poster Session 4</v>
      </c>
      <c r="K2757" s="7"/>
      <c r="L2757" s="8">
        <f>IFERROR(__xludf.DUMMYFUNCTION("""COMPUTED_VALUE"""),45868.0)</f>
        <v>45868</v>
      </c>
      <c r="M2757" s="7" t="str">
        <f>IFERROR(__xludf.DUMMYFUNCTION("""COMPUTED_VALUE"""),"11:00-12:30")</f>
        <v>11:00-12:30</v>
      </c>
      <c r="N2757" s="7"/>
    </row>
    <row r="2758">
      <c r="A2758" s="7" t="str">
        <f>IFERROR(__xludf.DUMMYFUNCTION("""COMPUTED_VALUE"""),"3064-MAIN")</f>
        <v>3064-MAIN</v>
      </c>
      <c r="B2758" s="7" t="str">
        <f>IFERROR(__xludf.DUMMYFUNCTION("""COMPUTED_VALUE"""),"Mining the uncertainty patterns of humans and models in the annotation of moral foundations and human values")</f>
        <v>Mining the uncertainty patterns of humans and models in the annotation of moral foundations and human values</v>
      </c>
      <c r="C2758" s="7" t="str">
        <f>IFERROR(__xludf.DUMMYFUNCTION("""COMPUTED_VALUE"""),"The NLP community has converged on considering disagreement in annotation (or human label variation, HLV) as a constitutive feature of subjective tasks. This paper makes a further step by investigating the relationship between HLV and model uncertainty, a"&amp;"nd the impact of linguistic features of the items on both. We focus on the identification of moral foundations (e.g., care, fairness, loyalty) and human values (e.g., be polite, be honest) in text. We select three standard datasets and proceed into two st"&amp;"eps. First, we focus on HLV and analyze the linguistic features (complexity, polarity, pragmatic phenomena, lexical choices) that correlate with HLV. Next, we proceed to uncertainty and its relationship to HLV. We experiment with RoBERTa and Flan-T5 in a "&amp;"number of training setups and evaluation metrics that test the calibration of uncertainty to HLV and its relationship to performance beyond majority vote; next, we analyze the impact of linguistic features on uncertainty. We find that RoBERTa with soft lo"&amp;"ss is better calibrated to HLV, and we find alignment between calibrated models and humans in the features (textual complexity and polarity) triggering variation.")</f>
        <v>The NLP community has converged on considering disagreement in annotation (or human label variation, HLV) as a constitutive feature of subjective tasks. This paper makes a further step by investigating the relationship between HLV and model uncertainty, and the impact of linguistic features of the items on both. We focus on the identification of moral foundations (e.g., care, fairness, loyalty) and human values (e.g., be polite, be honest) in text. We select three standard datasets and proceed into two steps. First, we focus on HLV and analyze the linguistic features (complexity, polarity, pragmatic phenomena, lexical choices) that correlate with HLV. Next, we proceed to uncertainty and its relationship to HLV. We experiment with RoBERTa and Flan-T5 in a number of training setups and evaluation metrics that test the calibration of uncertainty to HLV and its relationship to performance beyond majority vote; next, we analyze the impact of linguistic features on uncertainty. We find that RoBERTa with soft loss is better calibrated to HLV, and we find alignment between calibrated models and humans in the features (textual complexity and polarity) triggering variation.</v>
      </c>
      <c r="D2758" s="7" t="str">
        <f>IFERROR(__xludf.DUMMYFUNCTION("""COMPUTED_VALUE"""),"Neele Falk")</f>
        <v>Neele Falk</v>
      </c>
      <c r="E2758" s="7" t="str">
        <f>IFERROR(__xludf.DUMMYFUNCTION("""COMPUTED_VALUE"""),"Yes")</f>
        <v>Yes</v>
      </c>
      <c r="F2758" s="7" t="str">
        <f>IFERROR(__xludf.DUMMYFUNCTION("""COMPUTED_VALUE"""),"IP-Poster")</f>
        <v>IP-Poster</v>
      </c>
      <c r="G2758" s="7" t="str">
        <f>IFERROR(__xludf.DUMMYFUNCTION("""COMPUTED_VALUE"""),"In-Person")</f>
        <v>In-Person</v>
      </c>
      <c r="H2758" s="7" t="str">
        <f>IFERROR(__xludf.DUMMYFUNCTION("""COMPUTED_VALUE"""),"Hall 4/5")</f>
        <v>Hall 4/5</v>
      </c>
      <c r="I2758" s="7" t="str">
        <f>IFERROR(__xludf.DUMMYFUNCTION("""COMPUTED_VALUE"""),"Session 2: IP-Posters ")</f>
        <v>Session 2: IP-Posters </v>
      </c>
      <c r="J2758" s="7" t="str">
        <f>IFERROR(__xludf.DUMMYFUNCTION("""COMPUTED_VALUE"""),"Poster Session 1")</f>
        <v>Poster Session 1</v>
      </c>
      <c r="K2758" s="7"/>
      <c r="L2758" s="8">
        <f>IFERROR(__xludf.DUMMYFUNCTION("""COMPUTED_VALUE"""),45866.0)</f>
        <v>45866</v>
      </c>
      <c r="M2758" s="7" t="str">
        <f>IFERROR(__xludf.DUMMYFUNCTION("""COMPUTED_VALUE"""),"11:00-12:30")</f>
        <v>11:00-12:30</v>
      </c>
      <c r="N2758" s="7"/>
    </row>
    <row r="2759">
      <c r="A2759" s="7" t="str">
        <f>IFERROR(__xludf.DUMMYFUNCTION("""COMPUTED_VALUE"""),"3068-MAIN")</f>
        <v>3068-MAIN</v>
      </c>
      <c r="B2759" s="7" t="str">
        <f>IFERROR(__xludf.DUMMYFUNCTION("""COMPUTED_VALUE"""),"""What do you call a dog that is incontrovertibly true? Dogma'': Testing LLM Generalization through Humor")</f>
        <v>"What do you call a dog that is incontrovertibly true? Dogma'': Testing LLM Generalization through Humor</v>
      </c>
      <c r="C2759" s="7" t="str">
        <f>IFERROR(__xludf.DUMMYFUNCTION("""COMPUTED_VALUE"""),"Humor, requiring creativity and contextual understanding, is a hallmark of human intelligence, showcasing adaptability across linguistic scenarios. While recent advances in large language models (LLMs) demonstrate strong reasoning on various benchmarks, i"&amp;"t remains unclear whether they truly adapt to new tasks like humans (i.e., generalize) or merely replicate memorized content. To explore this, we introduce Phunny, a new humor-based question-answering benchmark designed to assess LLMs' reasoning through c"&amp;"arefully crafted puns. Our dataset is manually curated to ensure novelty and minimize data contamination, providing a robust evaluation of LLMs' linguistic comprehension. Experiments on pun comprehension, resolution, and generation reveal that most LLMs s"&amp;"truggle with generalization, even on simple tasks, consistently underperforming the human baseline. Additionally, our detailed error analysis provides valuable insights to guide future research.")</f>
        <v>Humor, requiring creativity and contextual understanding, is a hallmark of human intelligence, showcasing adaptability across linguistic scenarios. While recent advances in large language models (LLMs) demonstrate strong reasoning on various benchmarks, it remains unclear whether they truly adapt to new tasks like humans (i.e., generalize) or merely replicate memorized content. To explore this, we introduce Phunny, a new humor-based question-answering benchmark designed to assess LLMs' reasoning through carefully crafted puns. Our dataset is manually curated to ensure novelty and minimize data contamination, providing a robust evaluation of LLMs' linguistic comprehension. Experiments on pun comprehension, resolution, and generation reveal that most LLMs struggle with generalization, even on simple tasks, consistently underperforming the human baseline. Additionally, our detailed error analysis provides valuable insights to guide future research.</v>
      </c>
      <c r="D2759" s="7" t="str">
        <f>IFERROR(__xludf.DUMMYFUNCTION("""COMPUTED_VALUE"""),"Alessio Cocchieri")</f>
        <v>Alessio Cocchieri</v>
      </c>
      <c r="E2759" s="7" t="str">
        <f>IFERROR(__xludf.DUMMYFUNCTION("""COMPUTED_VALUE"""),"Yes")</f>
        <v>Yes</v>
      </c>
      <c r="F2759" s="7" t="str">
        <f>IFERROR(__xludf.DUMMYFUNCTION("""COMPUTED_VALUE"""),"IP-Poster")</f>
        <v>IP-Poster</v>
      </c>
      <c r="G2759" s="7" t="str">
        <f>IFERROR(__xludf.DUMMYFUNCTION("""COMPUTED_VALUE"""),"In-Person")</f>
        <v>In-Person</v>
      </c>
      <c r="H2759" s="7" t="str">
        <f>IFERROR(__xludf.DUMMYFUNCTION("""COMPUTED_VALUE"""),"Hall 4/5")</f>
        <v>Hall 4/5</v>
      </c>
      <c r="I2759" s="7" t="str">
        <f>IFERROR(__xludf.DUMMYFUNCTION("""COMPUTED_VALUE"""),"Session 10: IP-Posters")</f>
        <v>Session 10: IP-Posters</v>
      </c>
      <c r="J2759" s="7" t="str">
        <f>IFERROR(__xludf.DUMMYFUNCTION("""COMPUTED_VALUE"""),"Poster Session 3")</f>
        <v>Poster Session 3</v>
      </c>
      <c r="K2759" s="7"/>
      <c r="L2759" s="8">
        <f>IFERROR(__xludf.DUMMYFUNCTION("""COMPUTED_VALUE"""),45867.0)</f>
        <v>45867</v>
      </c>
      <c r="M2759" s="7" t="str">
        <f>IFERROR(__xludf.DUMMYFUNCTION("""COMPUTED_VALUE"""),"16:00-17:30")</f>
        <v>16:00-17:30</v>
      </c>
      <c r="N2759" s="7"/>
    </row>
    <row r="2760">
      <c r="A2760" s="7" t="str">
        <f>IFERROR(__xludf.DUMMYFUNCTION("""COMPUTED_VALUE"""),"3071-MAIN")</f>
        <v>3071-MAIN</v>
      </c>
      <c r="B2760" s="7" t="str">
        <f>IFERROR(__xludf.DUMMYFUNCTION("""COMPUTED_VALUE"""),"Towards Harmonized Uncertainty Estimation for Large Language Models")</f>
        <v>Towards Harmonized Uncertainty Estimation for Large Language Models</v>
      </c>
      <c r="C2760" s="7" t="str">
        <f>IFERROR(__xludf.DUMMYFUNCTION("""COMPUTED_VALUE"""),"To facilitate robust and trustworthy deployment of large language models (LLMs), it is essential to quantify the reliability of their generations through uncertainty estimation. While recent efforts have made significant advancements by leveraging the int"&amp;"ernal logic and linguistic features of LLMs to estimate uncertainty scores, our empirical analysis highlights the pitfalls of these methods to strike a harmonized estimation between indication, balance, and calibration, which hinders their broader capabil"&amp;"ity for accurate uncertainty estimation. To address this challenge, we propose CUE (Corrector for Uncertainty Estimation): A straightforward yet effective method that employs a lightweight model trained on data aligned with the target LLM's performance to"&amp;" adjust uncertainty scores. Comprehensive experiments across diverse models and tasks demonstrate its effectiveness, which achieves consistent improvements of up to 60% over existing methods.")</f>
        <v>To facilitate robust and trustworthy deployment of large language models (LLMs), it is essential to quantify the reliability of their generations through uncertainty estimation. While recent efforts have made significant advancements by leveraging the internal logic and linguistic features of LLMs to estimate uncertainty scores, our empirical analysis highlights the pitfalls of these methods to strike a harmonized estimation between indication, balance, and calibration, which hinders their broader capability for accurate uncertainty estimation. To address this challenge, we propose CUE (Corrector for Uncertainty Estimation): A straightforward yet effective method that employs a lightweight model trained on data aligned with the target LLM's performance to adjust uncertainty scores. Comprehensive experiments across diverse models and tasks demonstrate its effectiveness, which achieves consistent improvements of up to 60% over existing methods.</v>
      </c>
      <c r="D2760" s="7" t="str">
        <f>IFERROR(__xludf.DUMMYFUNCTION("""COMPUTED_VALUE"""),"Rui Li")</f>
        <v>Rui Li</v>
      </c>
      <c r="E2760" s="7" t="str">
        <f>IFERROR(__xludf.DUMMYFUNCTION("""COMPUTED_VALUE"""),"Yes")</f>
        <v>Yes</v>
      </c>
      <c r="F2760" s="7" t="str">
        <f>IFERROR(__xludf.DUMMYFUNCTION("""COMPUTED_VALUE"""),"IP-Oral")</f>
        <v>IP-Oral</v>
      </c>
      <c r="G2760" s="7" t="str">
        <f>IFERROR(__xludf.DUMMYFUNCTION("""COMPUTED_VALUE"""),"In-Person")</f>
        <v>In-Person</v>
      </c>
      <c r="H2760" s="7" t="str">
        <f>IFERROR(__xludf.DUMMYFUNCTION("""COMPUTED_VALUE"""),"Hall M.2")</f>
        <v>Hall M.2</v>
      </c>
      <c r="I2760" s="7" t="str">
        <f>IFERROR(__xludf.DUMMYFUNCTION("""COMPUTED_VALUE"""),"Session 9: IP-Orals")</f>
        <v>Session 9: IP-Orals</v>
      </c>
      <c r="J2760" s="7" t="str">
        <f>IFERROR(__xludf.DUMMYFUNCTION("""COMPUTED_VALUE"""),"Interpretability and Model Analysis 1")</f>
        <v>Interpretability and Model Analysis 1</v>
      </c>
      <c r="K2760" s="7"/>
      <c r="L2760" s="8">
        <f>IFERROR(__xludf.DUMMYFUNCTION("""COMPUTED_VALUE"""),45867.0)</f>
        <v>45867</v>
      </c>
      <c r="M2760" s="7" t="str">
        <f>IFERROR(__xludf.DUMMYFUNCTION("""COMPUTED_VALUE"""),"14:00-15:30")</f>
        <v>14:00-15:30</v>
      </c>
      <c r="N2760" s="7">
        <f>IFERROR(__xludf.DUMMYFUNCTION("""COMPUTED_VALUE"""),5.0)</f>
        <v>5</v>
      </c>
    </row>
    <row r="2761">
      <c r="A2761" s="7" t="str">
        <f>IFERROR(__xludf.DUMMYFUNCTION("""COMPUTED_VALUE"""),"3075-MAIN")</f>
        <v>3075-MAIN</v>
      </c>
      <c r="B2761" s="7" t="str">
        <f>IFERROR(__xludf.DUMMYFUNCTION("""COMPUTED_VALUE"""),"VITAL: A New Dataset for Benchmarking Pluralistic Alignment in Healthcare")</f>
        <v>VITAL: A New Dataset for Benchmarking Pluralistic Alignment in Healthcare</v>
      </c>
      <c r="C2761" s="7" t="str">
        <f>IFERROR(__xludf.DUMMYFUNCTION("""COMPUTED_VALUE"""),"Alignment techniques have become central to ensuring that Large Language Models (LLMs) generate outputs consistent with human values. However, existing alignment paradigms often model an averaged or monolithic preference, failing to account for the divers"&amp;"ity of perspectives across cultures, demographics, and communities. This limitation is particularly critical in health-related scenarios, where plurality is essential due to the influence of culture, religion, personal values, and conflicting opinions. De"&amp;"spite progress in pluralistic alignment, no prior work has focused on health, likely due to the unavailability of publicly available datasets. To address this gap, we introduce VITAL, a new benchmark dataset comprising 13.1K value-laden situations and 5.4"&amp;"K multiple-choice questions focused on health, designed to assess and benchmark pluralistic alignment methodologies. Through extensive evaluation of eight LLMs of varying sizes, we demonstrate that existing pluralistic alignment techniques fall short in e"&amp;"ffectively accommodating diverse healthcare beliefs, underscoring the need for tailored AI alignment in specific domains. This work highlights the limitations of current approaches and lays the groundwork for developing health-specific alignment solutions"&amp;".")</f>
        <v>Alignment techniques have become central to ensuring that Large Language Models (LLMs) generate outputs consistent with human values. However, existing alignment paradigms often model an averaged or monolithic preference, failing to account for the diversity of perspectives across cultures, demographics, and communities. This limitation is particularly critical in health-related scenarios, where plurality is essential due to the influence of culture, religion, personal values, and conflicting opinions. Despite progress in pluralistic alignment, no prior work has focused on health, likely due to the unavailability of publicly available datasets. To address this gap, we introduce VITAL, a new benchmark dataset comprising 13.1K value-laden situations and 5.4K multiple-choice questions focused on health, designed to assess and benchmark pluralistic alignment methodologies. Through extensive evaluation of eight LLMs of varying sizes, we demonstrate that existing pluralistic alignment techniques fall short in effectively accommodating diverse healthcare beliefs, underscoring the need for tailored AI alignment in specific domains. This work highlights the limitations of current approaches and lays the groundwork for developing health-specific alignment solutions.</v>
      </c>
      <c r="D2761" s="7" t="str">
        <f>IFERROR(__xludf.DUMMYFUNCTION("""COMPUTED_VALUE"""),"Anudeex Shetty")</f>
        <v>Anudeex Shetty</v>
      </c>
      <c r="E2761" s="7" t="str">
        <f>IFERROR(__xludf.DUMMYFUNCTION("""COMPUTED_VALUE"""),"Yes")</f>
        <v>Yes</v>
      </c>
      <c r="F2761" s="7" t="str">
        <f>IFERROR(__xludf.DUMMYFUNCTION("""COMPUTED_VALUE"""),"V-Presentation")</f>
        <v>V-Presentation</v>
      </c>
      <c r="G2761" s="7" t="str">
        <f>IFERROR(__xludf.DUMMYFUNCTION("""COMPUTED_VALUE"""),"Virtual/Gather")</f>
        <v>Virtual/Gather</v>
      </c>
      <c r="H2761" s="7" t="str">
        <f>IFERROR(__xludf.DUMMYFUNCTION("""COMPUTED_VALUE"""),"Zoom")</f>
        <v>Zoom</v>
      </c>
      <c r="I2761" s="7" t="str">
        <f>IFERROR(__xludf.DUMMYFUNCTION("""COMPUTED_VALUE"""),"Session 7: V--Presentations ")</f>
        <v>Session 7: V--Presentations </v>
      </c>
      <c r="J2761" s="7" t="str">
        <f>IFERROR(__xludf.DUMMYFUNCTION("""COMPUTED_VALUE"""),"Virtual Presentations 2")</f>
        <v>Virtual Presentations 2</v>
      </c>
      <c r="K2761" s="7"/>
      <c r="L2761" s="8"/>
      <c r="M2761" s="7" t="str">
        <f>IFERROR(__xludf.DUMMYFUNCTION("""COMPUTED_VALUE"""),"10:30-12:00")</f>
        <v>10:30-12:00</v>
      </c>
      <c r="N2761" s="7"/>
    </row>
    <row r="2762">
      <c r="A2762" s="7" t="str">
        <f>IFERROR(__xludf.DUMMYFUNCTION("""COMPUTED_VALUE"""),"3076-MAIN")</f>
        <v>3076-MAIN</v>
      </c>
      <c r="B2762" s="7" t="str">
        <f>IFERROR(__xludf.DUMMYFUNCTION("""COMPUTED_VALUE"""),"Are We in the AI-Generated Text World Already? Quantifying and Monitoring AIGT on Social Media")</f>
        <v>Are We in the AI-Generated Text World Already? Quantifying and Monitoring AIGT on Social Media</v>
      </c>
      <c r="C2762" s="7" t="str">
        <f>IFERROR(__xludf.DUMMYFUNCTION("""COMPUTED_VALUE"""),"Social media platforms are experiencing a growing presence of AI-Generated Texts (AIGTs). However, the misuse of AIGTs could have profound implications for public opinion, such as spreading misinformation and manipulating narratives. Despite its importanc"&amp;"e, it remains unclear how prevalent AIGTs are on social media.  To address this gap, this paper aims to quantify and monitor the AIGTs on online social media platforms.  We first collect a dataset (SM-D) with around $2.4M$ posts from $3$ major social medi"&amp;"a platforms: Medium, Quora, and Reddit.  Then, we construct a diverse dataset (AIGTBench) to train and evaluate AIGT detectors. AIGTBench combines popular open-source datasets and our AIGT datasets generated from social media texts by $12$ LLMs, serving a"&amp;"s a benchmark for evaluating mainstream detectors. With this setup, we identify the best-performing detector (OSM-Det). We then apply OSM-Det to SM-D to track AIGTs across social media platforms from January 2022 to October 2024, using the AI Attribution "&amp;"Rate (AAR) as the metric. Specifically, Medium and Quora exhibit marked increases in AAR, rising from $1.77\%$ to $37.03\%$ and $2.06\%$ to $38.95\%$, respectively. In contrast, Reddit shows slower growth, with AAR increasing from $1.31\%$ to $2.45\%$ ove"&amp;"r the same period. Our further analysis indicates that AIGTs on social media differ from human-written texts across several dimensions, including linguistic patterns, topic distributions, engagement levels, and the follower distribution of authors. We env"&amp;"ision our analysis and findings on AIGTs in social media can shed light on future research in this domain.")</f>
        <v>Social media platforms are experiencing a growing presence of AI-Generated Texts (AIGTs). However, the misuse of AIGTs could have profound implications for public opinion, such as spreading misinformation and manipulating narratives. Despite its importance, it remains unclear how prevalent AIGTs are on social media.  To address this gap, this paper aims to quantify and monitor the AIGTs on online social media platforms.  We first collect a dataset (SM-D) with around $2.4M$ posts from $3$ major social media platforms: Medium, Quora, and Reddit.  Then, we construct a diverse dataset (AIGTBench) to train and evaluate AIGT detectors. AIGTBench combines popular open-source datasets and our AIGT datasets generated from social media texts by $12$ LLMs, serving as a benchmark for evaluating mainstream detectors. With this setup, we identify the best-performing detector (OSM-Det). We then apply OSM-Det to SM-D to track AIGTs across social media platforms from January 2022 to October 2024, using the AI Attribution Rate (AAR) as the metric. Specifically, Medium and Quora exhibit marked increases in AAR, rising from $1.77\%$ to $37.03\%$ and $2.06\%$ to $38.95\%$, respectively. In contrast, Reddit shows slower growth, with AAR increasing from $1.31\%$ to $2.45\%$ over the same period. Our further analysis indicates that AIGTs on social media differ from human-written texts across several dimensions, including linguistic patterns, topic distributions, engagement levels, and the follower distribution of authors. We envision our analysis and findings on AIGTs in social media can shed light on future research in this domain.</v>
      </c>
      <c r="D2762" s="7" t="str">
        <f>IFERROR(__xludf.DUMMYFUNCTION("""COMPUTED_VALUE"""),"Zhen Sun")</f>
        <v>Zhen Sun</v>
      </c>
      <c r="E2762" s="7" t="str">
        <f>IFERROR(__xludf.DUMMYFUNCTION("""COMPUTED_VALUE"""),"Yes")</f>
        <v>Yes</v>
      </c>
      <c r="F2762" s="7" t="str">
        <f>IFERROR(__xludf.DUMMYFUNCTION("""COMPUTED_VALUE"""),"IP-Poster")</f>
        <v>IP-Poster</v>
      </c>
      <c r="G2762" s="7" t="str">
        <f>IFERROR(__xludf.DUMMYFUNCTION("""COMPUTED_VALUE"""),"In-Person")</f>
        <v>In-Person</v>
      </c>
      <c r="H2762" s="7" t="str">
        <f>IFERROR(__xludf.DUMMYFUNCTION("""COMPUTED_VALUE"""),"Hall 4/5")</f>
        <v>Hall 4/5</v>
      </c>
      <c r="I2762" s="7" t="str">
        <f>IFERROR(__xludf.DUMMYFUNCTION("""COMPUTED_VALUE"""),"Session 12: IP-Posters")</f>
        <v>Session 12: IP-Posters</v>
      </c>
      <c r="J2762" s="7" t="str">
        <f>IFERROR(__xludf.DUMMYFUNCTION("""COMPUTED_VALUE"""),"Poster Session 4")</f>
        <v>Poster Session 4</v>
      </c>
      <c r="K2762" s="7"/>
      <c r="L2762" s="8">
        <f>IFERROR(__xludf.DUMMYFUNCTION("""COMPUTED_VALUE"""),45868.0)</f>
        <v>45868</v>
      </c>
      <c r="M2762" s="7" t="str">
        <f>IFERROR(__xludf.DUMMYFUNCTION("""COMPUTED_VALUE"""),"11:00-12:30")</f>
        <v>11:00-12:30</v>
      </c>
      <c r="N2762" s="7"/>
    </row>
    <row r="2763">
      <c r="A2763" s="7" t="str">
        <f>IFERROR(__xludf.DUMMYFUNCTION("""COMPUTED_VALUE"""),"3078-MAIN")</f>
        <v>3078-MAIN</v>
      </c>
      <c r="B2763" s="7" t="str">
        <f>IFERROR(__xludf.DUMMYFUNCTION("""COMPUTED_VALUE"""),"From English to Second Language Mastery: Enhancing LLMs with Cross-Lingual Continued Instruction Tuning")</f>
        <v>From English to Second Language Mastery: Enhancing LLMs with Cross-Lingual Continued Instruction Tuning</v>
      </c>
      <c r="C2763" s="7" t="str">
        <f>IFERROR(__xludf.DUMMYFUNCTION("""COMPUTED_VALUE"""),"Supervised Fine-Tuning (SFT) with translated instruction data effectively adapts Large Language Models (LLMs) from English to non-English languages. We introduce Cross-Lingual Continued Instruction Tuning (X-CIT), which fully leverages translation-based p"&amp;"arallel instruction data to enhance cross-lingual adaptability. X-CIT emulates the human process of second language acquisition and is guided by Chomsky's Principles and Parameters Theory. It first fine-tunes the LLM on English instruction data to establi"&amp;"sh foundational capabilities (i.e. Principles), then continues with target language translation and customized chat-instruction data to adjust ""parameters"" specific to the target language. This chat-instruction data captures alignment information in tra"&amp;"nslated parallel data, guiding the model to initially think and respond in its native language before transitioning to the target language. To further mimic human learning progression, we incorporate Self-Paced Learning (SPL) during continued training, al"&amp;"lowing the model to advance from simple to complex tasks. Implemented on Llama-2-7B across five languages, X-CIT was evaluated against three objective benchmarks and an LLM-as-a-judge benchmark, improving the strongest baseline by an average of 1.97% and "&amp;"8.2% in these two benchmarks, respectively.")</f>
        <v>Supervised Fine-Tuning (SFT) with translated instruction data effectively adapts Large Language Models (LLMs) from English to non-English languages. We introduce Cross-Lingual Continued Instruction Tuning (X-CIT), which fully leverages translation-based parallel instruction data to enhance cross-lingual adaptability. X-CIT emulates the human process of second language acquisition and is guided by Chomsky's Principles and Parameters Theory. It first fine-tunes the LLM on English instruction data to establish foundational capabilities (i.e. Principles), then continues with target language translation and customized chat-instruction data to adjust "parameters" specific to the target language. This chat-instruction data captures alignment information in translated parallel data, guiding the model to initially think and respond in its native language before transitioning to the target language. To further mimic human learning progression, we incorporate Self-Paced Learning (SPL) during continued training, allowing the model to advance from simple to complex tasks. Implemented on Llama-2-7B across five languages, X-CIT was evaluated against three objective benchmarks and an LLM-as-a-judge benchmark, improving the strongest baseline by an average of 1.97% and 8.2% in these two benchmarks, respectively.</v>
      </c>
      <c r="D2763" s="7" t="str">
        <f>IFERROR(__xludf.DUMMYFUNCTION("""COMPUTED_VALUE"""),"Linjuan Wu")</f>
        <v>Linjuan Wu</v>
      </c>
      <c r="E2763" s="7" t="str">
        <f>IFERROR(__xludf.DUMMYFUNCTION("""COMPUTED_VALUE"""),"Yes")</f>
        <v>Yes</v>
      </c>
      <c r="F2763" s="7" t="str">
        <f>IFERROR(__xludf.DUMMYFUNCTION("""COMPUTED_VALUE"""),"IP-Poster")</f>
        <v>IP-Poster</v>
      </c>
      <c r="G2763" s="7" t="str">
        <f>IFERROR(__xludf.DUMMYFUNCTION("""COMPUTED_VALUE"""),"In-Person")</f>
        <v>In-Person</v>
      </c>
      <c r="H2763" s="7" t="str">
        <f>IFERROR(__xludf.DUMMYFUNCTION("""COMPUTED_VALUE"""),"Hall 4/5")</f>
        <v>Hall 4/5</v>
      </c>
      <c r="I2763" s="7" t="str">
        <f>IFERROR(__xludf.DUMMYFUNCTION("""COMPUTED_VALUE"""),"Session 7: IP-Posters")</f>
        <v>Session 7: IP-Posters</v>
      </c>
      <c r="J2763" s="7" t="str">
        <f>IFERROR(__xludf.DUMMYFUNCTION("""COMPUTED_VALUE"""),"Poster Session 2")</f>
        <v>Poster Session 2</v>
      </c>
      <c r="K2763" s="7"/>
      <c r="L2763" s="8">
        <f>IFERROR(__xludf.DUMMYFUNCTION("""COMPUTED_VALUE"""),45867.0)</f>
        <v>45867</v>
      </c>
      <c r="M2763" s="7" t="str">
        <f>IFERROR(__xludf.DUMMYFUNCTION("""COMPUTED_VALUE"""),"10:30-12:00")</f>
        <v>10:30-12:00</v>
      </c>
      <c r="N2763" s="7"/>
    </row>
    <row r="2764">
      <c r="A2764" s="7" t="str">
        <f>IFERROR(__xludf.DUMMYFUNCTION("""COMPUTED_VALUE"""),"3079-MAIN")</f>
        <v>3079-MAIN</v>
      </c>
      <c r="B2764" s="7" t="str">
        <f>IFERROR(__xludf.DUMMYFUNCTION("""COMPUTED_VALUE"""),"WET: Overcoming Paraphrasing Vulnerabilities in Embeddings-as-a-Service with Linear Transformation Watermarks")</f>
        <v>WET: Overcoming Paraphrasing Vulnerabilities in Embeddings-as-a-Service with Linear Transformation Watermarks</v>
      </c>
      <c r="C2764" s="7" t="str">
        <f>IFERROR(__xludf.DUMMYFUNCTION("""COMPUTED_VALUE"""),"Embeddings-as-a-Service (EaaS) is a service offered by large language model (LLM) developers to supply embeddings generated by LLMs. Previous research suggests that EaaS is prone to imitation attacks—attacks that clone the underlying EaaS model by trainin"&amp;"g another model on the queried embeddings. As a result, EaaS watermarks are introduced to protect the intellectual property of EaaS providers. In this paper, we first show that existing EaaS watermarks can be removed by paraphrasing when attackers clone t"&amp;"he model. Subsequently, we propose a novel watermarking technique that involves linearly transforming the embeddings, and show that it is empirically and theoretically robust against paraphrasing.")</f>
        <v>Embeddings-as-a-Service (EaaS) is a service offered by large language model (LLM) developers to supply embeddings generated by LLMs. Previous research suggests that EaaS is prone to imitation attacks—attacks that clone the underlying EaaS model by training another model on the queried embeddings. As a result, EaaS watermarks are introduced to protect the intellectual property of EaaS providers. In this paper, we first show that existing EaaS watermarks can be removed by paraphrasing when attackers clone the model. Subsequently, we propose a novel watermarking technique that involves linearly transforming the embeddings, and show that it is empirically and theoretically robust against paraphrasing.</v>
      </c>
      <c r="D2764" s="7" t="str">
        <f>IFERROR(__xludf.DUMMYFUNCTION("""COMPUTED_VALUE"""),"Qiongkai Xu")</f>
        <v>Qiongkai Xu</v>
      </c>
      <c r="E2764" s="7" t="str">
        <f>IFERROR(__xludf.DUMMYFUNCTION("""COMPUTED_VALUE"""),"Yes")</f>
        <v>Yes</v>
      </c>
      <c r="F2764" s="7" t="str">
        <f>IFERROR(__xludf.DUMMYFUNCTION("""COMPUTED_VALUE"""),"IP-Poster")</f>
        <v>IP-Poster</v>
      </c>
      <c r="G2764" s="7" t="str">
        <f>IFERROR(__xludf.DUMMYFUNCTION("""COMPUTED_VALUE"""),"In-Person")</f>
        <v>In-Person</v>
      </c>
      <c r="H2764" s="7" t="str">
        <f>IFERROR(__xludf.DUMMYFUNCTION("""COMPUTED_VALUE"""),"Hall 4/5")</f>
        <v>Hall 4/5</v>
      </c>
      <c r="I2764" s="7" t="str">
        <f>IFERROR(__xludf.DUMMYFUNCTION("""COMPUTED_VALUE"""),"Session 2: IP-Posters ")</f>
        <v>Session 2: IP-Posters </v>
      </c>
      <c r="J2764" s="7" t="str">
        <f>IFERROR(__xludf.DUMMYFUNCTION("""COMPUTED_VALUE"""),"Poster Session 1")</f>
        <v>Poster Session 1</v>
      </c>
      <c r="K2764" s="7"/>
      <c r="L2764" s="8">
        <f>IFERROR(__xludf.DUMMYFUNCTION("""COMPUTED_VALUE"""),45866.0)</f>
        <v>45866</v>
      </c>
      <c r="M2764" s="7" t="str">
        <f>IFERROR(__xludf.DUMMYFUNCTION("""COMPUTED_VALUE"""),"11:00-12:30")</f>
        <v>11:00-12:30</v>
      </c>
      <c r="N2764" s="7"/>
    </row>
    <row r="2765">
      <c r="A2765" s="7" t="str">
        <f>IFERROR(__xludf.DUMMYFUNCTION("""COMPUTED_VALUE"""),"3102-MAIN")</f>
        <v>3102-MAIN</v>
      </c>
      <c r="B2765" s="7" t="str">
        <f>IFERROR(__xludf.DUMMYFUNCTION("""COMPUTED_VALUE"""),"HoPE: A Novel Positional Encoding Without Long-Term Decay for Enhanced Context Awareness and Extrapolation")</f>
        <v>HoPE: A Novel Positional Encoding Without Long-Term Decay for Enhanced Context Awareness and Extrapolation</v>
      </c>
      <c r="C2765" s="7" t="str">
        <f>IFERROR(__xludf.DUMMYFUNCTION("""COMPUTED_VALUE"""),"Many positional encodings (PEs) are designed to exhibit long-term decay, based on an entrenched and long-standing inductive opinion: tokens farther away from the current position carry less relevant information. We argue that long-term decay is outdated i"&amp;"n the era of LLMs, as LLMs are now applied to tasks demanding precise retrieval of in-context information from arbitrary positions. Firstly, we present empirical analyses on various PEs, demonstrating that models inherently learn attention with only a loc"&amp;"al-decay pattern while forming a U-shape pattern globally, contradicting the principle of long-term decay. Furthermore, we conduct a detailed analysis of rotary position encoding (RoPE, a prevalent relative positional encoding in LLMs), and found that the"&amp;" U-shape attention is caused by some learned components, which are also the key factor limiting RoPE's expressiveness and extrapolation. Inspired by these insights, we propose High-frequency rotary Position Encoding (HoPE). HoPE replaces the specific comp"&amp;"onents in RoPE with position-independent ones, retaining only high-frequency signals, which also breaks the principle of long-term decay in theory. HoPE achieves two major advantages: (1) Without constraints imposed by long-term decay, contradictory facto"&amp;"rs that limit attention optimization are removed. Thus, the model's context awareness is enhanced. (2) HoPE exhibits greater robustness to the out-of-distribution behavior in attention patterns during extrapolation. The effectiveness of HoPE is validated "&amp;"through extensive experiments and with a large language model of up to 3 billion parameters.")</f>
        <v>Many positional encodings (PEs) are designed to exhibit long-term decay, based on an entrenched and long-standing inductive opinion: tokens farther away from the current position carry less relevant information. We argue that long-term decay is outdated in the era of LLMs, as LLMs are now applied to tasks demanding precise retrieval of in-context information from arbitrary positions. Firstly, we present empirical analyses on various PEs, demonstrating that models inherently learn attention with only a local-decay pattern while forming a U-shape pattern globally, contradicting the principle of long-term decay. Furthermore, we conduct a detailed analysis of rotary position encoding (RoPE, a prevalent relative positional encoding in LLMs), and found that the U-shape attention is caused by some learned components, which are also the key factor limiting RoPE's expressiveness and extrapolation. Inspired by these insights, we propose High-frequency rotary Position Encoding (HoPE). HoPE replaces the specific components in RoPE with position-independent ones, retaining only high-frequency signals, which also breaks the principle of long-term decay in theory. HoPE achieves two major advantages: (1) Without constraints imposed by long-term decay, contradictory factors that limit attention optimization are removed. Thus, the model's context awareness is enhanced. (2) HoPE exhibits greater robustness to the out-of-distribution behavior in attention patterns during extrapolation. The effectiveness of HoPE is validated through extensive experiments and with a large language model of up to 3 billion parameters.</v>
      </c>
      <c r="D2765" s="7" t="str">
        <f>IFERROR(__xludf.DUMMYFUNCTION("""COMPUTED_VALUE"""),"Yuhan Chen")</f>
        <v>Yuhan Chen</v>
      </c>
      <c r="E2765" s="7" t="str">
        <f>IFERROR(__xludf.DUMMYFUNCTION("""COMPUTED_VALUE"""),"Yes")</f>
        <v>Yes</v>
      </c>
      <c r="F2765" s="7" t="str">
        <f>IFERROR(__xludf.DUMMYFUNCTION("""COMPUTED_VALUE"""),"IP-Poster")</f>
        <v>IP-Poster</v>
      </c>
      <c r="G2765" s="7" t="str">
        <f>IFERROR(__xludf.DUMMYFUNCTION("""COMPUTED_VALUE"""),"In-Person")</f>
        <v>In-Person</v>
      </c>
      <c r="H2765" s="7" t="str">
        <f>IFERROR(__xludf.DUMMYFUNCTION("""COMPUTED_VALUE"""),"Hall 4/5")</f>
        <v>Hall 4/5</v>
      </c>
      <c r="I2765" s="7" t="str">
        <f>IFERROR(__xludf.DUMMYFUNCTION("""COMPUTED_VALUE"""),"Session 12: IP-Posters")</f>
        <v>Session 12: IP-Posters</v>
      </c>
      <c r="J2765" s="7" t="str">
        <f>IFERROR(__xludf.DUMMYFUNCTION("""COMPUTED_VALUE"""),"Poster Session 4")</f>
        <v>Poster Session 4</v>
      </c>
      <c r="K2765" s="7"/>
      <c r="L2765" s="8">
        <f>IFERROR(__xludf.DUMMYFUNCTION("""COMPUTED_VALUE"""),45868.0)</f>
        <v>45868</v>
      </c>
      <c r="M2765" s="7" t="str">
        <f>IFERROR(__xludf.DUMMYFUNCTION("""COMPUTED_VALUE"""),"11:00-12:30")</f>
        <v>11:00-12:30</v>
      </c>
      <c r="N2765" s="7"/>
    </row>
    <row r="2766">
      <c r="A2766" s="7" t="str">
        <f>IFERROR(__xludf.DUMMYFUNCTION("""COMPUTED_VALUE"""),"3104-MAIN")</f>
        <v>3104-MAIN</v>
      </c>
      <c r="B2766" s="7" t="str">
        <f>IFERROR(__xludf.DUMMYFUNCTION("""COMPUTED_VALUE"""),"One QuantLLM for ALL: Fine-tuning Quantized LLMs Once for Efficient Deployments")</f>
        <v>One QuantLLM for ALL: Fine-tuning Quantized LLMs Once for Efficient Deployments</v>
      </c>
      <c r="C2766" s="7" t="str">
        <f>IFERROR(__xludf.DUMMYFUNCTION("""COMPUTED_VALUE"""),"Large Language Models (LLMs) have advanced rapidly but face significant memory demands. While quantization has shown promise for LLMs, current methods typically require lengthy training to alleviate the performance degradation from quantization loss. Howe"&amp;"ver, deploying LLMs across diverse scenarios with different resource constraints, e.g., servers and personal computers, requires repeated training per application, which amplifies the lengthy training problem. Given that, it is advantageous to train a onc"&amp;"e-for-all (OFA) supernet capable of yielding diverse optimal subnets for downstream applications through one-shot training. Nonetheless, the scale of current language models impedes efficiency and amplifies interference from weight sharing between subnets"&amp;". We make an initial attempt to extend the once-for-all framework to large language models. Specifically, we decouple shared weights to eliminate the interference and incorporate Low-Rank adapters for training efficiency. Furthermore, we observe the imbal"&amp;"ance allocation of training resources from the traditional uniform sampling. A non-parametric scheduler is introduced to adjust the sampling rate for each quantization configuration, achieving a more balanced allocation among subnets with varying demands."&amp;" We validate the approach on LLaMA2 families and Mistral on downstream evaluation, demonstrating high performance while significantly reducing deployment time faced with multiple scenarios.")</f>
        <v>Large Language Models (LLMs) have advanced rapidly but face significant memory demands. While quantization has shown promise for LLMs, current methods typically require lengthy training to alleviate the performance degradation from quantization loss. However, deploying LLMs across diverse scenarios with different resource constraints, e.g., servers and personal computers, requires repeated training per application, which amplifies the lengthy training problem. Given that, it is advantageous to train a once-for-all (OFA) supernet capable of yielding diverse optimal subnets for downstream applications through one-shot training. Nonetheless, the scale of current language models impedes efficiency and amplifies interference from weight sharing between subnets. We make an initial attempt to extend the once-for-all framework to large language models. Specifically, we decouple shared weights to eliminate the interference and incorporate Low-Rank adapters for training efficiency. Furthermore, we observe the imbalance allocation of training resources from the traditional uniform sampling. A non-parametric scheduler is introduced to adjust the sampling rate for each quantization configuration, achieving a more balanced allocation among subnets with varying demands. We validate the approach on LLaMA2 families and Mistral on downstream evaluation, demonstrating high performance while significantly reducing deployment time faced with multiple scenarios.</v>
      </c>
      <c r="D2766" s="7" t="str">
        <f>IFERROR(__xludf.DUMMYFUNCTION("""COMPUTED_VALUE"""),"Ke Yi")</f>
        <v>Ke Yi</v>
      </c>
      <c r="E2766" s="7" t="str">
        <f>IFERROR(__xludf.DUMMYFUNCTION("""COMPUTED_VALUE"""),"Yes")</f>
        <v>Yes</v>
      </c>
      <c r="F2766" s="7" t="str">
        <f>IFERROR(__xludf.DUMMYFUNCTION("""COMPUTED_VALUE"""),"IP-Oral")</f>
        <v>IP-Oral</v>
      </c>
      <c r="G2766" s="7" t="str">
        <f>IFERROR(__xludf.DUMMYFUNCTION("""COMPUTED_VALUE"""),"In-Person")</f>
        <v>In-Person</v>
      </c>
      <c r="H2766" s="7" t="str">
        <f>IFERROR(__xludf.DUMMYFUNCTION("""COMPUTED_VALUE"""),"Room 1.62")</f>
        <v>Room 1.62</v>
      </c>
      <c r="I2766" s="7" t="str">
        <f>IFERROR(__xludf.DUMMYFUNCTION("""COMPUTED_VALUE"""),"Session 11: IP-Orals ")</f>
        <v>Session 11: IP-Orals </v>
      </c>
      <c r="J2766" s="7" t="str">
        <f>IFERROR(__xludf.DUMMYFUNCTION("""COMPUTED_VALUE"""),"Efficient Methods for NLP 2")</f>
        <v>Efficient Methods for NLP 2</v>
      </c>
      <c r="K2766" s="7"/>
      <c r="L2766" s="8">
        <f>IFERROR(__xludf.DUMMYFUNCTION("""COMPUTED_VALUE"""),45868.0)</f>
        <v>45868</v>
      </c>
      <c r="M2766" s="7" t="str">
        <f>IFERROR(__xludf.DUMMYFUNCTION("""COMPUTED_VALUE"""),"09:00-10:30")</f>
        <v>09:00-10:30</v>
      </c>
      <c r="N2766" s="7">
        <f>IFERROR(__xludf.DUMMYFUNCTION("""COMPUTED_VALUE"""),7.0)</f>
        <v>7</v>
      </c>
    </row>
    <row r="2767">
      <c r="A2767" s="7" t="str">
        <f>IFERROR(__xludf.DUMMYFUNCTION("""COMPUTED_VALUE"""),"3106-MAIN")</f>
        <v>3106-MAIN</v>
      </c>
      <c r="B2767" s="7" t="str">
        <f>IFERROR(__xludf.DUMMYFUNCTION("""COMPUTED_VALUE"""),"Beyond Logits: Aligning Feature Dynamics for Effective Knowledge Distillation")</f>
        <v>Beyond Logits: Aligning Feature Dynamics for Effective Knowledge Distillation</v>
      </c>
      <c r="C2767" s="7" t="str">
        <f>IFERROR(__xludf.DUMMYFUNCTION("""COMPUTED_VALUE"""),"Knowledge distillation (KD) compresses large language models (LLMs), known as teacher models, into lightweight versions called student models, enabling efficient inference and downstream applications. However, prevailing approaches accomplish this by pred"&amp;"ominantly focusing on matching the final output distributions of student/teacher models. Drawing on the perspective that transformers can be viewed as discretizing ordinary differential equation (ODEs) on integer time steps (corresponding to layer indices"&amp;"), where intermediate features evolve across layers, we argue that effective KD requires aligning the entire feature dynamics between teacher and student models, which we call feature dynamics distillation (FDD). This alignment involves matching both the "&amp;"feature trajectory and its first-order derivative, rather than just the final states. Our approach extends the original KD objective with two additional loss terms: layer-wise feature KD, which matches discretized feature trajectory, and layer feature del"&amp;"ta KD, which matches first-order changes in features across adjacent layers. Extensive experiments on various tasks validate the effectiveness of our distillation method.")</f>
        <v>Knowledge distillation (KD) compresses large language models (LLMs), known as teacher models, into lightweight versions called student models, enabling efficient inference and downstream applications. However, prevailing approaches accomplish this by predominantly focusing on matching the final output distributions of student/teacher models. Drawing on the perspective that transformers can be viewed as discretizing ordinary differential equation (ODEs) on integer time steps (corresponding to layer indices), where intermediate features evolve across layers, we argue that effective KD requires aligning the entire feature dynamics between teacher and student models, which we call feature dynamics distillation (FDD). This alignment involves matching both the feature trajectory and its first-order derivative, rather than just the final states. Our approach extends the original KD objective with two additional loss terms: layer-wise feature KD, which matches discretized feature trajectory, and layer feature delta KD, which matches first-order changes in features across adjacent layers. Extensive experiments on various tasks validate the effectiveness of our distillation method.</v>
      </c>
      <c r="D2767" s="7" t="str">
        <f>IFERROR(__xludf.DUMMYFUNCTION("""COMPUTED_VALUE"""),"Guoqiang Gong")</f>
        <v>Guoqiang Gong</v>
      </c>
      <c r="E2767" s="7" t="str">
        <f>IFERROR(__xludf.DUMMYFUNCTION("""COMPUTED_VALUE"""),"Yes")</f>
        <v>Yes</v>
      </c>
      <c r="F2767" s="7" t="str">
        <f>IFERROR(__xludf.DUMMYFUNCTION("""COMPUTED_VALUE"""),"V-Presentation")</f>
        <v>V-Presentation</v>
      </c>
      <c r="G2767" s="7" t="str">
        <f>IFERROR(__xludf.DUMMYFUNCTION("""COMPUTED_VALUE"""),"Virtual/Gather")</f>
        <v>Virtual/Gather</v>
      </c>
      <c r="H2767" s="7" t="str">
        <f>IFERROR(__xludf.DUMMYFUNCTION("""COMPUTED_VALUE"""),"Zoom")</f>
        <v>Zoom</v>
      </c>
      <c r="I2767" s="7" t="str">
        <f>IFERROR(__xludf.DUMMYFUNCTION("""COMPUTED_VALUE"""),"Session 12: V-Presentations")</f>
        <v>Session 12: V-Presentations</v>
      </c>
      <c r="J2767" s="7" t="str">
        <f>IFERROR(__xludf.DUMMYFUNCTION("""COMPUTED_VALUE"""),"Virtual Presentations 4")</f>
        <v>Virtual Presentations 4</v>
      </c>
      <c r="K2767" s="7"/>
      <c r="L2767" s="8">
        <f>IFERROR(__xludf.DUMMYFUNCTION("""COMPUTED_VALUE"""),45868.0)</f>
        <v>45868</v>
      </c>
      <c r="M2767" s="7" t="str">
        <f>IFERROR(__xludf.DUMMYFUNCTION("""COMPUTED_VALUE"""),"11:00-12:30")</f>
        <v>11:00-12:30</v>
      </c>
      <c r="N2767" s="7"/>
    </row>
    <row r="2768">
      <c r="A2768" s="7" t="str">
        <f>IFERROR(__xludf.DUMMYFUNCTION("""COMPUTED_VALUE"""),"3109-MAIN")</f>
        <v>3109-MAIN</v>
      </c>
      <c r="B2768" s="7" t="str">
        <f>IFERROR(__xludf.DUMMYFUNCTION("""COMPUTED_VALUE"""),"Native Sparse Attention: Hardware-Aligned and Natively Trainable Sparse Attention")</f>
        <v>Native Sparse Attention: Hardware-Aligned and Natively Trainable Sparse Attention</v>
      </c>
      <c r="C2768" s="7" t="str">
        <f>IFERROR(__xludf.DUMMYFUNCTION("""COMPUTED_VALUE"""),"Long-context modeling is crucial for next-generation language models, yet the high computational cost of standard attention mechanisms poses significant computational challenges. Sparse attention offers a promising direction for improving efficiency while"&amp;" maintaining model capabilities. We present NSA, a Natively trained Sparse Attention mechanism that integrates algorithmic innovations with hardware-aligned optimizations to achieve efficient long-context modeling. NSA employs a dynamic hierarchical spars"&amp;"e strategy, combining coarse-grained token compression with fine-grained token selection to preserve both global context awareness and local precision. Our approach advances sparse attention design with two key innovations: (1) We achieve substantial spee"&amp;"dups through arithmetic intensity-balanced algorithm design, with implementation optimizations for modern hardware. (2) We enable end-to-end training, reducing pretraining computation without sacrificing model performance. As shown in Figure 1, experiment"&amp;"s show the model pretrained with NSA maintains or exceeds Full Attention models across general benchmarks, long-context tasks, and instruction-based reasoning. Meanwhile, NSA achieves substantial speedups over Full Attention on 64k-length sequences across"&amp;" decoding, forward propagation, and backward propagation, validating its efficiency throughout the model lifecycle.")</f>
        <v>Long-context modeling is crucial for next-generation language models, yet the high computational cost of standard attention mechanisms poses significant computational challenges. Sparse attention offers a promising direction for improving efficiency while maintaining model capabilities. We present NSA, a Natively trained Sparse Attention mechanism that integrates algorithmic innovations with hardware-aligned optimizations to achieve efficient long-context modeling. NSA employs a dynamic hierarchical sparse strategy, combining coarse-grained token compression with fine-grained token selection to preserve both global context awareness and local precision. Our approach advances sparse attention design with two key innovations: (1) We achieve substantial speedups through arithmetic intensity-balanced algorithm design, with implementation optimizations for modern hardware. (2) We enable end-to-end training, reducing pretraining computation without sacrificing model performance. As shown in Figure 1, experiments show the model pretrained with NSA maintains or exceeds Full Attention models across general benchmarks, long-context tasks, and instruction-based reasoning. Meanwhile, NSA achieves substantial speedups over Full Attention on 64k-length sequences across decoding, forward propagation, and backward propagation, validating its efficiency throughout the model lifecycle.</v>
      </c>
      <c r="D2768" s="7" t="str">
        <f>IFERROR(__xludf.DUMMYFUNCTION("""COMPUTED_VALUE"""),"Jingyang Yuan")</f>
        <v>Jingyang Yuan</v>
      </c>
      <c r="E2768" s="7" t="str">
        <f>IFERROR(__xludf.DUMMYFUNCTION("""COMPUTED_VALUE"""),"Yes")</f>
        <v>Yes</v>
      </c>
      <c r="F2768" s="7" t="str">
        <f>IFERROR(__xludf.DUMMYFUNCTION("""COMPUTED_VALUE"""),"IP-Oral")</f>
        <v>IP-Oral</v>
      </c>
      <c r="G2768" s="7" t="str">
        <f>IFERROR(__xludf.DUMMYFUNCTION("""COMPUTED_VALUE"""),"In-Person")</f>
        <v>In-Person</v>
      </c>
      <c r="H2768" s="7" t="str">
        <f>IFERROR(__xludf.DUMMYFUNCTION("""COMPUTED_VALUE"""),"Hall C")</f>
        <v>Hall C</v>
      </c>
      <c r="I2768" s="7" t="str">
        <f>IFERROR(__xludf.DUMMYFUNCTION("""COMPUTED_VALUE"""),"Session 9: IP-Orals")</f>
        <v>Session 9: IP-Orals</v>
      </c>
      <c r="J2768" s="7" t="str">
        <f>IFERROR(__xludf.DUMMYFUNCTION("""COMPUTED_VALUE"""),"Language Modeling 1")</f>
        <v>Language Modeling 1</v>
      </c>
      <c r="K2768" s="7"/>
      <c r="L2768" s="8">
        <f>IFERROR(__xludf.DUMMYFUNCTION("""COMPUTED_VALUE"""),45867.0)</f>
        <v>45867</v>
      </c>
      <c r="M2768" s="7" t="str">
        <f>IFERROR(__xludf.DUMMYFUNCTION("""COMPUTED_VALUE"""),"14:00-15:30")</f>
        <v>14:00-15:30</v>
      </c>
      <c r="N2768" s="7">
        <f>IFERROR(__xludf.DUMMYFUNCTION("""COMPUTED_VALUE"""),5.0)</f>
        <v>5</v>
      </c>
    </row>
    <row r="2769">
      <c r="A2769" s="7" t="str">
        <f>IFERROR(__xludf.DUMMYFUNCTION("""COMPUTED_VALUE"""),"3114-MAIN")</f>
        <v>3114-MAIN</v>
      </c>
      <c r="B2769" s="7" t="str">
        <f>IFERROR(__xludf.DUMMYFUNCTION("""COMPUTED_VALUE"""),"DRAE: Dynamic Retrieval-Augmented Expert Networks for Lifelong Learning and Task Adaptation in Robotics")</f>
        <v>DRAE: Dynamic Retrieval-Augmented Expert Networks for Lifelong Learning and Task Adaptation in Robotics</v>
      </c>
      <c r="C2769" s="7" t="str">
        <f>IFERROR(__xludf.DUMMYFUNCTION("""COMPUTED_VALUE"""),"We introduce \textbf{Dynamic Retrieval-Augmented Expert Networks (DRAE)}, a groundbreaking architecture that addresses the challenges of lifelong learning, catastrophic forgetting, and task adaptation by combining the dynamic routing capabilities of Mixtu"&amp;"re-of-Experts (MoE); leveraging the knowledge-enhancement power of Retrieval-Augmented Generation (RAG); incorporating a novel hierarchical reinforcement learning (RL) framework; and coordinating through ReflexNet-SchemaPlanner-HyperOptima (RSHO).DRAE dyn"&amp;"amically routes expert models via a sparse MoE gating mechanism, enabling efficient resource allocation while leveraging external knowledge through parametric retrieval (P-RAG) to augment the learning process. We propose a new RL framework with ReflexNet "&amp;"for low-level task execution, SchemaPlanner for symbolic reasoning, and HyperOptima for long-term context modeling, ensuring continuous adaptation and memory retention. Experimental results show that DRAE significantly outperforms baseline approaches in l"&amp;"ong-term task retention and knowledge reuse, achieving an average task success rate of 82.5\% across a set of dynamic robotic manipulation tasks, compared to 74.2\% for traditional MoE models. Furthermore, DRAE maintains an extremely low forgetting rate, "&amp;"outperforming state-of-the-art methods in catastrophic forgetting mitigation. These results demonstrate the effectiveness of our approach in enabling flexible, scalable, and efficient lifelong learning for robotics.")</f>
        <v>We introduce \textbf{Dynamic Retrieval-Augmented Expert Networks (DRAE)}, a groundbreaking architecture that addresses the challenges of lifelong learning, catastrophic forgetting, and task adaptation by combining the dynamic routing capabilities of Mixture-of-Experts (MoE); leveraging the knowledge-enhancement power of Retrieval-Augmented Generation (RAG); incorporating a novel hierarchical reinforcement learning (RL) framework; and coordinating through ReflexNet-SchemaPlanner-HyperOptima (RSHO).DRAE dynamically routes expert models via a sparse MoE gating mechanism, enabling efficient resource allocation while leveraging external knowledge through parametric retrieval (P-RAG) to augment the learning process. We propose a new RL framework with ReflexNet for low-level task execution, SchemaPlanner for symbolic reasoning, and HyperOptima for long-term context modeling, ensuring continuous adaptation and memory retention. Experimental results show that DRAE significantly outperforms baseline approaches in long-term task retention and knowledge reuse, achieving an average task success rate of 82.5\% across a set of dynamic robotic manipulation tasks, compared to 74.2\% for traditional MoE models. Furthermore, DRAE maintains an extremely low forgetting rate, outperforming state-of-the-art methods in catastrophic forgetting mitigation. These results demonstrate the effectiveness of our approach in enabling flexible, scalable, and efficient lifelong learning for robotics.</v>
      </c>
      <c r="D2769" s="7" t="str">
        <f>IFERROR(__xludf.DUMMYFUNCTION("""COMPUTED_VALUE"""),"Yayu Long")</f>
        <v>Yayu Long</v>
      </c>
      <c r="E2769" s="7" t="str">
        <f>IFERROR(__xludf.DUMMYFUNCTION("""COMPUTED_VALUE"""),"Yes")</f>
        <v>Yes</v>
      </c>
      <c r="F2769" s="7" t="str">
        <f>IFERROR(__xludf.DUMMYFUNCTION("""COMPUTED_VALUE"""),"V-Presentation")</f>
        <v>V-Presentation</v>
      </c>
      <c r="G2769" s="7" t="str">
        <f>IFERROR(__xludf.DUMMYFUNCTION("""COMPUTED_VALUE"""),"Virtual/Gather")</f>
        <v>Virtual/Gather</v>
      </c>
      <c r="H2769" s="7" t="str">
        <f>IFERROR(__xludf.DUMMYFUNCTION("""COMPUTED_VALUE"""),"Zoom")</f>
        <v>Zoom</v>
      </c>
      <c r="I2769" s="7" t="str">
        <f>IFERROR(__xludf.DUMMYFUNCTION("""COMPUTED_VALUE"""),"Session 7: V--Presentations ")</f>
        <v>Session 7: V--Presentations </v>
      </c>
      <c r="J2769" s="7" t="str">
        <f>IFERROR(__xludf.DUMMYFUNCTION("""COMPUTED_VALUE"""),"Virtual Presentations 2")</f>
        <v>Virtual Presentations 2</v>
      </c>
      <c r="K2769" s="7"/>
      <c r="L2769" s="8"/>
      <c r="M2769" s="7" t="str">
        <f>IFERROR(__xludf.DUMMYFUNCTION("""COMPUTED_VALUE"""),"10:30-12:00")</f>
        <v>10:30-12:00</v>
      </c>
      <c r="N2769" s="7"/>
    </row>
    <row r="2770">
      <c r="A2770" s="7" t="str">
        <f>IFERROR(__xludf.DUMMYFUNCTION("""COMPUTED_VALUE"""),"3115-MAIN")</f>
        <v>3115-MAIN</v>
      </c>
      <c r="B2770" s="7" t="str">
        <f>IFERROR(__xludf.DUMMYFUNCTION("""COMPUTED_VALUE"""),"MT-RAIG: Novel Benchmark and Evaluation Framework for Retrieval-Augmented Insight Generation over Multiple Tables")</f>
        <v>MT-RAIG: Novel Benchmark and Evaluation Framework for Retrieval-Augmented Insight Generation over Multiple Tables</v>
      </c>
      <c r="C2770" s="7" t="str">
        <f>IFERROR(__xludf.DUMMYFUNCTION("""COMPUTED_VALUE"""),"Recent advancements in table-based reasoning have expanded beyond factoid-level QA to address insight-level tasks, where systems should synthesize implicit knowledge in the table to provide explainable analyses. Although effective, existing studies remain"&amp;" confined to scenarios where a single gold table is given alongside the user query, failing to address cases where users seek comprehensive insights from multiple unknown tables. To bridge these gaps, we propose MT-RAIG Bench, design to evaluate systems o"&amp;"n Retrieval-Augmented Insight Generation over Mulitple-Tables. Additionally, to tackle the suboptimality of existing automatic evaluation methods in the table domain, we further introduce a fine-grained evaluation framework MT-RAIG Eval, which achieves be"&amp;"tter alignment with human quality judgments on the generated insights. We conduct extensive experiments and reveal that even frontier LLMs still struggle with complex multi-table reasoning, establishing our MT-RAIG Bench as a challenging testbed for futur"&amp;"e research.")</f>
        <v>Recent advancements in table-based reasoning have expanded beyond factoid-level QA to address insight-level tasks, where systems should synthesize implicit knowledge in the table to provide explainable analyses. Although effective, existing studies remain confined to scenarios where a single gold table is given alongside the user query, failing to address cases where users seek comprehensive insights from multiple unknown tables. To bridge these gaps, we propose MT-RAIG Bench, design to evaluate systems on Retrieval-Augmented Insight Generation over Mulitple-Tables. Additionally, to tackle the suboptimality of existing automatic evaluation methods in the table domain, we further introduce a fine-grained evaluation framework MT-RAIG Eval, which achieves better alignment with human quality judgments on the generated insights. We conduct extensive experiments and reveal that even frontier LLMs still struggle with complex multi-table reasoning, establishing our MT-RAIG Bench as a challenging testbed for future research.</v>
      </c>
      <c r="D2770" s="7" t="str">
        <f>IFERROR(__xludf.DUMMYFUNCTION("""COMPUTED_VALUE"""),"Donguk Kwon")</f>
        <v>Donguk Kwon</v>
      </c>
      <c r="E2770" s="7" t="str">
        <f>IFERROR(__xludf.DUMMYFUNCTION("""COMPUTED_VALUE"""),"Yes")</f>
        <v>Yes</v>
      </c>
      <c r="F2770" s="7" t="str">
        <f>IFERROR(__xludf.DUMMYFUNCTION("""COMPUTED_VALUE"""),"IP-Poster")</f>
        <v>IP-Poster</v>
      </c>
      <c r="G2770" s="7" t="str">
        <f>IFERROR(__xludf.DUMMYFUNCTION("""COMPUTED_VALUE"""),"In-Person")</f>
        <v>In-Person</v>
      </c>
      <c r="H2770" s="7" t="str">
        <f>IFERROR(__xludf.DUMMYFUNCTION("""COMPUTED_VALUE"""),"Hall 4/5")</f>
        <v>Hall 4/5</v>
      </c>
      <c r="I2770" s="7" t="str">
        <f>IFERROR(__xludf.DUMMYFUNCTION("""COMPUTED_VALUE"""),"Session 12: IP-Posters")</f>
        <v>Session 12: IP-Posters</v>
      </c>
      <c r="J2770" s="7" t="str">
        <f>IFERROR(__xludf.DUMMYFUNCTION("""COMPUTED_VALUE"""),"Poster Session 4")</f>
        <v>Poster Session 4</v>
      </c>
      <c r="K2770" s="7"/>
      <c r="L2770" s="8">
        <f>IFERROR(__xludf.DUMMYFUNCTION("""COMPUTED_VALUE"""),45868.0)</f>
        <v>45868</v>
      </c>
      <c r="M2770" s="7" t="str">
        <f>IFERROR(__xludf.DUMMYFUNCTION("""COMPUTED_VALUE"""),"11:00-12:30")</f>
        <v>11:00-12:30</v>
      </c>
      <c r="N2770" s="7"/>
    </row>
    <row r="2771">
      <c r="A2771" s="7" t="str">
        <f>IFERROR(__xludf.DUMMYFUNCTION("""COMPUTED_VALUE"""),"3117-MAIN")</f>
        <v>3117-MAIN</v>
      </c>
      <c r="B2771" s="7" t="str">
        <f>IFERROR(__xludf.DUMMYFUNCTION("""COMPUTED_VALUE"""),"Enhancing Chain-of-Thought Reasoning with Critical Representation Fine-tuning")</f>
        <v>Enhancing Chain-of-Thought Reasoning with Critical Representation Fine-tuning</v>
      </c>
      <c r="C2771" s="7" t="str">
        <f>IFERROR(__xludf.DUMMYFUNCTION("""COMPUTED_VALUE"""),"Representation Fine-tuning (ReFT), a recently proposed Parameter-Efficient Fine-Tuning (PEFT) method, has attracted widespread attention for significantly improving parameter efficiency by editing representation space alone. In this work, we investigate a"&amp;"pplying ReFT to complex reasoning tasks. However, directly using the native ReFT method, which modifies fixed representations at the beginning and end of each layer, yields suboptimal performance, as these fixed-position representations have uncertain imp"&amp;"act on the outputs. We observe that, in complex reasoning tasks, there often exist certain critical representations. These representations either integrate significant information from preceding layers or regulate subsequent layer representations. Through"&amp;" layer-by-layer propagation, they exert a substantial influence on the final output. Naturally, fine-tuning these critical representations has the potential to greatly enhance reasoning performance. Building upon these insights, we propose **C**ritical **"&amp;"R**epresentation **F**ine-**T**uning (CRFT), a novel method that identifies and optimizes these critical representations through information flow analysis. CRFT operates within a supervised learning framework, dynamically optimizing critical representatio"&amp;"ns in a low-rank linear subspace while freezing the base model. The effectiveness and efficiency of our method are validated across eight benchmarks for arithmetic and commonsense reasoning, using LLaMA and Mistral model families. Notably, our method impr"&amp;"oves the accuracy of LLaMA-2-7B and ReFT by 18.2 and 3.8, respectively, on GSM8K, while using only 0.016 of the model parameters, significantly less than other PEFT methods. Furthermore, our method also adapts effectively to few-shot settings, boosting on"&amp;"e-shot accuracy by 16.4. Our work highlights the untapped potential of representation-level optimization for CoT reasoning, offering a lightweight yet powerful alternative to traditional PEFT methods.")</f>
        <v>Representation Fine-tuning (ReFT), a recently proposed Parameter-Efficient Fine-Tuning (PEFT) method, has attracted widespread attention for significantly improving parameter efficiency by editing representation space alone. In this work, we investigate applying ReFT to complex reasoning tasks. However, directly using the native ReFT method, which modifies fixed representations at the beginning and end of each layer, yields suboptimal performance, as these fixed-position representations have uncertain impact on the outputs. We observe that, in complex reasoning tasks, there often exist certain critical representations. These representations either integrate significant information from preceding layers or regulate subsequent layer representations. Through layer-by-layer propagation, they exert a substantial influence on the final output. Naturally, fine-tuning these critical representations has the potential to greatly enhance reasoning performance. Building upon these insights, we propose **C**ritical **R**epresentation **F**ine-**T**uning (CRFT), a novel method that identifies and optimizes these critical representations through information flow analysis. CRFT operates within a supervised learning framework, dynamically optimizing critical representations in a low-rank linear subspace while freezing the base model. The effectiveness and efficiency of our method are validated across eight benchmarks for arithmetic and commonsense reasoning, using LLaMA and Mistral model families. Notably, our method improves the accuracy of LLaMA-2-7B and ReFT by 18.2 and 3.8, respectively, on GSM8K, while using only 0.016 of the model parameters, significantly less than other PEFT methods. Furthermore, our method also adapts effectively to few-shot settings, boosting one-shot accuracy by 16.4. Our work highlights the untapped potential of representation-level optimization for CoT reasoning, offering a lightweight yet powerful alternative to traditional PEFT methods.</v>
      </c>
      <c r="D2771" s="7" t="str">
        <f>IFERROR(__xludf.DUMMYFUNCTION("""COMPUTED_VALUE"""),"Chenxi Huang")</f>
        <v>Chenxi Huang</v>
      </c>
      <c r="E2771" s="7" t="str">
        <f>IFERROR(__xludf.DUMMYFUNCTION("""COMPUTED_VALUE"""),"Yes")</f>
        <v>Yes</v>
      </c>
      <c r="F2771" s="7" t="str">
        <f>IFERROR(__xludf.DUMMYFUNCTION("""COMPUTED_VALUE"""),"IP-Poster")</f>
        <v>IP-Poster</v>
      </c>
      <c r="G2771" s="7" t="str">
        <f>IFERROR(__xludf.DUMMYFUNCTION("""COMPUTED_VALUE"""),"In-Person")</f>
        <v>In-Person</v>
      </c>
      <c r="H2771" s="7" t="str">
        <f>IFERROR(__xludf.DUMMYFUNCTION("""COMPUTED_VALUE"""),"Hall 4/5")</f>
        <v>Hall 4/5</v>
      </c>
      <c r="I2771" s="7" t="str">
        <f>IFERROR(__xludf.DUMMYFUNCTION("""COMPUTED_VALUE"""),"Session 12: IP-Posters")</f>
        <v>Session 12: IP-Posters</v>
      </c>
      <c r="J2771" s="7" t="str">
        <f>IFERROR(__xludf.DUMMYFUNCTION("""COMPUTED_VALUE"""),"Poster Session 4")</f>
        <v>Poster Session 4</v>
      </c>
      <c r="K2771" s="7"/>
      <c r="L2771" s="8">
        <f>IFERROR(__xludf.DUMMYFUNCTION("""COMPUTED_VALUE"""),45868.0)</f>
        <v>45868</v>
      </c>
      <c r="M2771" s="7" t="str">
        <f>IFERROR(__xludf.DUMMYFUNCTION("""COMPUTED_VALUE"""),"11:00-12:30")</f>
        <v>11:00-12:30</v>
      </c>
      <c r="N2771" s="7"/>
    </row>
    <row r="2772">
      <c r="A2772" s="7" t="str">
        <f>IFERROR(__xludf.DUMMYFUNCTION("""COMPUTED_VALUE"""),"3118-MAIN")</f>
        <v>3118-MAIN</v>
      </c>
      <c r="B2772" s="7" t="str">
        <f>IFERROR(__xludf.DUMMYFUNCTION("""COMPUTED_VALUE"""),"Does the Emotional Understanding of LVLMs Vary Under High-Stress Environments and Across Different Demographic Attributes?")</f>
        <v>Does the Emotional Understanding of LVLMs Vary Under High-Stress Environments and Across Different Demographic Attributes?</v>
      </c>
      <c r="C2772" s="7" t="str">
        <f>IFERROR(__xludf.DUMMYFUNCTION("""COMPUTED_VALUE"""),"According to psychological and neuroscientific research, a high-stress environment can restrict attentional resources and intensify negative affect, thereby impairing the ability to understand emotions. Furthermore, demographic attributes such as race, ge"&amp;"nder, and age group have been repeatedly reported to cause significant differences in emotional expression and recognition. This study is the first to systematically verify whether these psychological findings observed in humans also apply to the latest L"&amp;"arge Vision Language Models (LVLMs). We constructed low-stress versus high-stress environments and generated an image dataset (a total of 540 images) that combines race, gender, and age group. Based on this, we applied the Pretend prompt technique to indu"&amp;"ce LVLMs to interpret others’ emotions from the standpoint of the assigned environment and persona. An analysis of the models’ emotional understanding ability, using EQ-Bench-based metrics, revealed that (1) under high-stress environments, the accuracy of"&amp;" emotion understanding significantly declined in most LVLMs, and (2) performance disparities were confirmed across race, gender, and age group. These findings suggest that the effects of high-stress and demographic attributes identified in human research "&amp;"may also be reflected in LVLMs.")</f>
        <v>According to psychological and neuroscientific research, a high-stress environment can restrict attentional resources and intensify negative affect, thereby impairing the ability to understand emotions. Furthermore, demographic attributes such as race, gender, and age group have been repeatedly reported to cause significant differences in emotional expression and recognition. This study is the first to systematically verify whether these psychological findings observed in humans also apply to the latest Large Vision Language Models (LVLMs). We constructed low-stress versus high-stress environments and generated an image dataset (a total of 540 images) that combines race, gender, and age group. Based on this, we applied the Pretend prompt technique to induce LVLMs to interpret others’ emotions from the standpoint of the assigned environment and persona. An analysis of the models’ emotional understanding ability, using EQ-Bench-based metrics, revealed that (1) under high-stress environments, the accuracy of emotion understanding significantly declined in most LVLMs, and (2) performance disparities were confirmed across race, gender, and age group. These findings suggest that the effects of high-stress and demographic attributes identified in human research may also be reflected in LVLMs.</v>
      </c>
      <c r="D2772" s="7" t="str">
        <f>IFERROR(__xludf.DUMMYFUNCTION("""COMPUTED_VALUE"""),"Jaewook Lee")</f>
        <v>Jaewook Lee</v>
      </c>
      <c r="E2772" s="7" t="str">
        <f>IFERROR(__xludf.DUMMYFUNCTION("""COMPUTED_VALUE"""),"Yes")</f>
        <v>Yes</v>
      </c>
      <c r="F2772" s="7" t="str">
        <f>IFERROR(__xludf.DUMMYFUNCTION("""COMPUTED_VALUE"""),"IP-Poster")</f>
        <v>IP-Poster</v>
      </c>
      <c r="G2772" s="7" t="str">
        <f>IFERROR(__xludf.DUMMYFUNCTION("""COMPUTED_VALUE"""),"In-Person")</f>
        <v>In-Person</v>
      </c>
      <c r="H2772" s="7" t="str">
        <f>IFERROR(__xludf.DUMMYFUNCTION("""COMPUTED_VALUE"""),"Hall 4/5")</f>
        <v>Hall 4/5</v>
      </c>
      <c r="I2772" s="7" t="str">
        <f>IFERROR(__xludf.DUMMYFUNCTION("""COMPUTED_VALUE"""),"Session 2: IP-Posters ")</f>
        <v>Session 2: IP-Posters </v>
      </c>
      <c r="J2772" s="7" t="str">
        <f>IFERROR(__xludf.DUMMYFUNCTION("""COMPUTED_VALUE"""),"Poster Session 1")</f>
        <v>Poster Session 1</v>
      </c>
      <c r="K2772" s="7"/>
      <c r="L2772" s="8">
        <f>IFERROR(__xludf.DUMMYFUNCTION("""COMPUTED_VALUE"""),45866.0)</f>
        <v>45866</v>
      </c>
      <c r="M2772" s="7" t="str">
        <f>IFERROR(__xludf.DUMMYFUNCTION("""COMPUTED_VALUE"""),"11:00-12:30")</f>
        <v>11:00-12:30</v>
      </c>
      <c r="N2772" s="7"/>
    </row>
    <row r="2773">
      <c r="A2773" s="7" t="str">
        <f>IFERROR(__xludf.DUMMYFUNCTION("""COMPUTED_VALUE"""),"3120-MAIN")</f>
        <v>3120-MAIN</v>
      </c>
      <c r="B2773" s="7" t="str">
        <f>IFERROR(__xludf.DUMMYFUNCTION("""COMPUTED_VALUE"""),"S2WTM: Spherical Sliced-Wasserstein Autoencoder for Topic Modeling")</f>
        <v>S2WTM: Spherical Sliced-Wasserstein Autoencoder for Topic Modeling</v>
      </c>
      <c r="C2773" s="7" t="str">
        <f>IFERROR(__xludf.DUMMYFUNCTION("""COMPUTED_VALUE"""),"Modeling latent representations in a hyperspherical space has proven effective for capturing directional similarities in high-dimensional text data, benefiting topic modeling. Variational autoencoder-based neural topic models (VAE-NTMs) commonly adopt the"&amp;" von Mises-Fisher prior to encode hyperspherical structure. However, VAE-NTMs often suffer from posterior collapse, where the KL divergence term in the objective function highly diminishes, leading to ineffective latent representations. To mitigate this i"&amp;"ssue while modeling hyperspherical structure in the latent space, we propose the Spherical Sliced Wasserstein Autoencoder for Topic Modeling (S2WTM). S2WTM employs a prior distribution supported on the unit hypersphere and leverages the Spherical Sliced-W"&amp;"asserstein distance to align the aggregated posterior distribution with the prior. Experimental results demonstrate that S2WTM outperforms state-of-the-art topic models, generating more coherent and diverse topics while improving performance on downstream"&amp;" tasks.")</f>
        <v>Modeling latent representations in a hyperspherical space has proven effective for capturing directional similarities in high-dimensional text data, benefiting topic modeling. Variational autoencoder-based neural topic models (VAE-NTMs) commonly adopt the von Mises-Fisher prior to encode hyperspherical structure. However, VAE-NTMs often suffer from posterior collapse, where the KL divergence term in the objective function highly diminishes, leading to ineffective latent representations. To mitigate this issue while modeling hyperspherical structure in the latent space, we propose the Spherical Sliced Wasserstein Autoencoder for Topic Modeling (S2WTM). S2WTM employs a prior distribution supported on the unit hypersphere and leverages the Spherical Sliced-Wasserstein distance to align the aggregated posterior distribution with the prior. Experimental results demonstrate that S2WTM outperforms state-of-the-art topic models, generating more coherent and diverse topics while improving performance on downstream tasks.</v>
      </c>
      <c r="D2773" s="7" t="str">
        <f>IFERROR(__xludf.DUMMYFUNCTION("""COMPUTED_VALUE"""),"Suman Adhya")</f>
        <v>Suman Adhya</v>
      </c>
      <c r="E2773" s="7" t="str">
        <f>IFERROR(__xludf.DUMMYFUNCTION("""COMPUTED_VALUE"""),"Yes")</f>
        <v>Yes</v>
      </c>
      <c r="F2773" s="7" t="str">
        <f>IFERROR(__xludf.DUMMYFUNCTION("""COMPUTED_VALUE"""),"IP-Poster")</f>
        <v>IP-Poster</v>
      </c>
      <c r="G2773" s="7" t="str">
        <f>IFERROR(__xludf.DUMMYFUNCTION("""COMPUTED_VALUE"""),"In-Person")</f>
        <v>In-Person</v>
      </c>
      <c r="H2773" s="7" t="str">
        <f>IFERROR(__xludf.DUMMYFUNCTION("""COMPUTED_VALUE"""),"Hall 4/5")</f>
        <v>Hall 4/5</v>
      </c>
      <c r="I2773" s="7" t="str">
        <f>IFERROR(__xludf.DUMMYFUNCTION("""COMPUTED_VALUE"""),"Session 7: IP-Posters")</f>
        <v>Session 7: IP-Posters</v>
      </c>
      <c r="J2773" s="7" t="str">
        <f>IFERROR(__xludf.DUMMYFUNCTION("""COMPUTED_VALUE"""),"Poster Session 2")</f>
        <v>Poster Session 2</v>
      </c>
      <c r="K2773" s="7"/>
      <c r="L2773" s="8">
        <f>IFERROR(__xludf.DUMMYFUNCTION("""COMPUTED_VALUE"""),45867.0)</f>
        <v>45867</v>
      </c>
      <c r="M2773" s="7" t="str">
        <f>IFERROR(__xludf.DUMMYFUNCTION("""COMPUTED_VALUE"""),"10:30-12:00")</f>
        <v>10:30-12:00</v>
      </c>
      <c r="N2773" s="7"/>
    </row>
    <row r="2774">
      <c r="A2774" s="7" t="str">
        <f>IFERROR(__xludf.DUMMYFUNCTION("""COMPUTED_VALUE"""),"3121-MAIN")</f>
        <v>3121-MAIN</v>
      </c>
      <c r="B2774" s="7" t="str">
        <f>IFERROR(__xludf.DUMMYFUNCTION("""COMPUTED_VALUE"""),"Learning to Look at the Other Side: A Probing Study of Word Semantics in LLMs with Enabled Bidirectional Attention")</f>
        <v>Learning to Look at the Other Side: A Probing Study of Word Semantics in LLMs with Enabled Bidirectional Attention</v>
      </c>
      <c r="C2774" s="7" t="str">
        <f>IFERROR(__xludf.DUMMYFUNCTION("""COMPUTED_VALUE"""),"Autoregressive Large Language Models (LLMs) demonstrate exceptional performance in language understanding and generation. However, their application in text embedding tasks has been relatively slow, along with the analysis of their semantic representation"&amp;" in probing tasks, due to the constraints of the unidirectional attention mechanism. This paper aims to explore whether such constraints can be overcome by enabling bidirectional attention in LLMs. We tested different variants of the Llama architecture th"&amp;"rough additional training steps, progressively enabling bidirectional attention and unsupervised/supervised contrastive learning. Our results show that bidirectional attention improves the LLMs’ ability to represent subsequent context but weakens their ut"&amp;"ilization of preceding context, while contrastive learning training can help to maintain both abilities.")</f>
        <v>Autoregressive Large Language Models (LLMs) demonstrate exceptional performance in language understanding and generation. However, their application in text embedding tasks has been relatively slow, along with the analysis of their semantic representation in probing tasks, due to the constraints of the unidirectional attention mechanism. This paper aims to explore whether such constraints can be overcome by enabling bidirectional attention in LLMs. We tested different variants of the Llama architecture through additional training steps, progressively enabling bidirectional attention and unsupervised/supervised contrastive learning. Our results show that bidirectional attention improves the LLMs’ ability to represent subsequent context but weakens their utilization of preceding context, while contrastive learning training can help to maintain both abilities.</v>
      </c>
      <c r="D2774" s="7" t="str">
        <f>IFERROR(__xludf.DUMMYFUNCTION("""COMPUTED_VALUE"""),"Zhaoxin Feng")</f>
        <v>Zhaoxin Feng</v>
      </c>
      <c r="E2774" s="7" t="str">
        <f>IFERROR(__xludf.DUMMYFUNCTION("""COMPUTED_VALUE"""),"Yes")</f>
        <v>Yes</v>
      </c>
      <c r="F2774" s="7" t="str">
        <f>IFERROR(__xludf.DUMMYFUNCTION("""COMPUTED_VALUE"""),"IP-Oral")</f>
        <v>IP-Oral</v>
      </c>
      <c r="G2774" s="7" t="str">
        <f>IFERROR(__xludf.DUMMYFUNCTION("""COMPUTED_VALUE"""),"In-Person")</f>
        <v>In-Person</v>
      </c>
      <c r="H2774" s="7" t="str">
        <f>IFERROR(__xludf.DUMMYFUNCTION("""COMPUTED_VALUE"""),"Room 1.86")</f>
        <v>Room 1.86</v>
      </c>
      <c r="I2774" s="7" t="str">
        <f>IFERROR(__xludf.DUMMYFUNCTION("""COMPUTED_VALUE"""),"Session 3: IP-Orals")</f>
        <v>Session 3: IP-Orals</v>
      </c>
      <c r="J2774" s="7" t="str">
        <f>IFERROR(__xludf.DUMMYFUNCTION("""COMPUTED_VALUE"""),"Semantics")</f>
        <v>Semantics</v>
      </c>
      <c r="K2774" s="7"/>
      <c r="L2774" s="8">
        <f>IFERROR(__xludf.DUMMYFUNCTION("""COMPUTED_VALUE"""),45866.0)</f>
        <v>45866</v>
      </c>
      <c r="M2774" s="7" t="str">
        <f>IFERROR(__xludf.DUMMYFUNCTION("""COMPUTED_VALUE"""),"14:00-15:30")</f>
        <v>14:00-15:30</v>
      </c>
      <c r="N2774" s="7">
        <f>IFERROR(__xludf.DUMMYFUNCTION("""COMPUTED_VALUE"""),6.0)</f>
        <v>6</v>
      </c>
    </row>
    <row r="2775">
      <c r="A2775" s="7" t="str">
        <f>IFERROR(__xludf.DUMMYFUNCTION("""COMPUTED_VALUE"""),"3122-MAIN")</f>
        <v>3122-MAIN</v>
      </c>
      <c r="B2775" s="7" t="str">
        <f>IFERROR(__xludf.DUMMYFUNCTION("""COMPUTED_VALUE"""),"Tracing and Dissecting How LLMs Recall Factual Knowledge for Real World Questions")</f>
        <v>Tracing and Dissecting How LLMs Recall Factual Knowledge for Real World Questions</v>
      </c>
      <c r="C2775" s="7" t="str">
        <f>IFERROR(__xludf.DUMMYFUNCTION("""COMPUTED_VALUE"""),"Recent advancements in large language models (LLMs) have shown promising ability to perform commonsense reasoning, bringing machines closer to human-like understanding. However, deciphering the internal reasoning processes of LLMs remains challenging due "&amp;"to the complex interdependencies among generated tokens, especially in practical question-answering. In this study, we introduce a two-dimensional analysis framework—comprising token back-tracing and individual token decoding—to uncover how LLMs conduct f"&amp;"actual knowledge recall. Through explanatory analysis of three typical reasoning datasets, we identify a consistent three-phase pattern: Subject Augmentation and Broadcasting, Object Retrieval and Reranking, and Conclusion Fusion and Generation. Our findi"&amp;"ngs reveal that LLMs do not lack relevant knowledge but struggle to select the most accurate information based on context during the retrieval and rerank phase. Leveraging these findings, we apply representation engineering and selective fine-tuning to ta"&amp;"rget specific modules responsible for retrieval and rerank errors. Experimental results show large improvements in response accuracy for both in-domain and out-of-domain settings, validating the rationality of the interpreting result.")</f>
        <v>Recent advancements in large language models (LLMs) have shown promising ability to perform commonsense reasoning, bringing machines closer to human-like understanding. However, deciphering the internal reasoning processes of LLMs remains challenging due to the complex interdependencies among generated tokens, especially in practical question-answering. In this study, we introduce a two-dimensional analysis framework—comprising token back-tracing and individual token decoding—to uncover how LLMs conduct factual knowledge recall. Through explanatory analysis of three typical reasoning datasets, we identify a consistent three-phase pattern: Subject Augmentation and Broadcasting, Object Retrieval and Reranking, and Conclusion Fusion and Generation. Our findings reveal that LLMs do not lack relevant knowledge but struggle to select the most accurate information based on context during the retrieval and rerank phase. Leveraging these findings, we apply representation engineering and selective fine-tuning to target specific modules responsible for retrieval and rerank errors. Experimental results show large improvements in response accuracy for both in-domain and out-of-domain settings, validating the rationality of the interpreting result.</v>
      </c>
      <c r="D2775" s="7" t="str">
        <f>IFERROR(__xludf.DUMMYFUNCTION("""COMPUTED_VALUE"""),"Yiqun Wang")</f>
        <v>Yiqun Wang</v>
      </c>
      <c r="E2775" s="7" t="str">
        <f>IFERROR(__xludf.DUMMYFUNCTION("""COMPUTED_VALUE"""),"Yes")</f>
        <v>Yes</v>
      </c>
      <c r="F2775" s="7" t="str">
        <f>IFERROR(__xludf.DUMMYFUNCTION("""COMPUTED_VALUE"""),"IP-Poster")</f>
        <v>IP-Poster</v>
      </c>
      <c r="G2775" s="7" t="str">
        <f>IFERROR(__xludf.DUMMYFUNCTION("""COMPUTED_VALUE"""),"In-Person")</f>
        <v>In-Person</v>
      </c>
      <c r="H2775" s="7" t="str">
        <f>IFERROR(__xludf.DUMMYFUNCTION("""COMPUTED_VALUE"""),"Hall 4/5")</f>
        <v>Hall 4/5</v>
      </c>
      <c r="I2775" s="7" t="str">
        <f>IFERROR(__xludf.DUMMYFUNCTION("""COMPUTED_VALUE"""),"Session 12: IP-Posters")</f>
        <v>Session 12: IP-Posters</v>
      </c>
      <c r="J2775" s="7" t="str">
        <f>IFERROR(__xludf.DUMMYFUNCTION("""COMPUTED_VALUE"""),"Poster Session 4")</f>
        <v>Poster Session 4</v>
      </c>
      <c r="K2775" s="7"/>
      <c r="L2775" s="8">
        <f>IFERROR(__xludf.DUMMYFUNCTION("""COMPUTED_VALUE"""),45868.0)</f>
        <v>45868</v>
      </c>
      <c r="M2775" s="7" t="str">
        <f>IFERROR(__xludf.DUMMYFUNCTION("""COMPUTED_VALUE"""),"11:00-12:30")</f>
        <v>11:00-12:30</v>
      </c>
      <c r="N2775" s="7"/>
    </row>
    <row r="2776">
      <c r="A2776" s="7" t="str">
        <f>IFERROR(__xludf.DUMMYFUNCTION("""COMPUTED_VALUE"""),"3128-MAIN")</f>
        <v>3128-MAIN</v>
      </c>
      <c r="B2776" s="7" t="str">
        <f>IFERROR(__xludf.DUMMYFUNCTION("""COMPUTED_VALUE"""),"Employing Discourse Coherence Enhancement to Improve Cross-Document Event and Entity Coreference Resolution")</f>
        <v>Employing Discourse Coherence Enhancement to Improve Cross-Document Event and Entity Coreference Resolution</v>
      </c>
      <c r="C2776" s="7" t="str">
        <f>IFERROR(__xludf.DUMMYFUNCTION("""COMPUTED_VALUE"""),"Cross-Document Coreference Resolution (CDCR) aims to identify and group together mentions of a specific event or entity that occur across multiple documents. In contrast to the within-document tasks, in which event and entity mentions are linked by rich a"&amp;"nd coherent contexts, cross-document mentions lack such critical contexts, which presents a significant challenge in establishing connections among them. To address this issue, we introduce a novel task Cross-Document Discourse Coherence Enhancement (CD-D"&amp;"CE) to enhance the discourse coherence between two cross-document event or entity mentions. Specifically, CD-DCE first selects coherent texts and then adds them between two cross-document mentions to form a new coherent document. Subsequently, the coheren"&amp;"t text is employed to represent the event or entity mentions and to resolve any coreferent mentions. Experimental results on the three popular datasets demonstrate that our proposed method outperforms several state-of-the-art baselines.")</f>
        <v>Cross-Document Coreference Resolution (CDCR) aims to identify and group together mentions of a specific event or entity that occur across multiple documents. In contrast to the within-document tasks, in which event and entity mentions are linked by rich and coherent contexts, cross-document mentions lack such critical contexts, which presents a significant challenge in establishing connections among them. To address this issue, we introduce a novel task Cross-Document Discourse Coherence Enhancement (CD-DCE) to enhance the discourse coherence between two cross-document event or entity mentions. Specifically, CD-DCE first selects coherent texts and then adds them between two cross-document mentions to form a new coherent document. Subsequently, the coherent text is employed to represent the event or entity mentions and to resolve any coreferent mentions. Experimental results on the three popular datasets demonstrate that our proposed method outperforms several state-of-the-art baselines.</v>
      </c>
      <c r="D2776" s="7" t="str">
        <f>IFERROR(__xludf.DUMMYFUNCTION("""COMPUTED_VALUE"""),"Xinyu Chen")</f>
        <v>Xinyu Chen</v>
      </c>
      <c r="E2776" s="7" t="str">
        <f>IFERROR(__xludf.DUMMYFUNCTION("""COMPUTED_VALUE"""),"Yes")</f>
        <v>Yes</v>
      </c>
      <c r="F2776" s="7" t="str">
        <f>IFERROR(__xludf.DUMMYFUNCTION("""COMPUTED_VALUE"""),"IP-Poster")</f>
        <v>IP-Poster</v>
      </c>
      <c r="G2776" s="7" t="str">
        <f>IFERROR(__xludf.DUMMYFUNCTION("""COMPUTED_VALUE"""),"In-Person")</f>
        <v>In-Person</v>
      </c>
      <c r="H2776" s="7" t="str">
        <f>IFERROR(__xludf.DUMMYFUNCTION("""COMPUTED_VALUE"""),"Hall 4/5")</f>
        <v>Hall 4/5</v>
      </c>
      <c r="I2776" s="7" t="str">
        <f>IFERROR(__xludf.DUMMYFUNCTION("""COMPUTED_VALUE"""),"Session 7: IP-Posters")</f>
        <v>Session 7: IP-Posters</v>
      </c>
      <c r="J2776" s="7" t="str">
        <f>IFERROR(__xludf.DUMMYFUNCTION("""COMPUTED_VALUE"""),"Poster Session 2")</f>
        <v>Poster Session 2</v>
      </c>
      <c r="K2776" s="7"/>
      <c r="L2776" s="8">
        <f>IFERROR(__xludf.DUMMYFUNCTION("""COMPUTED_VALUE"""),45867.0)</f>
        <v>45867</v>
      </c>
      <c r="M2776" s="7" t="str">
        <f>IFERROR(__xludf.DUMMYFUNCTION("""COMPUTED_VALUE"""),"10:30-12:00")</f>
        <v>10:30-12:00</v>
      </c>
      <c r="N2776" s="7"/>
    </row>
    <row r="2777">
      <c r="A2777" s="7" t="str">
        <f>IFERROR(__xludf.DUMMYFUNCTION("""COMPUTED_VALUE"""),"3132-MAIN")</f>
        <v>3132-MAIN</v>
      </c>
      <c r="B2777" s="7" t="str">
        <f>IFERROR(__xludf.DUMMYFUNCTION("""COMPUTED_VALUE"""),"Data Whisperer: Efficient Data Selection for Task-Specific LLM Fine-Tuning via Few-Shot In-Context Learning")</f>
        <v>Data Whisperer: Efficient Data Selection for Task-Specific LLM Fine-Tuning via Few-Shot In-Context Learning</v>
      </c>
      <c r="C2777" s="7" t="str">
        <f>IFERROR(__xludf.DUMMYFUNCTION("""COMPUTED_VALUE"""),"Fine-tuning large language models (LLMs) on task-specific data is essential for their effective deployment. As dataset sizes grow, efficiently selecting optimal subsets for training becomes crucial to balancing performance and computational costs. Traditi"&amp;"onal data selection methods often require fine-tuning a scoring model on the target dataset, which is time-consuming and resource-intensive, or rely on heuristics that fail to fully leverage the model's predictive capabilities. To address these challenges"&amp;", we propose Data Whisperer, an efficient, training-free, attention-based method that leverages few-shot in-context learning with the model to be fine-tuned. Comprehensive evaluations were conducted on both raw and synthetic datasets across diverse tasks "&amp;"and models. Notably, Data Whisperer achieves superior performance compared to the full GSM8K dataset on the Llama-3-8B-Instruct model, using just 10% of the data, and outperforms existing methods with a 3.1-point improvement and a 7.4× speedup.")</f>
        <v>Fine-tuning large language models (LLMs) on task-specific data is essential for their effective deployment. As dataset sizes grow, efficiently selecting optimal subsets for training becomes crucial to balancing performance and computational costs. Traditional data selection methods often require fine-tuning a scoring model on the target dataset, which is time-consuming and resource-intensive, or rely on heuristics that fail to fully leverage the model's predictive capabilities. To address these challenges, we propose Data Whisperer, an efficient, training-free, attention-based method that leverages few-shot in-context learning with the model to be fine-tuned. Comprehensive evaluations were conducted on both raw and synthetic datasets across diverse tasks and models. Notably, Data Whisperer achieves superior performance compared to the full GSM8K dataset on the Llama-3-8B-Instruct model, using just 10% of the data, and outperforms existing methods with a 3.1-point improvement and a 7.4× speedup.</v>
      </c>
      <c r="D2777" s="7" t="str">
        <f>IFERROR(__xludf.DUMMYFUNCTION("""COMPUTED_VALUE"""),"Shaobo Wang")</f>
        <v>Shaobo Wang</v>
      </c>
      <c r="E2777" s="7" t="str">
        <f>IFERROR(__xludf.DUMMYFUNCTION("""COMPUTED_VALUE"""),"Yes")</f>
        <v>Yes</v>
      </c>
      <c r="F2777" s="7" t="str">
        <f>IFERROR(__xludf.DUMMYFUNCTION("""COMPUTED_VALUE"""),"IP-Poster")</f>
        <v>IP-Poster</v>
      </c>
      <c r="G2777" s="7" t="str">
        <f>IFERROR(__xludf.DUMMYFUNCTION("""COMPUTED_VALUE"""),"In-Person")</f>
        <v>In-Person</v>
      </c>
      <c r="H2777" s="7" t="str">
        <f>IFERROR(__xludf.DUMMYFUNCTION("""COMPUTED_VALUE"""),"Hall 4/5")</f>
        <v>Hall 4/5</v>
      </c>
      <c r="I2777" s="7" t="str">
        <f>IFERROR(__xludf.DUMMYFUNCTION("""COMPUTED_VALUE"""),"Session 2: IP-Posters ")</f>
        <v>Session 2: IP-Posters </v>
      </c>
      <c r="J2777" s="7" t="str">
        <f>IFERROR(__xludf.DUMMYFUNCTION("""COMPUTED_VALUE"""),"Poster Session 1")</f>
        <v>Poster Session 1</v>
      </c>
      <c r="K2777" s="7"/>
      <c r="L2777" s="8">
        <f>IFERROR(__xludf.DUMMYFUNCTION("""COMPUTED_VALUE"""),45866.0)</f>
        <v>45866</v>
      </c>
      <c r="M2777" s="7" t="str">
        <f>IFERROR(__xludf.DUMMYFUNCTION("""COMPUTED_VALUE"""),"11:00-12:30")</f>
        <v>11:00-12:30</v>
      </c>
      <c r="N2777" s="7"/>
    </row>
    <row r="2778">
      <c r="A2778" s="7" t="str">
        <f>IFERROR(__xludf.DUMMYFUNCTION("""COMPUTED_VALUE"""),"3135-MAIN")</f>
        <v>3135-MAIN</v>
      </c>
      <c r="B2778" s="7" t="str">
        <f>IFERROR(__xludf.DUMMYFUNCTION("""COMPUTED_VALUE"""),"Synthesizing Post-Training Data for LLMs through Multi-Agent Simulation")</f>
        <v>Synthesizing Post-Training Data for LLMs through Multi-Agent Simulation</v>
      </c>
      <c r="C2778" s="7" t="str">
        <f>IFERROR(__xludf.DUMMYFUNCTION("""COMPUTED_VALUE"""),"Post-training is essential for enabling large language models (LLMs) to follow human instructions. However, its effectiveness depends on high-quality instruction data, which is challenging to obtain in the real world due to privacy concerns, data scarcity"&amp;", and high annotation costs. To fill this gap, inspired by the recent success of using LLMs to simulate human society, we propose MATRIX, a multi-agent simulator that automatically generates diverse text-based scenarios, capturing a wide range of real-wor"&amp;"ld human needs in a realistic and scalable manner. Leveraging these outputs, we introduce a novel scenario-driven instruction generator MATRIX-Gen for controllable and highly realistic data synthesis. Extensive experiments demonstrate that our framework e"&amp;"ffectively generates both general and domain-specific data. On AlpacaEval 2 and Arena-Hard benchmarks, Llama-3-8B-Base, post-trained on datasets synthesized by MATRIX-Gen with just 20K instruction-response pairs, outperforms Meta's Llama-3-8B-Instruct mod"&amp;"el, which was trained on over 10M pairs.")</f>
        <v>Post-training is essential for enabling large language models (LLMs) to follow human instructions. However, its effectiveness depends on high-quality instruction data, which is challenging to obtain in the real world due to privacy concerns, data scarcity, and high annotation costs. To fill this gap, inspired by the recent success of using LLMs to simulate human society, we propose MATRIX, a multi-agent simulator that automatically generates diverse text-based scenarios, capturing a wide range of real-world human needs in a realistic and scalable manner. Leveraging these outputs, we introduce a novel scenario-driven instruction generator MATRIX-Gen for controllable and highly realistic data synthesis. Extensive experiments demonstrate that our framework effectively generates both general and domain-specific data. On AlpacaEval 2 and Arena-Hard benchmarks, Llama-3-8B-Base, post-trained on datasets synthesized by MATRIX-Gen with just 20K instruction-response pairs, outperforms Meta's Llama-3-8B-Instruct model, which was trained on over 10M pairs.</v>
      </c>
      <c r="D2778" s="7" t="str">
        <f>IFERROR(__xludf.DUMMYFUNCTION("""COMPUTED_VALUE"""),"Shuo Tang")</f>
        <v>Shuo Tang</v>
      </c>
      <c r="E2778" s="7" t="str">
        <f>IFERROR(__xludf.DUMMYFUNCTION("""COMPUTED_VALUE"""),"Yes")</f>
        <v>Yes</v>
      </c>
      <c r="F2778" s="7" t="str">
        <f>IFERROR(__xludf.DUMMYFUNCTION("""COMPUTED_VALUE"""),"IP-Poster")</f>
        <v>IP-Poster</v>
      </c>
      <c r="G2778" s="7" t="str">
        <f>IFERROR(__xludf.DUMMYFUNCTION("""COMPUTED_VALUE"""),"In-Person")</f>
        <v>In-Person</v>
      </c>
      <c r="H2778" s="7" t="str">
        <f>IFERROR(__xludf.DUMMYFUNCTION("""COMPUTED_VALUE"""),"Hall 4/5")</f>
        <v>Hall 4/5</v>
      </c>
      <c r="I2778" s="7" t="str">
        <f>IFERROR(__xludf.DUMMYFUNCTION("""COMPUTED_VALUE"""),"Session 7: IP-Posters")</f>
        <v>Session 7: IP-Posters</v>
      </c>
      <c r="J2778" s="7" t="str">
        <f>IFERROR(__xludf.DUMMYFUNCTION("""COMPUTED_VALUE"""),"Poster Session 2")</f>
        <v>Poster Session 2</v>
      </c>
      <c r="K2778" s="7"/>
      <c r="L2778" s="8">
        <f>IFERROR(__xludf.DUMMYFUNCTION("""COMPUTED_VALUE"""),45867.0)</f>
        <v>45867</v>
      </c>
      <c r="M2778" s="7" t="str">
        <f>IFERROR(__xludf.DUMMYFUNCTION("""COMPUTED_VALUE"""),"10:30-12:00")</f>
        <v>10:30-12:00</v>
      </c>
      <c r="N2778" s="7"/>
    </row>
    <row r="2779">
      <c r="A2779" s="7" t="str">
        <f>IFERROR(__xludf.DUMMYFUNCTION("""COMPUTED_VALUE"""),"3136-MAIN")</f>
        <v>3136-MAIN</v>
      </c>
      <c r="B2779" s="7" t="str">
        <f>IFERROR(__xludf.DUMMYFUNCTION("""COMPUTED_VALUE"""),"SoftCoT: Soft Chain-of-Thought for Efficient Reasoning with LLMs")</f>
        <v>SoftCoT: Soft Chain-of-Thought for Efficient Reasoning with LLMs</v>
      </c>
      <c r="C2779" s="7" t="str">
        <f>IFERROR(__xludf.DUMMYFUNCTION("""COMPUTED_VALUE"""),"Chain-of-Thought (CoT) reasoning enables Large Language Models (LLMs) to solve complex reasoning tasks by generating intermediate reasoning steps. However, most existing approaches focus on hard token decoding, which constrains reasoning within the discre"&amp;"te vocabulary space and may not always be optimal. While recent efforts explore continuous-space reasoning, they often require full-model fine-tuning and suffer from catastrophic forgetting, limiting their applicability to state-of-the-art LLMs that alrea"&amp;"dy perform well in zero-shot settings with a proper instruction. To address this challenge, we propose a novel approach for continuous-space reasoning that does not require modifying the LLM. Specifically, we employ a lightweight fixed assistant model to "&amp;"speculatively generate instance-specific soft thought tokens as the initial chain of thoughts, which are then mapped into the LLM's representation space via a trainable projection module. Experimental results on five reasoning benchmarks demonstrate that "&amp;"our method enhances LLM reasoning performance through supervised, parameter-efficient fine-tuning. Source code is available at https://github.com/xuyige/SoftCoT.")</f>
        <v>Chain-of-Thought (CoT) reasoning enables Large Language Models (LLMs) to solve complex reasoning tasks by generating intermediate reasoning steps. However, most existing approaches focus on hard token decoding, which constrains reasoning within the discrete vocabulary space and may not always be optimal. While recent efforts explore continuous-space reasoning, they often require full-model fine-tuning and suffer from catastrophic forgetting, limiting their applicability to state-of-the-art LLMs that already perform well in zero-shot settings with a proper instruction. To address this challenge, we propose a novel approach for continuous-space reasoning that does not require modifying the LLM. Specifically, we employ a lightweight fixed assistant model to speculatively generate instance-specific soft thought tokens as the initial chain of thoughts, which are then mapped into the LLM's representation space via a trainable projection module. Experimental results on five reasoning benchmarks demonstrate that our method enhances LLM reasoning performance through supervised, parameter-efficient fine-tuning. Source code is available at https://github.com/xuyige/SoftCoT.</v>
      </c>
      <c r="D2779" s="7" t="str">
        <f>IFERROR(__xludf.DUMMYFUNCTION("""COMPUTED_VALUE"""),"Yige Xu")</f>
        <v>Yige Xu</v>
      </c>
      <c r="E2779" s="7" t="str">
        <f>IFERROR(__xludf.DUMMYFUNCTION("""COMPUTED_VALUE"""),"Yes")</f>
        <v>Yes</v>
      </c>
      <c r="F2779" s="7" t="str">
        <f>IFERROR(__xludf.DUMMYFUNCTION("""COMPUTED_VALUE"""),"IP-Poster")</f>
        <v>IP-Poster</v>
      </c>
      <c r="G2779" s="7" t="str">
        <f>IFERROR(__xludf.DUMMYFUNCTION("""COMPUTED_VALUE"""),"In-Person")</f>
        <v>In-Person</v>
      </c>
      <c r="H2779" s="7" t="str">
        <f>IFERROR(__xludf.DUMMYFUNCTION("""COMPUTED_VALUE"""),"Hall 4/5")</f>
        <v>Hall 4/5</v>
      </c>
      <c r="I2779" s="7" t="str">
        <f>IFERROR(__xludf.DUMMYFUNCTION("""COMPUTED_VALUE"""),"Session 10: IP-Posters")</f>
        <v>Session 10: IP-Posters</v>
      </c>
      <c r="J2779" s="7" t="str">
        <f>IFERROR(__xludf.DUMMYFUNCTION("""COMPUTED_VALUE"""),"Poster Session 3")</f>
        <v>Poster Session 3</v>
      </c>
      <c r="K2779" s="7"/>
      <c r="L2779" s="8">
        <f>IFERROR(__xludf.DUMMYFUNCTION("""COMPUTED_VALUE"""),45867.0)</f>
        <v>45867</v>
      </c>
      <c r="M2779" s="7" t="str">
        <f>IFERROR(__xludf.DUMMYFUNCTION("""COMPUTED_VALUE"""),"16:00-17:30")</f>
        <v>16:00-17:30</v>
      </c>
      <c r="N2779" s="7"/>
    </row>
    <row r="2780">
      <c r="A2780" s="7" t="str">
        <f>IFERROR(__xludf.DUMMYFUNCTION("""COMPUTED_VALUE"""),"3138-MAIN")</f>
        <v>3138-MAIN</v>
      </c>
      <c r="B2780" s="7" t="str">
        <f>IFERROR(__xludf.DUMMYFUNCTION("""COMPUTED_VALUE"""),"FCMR: Robust Evaluation of Financial Cross-Modal Multi-Hop Reasoning")</f>
        <v>FCMR: Robust Evaluation of Financial Cross-Modal Multi-Hop Reasoning</v>
      </c>
      <c r="C2780" s="7" t="str">
        <f>IFERROR(__xludf.DUMMYFUNCTION("""COMPUTED_VALUE"""),"Real-world decision-making often requires integrating and reasoning over information from multiple modalities. While recent multimodal large language models (MLLMs) have shown promise in such tasks, their ability to perform multi-hop reasoning across dive"&amp;"rse sources remains insufficiently evaluated. Existing benchmarks, such as MMQA, face challenges due to (1) data contamination and (2) a lack of complex queries that necessitate operations across more than two modalities, hindering accurate performance as"&amp;"sessment. To address this, we present Financial Cross-Modal Multi-Hop Reasoning (FCMR), a benchmark created to analyze the reasoning capabilities of MLLMs by urging them to combine information from textual reports, tables, and charts within the financial "&amp;"domain. FCMR is categorized into three difficulty levels---Easy, Medium, and Hard---facilitating a step-by-step evaluation. In particular, problems at the Hard level require precise cross-modal three-hop reasoning and are designed to prevent the disregard"&amp;" of any modality. Experiments on this new benchmark reveal that even state-of-the-art MLLMs struggle, with the best-performing model (Claude 3.5 Sonnet) achieving only 30.4% accuracy on the most challenging tier. We also conduct analysis to provide insigh"&amp;"ts into the inner workings of the models, including the discovery of a critical bottleneck in the information retrieval phase.")</f>
        <v>Real-world decision-making often requires integrating and reasoning over information from multiple modalities. While recent multimodal large language models (MLLMs) have shown promise in such tasks, their ability to perform multi-hop reasoning across diverse sources remains insufficiently evaluated. Existing benchmarks, such as MMQA, face challenges due to (1) data contamination and (2) a lack of complex queries that necessitate operations across more than two modalities, hindering accurate performance assessment. To address this, we present Financial Cross-Modal Multi-Hop Reasoning (FCMR), a benchmark created to analyze the reasoning capabilities of MLLMs by urging them to combine information from textual reports, tables, and charts within the financial domain. FCMR is categorized into three difficulty levels---Easy, Medium, and Hard---facilitating a step-by-step evaluation. In particular, problems at the Hard level require precise cross-modal three-hop reasoning and are designed to prevent the disregard of any modality. Experiments on this new benchmark reveal that even state-of-the-art MLLMs struggle, with the best-performing model (Claude 3.5 Sonnet) achieving only 30.4% accuracy on the most challenging tier. We also conduct analysis to provide insights into the inner workings of the models, including the discovery of a critical bottleneck in the information retrieval phase.</v>
      </c>
      <c r="D2780" s="7" t="str">
        <f>IFERROR(__xludf.DUMMYFUNCTION("""COMPUTED_VALUE"""),"Seunghee Kim")</f>
        <v>Seunghee Kim</v>
      </c>
      <c r="E2780" s="7" t="str">
        <f>IFERROR(__xludf.DUMMYFUNCTION("""COMPUTED_VALUE"""),"Yes")</f>
        <v>Yes</v>
      </c>
      <c r="F2780" s="7" t="str">
        <f>IFERROR(__xludf.DUMMYFUNCTION("""COMPUTED_VALUE"""),"IP-Poster")</f>
        <v>IP-Poster</v>
      </c>
      <c r="G2780" s="7" t="str">
        <f>IFERROR(__xludf.DUMMYFUNCTION("""COMPUTED_VALUE"""),"In-Person")</f>
        <v>In-Person</v>
      </c>
      <c r="H2780" s="7" t="str">
        <f>IFERROR(__xludf.DUMMYFUNCTION("""COMPUTED_VALUE"""),"Hall 4/5")</f>
        <v>Hall 4/5</v>
      </c>
      <c r="I2780" s="7" t="str">
        <f>IFERROR(__xludf.DUMMYFUNCTION("""COMPUTED_VALUE"""),"Session 10: IP-Posters")</f>
        <v>Session 10: IP-Posters</v>
      </c>
      <c r="J2780" s="7" t="str">
        <f>IFERROR(__xludf.DUMMYFUNCTION("""COMPUTED_VALUE"""),"Poster Session 3")</f>
        <v>Poster Session 3</v>
      </c>
      <c r="K2780" s="7"/>
      <c r="L2780" s="8">
        <f>IFERROR(__xludf.DUMMYFUNCTION("""COMPUTED_VALUE"""),45867.0)</f>
        <v>45867</v>
      </c>
      <c r="M2780" s="7" t="str">
        <f>IFERROR(__xludf.DUMMYFUNCTION("""COMPUTED_VALUE"""),"16:00-17:30")</f>
        <v>16:00-17:30</v>
      </c>
      <c r="N2780" s="7"/>
    </row>
    <row r="2781">
      <c r="A2781" s="7" t="str">
        <f>IFERROR(__xludf.DUMMYFUNCTION("""COMPUTED_VALUE"""),"3142-MAIN")</f>
        <v>3142-MAIN</v>
      </c>
      <c r="B2781" s="7" t="str">
        <f>IFERROR(__xludf.DUMMYFUNCTION("""COMPUTED_VALUE"""),"Beyond Prompt Engineering: Robust Behavior Control in LLMs via Steering Target Atoms")</f>
        <v>Beyond Prompt Engineering: Robust Behavior Control in LLMs via Steering Target Atoms</v>
      </c>
      <c r="C2781" s="7" t="str">
        <f>IFERROR(__xludf.DUMMYFUNCTION("""COMPUTED_VALUE"""),"Precise control over language model generation is vital for ensuring both safety and reliability. 
Although prompt engineering and steering are commonly used to intervene in model behaviors, the vast number of parameters in models often results in highly "&amp;"intertwined internal representations. 
This interdependency can limit control precision and sometimes lead to unintended side effects. Recent research has explored the use of sparse autoencoders (SAE) to disentangle knowledge in high-dimensional spaces fo"&amp;"r steering.
However, these applications have been limited to toy tasks owing to the nontrivial issue of locating  ``atomic knowledge components''. 
In this paper, we propose Steering Target Atoms (STA), a novel method that isolates and manipulates disenta"&amp;"ngled knowledge components to enhance safety. Comprehensive experiments demonstrate the effectiveness of our approach. 
Further analysis reveals that steering exhibits superior robustness and flexibility, particularly in adversarial scenarios. 
We also ap"&amp;"ply the steering strategy to the large reasoning model, confirming its effectiveness in precise reasoning control.")</f>
        <v>Precise control over language model generation is vital for ensuring both safety and reliability. 
Although prompt engineering and steering are commonly used to intervene in model behaviors, the vast number of parameters in models often results in highly intertwined internal representations. 
This interdependency can limit control precision and sometimes lead to unintended side effects. Recent research has explored the use of sparse autoencoders (SAE) to disentangle knowledge in high-dimensional spaces for steering.
However, these applications have been limited to toy tasks owing to the nontrivial issue of locating  ``atomic knowledge components''. 
In this paper, we propose Steering Target Atoms (STA), a novel method that isolates and manipulates disentangled knowledge components to enhance safety. Comprehensive experiments demonstrate the effectiveness of our approach. 
Further analysis reveals that steering exhibits superior robustness and flexibility, particularly in adversarial scenarios. 
We also apply the steering strategy to the large reasoning model, confirming its effectiveness in precise reasoning control.</v>
      </c>
      <c r="D2781" s="7" t="str">
        <f>IFERROR(__xludf.DUMMYFUNCTION("""COMPUTED_VALUE"""),"Mengru Wang")</f>
        <v>Mengru Wang</v>
      </c>
      <c r="E2781" s="7" t="str">
        <f>IFERROR(__xludf.DUMMYFUNCTION("""COMPUTED_VALUE"""),"Yes")</f>
        <v>Yes</v>
      </c>
      <c r="F2781" s="7" t="str">
        <f>IFERROR(__xludf.DUMMYFUNCTION("""COMPUTED_VALUE"""),"IP-Oral")</f>
        <v>IP-Oral</v>
      </c>
      <c r="G2781" s="7" t="str">
        <f>IFERROR(__xludf.DUMMYFUNCTION("""COMPUTED_VALUE"""),"In-Person")</f>
        <v>In-Person</v>
      </c>
      <c r="H2781" s="7" t="str">
        <f>IFERROR(__xludf.DUMMYFUNCTION("""COMPUTED_VALUE"""),"Hall M.2")</f>
        <v>Hall M.2</v>
      </c>
      <c r="I2781" s="7" t="str">
        <f>IFERROR(__xludf.DUMMYFUNCTION("""COMPUTED_VALUE"""),"Session 9: IP-Orals")</f>
        <v>Session 9: IP-Orals</v>
      </c>
      <c r="J2781" s="7" t="str">
        <f>IFERROR(__xludf.DUMMYFUNCTION("""COMPUTED_VALUE"""),"Interpretability and Model Analysis 1")</f>
        <v>Interpretability and Model Analysis 1</v>
      </c>
      <c r="K2781" s="7"/>
      <c r="L2781" s="8">
        <f>IFERROR(__xludf.DUMMYFUNCTION("""COMPUTED_VALUE"""),45867.0)</f>
        <v>45867</v>
      </c>
      <c r="M2781" s="7" t="str">
        <f>IFERROR(__xludf.DUMMYFUNCTION("""COMPUTED_VALUE"""),"14:00-15:30")</f>
        <v>14:00-15:30</v>
      </c>
      <c r="N2781" s="7">
        <f>IFERROR(__xludf.DUMMYFUNCTION("""COMPUTED_VALUE"""),6.0)</f>
        <v>6</v>
      </c>
    </row>
    <row r="2782">
      <c r="A2782" s="7" t="str">
        <f>IFERROR(__xludf.DUMMYFUNCTION("""COMPUTED_VALUE"""),"3148-MAIN")</f>
        <v>3148-MAIN</v>
      </c>
      <c r="B2782" s="7" t="str">
        <f>IFERROR(__xludf.DUMMYFUNCTION("""COMPUTED_VALUE"""),"MobiLoRA: Accelerating LoRA-based LLM Inference on Mobile Devices via Context-aware KV Cache Optimization")</f>
        <v>MobiLoRA: Accelerating LoRA-based LLM Inference on Mobile Devices via Context-aware KV Cache Optimization</v>
      </c>
      <c r="C2782" s="7" t="str">
        <f>IFERROR(__xludf.DUMMYFUNCTION("""COMPUTED_VALUE"""),"Deploying large language models (LLMs) with low-rank adaptation (LoRA) on mobile devices is promising due to their capability to complete diverse domain-specific tasks while ensuring privacy and accessibility. In this paper, we introduce MobiLoRA to accel"&amp;"erate LoRA-based LLM inference on mobile devices. MobiLoRA focuses on optimizing the key-value (KV) caches due to the limited computing and memory resources of mobile devices. The key insight of MobiLoRA lies in the utilization of two contexts for on-devi"&amp;"ce LoRA serving: semantic-level contexts, such as prompts with shared prefixes, and system-level contexts, such as the application status (e.g., foreground or killed) of LLM requests. Specifically, for semantic-level contexts, MobiLoRA proposes similarity"&amp;"-aware delta encoding, which leverages token-wise similarity in KV caches across LoRA adapters for efficient storage and reuse. Furthermore, MobiLoRA advocates context-aware KV cache management to optimize cache retention and eviction considering the syst"&amp;"em-level contexts. We fully implement MobiLoRA and compare it with state-of-the-art LLM serving frameworks using real-world mobile device traces. Results show that MobiLoRA accelerates LoRA-based LLM inference by 57.6% on mobile devices.")</f>
        <v>Deploying large language models (LLMs) with low-rank adaptation (LoRA) on mobile devices is promising due to their capability to complete diverse domain-specific tasks while ensuring privacy and accessibility. In this paper, we introduce MobiLoRA to accelerate LoRA-based LLM inference on mobile devices. MobiLoRA focuses on optimizing the key-value (KV) caches due to the limited computing and memory resources of mobile devices. The key insight of MobiLoRA lies in the utilization of two contexts for on-device LoRA serving: semantic-level contexts, such as prompts with shared prefixes, and system-level contexts, such as the application status (e.g., foreground or killed) of LLM requests. Specifically, for semantic-level contexts, MobiLoRA proposes similarity-aware delta encoding, which leverages token-wise similarity in KV caches across LoRA adapters for efficient storage and reuse. Furthermore, MobiLoRA advocates context-aware KV cache management to optimize cache retention and eviction considering the system-level contexts. We fully implement MobiLoRA and compare it with state-of-the-art LLM serving frameworks using real-world mobile device traces. Results show that MobiLoRA accelerates LoRA-based LLM inference by 57.6% on mobile devices.</v>
      </c>
      <c r="D2782" s="7" t="str">
        <f>IFERROR(__xludf.DUMMYFUNCTION("""COMPUTED_VALUE"""),"Yitao Wang")</f>
        <v>Yitao Wang</v>
      </c>
      <c r="E2782" s="7" t="str">
        <f>IFERROR(__xludf.DUMMYFUNCTION("""COMPUTED_VALUE"""),"Yes")</f>
        <v>Yes</v>
      </c>
      <c r="F2782" s="7" t="str">
        <f>IFERROR(__xludf.DUMMYFUNCTION("""COMPUTED_VALUE"""),"IP-Poster")</f>
        <v>IP-Poster</v>
      </c>
      <c r="G2782" s="7" t="str">
        <f>IFERROR(__xludf.DUMMYFUNCTION("""COMPUTED_VALUE"""),"In-Person")</f>
        <v>In-Person</v>
      </c>
      <c r="H2782" s="7" t="str">
        <f>IFERROR(__xludf.DUMMYFUNCTION("""COMPUTED_VALUE"""),"Hall 4/5")</f>
        <v>Hall 4/5</v>
      </c>
      <c r="I2782" s="7" t="str">
        <f>IFERROR(__xludf.DUMMYFUNCTION("""COMPUTED_VALUE"""),"Session 2: IP-Posters ")</f>
        <v>Session 2: IP-Posters </v>
      </c>
      <c r="J2782" s="7" t="str">
        <f>IFERROR(__xludf.DUMMYFUNCTION("""COMPUTED_VALUE"""),"Poster Session 1")</f>
        <v>Poster Session 1</v>
      </c>
      <c r="K2782" s="7"/>
      <c r="L2782" s="8">
        <f>IFERROR(__xludf.DUMMYFUNCTION("""COMPUTED_VALUE"""),45866.0)</f>
        <v>45866</v>
      </c>
      <c r="M2782" s="7" t="str">
        <f>IFERROR(__xludf.DUMMYFUNCTION("""COMPUTED_VALUE"""),"11:00-12:30")</f>
        <v>11:00-12:30</v>
      </c>
      <c r="N2782" s="7"/>
    </row>
    <row r="2783">
      <c r="A2783" s="7" t="str">
        <f>IFERROR(__xludf.DUMMYFUNCTION("""COMPUTED_VALUE"""),"3155-MAIN")</f>
        <v>3155-MAIN</v>
      </c>
      <c r="B2783" s="7" t="str">
        <f>IFERROR(__xludf.DUMMYFUNCTION("""COMPUTED_VALUE"""),"Language Models Resist Alignment: Evidence From Data Compression")</f>
        <v>Language Models Resist Alignment: Evidence From Data Compression</v>
      </c>
      <c r="C2783" s="7" t="str">
        <f>IFERROR(__xludf.DUMMYFUNCTION("""COMPUTED_VALUE"""),"Large language models (LLMs) may exhibit unintended or undesirable behaviors. Recent works have concentrated on aligning LLMs to mitigate harmful outputs. Despite these efforts, some anomalies indicate that even a well-conducted alignment process can be e"&amp;"asily circumvented, whether intentionally or accidentally. Does alignment fine-tuning yield have robust effects on models, or are its impacts merely superficial? In this work, we make the first exploration of this phenomenon from both theoretical and empi"&amp;"rical perspectives. Empirically, we demonstrate the \textit{elasticity} of post-alignment models, i.e., the tendency to revert to the behavior distribution formed during the pre-training phase upon further fine-tuning. Leveraging compression theory, we fo"&amp;"rmally deduce that fine-tuning disproportionately undermines alignment relative to pre-training, potentially by orders of magnitude. We validate the presence of elasticity through experiments on models of varying types and scales. Specifically, we find th"&amp;"at model performance declines rapidly before reverting to the pre-training distribution, after which the rate of decline drops significantly. Furthermore, we further reveal that elasticity positively correlates with the increased model size and the expans"&amp;"ion of pre-training data. Our findings underscore the need to address the inherent elasticity of LLMs to mitigate their resistance to alignment.")</f>
        <v>Large language models (LLMs) may exhibit unintended or undesirable behaviors. Recent works have concentrated on aligning LLMs to mitigate harmful outputs. Despite these efforts, some anomalies indicate that even a well-conducted alignment process can be easily circumvented, whether intentionally or accidentally. Does alignment fine-tuning yield have robust effects on models, or are its impacts merely superficial? In this work, we make the first exploration of this phenomenon from both theoretical and empirical perspectives. Empirically, we demonstrate the \textit{elasticity} of post-alignment models, i.e., the tendency to revert to the behavior distribution formed during the pre-training phase upon further fine-tuning. Leveraging compression theory, we formally deduce that fine-tuning disproportionately undermines alignment relative to pre-training, potentially by orders of magnitude. We validate the presence of elasticity through experiments on models of varying types and scales. Specifically, we find that model performance declines rapidly before reverting to the pre-training distribution, after which the rate of decline drops significantly. Furthermore, we further reveal that elasticity positively correlates with the increased model size and the expansion of pre-training data. Our findings underscore the need to address the inherent elasticity of LLMs to mitigate their resistance to alignment.</v>
      </c>
      <c r="D2783" s="7" t="str">
        <f>IFERROR(__xludf.DUMMYFUNCTION("""COMPUTED_VALUE"""),"Kaile Wang")</f>
        <v>Kaile Wang</v>
      </c>
      <c r="E2783" s="7" t="str">
        <f>IFERROR(__xludf.DUMMYFUNCTION("""COMPUTED_VALUE"""),"Yes")</f>
        <v>Yes</v>
      </c>
      <c r="F2783" s="7" t="str">
        <f>IFERROR(__xludf.DUMMYFUNCTION("""COMPUTED_VALUE"""),"IP-Oral")</f>
        <v>IP-Oral</v>
      </c>
      <c r="G2783" s="7" t="str">
        <f>IFERROR(__xludf.DUMMYFUNCTION("""COMPUTED_VALUE"""),"In-Person")</f>
        <v>In-Person</v>
      </c>
      <c r="H2783" s="7" t="str">
        <f>IFERROR(__xludf.DUMMYFUNCTION("""COMPUTED_VALUE"""),"Hall B")</f>
        <v>Hall B</v>
      </c>
      <c r="I2783" s="7" t="str">
        <f>IFERROR(__xludf.DUMMYFUNCTION("""COMPUTED_VALUE"""),"Session 11: IP-Orals ")</f>
        <v>Session 11: IP-Orals </v>
      </c>
      <c r="J2783" s="7" t="str">
        <f>IFERROR(__xludf.DUMMYFUNCTION("""COMPUTED_VALUE"""),"Panel 2: LLM alignment")</f>
        <v>Panel 2: LLM alignment</v>
      </c>
      <c r="K2783" s="7"/>
      <c r="L2783" s="8">
        <f>IFERROR(__xludf.DUMMYFUNCTION("""COMPUTED_VALUE"""),45868.0)</f>
        <v>45868</v>
      </c>
      <c r="M2783" s="7" t="str">
        <f>IFERROR(__xludf.DUMMYFUNCTION("""COMPUTED_VALUE"""),"09:00-10:30")</f>
        <v>09:00-10:30</v>
      </c>
      <c r="N2783" s="7">
        <f>IFERROR(__xludf.DUMMYFUNCTION("""COMPUTED_VALUE"""),3.0)</f>
        <v>3</v>
      </c>
    </row>
    <row r="2784">
      <c r="A2784" s="7" t="str">
        <f>IFERROR(__xludf.DUMMYFUNCTION("""COMPUTED_VALUE"""),"3158-MAIN")</f>
        <v>3158-MAIN</v>
      </c>
      <c r="B2784" s="7" t="str">
        <f>IFERROR(__xludf.DUMMYFUNCTION("""COMPUTED_VALUE"""),"Beyond the Answer: Advancing Multi-Hop QA with Fine-Grained Graph Reasoning and Evaluation")</f>
        <v>Beyond the Answer: Advancing Multi-Hop QA with Fine-Grained Graph Reasoning and Evaluation</v>
      </c>
      <c r="C2784" s="7" t="str">
        <f>IFERROR(__xludf.DUMMYFUNCTION("""COMPUTED_VALUE"""),"Recent advancements in large language models (LLMs) have significantly improved the performance of multi-hop question answering (MHQA) systems. Despite the success of MHQA systems, the evaluation of MHQA is not deeply investigated. Existing evaluations ma"&amp;"inly focus on comparing the final answers of the reasoning method and given ground-truths. We argue that the reasoning process should also be evaluated because wrong reasoning process can also lead to the correct final answers. Motivated by this, we propo"&amp;"se a ""Planner-Executor-Reasoner"" (PER) architecture, which forms the core of the Plan-anchored Data Preprocessing (PER-DP) and the Plan-guided Multi-Hop QA (PER-QA).
The former provides the ground-truth of intermediate reasoning steps and final answers,"&amp;" and the latter offers them of a reasoning method. Moreover, we design a fine-grained evaluation metric called Plan-aligned Stepwise Evaluation (PSE), which evaluates the intermediate reasoning steps from two aspects: planning and solving. Extensive exper"&amp;"iments on ten types of questions demonstrate competitive reasoning performance, improved explainability of the MHQA system, and uncover issues such as ""fortuitous reasoning continuance"" and ""latent reasoning suspension"" in RAG-based MHQA systems. Besi"&amp;"des, we also demonstrate the potential of our approach in data contamination scenarios.")</f>
        <v>Recent advancements in large language models (LLMs) have significantly improved the performance of multi-hop question answering (MHQA) systems. Despite the success of MHQA systems, the evaluation of MHQA is not deeply investigated. Existing evaluations mainly focus on comparing the final answers of the reasoning method and given ground-truths. We argue that the reasoning process should also be evaluated because wrong reasoning process can also lead to the correct final answers. Motivated by this, we propose a "Planner-Executor-Reasoner" (PER) architecture, which forms the core of the Plan-anchored Data Preprocessing (PER-DP) and the Plan-guided Multi-Hop QA (PER-QA).
The former provides the ground-truth of intermediate reasoning steps and final answers, and the latter offers them of a reasoning method. Moreover, we design a fine-grained evaluation metric called Plan-aligned Stepwise Evaluation (PSE), which evaluates the intermediate reasoning steps from two aspects: planning and solving. Extensive experiments on ten types of questions demonstrate competitive reasoning performance, improved explainability of the MHQA system, and uncover issues such as "fortuitous reasoning continuance" and "latent reasoning suspension" in RAG-based MHQA systems. Besides, we also demonstrate the potential of our approach in data contamination scenarios.</v>
      </c>
      <c r="D2784" s="7" t="str">
        <f>IFERROR(__xludf.DUMMYFUNCTION("""COMPUTED_VALUE"""),"Qichuan Liu")</f>
        <v>Qichuan Liu</v>
      </c>
      <c r="E2784" s="7" t="str">
        <f>IFERROR(__xludf.DUMMYFUNCTION("""COMPUTED_VALUE"""),"Yes")</f>
        <v>Yes</v>
      </c>
      <c r="F2784" s="7" t="str">
        <f>IFERROR(__xludf.DUMMYFUNCTION("""COMPUTED_VALUE"""),"IP-Poster")</f>
        <v>IP-Poster</v>
      </c>
      <c r="G2784" s="7" t="str">
        <f>IFERROR(__xludf.DUMMYFUNCTION("""COMPUTED_VALUE"""),"In-Person")</f>
        <v>In-Person</v>
      </c>
      <c r="H2784" s="7" t="str">
        <f>IFERROR(__xludf.DUMMYFUNCTION("""COMPUTED_VALUE"""),"Hall 4/5")</f>
        <v>Hall 4/5</v>
      </c>
      <c r="I2784" s="7" t="str">
        <f>IFERROR(__xludf.DUMMYFUNCTION("""COMPUTED_VALUE"""),"Session 7: IP-Posters")</f>
        <v>Session 7: IP-Posters</v>
      </c>
      <c r="J2784" s="7" t="str">
        <f>IFERROR(__xludf.DUMMYFUNCTION("""COMPUTED_VALUE"""),"Poster Session 2")</f>
        <v>Poster Session 2</v>
      </c>
      <c r="K2784" s="7"/>
      <c r="L2784" s="8">
        <f>IFERROR(__xludf.DUMMYFUNCTION("""COMPUTED_VALUE"""),45867.0)</f>
        <v>45867</v>
      </c>
      <c r="M2784" s="7" t="str">
        <f>IFERROR(__xludf.DUMMYFUNCTION("""COMPUTED_VALUE"""),"10:30-12:00")</f>
        <v>10:30-12:00</v>
      </c>
      <c r="N2784" s="7"/>
    </row>
    <row r="2785">
      <c r="A2785" s="7" t="str">
        <f>IFERROR(__xludf.DUMMYFUNCTION("""COMPUTED_VALUE"""),"3167-MAIN")</f>
        <v>3167-MAIN</v>
      </c>
      <c r="B2785" s="7" t="str">
        <f>IFERROR(__xludf.DUMMYFUNCTION("""COMPUTED_VALUE"""),"Mamba Knockout for Unraveling Factual Information Flow")</f>
        <v>Mamba Knockout for Unraveling Factual Information Flow</v>
      </c>
      <c r="C2785" s="7" t="str">
        <f>IFERROR(__xludf.DUMMYFUNCTION("""COMPUTED_VALUE"""),"This paper investigates the flow of factual information in Mamba State-Space Model (SSM)-based language models. We rely on theoretical and empirical connections to Transformer-based architectures and their attention mechanisms. Exploiting this relationshi"&amp;"p, we adapt attentional interpretability techniques originally developed for Transformers—specifically, the Attention Knockout methodology—to both Mamba-1 and Mamba-2. Using them we trace how information is transmitted and localized across tokens and laye"&amp;"rs, revealing patterns of subject-token information emergence and layer-wise dynamics. Notably, some phenomena vary between mamba models and Transformer based models, while others appear universally across all models inspected—hinting that these may be in"&amp;"herent to LLMs in general. By further leveraging Mamba’s structured factorization, we disentangle how distinct “features” either enable token-to-token information exchange or enrich individual tokens, thus offering a unified lens to understand Mamba inter"&amp;"nal operations.")</f>
        <v>This paper investigates the flow of factual information in Mamba State-Space Model (SSM)-based language models. We rely on theoretical and empirical connections to Transformer-based architectures and their attention mechanisms. Exploiting this relationship, we adapt attentional interpretability techniques originally developed for Transformers—specifically, the Attention Knockout methodology—to both Mamba-1 and Mamba-2. Using them we trace how information is transmitted and localized across tokens and layers, revealing patterns of subject-token information emergence and layer-wise dynamics. Notably, some phenomena vary between mamba models and Transformer based models, while others appear universally across all models inspected—hinting that these may be inherent to LLMs in general. By further leveraging Mamba’s structured factorization, we disentangle how distinct “features” either enable token-to-token information exchange or enrich individual tokens, thus offering a unified lens to understand Mamba internal operations.</v>
      </c>
      <c r="D2785" s="7" t="str">
        <f>IFERROR(__xludf.DUMMYFUNCTION("""COMPUTED_VALUE"""),"Nir Endy")</f>
        <v>Nir Endy</v>
      </c>
      <c r="E2785" s="7" t="str">
        <f>IFERROR(__xludf.DUMMYFUNCTION("""COMPUTED_VALUE"""),"Yes")</f>
        <v>Yes</v>
      </c>
      <c r="F2785" s="7" t="str">
        <f>IFERROR(__xludf.DUMMYFUNCTION("""COMPUTED_VALUE"""),"IP-Poster")</f>
        <v>IP-Poster</v>
      </c>
      <c r="G2785" s="7" t="str">
        <f>IFERROR(__xludf.DUMMYFUNCTION("""COMPUTED_VALUE"""),"In-Person")</f>
        <v>In-Person</v>
      </c>
      <c r="H2785" s="7" t="str">
        <f>IFERROR(__xludf.DUMMYFUNCTION("""COMPUTED_VALUE"""),"Hall 4/5")</f>
        <v>Hall 4/5</v>
      </c>
      <c r="I2785" s="7" t="str">
        <f>IFERROR(__xludf.DUMMYFUNCTION("""COMPUTED_VALUE"""),"Session 7: IP-Posters")</f>
        <v>Session 7: IP-Posters</v>
      </c>
      <c r="J2785" s="7" t="str">
        <f>IFERROR(__xludf.DUMMYFUNCTION("""COMPUTED_VALUE"""),"Poster Session 2")</f>
        <v>Poster Session 2</v>
      </c>
      <c r="K2785" s="7"/>
      <c r="L2785" s="8">
        <f>IFERROR(__xludf.DUMMYFUNCTION("""COMPUTED_VALUE"""),45867.0)</f>
        <v>45867</v>
      </c>
      <c r="M2785" s="7" t="str">
        <f>IFERROR(__xludf.DUMMYFUNCTION("""COMPUTED_VALUE"""),"10:30-12:00")</f>
        <v>10:30-12:00</v>
      </c>
      <c r="N2785" s="7"/>
    </row>
    <row r="2786">
      <c r="A2786" s="7" t="str">
        <f>IFERROR(__xludf.DUMMYFUNCTION("""COMPUTED_VALUE"""),"3168-MAIN")</f>
        <v>3168-MAIN</v>
      </c>
      <c r="B2786" s="7" t="str">
        <f>IFERROR(__xludf.DUMMYFUNCTION("""COMPUTED_VALUE"""),"Small Changes, Big Impact: How Manipulating a Few Neurons Can Drastically Alter LLM Aggression")</f>
        <v>Small Changes, Big Impact: How Manipulating a Few Neurons Can Drastically Alter LLM Aggression</v>
      </c>
      <c r="C2786" s="7" t="str">
        <f>IFERROR(__xludf.DUMMYFUNCTION("""COMPUTED_VALUE"""),"Recent remarkable advances in Large Language Models (LLMs) have led to innovations in various domains such as education, healthcare, and finance, while also raising serious concerns that they can be easily misused for malicious purposes. Most previous res"&amp;"earch has focused primarily on observing how jailbreak attack techniques bypass safety mechanisms like Reinforcement Learning through Human Feedback (RLHF). However, whether there are neurons within LLMs that directly govern aggression has not been suffic"&amp;"iently investigated. To fill this gap, this study identifies specific neurons (“aggression neurons”) closely related to the expression of aggression and systematically analyzes how manipulating them affects the model’s overall aggression. Specifically, us"&amp;"ing a large-scale synthetic text corpus (aggressive and non-aggressive), we measure the activation frequency of each neuron, then apply masking and activation techniques to quantitatively evaluate changes in aggression by layer and by manipulation ratio. "&amp;"Experimental results show that, in all models, manipulating only a small number of neurons can increase aggression by up to 33%, and the effect is even more extreme when aggression neurons are concentrated in certain layers. Moreover, even models of the s"&amp;"ame scale exhibit nonlinear changes in aggression patterns, suggesting that simple external safety measures alone may not be sufficient for complete defense.")</f>
        <v>Recent remarkable advances in Large Language Models (LLMs) have led to innovations in various domains such as education, healthcare, and finance, while also raising serious concerns that they can be easily misused for malicious purposes. Most previous research has focused primarily on observing how jailbreak attack techniques bypass safety mechanisms like Reinforcement Learning through Human Feedback (RLHF). However, whether there are neurons within LLMs that directly govern aggression has not been sufficiently investigated. To fill this gap, this study identifies specific neurons (“aggression neurons”) closely related to the expression of aggression and systematically analyzes how manipulating them affects the model’s overall aggression. Specifically, using a large-scale synthetic text corpus (aggressive and non-aggressive), we measure the activation frequency of each neuron, then apply masking and activation techniques to quantitatively evaluate changes in aggression by layer and by manipulation ratio. Experimental results show that, in all models, manipulating only a small number of neurons can increase aggression by up to 33%, and the effect is even more extreme when aggression neurons are concentrated in certain layers. Moreover, even models of the same scale exhibit nonlinear changes in aggression patterns, suggesting that simple external safety measures alone may not be sufficient for complete defense.</v>
      </c>
      <c r="D2786" s="7" t="str">
        <f>IFERROR(__xludf.DUMMYFUNCTION("""COMPUTED_VALUE"""),"Jaewook Lee, Junseo Jang")</f>
        <v>Jaewook Lee, Junseo Jang</v>
      </c>
      <c r="E2786" s="7" t="str">
        <f>IFERROR(__xludf.DUMMYFUNCTION("""COMPUTED_VALUE"""),"Yes")</f>
        <v>Yes</v>
      </c>
      <c r="F2786" s="7" t="str">
        <f>IFERROR(__xludf.DUMMYFUNCTION("""COMPUTED_VALUE"""),"IP-Poster")</f>
        <v>IP-Poster</v>
      </c>
      <c r="G2786" s="7" t="str">
        <f>IFERROR(__xludf.DUMMYFUNCTION("""COMPUTED_VALUE"""),"In-Person")</f>
        <v>In-Person</v>
      </c>
      <c r="H2786" s="7" t="str">
        <f>IFERROR(__xludf.DUMMYFUNCTION("""COMPUTED_VALUE"""),"Hall 4/5")</f>
        <v>Hall 4/5</v>
      </c>
      <c r="I2786" s="7" t="str">
        <f>IFERROR(__xludf.DUMMYFUNCTION("""COMPUTED_VALUE"""),"Session 7: IP-Posters")</f>
        <v>Session 7: IP-Posters</v>
      </c>
      <c r="J2786" s="7" t="str">
        <f>IFERROR(__xludf.DUMMYFUNCTION("""COMPUTED_VALUE"""),"Poster Session 2")</f>
        <v>Poster Session 2</v>
      </c>
      <c r="K2786" s="7"/>
      <c r="L2786" s="8">
        <f>IFERROR(__xludf.DUMMYFUNCTION("""COMPUTED_VALUE"""),45867.0)</f>
        <v>45867</v>
      </c>
      <c r="M2786" s="7" t="str">
        <f>IFERROR(__xludf.DUMMYFUNCTION("""COMPUTED_VALUE"""),"10:30-12:00")</f>
        <v>10:30-12:00</v>
      </c>
      <c r="N2786" s="7"/>
    </row>
    <row r="2787">
      <c r="A2787" s="7" t="str">
        <f>IFERROR(__xludf.DUMMYFUNCTION("""COMPUTED_VALUE"""),"3176-MAIN")</f>
        <v>3176-MAIN</v>
      </c>
      <c r="B2787" s="7" t="str">
        <f>IFERROR(__xludf.DUMMYFUNCTION("""COMPUTED_VALUE"""),"Towards Widening The Distillation Bottleneck for Reasoning Models")</f>
        <v>Towards Widening The Distillation Bottleneck for Reasoning Models</v>
      </c>
      <c r="C2787" s="7" t="str">
        <f>IFERROR(__xludf.DUMMYFUNCTION("""COMPUTED_VALUE"""),"Large Reasoning Models (LRMs) such as OpenAI o1 and DeepSeek-R1 have shown remarkable reasoning capabilities by scaling test-time compute and generating long Chain-of-Thought (CoT). Distillation post-training on LRMs-generated data is a straightforward ye"&amp;"t effective method to enhance the reasoning abilities of smaller models, but faces a critical bottleneck: we found that distilled long CoT data poses learning difficulty for small models and leads to the inheritance of biases (i.e., formalistic long-time "&amp;"thinking) when using Supervised Fine-tuning (SFT) and Reinforcement Learning (RL) methods. To alleviate this bottleneck, we propose constructing data from scratch using Monte Carlo Tree Search (MCTS). We then exploit a set of CoT-aware approaches, includi"&amp;"ng Thoughts Length Balance, Fine-grained DPO, and Joint Post-training Objective, to enhance SFT and RL on the MCTS data. We conducted evaluation on various benchmarks such as math (GSM8K, MATH, AIME). instruction-following (Multi-IF) and planning (Blocksw"&amp;"orld), results demonstrate our CoT-aware approaches substantially improve the reasoning performance of distilled models compared to standard distilled models via reducing the hallucinations in long-time thinking.")</f>
        <v>Large Reasoning Models (LRMs) such as OpenAI o1 and DeepSeek-R1 have shown remarkable reasoning capabilities by scaling test-time compute and generating long Chain-of-Thought (CoT). Distillation post-training on LRMs-generated data is a straightforward yet effective method to enhance the reasoning abilities of smaller models, but faces a critical bottleneck: we found that distilled long CoT data poses learning difficulty for small models and leads to the inheritance of biases (i.e., formalistic long-time thinking) when using Supervised Fine-tuning (SFT) and Reinforcement Learning (RL) methods. To alleviate this bottleneck, we propose constructing data from scratch using Monte Carlo Tree Search (MCTS). We then exploit a set of CoT-aware approaches, including Thoughts Length Balance, Fine-grained DPO, and Joint Post-training Objective, to enhance SFT and RL on the MCTS data. We conducted evaluation on various benchmarks such as math (GSM8K, MATH, AIME). instruction-following (Multi-IF) and planning (Blocksworld), results demonstrate our CoT-aware approaches substantially improve the reasoning performance of distilled models compared to standard distilled models via reducing the hallucinations in long-time thinking.</v>
      </c>
      <c r="D2787" s="7" t="str">
        <f>IFERROR(__xludf.DUMMYFUNCTION("""COMPUTED_VALUE"""),"YU ZHAO")</f>
        <v>YU ZHAO</v>
      </c>
      <c r="E2787" s="7" t="str">
        <f>IFERROR(__xludf.DUMMYFUNCTION("""COMPUTED_VALUE"""),"Yes")</f>
        <v>Yes</v>
      </c>
      <c r="F2787" s="7" t="str">
        <f>IFERROR(__xludf.DUMMYFUNCTION("""COMPUTED_VALUE"""),"IP-Poster")</f>
        <v>IP-Poster</v>
      </c>
      <c r="G2787" s="7" t="str">
        <f>IFERROR(__xludf.DUMMYFUNCTION("""COMPUTED_VALUE"""),"In-Person")</f>
        <v>In-Person</v>
      </c>
      <c r="H2787" s="7" t="str">
        <f>IFERROR(__xludf.DUMMYFUNCTION("""COMPUTED_VALUE"""),"Hall 4/5")</f>
        <v>Hall 4/5</v>
      </c>
      <c r="I2787" s="7" t="str">
        <f>IFERROR(__xludf.DUMMYFUNCTION("""COMPUTED_VALUE"""),"Session 12: IP-Posters")</f>
        <v>Session 12: IP-Posters</v>
      </c>
      <c r="J2787" s="7" t="str">
        <f>IFERROR(__xludf.DUMMYFUNCTION("""COMPUTED_VALUE"""),"Poster Session 4")</f>
        <v>Poster Session 4</v>
      </c>
      <c r="K2787" s="7"/>
      <c r="L2787" s="8">
        <f>IFERROR(__xludf.DUMMYFUNCTION("""COMPUTED_VALUE"""),45868.0)</f>
        <v>45868</v>
      </c>
      <c r="M2787" s="7" t="str">
        <f>IFERROR(__xludf.DUMMYFUNCTION("""COMPUTED_VALUE"""),"11:00-12:30")</f>
        <v>11:00-12:30</v>
      </c>
      <c r="N2787" s="7"/>
    </row>
    <row r="2788">
      <c r="A2788" s="7" t="str">
        <f>IFERROR(__xludf.DUMMYFUNCTION("""COMPUTED_VALUE"""),"3199-MAIN")</f>
        <v>3199-MAIN</v>
      </c>
      <c r="B2788" s="7" t="str">
        <f>IFERROR(__xludf.DUMMYFUNCTION("""COMPUTED_VALUE"""),"Curiosity-Driven Reinforcement Learning from Human Feedback")</f>
        <v>Curiosity-Driven Reinforcement Learning from Human Feedback</v>
      </c>
      <c r="C2788" s="7" t="str">
        <f>IFERROR(__xludf.DUMMYFUNCTION("""COMPUTED_VALUE"""),"Reinforcement learning from human feedback (RLHF) has proven effective in aligning large language models (LLMs) with human preferences, but often at the cost of reduced output diversity. This trade-off between diversity and alignment quality remains a sig"&amp;"nificant challenge. Drawing inspiration from curiosity-driven exploration in reinforcement learning, we introduce curiosity-driven RLHF (CD-RLHF), a framework that incorporates intrinsic rewards for novel states, alongside traditional sparse extrinsic rew"&amp;"ards, to optimize both output diversity and alignment quality. We demonstrate the effectiveness of CD-RLHF through extensive experiments on a range of tasks, including text summarization and instruction following. Our approach achieves significant gains i"&amp;"n diversity on multiple diversity-oriented metrics while maintaining alignment with human preferences comparable to standard RLHF. We will make our code publicly available.")</f>
        <v>Reinforcement learning from human feedback (RLHF) has proven effective in aligning large language models (LLMs) with human preferences, but often at the cost of reduced output diversity. This trade-off between diversity and alignment quality remains a significant challenge. Drawing inspiration from curiosity-driven exploration in reinforcement learning, we introduce curiosity-driven RLHF (CD-RLHF), a framework that incorporates intrinsic rewards for novel states, alongside traditional sparse extrinsic rewards, to optimize both output diversity and alignment quality. We demonstrate the effectiveness of CD-RLHF through extensive experiments on a range of tasks, including text summarization and instruction following. Our approach achieves significant gains in diversity on multiple diversity-oriented metrics while maintaining alignment with human preferences comparable to standard RLHF. We will make our code publicly available.</v>
      </c>
      <c r="D2788" s="7" t="str">
        <f>IFERROR(__xludf.DUMMYFUNCTION("""COMPUTED_VALUE"""),"Haoran Sun")</f>
        <v>Haoran Sun</v>
      </c>
      <c r="E2788" s="7" t="str">
        <f>IFERROR(__xludf.DUMMYFUNCTION("""COMPUTED_VALUE"""),"Yes")</f>
        <v>Yes</v>
      </c>
      <c r="F2788" s="7" t="str">
        <f>IFERROR(__xludf.DUMMYFUNCTION("""COMPUTED_VALUE"""),"V-Presentation")</f>
        <v>V-Presentation</v>
      </c>
      <c r="G2788" s="7" t="str">
        <f>IFERROR(__xludf.DUMMYFUNCTION("""COMPUTED_VALUE"""),"Virtual/Gather")</f>
        <v>Virtual/Gather</v>
      </c>
      <c r="H2788" s="7" t="str">
        <f>IFERROR(__xludf.DUMMYFUNCTION("""COMPUTED_VALUE"""),"Zoom")</f>
        <v>Zoom</v>
      </c>
      <c r="I2788" s="7" t="str">
        <f>IFERROR(__xludf.DUMMYFUNCTION("""COMPUTED_VALUE"""),"Session 12: V-Presentations")</f>
        <v>Session 12: V-Presentations</v>
      </c>
      <c r="J2788" s="7" t="str">
        <f>IFERROR(__xludf.DUMMYFUNCTION("""COMPUTED_VALUE"""),"Virtual Presentations 4")</f>
        <v>Virtual Presentations 4</v>
      </c>
      <c r="K2788" s="7"/>
      <c r="L2788" s="8">
        <f>IFERROR(__xludf.DUMMYFUNCTION("""COMPUTED_VALUE"""),45868.0)</f>
        <v>45868</v>
      </c>
      <c r="M2788" s="7" t="str">
        <f>IFERROR(__xludf.DUMMYFUNCTION("""COMPUTED_VALUE"""),"11:00-12:30")</f>
        <v>11:00-12:30</v>
      </c>
      <c r="N2788" s="7"/>
    </row>
    <row r="2789">
      <c r="A2789" s="7" t="str">
        <f>IFERROR(__xludf.DUMMYFUNCTION("""COMPUTED_VALUE"""),"3201-MAIN")</f>
        <v>3201-MAIN</v>
      </c>
      <c r="B2789" s="7" t="str">
        <f>IFERROR(__xludf.DUMMYFUNCTION("""COMPUTED_VALUE"""),"T2A-Feedback: Improving Basic Capabilities of Text-to-Audio Generation via Fine-grained AI Feedback")</f>
        <v>T2A-Feedback: Improving Basic Capabilities of Text-to-Audio Generation via Fine-grained AI Feedback</v>
      </c>
      <c r="C2789" s="7" t="str">
        <f>IFERROR(__xludf.DUMMYFUNCTION("""COMPUTED_VALUE"""),"Text-to-audio (T2A) generation has achieved remarkable progress in generating a variety of audio outputs from language prompts. However, current state-of-the-art T2A models still struggle to satisfy human preferences for prompt-following and acoustic qual"&amp;"ity when generating complex multi-event audio. To improve the performance of the model in these high-level applications, we propose to enhance the basic capabilities of the model with AI feedback learning. First, we introduce fine-grained AI audio scoring"&amp;" pipelines to: 1) verify whether each event in the text prompt is present in the audio (Event Occurrence Score), 2) detect deviations in event sequences from the language description (Event Sequence Score), and 3) assess the overall acoustic and harmonic "&amp;"quality of the generated audio (Acoustic&amp;Harmonic Quality). We evaluate these three automatic scoring pipelines and find that they correlate significantly better with human preferences than other evaluation metrics. This highlights their value as both fee"&amp;"dback signals and evaluation metrics. Utilizing our robust scoring pipelines, we construct a large audio preference dataset, T2A-FeedBack, which contains 41k prompts and 249k audios, each accompanied by detailed scores. Moreover, we introduce T2A-EpicBenc"&amp;"h, a benchmark that focuses on long captions, multi-events, and story-telling scenarios, aiming to evaluate the advanced capabilities of T2A models. Finally, we demonstrate how T2A-FeedBack can enhance current state-of-the-art audio model. With simple pre"&amp;"ference tuning, the audio generation model exhibits significant improvements in both simple (AudioCaps test set) and complex (T2A-EpicBench) scenarios.")</f>
        <v>Text-to-audio (T2A) generation has achieved remarkable progress in generating a variety of audio outputs from language prompts. However, current state-of-the-art T2A models still struggle to satisfy human preferences for prompt-following and acoustic quality when generating complex multi-event audio. To improve the performance of the model in these high-level applications, we propose to enhance the basic capabilities of the model with AI feedback learning. First, we introduce fine-grained AI audio scoring pipelines to: 1) verify whether each event in the text prompt is present in the audio (Event Occurrence Score), 2) detect deviations in event sequences from the language description (Event Sequence Score), and 3) assess the overall acoustic and harmonic quality of the generated audio (Acoustic&amp;Harmonic Quality). We evaluate these three automatic scoring pipelines and find that they correlate significantly better with human preferences than other evaluation metrics. This highlights their value as both feedback signals and evaluation metrics. Utilizing our robust scoring pipelines, we construct a large audio preference dataset, T2A-FeedBack, which contains 41k prompts and 249k audios, each accompanied by detailed scores. Moreover, we introduce T2A-EpicBench, a benchmark that focuses on long captions, multi-events, and story-telling scenarios, aiming to evaluate the advanced capabilities of T2A models. Finally, we demonstrate how T2A-FeedBack can enhance current state-of-the-art audio model. With simple preference tuning, the audio generation model exhibits significant improvements in both simple (AudioCaps test set) and complex (T2A-EpicBench) scenarios.</v>
      </c>
      <c r="D2789" s="7" t="str">
        <f>IFERROR(__xludf.DUMMYFUNCTION("""COMPUTED_VALUE"""),"zehan wang")</f>
        <v>zehan wang</v>
      </c>
      <c r="E2789" s="7" t="str">
        <f>IFERROR(__xludf.DUMMYFUNCTION("""COMPUTED_VALUE"""),"Yes")</f>
        <v>Yes</v>
      </c>
      <c r="F2789" s="7" t="str">
        <f>IFERROR(__xludf.DUMMYFUNCTION("""COMPUTED_VALUE"""),"V-Presentation")</f>
        <v>V-Presentation</v>
      </c>
      <c r="G2789" s="7" t="str">
        <f>IFERROR(__xludf.DUMMYFUNCTION("""COMPUTED_VALUE"""),"Virtual/Gather")</f>
        <v>Virtual/Gather</v>
      </c>
      <c r="H2789" s="7" t="str">
        <f>IFERROR(__xludf.DUMMYFUNCTION("""COMPUTED_VALUE"""),"Zoom")</f>
        <v>Zoom</v>
      </c>
      <c r="I2789" s="7" t="str">
        <f>IFERROR(__xludf.DUMMYFUNCTION("""COMPUTED_VALUE"""),"Session 12: V-Presentations")</f>
        <v>Session 12: V-Presentations</v>
      </c>
      <c r="J2789" s="7" t="str">
        <f>IFERROR(__xludf.DUMMYFUNCTION("""COMPUTED_VALUE"""),"Virtual Presentations 4")</f>
        <v>Virtual Presentations 4</v>
      </c>
      <c r="K2789" s="7"/>
      <c r="L2789" s="8">
        <f>IFERROR(__xludf.DUMMYFUNCTION("""COMPUTED_VALUE"""),45868.0)</f>
        <v>45868</v>
      </c>
      <c r="M2789" s="7" t="str">
        <f>IFERROR(__xludf.DUMMYFUNCTION("""COMPUTED_VALUE"""),"11:00-12:30")</f>
        <v>11:00-12:30</v>
      </c>
      <c r="N2789" s="7"/>
    </row>
    <row r="2790">
      <c r="A2790" s="7" t="str">
        <f>IFERROR(__xludf.DUMMYFUNCTION("""COMPUTED_VALUE"""),"3210-MAIN")</f>
        <v>3210-MAIN</v>
      </c>
      <c r="B2790" s="7" t="str">
        <f>IFERROR(__xludf.DUMMYFUNCTION("""COMPUTED_VALUE"""),"CoE: A Clue of Emotion Framework for Emotion Recognition in Conversations")</f>
        <v>CoE: A Clue of Emotion Framework for Emotion Recognition in Conversations</v>
      </c>
      <c r="C2790" s="7" t="str">
        <f>IFERROR(__xludf.DUMMYFUNCTION("""COMPUTED_VALUE"""),"Emotion Recognition in Conversations (ERC) is crucial for machines to understand dynamic human emotions. While Large Language Models (LLMs) show promise, their performance is often limited by challenges in interpreting complex conversational streams. We i"&amp;"ntroduce a Clue of Emotion (CoE) framework, which progressively integrates key conversational clues to enhance the ERC task. Building on CoE, we implement a multi-stage auxiliary learning strategy that incorporates role-playing, speaker identification, an"&amp;"d emotion reasoning tasks, each targeting different aspects of conversational emotion understanding and enhancing the model's ability to interpret emotional contexts. Our experiments on EmoryNLP, MELD, and IEMOCAP demonstrate that CoE consistently outperf"&amp;"orms state-of-the-art methods, achieving a 2.92\% improvement on EmoryNLP. These results underscore the effectiveness of clues and multi-stage auxiliary learning for ERC, offering valuable insights for future research.")</f>
        <v>Emotion Recognition in Conversations (ERC) is crucial for machines to understand dynamic human emotions. While Large Language Models (LLMs) show promise, their performance is often limited by challenges in interpreting complex conversational streams. We introduce a Clue of Emotion (CoE) framework, which progressively integrates key conversational clues to enhance the ERC task. Building on CoE, we implement a multi-stage auxiliary learning strategy that incorporates role-playing, speaker identification, and emotion reasoning tasks, each targeting different aspects of conversational emotion understanding and enhancing the model's ability to interpret emotional contexts. Our experiments on EmoryNLP, MELD, and IEMOCAP demonstrate that CoE consistently outperforms state-of-the-art methods, achieving a 2.92\% improvement on EmoryNLP. These results underscore the effectiveness of clues and multi-stage auxiliary learning for ERC, offering valuable insights for future research.</v>
      </c>
      <c r="D2790" s="7" t="str">
        <f>IFERROR(__xludf.DUMMYFUNCTION("""COMPUTED_VALUE"""),"Zhiyu Shen")</f>
        <v>Zhiyu Shen</v>
      </c>
      <c r="E2790" s="7" t="str">
        <f>IFERROR(__xludf.DUMMYFUNCTION("""COMPUTED_VALUE"""),"Yes")</f>
        <v>Yes</v>
      </c>
      <c r="F2790" s="7" t="str">
        <f>IFERROR(__xludf.DUMMYFUNCTION("""COMPUTED_VALUE"""),"IP-Poster")</f>
        <v>IP-Poster</v>
      </c>
      <c r="G2790" s="7" t="str">
        <f>IFERROR(__xludf.DUMMYFUNCTION("""COMPUTED_VALUE"""),"In-Person")</f>
        <v>In-Person</v>
      </c>
      <c r="H2790" s="7" t="str">
        <f>IFERROR(__xludf.DUMMYFUNCTION("""COMPUTED_VALUE"""),"Hall 4/5")</f>
        <v>Hall 4/5</v>
      </c>
      <c r="I2790" s="7" t="str">
        <f>IFERROR(__xludf.DUMMYFUNCTION("""COMPUTED_VALUE"""),"Session 2: IP-Posters ")</f>
        <v>Session 2: IP-Posters </v>
      </c>
      <c r="J2790" s="7" t="str">
        <f>IFERROR(__xludf.DUMMYFUNCTION("""COMPUTED_VALUE"""),"Poster Session 1")</f>
        <v>Poster Session 1</v>
      </c>
      <c r="K2790" s="7"/>
      <c r="L2790" s="8">
        <f>IFERROR(__xludf.DUMMYFUNCTION("""COMPUTED_VALUE"""),45866.0)</f>
        <v>45866</v>
      </c>
      <c r="M2790" s="7" t="str">
        <f>IFERROR(__xludf.DUMMYFUNCTION("""COMPUTED_VALUE"""),"11:00-12:30")</f>
        <v>11:00-12:30</v>
      </c>
      <c r="N2790" s="7"/>
    </row>
    <row r="2791">
      <c r="A2791" s="7" t="str">
        <f>IFERROR(__xludf.DUMMYFUNCTION("""COMPUTED_VALUE"""),"3213-MAIN")</f>
        <v>3213-MAIN</v>
      </c>
      <c r="B2791" s="7" t="str">
        <f>IFERROR(__xludf.DUMMYFUNCTION("""COMPUTED_VALUE"""),"MPO: Multilingual Safety Alignment via Reward Gap Optimization")</f>
        <v>MPO: Multilingual Safety Alignment via Reward Gap Optimization</v>
      </c>
      <c r="C2791" s="7" t="str">
        <f>IFERROR(__xludf.DUMMYFUNCTION("""COMPUTED_VALUE"""),"Large language models (LLMs) have become increasingly central to AI applications worldwide, necessitating robust multilingual safety alignment to ensure secure deployment across diverse linguistic contexts. Existing preference learning methods for safety "&amp;"alignment, such as RLHF and DPO, are primarily monolingual and struggle with noisy multilingual data. To address these limitations, we introduce \textbf{\underline{Mul}}tilingual reward ga\textbf{\underline{P}} \textbf{\underline{O}}ptimization (\textbf{M"&amp;"PO}), a novel approach that leverages the well-aligned safety capabilities of the dominant language (\textit{e.g.}, English) to improve safety alignment across multiple languages. MPO directly minimizes the reward gap difference between the dominant langu"&amp;"age and target languages, effectively transferring safety capabilities while preserving the original strengths of the dominant language. Extensive experiments on three LLMs, LLaMA-3.1, Gemma-2 and Qwen2.5, validate MPO’s efficacy in multilingual safety al"&amp;"ignment without degrading general multilingual utility.")</f>
        <v>Large language models (LLMs) have become increasingly central to AI applications worldwide, necessitating robust multilingual safety alignment to ensure secure deployment across diverse linguistic contexts. Existing preference learning methods for safety alignment, such as RLHF and DPO, are primarily monolingual and struggle with noisy multilingual data. To address these limitations, we introduce \textbf{\underline{Mul}}tilingual reward ga\textbf{\underline{P}} \textbf{\underline{O}}ptimization (\textbf{MPO}), a novel approach that leverages the well-aligned safety capabilities of the dominant language (\textit{e.g.}, English) to improve safety alignment across multiple languages. MPO directly minimizes the reward gap difference between the dominant language and target languages, effectively transferring safety capabilities while preserving the original strengths of the dominant language. Extensive experiments on three LLMs, LLaMA-3.1, Gemma-2 and Qwen2.5, validate MPO’s efficacy in multilingual safety alignment without degrading general multilingual utility.</v>
      </c>
      <c r="D2791" s="7" t="str">
        <f>IFERROR(__xludf.DUMMYFUNCTION("""COMPUTED_VALUE"""),"Weixiang Zhao")</f>
        <v>Weixiang Zhao</v>
      </c>
      <c r="E2791" s="7" t="str">
        <f>IFERROR(__xludf.DUMMYFUNCTION("""COMPUTED_VALUE"""),"Yes")</f>
        <v>Yes</v>
      </c>
      <c r="F2791" s="7" t="str">
        <f>IFERROR(__xludf.DUMMYFUNCTION("""COMPUTED_VALUE"""),"IP-Oral")</f>
        <v>IP-Oral</v>
      </c>
      <c r="G2791" s="7" t="str">
        <f>IFERROR(__xludf.DUMMYFUNCTION("""COMPUTED_VALUE"""),"In-Person")</f>
        <v>In-Person</v>
      </c>
      <c r="H2791" s="7" t="str">
        <f>IFERROR(__xludf.DUMMYFUNCTION("""COMPUTED_VALUE"""),"Hall B")</f>
        <v>Hall B</v>
      </c>
      <c r="I2791" s="7" t="str">
        <f>IFERROR(__xludf.DUMMYFUNCTION("""COMPUTED_VALUE"""),"Session 11: IP-Orals ")</f>
        <v>Session 11: IP-Orals </v>
      </c>
      <c r="J2791" s="7" t="str">
        <f>IFERROR(__xludf.DUMMYFUNCTION("""COMPUTED_VALUE"""),"Panel 2: LLM alignment")</f>
        <v>Panel 2: LLM alignment</v>
      </c>
      <c r="K2791" s="7"/>
      <c r="L2791" s="8">
        <f>IFERROR(__xludf.DUMMYFUNCTION("""COMPUTED_VALUE"""),45868.0)</f>
        <v>45868</v>
      </c>
      <c r="M2791" s="7" t="str">
        <f>IFERROR(__xludf.DUMMYFUNCTION("""COMPUTED_VALUE"""),"09:00-10:30")</f>
        <v>09:00-10:30</v>
      </c>
      <c r="N2791" s="7">
        <f>IFERROR(__xludf.DUMMYFUNCTION("""COMPUTED_VALUE"""),4.0)</f>
        <v>4</v>
      </c>
    </row>
    <row r="2792">
      <c r="A2792" s="7" t="str">
        <f>IFERROR(__xludf.DUMMYFUNCTION("""COMPUTED_VALUE"""),"3221-MAIN")</f>
        <v>3221-MAIN</v>
      </c>
      <c r="B2792" s="7" t="str">
        <f>IFERROR(__xludf.DUMMYFUNCTION("""COMPUTED_VALUE"""),"QualiSpeech: A Speech Quality Assessment Dataset with Natural Language Reasoning and Descriptions")</f>
        <v>QualiSpeech: A Speech Quality Assessment Dataset with Natural Language Reasoning and Descriptions</v>
      </c>
      <c r="C2792" s="7" t="str">
        <f>IFERROR(__xludf.DUMMYFUNCTION("""COMPUTED_VALUE"""),"This paper explores a novel perspective to speech quality assessment by leveraging natural language descriptions, offering richer, more nuanced insights than traditional numerical scoring methods. Natural language feedback provides instructive recommendat"&amp;"ions and detailed evaluations, yet existing datasets lack the comprehensive annotations needed for this approach. To bridge this gap, we introduce QualiSpeech, a comprehensive low-level speech quality assessment dataset encompassing 11 key aspects and det"&amp;"ailed natural language comments that include reasoning and contextual insights. Additionally, we propose the QualiSpeech Benchmark to evaluate the low-level speech understanding capabilities of auditory large language models (LLMs). Experimental results d"&amp;"emonstrate that finetuned auditory LLMs can reliably generate detailed descriptions of noise and distortion, effectively identifying their types and temporal characteristics. The results further highlight the potential for incorporating reasoning to enhan"&amp;"ce the accuracy and reliability of quality assessments. The dataset can be found at https://huggingface.co/datasets/tsinghua-ee/QualiSpeech.")</f>
        <v>This paper explores a novel perspective to speech quality assessment by leveraging natural language descriptions, offering richer, more nuanced insights than traditional numerical scoring methods. Natural language feedback provides instructive recommendations and detailed evaluations, yet existing datasets lack the comprehensive annotations needed for this approach. To bridge this gap, we introduce QualiSpeech, a comprehensive low-level speech quality assessment dataset encompassing 11 key aspects and detailed natural language comments that include reasoning and contextual insights. Additionally, we propose the QualiSpeech Benchmark to evaluate the low-level speech understanding capabilities of auditory large language models (LLMs). Experimental results demonstrate that finetuned auditory LLMs can reliably generate detailed descriptions of noise and distortion, effectively identifying their types and temporal characteristics. The results further highlight the potential for incorporating reasoning to enhance the accuracy and reliability of quality assessments. The dataset can be found at https://huggingface.co/datasets/tsinghua-ee/QualiSpeech.</v>
      </c>
      <c r="D2792" s="7" t="str">
        <f>IFERROR(__xludf.DUMMYFUNCTION("""COMPUTED_VALUE"""),"Siyin Wang")</f>
        <v>Siyin Wang</v>
      </c>
      <c r="E2792" s="7" t="str">
        <f>IFERROR(__xludf.DUMMYFUNCTION("""COMPUTED_VALUE"""),"Yes")</f>
        <v>Yes</v>
      </c>
      <c r="F2792" s="7" t="str">
        <f>IFERROR(__xludf.DUMMYFUNCTION("""COMPUTED_VALUE"""),"IP-Poster")</f>
        <v>IP-Poster</v>
      </c>
      <c r="G2792" s="7" t="str">
        <f>IFERROR(__xludf.DUMMYFUNCTION("""COMPUTED_VALUE"""),"In-Person")</f>
        <v>In-Person</v>
      </c>
      <c r="H2792" s="7" t="str">
        <f>IFERROR(__xludf.DUMMYFUNCTION("""COMPUTED_VALUE"""),"Hall 4/5")</f>
        <v>Hall 4/5</v>
      </c>
      <c r="I2792" s="7" t="str">
        <f>IFERROR(__xludf.DUMMYFUNCTION("""COMPUTED_VALUE"""),"Session 7: IP-Posters")</f>
        <v>Session 7: IP-Posters</v>
      </c>
      <c r="J2792" s="7" t="str">
        <f>IFERROR(__xludf.DUMMYFUNCTION("""COMPUTED_VALUE"""),"Poster Session 2")</f>
        <v>Poster Session 2</v>
      </c>
      <c r="K2792" s="7"/>
      <c r="L2792" s="8">
        <f>IFERROR(__xludf.DUMMYFUNCTION("""COMPUTED_VALUE"""),45867.0)</f>
        <v>45867</v>
      </c>
      <c r="M2792" s="7" t="str">
        <f>IFERROR(__xludf.DUMMYFUNCTION("""COMPUTED_VALUE"""),"10:30-12:00")</f>
        <v>10:30-12:00</v>
      </c>
      <c r="N2792" s="7"/>
    </row>
    <row r="2793">
      <c r="A2793" s="7" t="str">
        <f>IFERROR(__xludf.DUMMYFUNCTION("""COMPUTED_VALUE"""),"3222-MAIN")</f>
        <v>3222-MAIN</v>
      </c>
      <c r="B2793" s="7" t="str">
        <f>IFERROR(__xludf.DUMMYFUNCTION("""COMPUTED_VALUE"""),"On the Relation Between Fine-Tuning, Topological Properties, and Task Performance in Sense-Enhanced Embeddings")</f>
        <v>On the Relation Between Fine-Tuning, Topological Properties, and Task Performance in Sense-Enhanced Embeddings</v>
      </c>
      <c r="C2793" s="7" t="str">
        <f>IFERROR(__xludf.DUMMYFUNCTION("""COMPUTED_VALUE"""),"Topological properties of embeddings, such as isotropy and uniformity, are closely linked to their expressiveness, and improving these properties enhances the embeddings' ability to capture nuanced semantic distinctions. However, fine-tuning can reduce th"&amp;"e expressiveness of the embeddings of language models. This study investigates the relation between fine-tuning, topology of the embedding space, and task performance in the context of sense knowledge enhancement, focusing on identifying the topological p"&amp;"roperties that contribute to the success of sense-enhanced embeddings. We experiment with two fine-tuning methods: *Supervised Contrastive Learning (SCL)* and *Supervised Predictive Learning (SPL)*. Our results show that SPL, the most standard approach, e"&amp;"xhibits varying effectiveness depending on the language model and is inconsistent in producing successful sense-enhanced embeddings. In contrast, SCL achieves this consistently. Furthermore, while the embeddings with only increased *sense-alignment* show "&amp;"reduced task performance, those that also exhibit high *isotropy* and balance *uniformity* with *sense-alignment* achieve the best results. Additionally, our findings indicate that supervised and unsupervised tasks benefit from these topological propertie"&amp;"s to varying degrees.")</f>
        <v>Topological properties of embeddings, such as isotropy and uniformity, are closely linked to their expressiveness, and improving these properties enhances the embeddings' ability to capture nuanced semantic distinctions. However, fine-tuning can reduce the expressiveness of the embeddings of language models. This study investigates the relation between fine-tuning, topology of the embedding space, and task performance in the context of sense knowledge enhancement, focusing on identifying the topological properties that contribute to the success of sense-enhanced embeddings. We experiment with two fine-tuning methods: *Supervised Contrastive Learning (SCL)* and *Supervised Predictive Learning (SPL)*. Our results show that SPL, the most standard approach, exhibits varying effectiveness depending on the language model and is inconsistent in producing successful sense-enhanced embeddings. In contrast, SCL achieves this consistently. Furthermore, while the embeddings with only increased *sense-alignment* show reduced task performance, those that also exhibit high *isotropy* and balance *uniformity* with *sense-alignment* achieve the best results. Additionally, our findings indicate that supervised and unsupervised tasks benefit from these topological properties to varying degrees.</v>
      </c>
      <c r="D2793" s="7" t="str">
        <f>IFERROR(__xludf.DUMMYFUNCTION("""COMPUTED_VALUE"""),"Deniz Ekin Yavas")</f>
        <v>Deniz Ekin Yavas</v>
      </c>
      <c r="E2793" s="7" t="str">
        <f>IFERROR(__xludf.DUMMYFUNCTION("""COMPUTED_VALUE"""),"Yes")</f>
        <v>Yes</v>
      </c>
      <c r="F2793" s="7" t="str">
        <f>IFERROR(__xludf.DUMMYFUNCTION("""COMPUTED_VALUE"""),"IP-Poster")</f>
        <v>IP-Poster</v>
      </c>
      <c r="G2793" s="7" t="str">
        <f>IFERROR(__xludf.DUMMYFUNCTION("""COMPUTED_VALUE"""),"In-Person")</f>
        <v>In-Person</v>
      </c>
      <c r="H2793" s="7" t="str">
        <f>IFERROR(__xludf.DUMMYFUNCTION("""COMPUTED_VALUE"""),"Hall 4/5")</f>
        <v>Hall 4/5</v>
      </c>
      <c r="I2793" s="7" t="str">
        <f>IFERROR(__xludf.DUMMYFUNCTION("""COMPUTED_VALUE"""),"Session 2: IP-Posters ")</f>
        <v>Session 2: IP-Posters </v>
      </c>
      <c r="J2793" s="7" t="str">
        <f>IFERROR(__xludf.DUMMYFUNCTION("""COMPUTED_VALUE"""),"Poster Session 1")</f>
        <v>Poster Session 1</v>
      </c>
      <c r="K2793" s="7"/>
      <c r="L2793" s="8">
        <f>IFERROR(__xludf.DUMMYFUNCTION("""COMPUTED_VALUE"""),45866.0)</f>
        <v>45866</v>
      </c>
      <c r="M2793" s="7" t="str">
        <f>IFERROR(__xludf.DUMMYFUNCTION("""COMPUTED_VALUE"""),"11:00-12:30")</f>
        <v>11:00-12:30</v>
      </c>
      <c r="N2793" s="7"/>
    </row>
    <row r="2794">
      <c r="A2794" s="7" t="str">
        <f>IFERROR(__xludf.DUMMYFUNCTION("""COMPUTED_VALUE"""),"3239-MAIN")</f>
        <v>3239-MAIN</v>
      </c>
      <c r="B2794" s="7" t="str">
        <f>IFERROR(__xludf.DUMMYFUNCTION("""COMPUTED_VALUE"""),"Finding Needles in Images: Can Multi-modal LLMs Locate Fine Details?")</f>
        <v>Finding Needles in Images: Can Multi-modal LLMs Locate Fine Details?</v>
      </c>
      <c r="C2794" s="7" t="str">
        <f>IFERROR(__xludf.DUMMYFUNCTION("""COMPUTED_VALUE"""),"While Multi-modal Large Language Models (MLLMs) have shown impressive capabilities in document understanding tasks, their ability to locate and reason about fine-grained details within complex documents remains understudied. Consider searching a restauran"&amp;"t menu for a specific nutritional detail or identifying a disclaimer in a lengthy newspaper article — tasks that demand careful attention to small but significant details within a broader narrative, akin to Finding Needles in Images (NiM). To address this"&amp;" gap, we introduce  NiM-Benchmark, a carefully curated benchmark spanning diverse real-world documents including newspapers, menus, and lecture images, specifically designed to evaluate MLLMs' capability in these intricate tasks. Building on this, we furt"&amp;"her propose Spot-IT, a simple yet effective approach that enhances MLLMs capability through intelligent patch selection and Gaussian attention, motivated from how humans zoom and focus when searching documents. Our extensive experiments reveal both the ca"&amp;"pabilities and limitations of current MLLMs in handling fine-grained document understanding tasks, while demonstrating the effectiveness of our approach. Spot-IT achieves significant improvements over baseline methods, particularly in scenarios requiring "&amp;"precise detail extraction from complex layouts.")</f>
        <v>While Multi-modal Large Language Models (MLLMs) have shown impressive capabilities in document understanding tasks, their ability to locate and reason about fine-grained details within complex documents remains understudied. Consider searching a restaurant menu for a specific nutritional detail or identifying a disclaimer in a lengthy newspaper article — tasks that demand careful attention to small but significant details within a broader narrative, akin to Finding Needles in Images (NiM). To address this gap, we introduce  NiM-Benchmark, a carefully curated benchmark spanning diverse real-world documents including newspapers, menus, and lecture images, specifically designed to evaluate MLLMs' capability in these intricate tasks. Building on this, we further propose Spot-IT, a simple yet effective approach that enhances MLLMs capability through intelligent patch selection and Gaussian attention, motivated from how humans zoom and focus when searching documents. Our extensive experiments reveal both the capabilities and limitations of current MLLMs in handling fine-grained document understanding tasks, while demonstrating the effectiveness of our approach. Spot-IT achieves significant improvements over baseline methods, particularly in scenarios requiring precise detail extraction from complex layouts.</v>
      </c>
      <c r="D2794" s="7" t="str">
        <f>IFERROR(__xludf.DUMMYFUNCTION("""COMPUTED_VALUE"""),"Parth Thakkar")</f>
        <v>Parth Thakkar</v>
      </c>
      <c r="E2794" s="7" t="str">
        <f>IFERROR(__xludf.DUMMYFUNCTION("""COMPUTED_VALUE"""),"Yes")</f>
        <v>Yes</v>
      </c>
      <c r="F2794" s="7" t="str">
        <f>IFERROR(__xludf.DUMMYFUNCTION("""COMPUTED_VALUE"""),"IP-Poster")</f>
        <v>IP-Poster</v>
      </c>
      <c r="G2794" s="7" t="str">
        <f>IFERROR(__xludf.DUMMYFUNCTION("""COMPUTED_VALUE"""),"In-Person")</f>
        <v>In-Person</v>
      </c>
      <c r="H2794" s="7" t="str">
        <f>IFERROR(__xludf.DUMMYFUNCTION("""COMPUTED_VALUE"""),"Hall 4/5")</f>
        <v>Hall 4/5</v>
      </c>
      <c r="I2794" s="7" t="str">
        <f>IFERROR(__xludf.DUMMYFUNCTION("""COMPUTED_VALUE"""),"Session 12: IP-Posters")</f>
        <v>Session 12: IP-Posters</v>
      </c>
      <c r="J2794" s="7" t="str">
        <f>IFERROR(__xludf.DUMMYFUNCTION("""COMPUTED_VALUE"""),"Poster Session 4")</f>
        <v>Poster Session 4</v>
      </c>
      <c r="K2794" s="7"/>
      <c r="L2794" s="8">
        <f>IFERROR(__xludf.DUMMYFUNCTION("""COMPUTED_VALUE"""),45868.0)</f>
        <v>45868</v>
      </c>
      <c r="M2794" s="7" t="str">
        <f>IFERROR(__xludf.DUMMYFUNCTION("""COMPUTED_VALUE"""),"11:00-12:30")</f>
        <v>11:00-12:30</v>
      </c>
      <c r="N2794" s="7"/>
    </row>
    <row r="2795">
      <c r="A2795" s="7" t="str">
        <f>IFERROR(__xludf.DUMMYFUNCTION("""COMPUTED_VALUE"""),"3242-MAIN")</f>
        <v>3242-MAIN</v>
      </c>
      <c r="B2795" s="7" t="str">
        <f>IFERROR(__xludf.DUMMYFUNCTION("""COMPUTED_VALUE"""),"Don't Half-listen: Capturing Key-part Information in Continual Instruction Tuning")</f>
        <v>Don't Half-listen: Capturing Key-part Information in Continual Instruction Tuning</v>
      </c>
      <c r="C2795" s="7" t="str">
        <f>IFERROR(__xludf.DUMMYFUNCTION("""COMPUTED_VALUE"""),"Instruction tuning for large language models (LLMs) can drive them to produce results consistent with human goals in specific downstream tasks. However, the process of continual instruction tuning (CIT) for LLMs may bring about the catastrophic forgetting"&amp;" (CF) problem, where previously learned abilities are degraded. Recent methods try to alleviate the CF problem by modifying models or replaying data, which may only remember the surface-level pattern of instructions and get confused on held-out tasks. In "&amp;"this paper, we propose a novel continual instruction tuning method based on Key-part Information Gain (KPIG). Our method computes the information gain on masked parts to dynamically replay data and refine the training objective, which enables LLMs to capt"&amp;"ure task-aware information relevant to the correct response and alleviate overfitting to general descriptions in instructions. In addition, we propose two metrics, P-score and V-score, to measure the generalization and instruction-following abilities of L"&amp;"LMs. Experiments demonstrate our method achieves superior performance on both seen and held-out tasks.")</f>
        <v>Instruction tuning for large language models (LLMs) can drive them to produce results consistent with human goals in specific downstream tasks. However, the process of continual instruction tuning (CIT) for LLMs may bring about the catastrophic forgetting (CF) problem, where previously learned abilities are degraded. Recent methods try to alleviate the CF problem by modifying models or replaying data, which may only remember the surface-level pattern of instructions and get confused on held-out tasks. In this paper, we propose a novel continual instruction tuning method based on Key-part Information Gain (KPIG). Our method computes the information gain on masked parts to dynamically replay data and refine the training objective, which enables LLMs to capture task-aware information relevant to the correct response and alleviate overfitting to general descriptions in instructions. In addition, we propose two metrics, P-score and V-score, to measure the generalization and instruction-following abilities of LLMs. Experiments demonstrate our method achieves superior performance on both seen and held-out tasks.</v>
      </c>
      <c r="D2795" s="7" t="str">
        <f>IFERROR(__xludf.DUMMYFUNCTION("""COMPUTED_VALUE"""),"Peng Zhang, Yongquan He")</f>
        <v>Peng Zhang, Yongquan He</v>
      </c>
      <c r="E2795" s="7" t="str">
        <f>IFERROR(__xludf.DUMMYFUNCTION("""COMPUTED_VALUE"""),"Yes")</f>
        <v>Yes</v>
      </c>
      <c r="F2795" s="7" t="str">
        <f>IFERROR(__xludf.DUMMYFUNCTION("""COMPUTED_VALUE"""),"IP-Poster")</f>
        <v>IP-Poster</v>
      </c>
      <c r="G2795" s="7" t="str">
        <f>IFERROR(__xludf.DUMMYFUNCTION("""COMPUTED_VALUE"""),"In-Person")</f>
        <v>In-Person</v>
      </c>
      <c r="H2795" s="7" t="str">
        <f>IFERROR(__xludf.DUMMYFUNCTION("""COMPUTED_VALUE"""),"Hall 4/5")</f>
        <v>Hall 4/5</v>
      </c>
      <c r="I2795" s="7" t="str">
        <f>IFERROR(__xludf.DUMMYFUNCTION("""COMPUTED_VALUE"""),"Session 7: IP-Posters")</f>
        <v>Session 7: IP-Posters</v>
      </c>
      <c r="J2795" s="7" t="str">
        <f>IFERROR(__xludf.DUMMYFUNCTION("""COMPUTED_VALUE"""),"Poster Session 2")</f>
        <v>Poster Session 2</v>
      </c>
      <c r="K2795" s="7"/>
      <c r="L2795" s="8">
        <f>IFERROR(__xludf.DUMMYFUNCTION("""COMPUTED_VALUE"""),45867.0)</f>
        <v>45867</v>
      </c>
      <c r="M2795" s="7" t="str">
        <f>IFERROR(__xludf.DUMMYFUNCTION("""COMPUTED_VALUE"""),"10:30-12:00")</f>
        <v>10:30-12:00</v>
      </c>
      <c r="N2795" s="7"/>
    </row>
    <row r="2796">
      <c r="A2796" s="7" t="str">
        <f>IFERROR(__xludf.DUMMYFUNCTION("""COMPUTED_VALUE"""),"3243-MAIN")</f>
        <v>3243-MAIN</v>
      </c>
      <c r="B2796" s="7" t="str">
        <f>IFERROR(__xludf.DUMMYFUNCTION("""COMPUTED_VALUE"""),"Generating Plausible Distractors for Multiple-Choice Questions via Student Choice Prediction")</f>
        <v>Generating Plausible Distractors for Multiple-Choice Questions via Student Choice Prediction</v>
      </c>
      <c r="C2796" s="7" t="str">
        <f>IFERROR(__xludf.DUMMYFUNCTION("""COMPUTED_VALUE"""),"In designing multiple-choice questions (MCQs) in education, creating plausible distractors is crucial for identifying students' misconceptions and gaps in knowledge and accurately assessing their understanding. However, prior studies on distractor generat"&amp;"ion have not paid sufficient attention to enhancing the difficulty of distractors, resulting in reduced effectiveness of MCQs. This study presents a pipeline for training a model to generate distractors that are more likely to be selected by students. Fir"&amp;"st, we train a pairwise ranker to reason about students' misconceptions and assess the relative plausibility of two distractors. Using this model, we create a dataset of pairwise distractor ranks and then train a distractor generator via Direct Preference"&amp;" Optimization (DPO) to generate more plausible distractors. Experiments on computer science subjects (Python, DB, MLDL) demonstrate that our pairwise ranker effectively identifies students' potential misunderstandings and achieves ranking accuracy compara"&amp;"ble to human experts. Furthermore, our distractor generator outperforms several baselines in generating plausible distractors and produces questions with a higher item discrimination index (DI).")</f>
        <v>In designing multiple-choice questions (MCQs) in education, creating plausible distractors is crucial for identifying students' misconceptions and gaps in knowledge and accurately assessing their understanding. However, prior studies on distractor generation have not paid sufficient attention to enhancing the difficulty of distractors, resulting in reduced effectiveness of MCQs. This study presents a pipeline for training a model to generate distractors that are more likely to be selected by students. First, we train a pairwise ranker to reason about students' misconceptions and assess the relative plausibility of two distractors. Using this model, we create a dataset of pairwise distractor ranks and then train a distractor generator via Direct Preference Optimization (DPO) to generate more plausible distractors. Experiments on computer science subjects (Python, DB, MLDL) demonstrate that our pairwise ranker effectively identifies students' potential misunderstandings and achieves ranking accuracy comparable to human experts. Furthermore, our distractor generator outperforms several baselines in generating plausible distractors and produces questions with a higher item discrimination index (DI).</v>
      </c>
      <c r="D2796" s="7" t="str">
        <f>IFERROR(__xludf.DUMMYFUNCTION("""COMPUTED_VALUE"""),"Yohan Jo")</f>
        <v>Yohan Jo</v>
      </c>
      <c r="E2796" s="7" t="str">
        <f>IFERROR(__xludf.DUMMYFUNCTION("""COMPUTED_VALUE"""),"Yes")</f>
        <v>Yes</v>
      </c>
      <c r="F2796" s="7" t="str">
        <f>IFERROR(__xludf.DUMMYFUNCTION("""COMPUTED_VALUE"""),"IP-Poster")</f>
        <v>IP-Poster</v>
      </c>
      <c r="G2796" s="7" t="str">
        <f>IFERROR(__xludf.DUMMYFUNCTION("""COMPUTED_VALUE"""),"In-Person")</f>
        <v>In-Person</v>
      </c>
      <c r="H2796" s="7" t="str">
        <f>IFERROR(__xludf.DUMMYFUNCTION("""COMPUTED_VALUE"""),"Hall 4/5")</f>
        <v>Hall 4/5</v>
      </c>
      <c r="I2796" s="7" t="str">
        <f>IFERROR(__xludf.DUMMYFUNCTION("""COMPUTED_VALUE"""),"Session 2: IP-Posters ")</f>
        <v>Session 2: IP-Posters </v>
      </c>
      <c r="J2796" s="7" t="str">
        <f>IFERROR(__xludf.DUMMYFUNCTION("""COMPUTED_VALUE"""),"Poster Session 1")</f>
        <v>Poster Session 1</v>
      </c>
      <c r="K2796" s="7"/>
      <c r="L2796" s="8">
        <f>IFERROR(__xludf.DUMMYFUNCTION("""COMPUTED_VALUE"""),45866.0)</f>
        <v>45866</v>
      </c>
      <c r="M2796" s="7" t="str">
        <f>IFERROR(__xludf.DUMMYFUNCTION("""COMPUTED_VALUE"""),"11:00-12:30")</f>
        <v>11:00-12:30</v>
      </c>
      <c r="N2796" s="7"/>
    </row>
    <row r="2797">
      <c r="A2797" s="7" t="str">
        <f>IFERROR(__xludf.DUMMYFUNCTION("""COMPUTED_VALUE"""),"3246-MAIN")</f>
        <v>3246-MAIN</v>
      </c>
      <c r="B2797" s="7" t="str">
        <f>IFERROR(__xludf.DUMMYFUNCTION("""COMPUTED_VALUE"""),"Exploring Explanations Improves the Robustness of In-Context Learning")</f>
        <v>Exploring Explanations Improves the Robustness of In-Context Learning</v>
      </c>
      <c r="C2797" s="7" t="str">
        <f>IFERROR(__xludf.DUMMYFUNCTION("""COMPUTED_VALUE"""),"In-context learning (ICL) has emerged as a successful paradigm for leveraging large language models (LLMs).
However, it often struggles to generalize beyond the distribution of the provided demonstrations.
A recent advancement in enhancing robustness is I"&amp;"CL with explanations (X-ICL), which improves prediction reliability by guiding LLMs to understand and articulate the reasoning behind correct labels.
Building on this approach, we introduce an advanced framework that extends X-ICL by systematically explor"&amp;"ing explanations for all possible labels (X$^2$-ICL), thereby enabling more comprehensive and robust decision-making.
Experimental results on multiple natural language understanding datasets validate the effectiveness of X$^2$-ICL, demonstrating significa"&amp;"ntly improved robustness to out-of-distribution data compared to the existing ICL approaches.")</f>
        <v>In-context learning (ICL) has emerged as a successful paradigm for leveraging large language models (LLMs).
However, it often struggles to generalize beyond the distribution of the provided demonstrations.
A recent advancement in enhancing robustness is ICL with explanations (X-ICL), which improves prediction reliability by guiding LLMs to understand and articulate the reasoning behind correct labels.
Building on this approach, we introduce an advanced framework that extends X-ICL by systematically exploring explanations for all possible labels (X$^2$-ICL), thereby enabling more comprehensive and robust decision-making.
Experimental results on multiple natural language understanding datasets validate the effectiveness of X$^2$-ICL, demonstrating significantly improved robustness to out-of-distribution data compared to the existing ICL approaches.</v>
      </c>
      <c r="D2797" s="7" t="str">
        <f>IFERROR(__xludf.DUMMYFUNCTION("""COMPUTED_VALUE"""),"Ukyo Honda")</f>
        <v>Ukyo Honda</v>
      </c>
      <c r="E2797" s="7" t="str">
        <f>IFERROR(__xludf.DUMMYFUNCTION("""COMPUTED_VALUE"""),"Yes")</f>
        <v>Yes</v>
      </c>
      <c r="F2797" s="7" t="str">
        <f>IFERROR(__xludf.DUMMYFUNCTION("""COMPUTED_VALUE"""),"IP-Poster")</f>
        <v>IP-Poster</v>
      </c>
      <c r="G2797" s="7" t="str">
        <f>IFERROR(__xludf.DUMMYFUNCTION("""COMPUTED_VALUE"""),"In-Person")</f>
        <v>In-Person</v>
      </c>
      <c r="H2797" s="7" t="str">
        <f>IFERROR(__xludf.DUMMYFUNCTION("""COMPUTED_VALUE"""),"Hall 4/5")</f>
        <v>Hall 4/5</v>
      </c>
      <c r="I2797" s="7" t="str">
        <f>IFERROR(__xludf.DUMMYFUNCTION("""COMPUTED_VALUE"""),"Session 10: IP-Posters")</f>
        <v>Session 10: IP-Posters</v>
      </c>
      <c r="J2797" s="7" t="str">
        <f>IFERROR(__xludf.DUMMYFUNCTION("""COMPUTED_VALUE"""),"Poster Session 3")</f>
        <v>Poster Session 3</v>
      </c>
      <c r="K2797" s="7"/>
      <c r="L2797" s="8">
        <f>IFERROR(__xludf.DUMMYFUNCTION("""COMPUTED_VALUE"""),45867.0)</f>
        <v>45867</v>
      </c>
      <c r="M2797" s="7" t="str">
        <f>IFERROR(__xludf.DUMMYFUNCTION("""COMPUTED_VALUE"""),"16:00-17:30")</f>
        <v>16:00-17:30</v>
      </c>
      <c r="N2797" s="7"/>
    </row>
    <row r="2798">
      <c r="A2798" s="7" t="str">
        <f>IFERROR(__xludf.DUMMYFUNCTION("""COMPUTED_VALUE"""),"3252-MAIN")</f>
        <v>3252-MAIN</v>
      </c>
      <c r="B2798" s="7" t="str">
        <f>IFERROR(__xludf.DUMMYFUNCTION("""COMPUTED_VALUE"""),"Prediction Hubs are Context-Informed Frequent Tokens in LLMs")</f>
        <v>Prediction Hubs are Context-Informed Frequent Tokens in LLMs</v>
      </c>
      <c r="C2798" s="7" t="str">
        <f>IFERROR(__xludf.DUMMYFUNCTION("""COMPUTED_VALUE"""),"Hubness, the tendency for a few points to be among the nearest neighbours of a disproportionate number of other points, commonly arises when applying standard distance measures to high-dimensional data, often negatively impacting distance-based analysis. "&amp;"As autoregressive large language models (LLMs) operate on high-dimensional representations, we ask whether they are also affected by hubness. We first prove that the only large-scale representation comparison operation performed by LLMs, namely that betwe"&amp;"en context and unembedding vectors to determine continuation probabilities, is not characterized by the concentration of distances phenomenon that typically causes the appearance of nuisance hubness. We then empirically show that this comparison still lea"&amp;"ds to a high degree of hubness, but the hubs in this case do not constitute a disturbance. They are rather the result of context-modulated frequent tokens often appearing in the pool of likely candidates for next token prediction. However, when other dist"&amp;"ances are used to compare LLM representations, we do not have the same theoretical guarantees, and, indeed, we see nuisance hubs appear. There are two main takeaways. First, hubness, while omnipresent in high-dimensional spaces, is not a negative property"&amp;" that needs to be mitigated when LLMs are being used for next token prediction. Second, when comparing representations from LLMs using Euclidean or cosine distance, there is a high risk of nuisance hubs and practitioners should use mitigation techniques i"&amp;"f relevant.")</f>
        <v>Hubness, the tendency for a few points to be among the nearest neighbours of a disproportionate number of other points, commonly arises when applying standard distance measures to high-dimensional data, often negatively impacting distance-based analysis. As autoregressive large language models (LLMs) operate on high-dimensional representations, we ask whether they are also affected by hubness. We first prove that the only large-scale representation comparison operation performed by LLMs, namely that between context and unembedding vectors to determine continuation probabilities, is not characterized by the concentration of distances phenomenon that typically causes the appearance of nuisance hubness. We then empirically show that this comparison still leads to a high degree of hubness, but the hubs in this case do not constitute a disturbance. They are rather the result of context-modulated frequent tokens often appearing in the pool of likely candidates for next token prediction. However, when other distances are used to compare LLM representations, we do not have the same theoretical guarantees, and, indeed, we see nuisance hubs appear. There are two main takeaways. First, hubness, while omnipresent in high-dimensional spaces, is not a negative property that needs to be mitigated when LLMs are being used for next token prediction. Second, when comparing representations from LLMs using Euclidean or cosine distance, there is a high risk of nuisance hubs and practitioners should use mitigation techniques if relevant.</v>
      </c>
      <c r="D2798" s="7" t="str">
        <f>IFERROR(__xludf.DUMMYFUNCTION("""COMPUTED_VALUE"""),"Beatrix M. G. Nielsen")</f>
        <v>Beatrix M. G. Nielsen</v>
      </c>
      <c r="E2798" s="7" t="str">
        <f>IFERROR(__xludf.DUMMYFUNCTION("""COMPUTED_VALUE"""),"Yes")</f>
        <v>Yes</v>
      </c>
      <c r="F2798" s="7" t="str">
        <f>IFERROR(__xludf.DUMMYFUNCTION("""COMPUTED_VALUE"""),"IP-Poster")</f>
        <v>IP-Poster</v>
      </c>
      <c r="G2798" s="7" t="str">
        <f>IFERROR(__xludf.DUMMYFUNCTION("""COMPUTED_VALUE"""),"In-Person")</f>
        <v>In-Person</v>
      </c>
      <c r="H2798" s="7" t="str">
        <f>IFERROR(__xludf.DUMMYFUNCTION("""COMPUTED_VALUE"""),"Hall 4/5")</f>
        <v>Hall 4/5</v>
      </c>
      <c r="I2798" s="7" t="str">
        <f>IFERROR(__xludf.DUMMYFUNCTION("""COMPUTED_VALUE"""),"Session 12: IP-Posters")</f>
        <v>Session 12: IP-Posters</v>
      </c>
      <c r="J2798" s="7" t="str">
        <f>IFERROR(__xludf.DUMMYFUNCTION("""COMPUTED_VALUE"""),"Poster Session 4")</f>
        <v>Poster Session 4</v>
      </c>
      <c r="K2798" s="7"/>
      <c r="L2798" s="8">
        <f>IFERROR(__xludf.DUMMYFUNCTION("""COMPUTED_VALUE"""),45868.0)</f>
        <v>45868</v>
      </c>
      <c r="M2798" s="7" t="str">
        <f>IFERROR(__xludf.DUMMYFUNCTION("""COMPUTED_VALUE"""),"11:00-12:30")</f>
        <v>11:00-12:30</v>
      </c>
      <c r="N2798" s="7"/>
    </row>
    <row r="2799">
      <c r="A2799" s="7" t="str">
        <f>IFERROR(__xludf.DUMMYFUNCTION("""COMPUTED_VALUE"""),"3261-MAIN")</f>
        <v>3261-MAIN</v>
      </c>
      <c r="B2799" s="7" t="str">
        <f>IFERROR(__xludf.DUMMYFUNCTION("""COMPUTED_VALUE"""),"Capability Salience Vector: Fine-grained Alignment of Loss and Capabilities for Downstream Task Scaling Law")</f>
        <v>Capability Salience Vector: Fine-grained Alignment of Loss and Capabilities for Downstream Task Scaling Law</v>
      </c>
      <c r="C2799" s="7" t="str">
        <f>IFERROR(__xludf.DUMMYFUNCTION("""COMPUTED_VALUE"""),"Scaling law builds the relationship between training computation and validation loss, enabling researchers to effectively predict the loss trending of models across different levels of computation. However, a gap still remains between validation loss and "&amp;"the model's downstream capabilities, making it untrivial to apply scaling law to direct performance prediction for downstream tasks. The loss typically represents a cumulative penalty for predicted tokens, which are implicitly considered to have equal imp"&amp;"ortance. Nevertheless, our studies have shown evidence that when considering different training data distributions, we cannot directly model the relationship between downstream capability and computation or token loss. To bridge the gap between validation"&amp;" loss and downstream task capabilities, in this work, we introduce Capability Salience Vector, which decomposes the overall loss and assigns different importance weights to tokens to assess a specific meta-capability, aligning the validation loss with dow"&amp;"nstream task performance in terms of the model’s capabilities. Experiments on various popular benchmarks demonstrate that our proposed Capability Salience Vector could significantly improve the predictability of language model performance on downstream ta"&amp;"sks.")</f>
        <v>Scaling law builds the relationship between training computation and validation loss, enabling researchers to effectively predict the loss trending of models across different levels of computation. However, a gap still remains between validation loss and the model's downstream capabilities, making it untrivial to apply scaling law to direct performance prediction for downstream tasks. The loss typically represents a cumulative penalty for predicted tokens, which are implicitly considered to have equal importance. Nevertheless, our studies have shown evidence that when considering different training data distributions, we cannot directly model the relationship between downstream capability and computation or token loss. To bridge the gap between validation loss and downstream task capabilities, in this work, we introduce Capability Salience Vector, which decomposes the overall loss and assigns different importance weights to tokens to assess a specific meta-capability, aligning the validation loss with downstream task performance in terms of the model’s capabilities. Experiments on various popular benchmarks demonstrate that our proposed Capability Salience Vector could significantly improve the predictability of language model performance on downstream tasks.</v>
      </c>
      <c r="D2799" s="7" t="str">
        <f>IFERROR(__xludf.DUMMYFUNCTION("""COMPUTED_VALUE"""),"Qiming Ge")</f>
        <v>Qiming Ge</v>
      </c>
      <c r="E2799" s="7" t="str">
        <f>IFERROR(__xludf.DUMMYFUNCTION("""COMPUTED_VALUE"""),"Yes")</f>
        <v>Yes</v>
      </c>
      <c r="F2799" s="7" t="str">
        <f>IFERROR(__xludf.DUMMYFUNCTION("""COMPUTED_VALUE"""),"IP-Oral")</f>
        <v>IP-Oral</v>
      </c>
      <c r="G2799" s="7" t="str">
        <f>IFERROR(__xludf.DUMMYFUNCTION("""COMPUTED_VALUE"""),"In-Person")</f>
        <v>In-Person</v>
      </c>
      <c r="H2799" s="7" t="str">
        <f>IFERROR(__xludf.DUMMYFUNCTION("""COMPUTED_VALUE"""),"Hall N.1")</f>
        <v>Hall N.1</v>
      </c>
      <c r="I2799" s="7" t="str">
        <f>IFERROR(__xludf.DUMMYFUNCTION("""COMPUTED_VALUE"""),"Session 11: IP-Orals ")</f>
        <v>Session 11: IP-Orals </v>
      </c>
      <c r="J2799" s="7" t="str">
        <f>IFERROR(__xludf.DUMMYFUNCTION("""COMPUTED_VALUE"""),"Panel 4: Interpretability and model analysis")</f>
        <v>Panel 4: Interpretability and model analysis</v>
      </c>
      <c r="K2799" s="7"/>
      <c r="L2799" s="8">
        <f>IFERROR(__xludf.DUMMYFUNCTION("""COMPUTED_VALUE"""),45868.0)</f>
        <v>45868</v>
      </c>
      <c r="M2799" s="7" t="str">
        <f>IFERROR(__xludf.DUMMYFUNCTION("""COMPUTED_VALUE"""),"09:00-10:30")</f>
        <v>09:00-10:30</v>
      </c>
      <c r="N2799" s="7">
        <f>IFERROR(__xludf.DUMMYFUNCTION("""COMPUTED_VALUE"""),2.0)</f>
        <v>2</v>
      </c>
    </row>
    <row r="2800">
      <c r="A2800" s="7" t="str">
        <f>IFERROR(__xludf.DUMMYFUNCTION("""COMPUTED_VALUE"""),"3262-MAIN")</f>
        <v>3262-MAIN</v>
      </c>
      <c r="B2800" s="7" t="str">
        <f>IFERROR(__xludf.DUMMYFUNCTION("""COMPUTED_VALUE"""),"CRUXEVAL-X: A Benchmark for Multilingual Code Reasoning, Understanding and Execution")</f>
        <v>CRUXEVAL-X: A Benchmark for Multilingual Code Reasoning, Understanding and Execution</v>
      </c>
      <c r="C2800" s="7" t="str">
        <f>IFERROR(__xludf.DUMMYFUNCTION("""COMPUTED_VALUE"""),"Code benchmarks such as HumanEval are widely adopted to evaluate Large Language Models' (LLMs) coding capabilities. However, there is an unignorable programming language bias in existing code benchmarks -- over 95% code generation benchmarks are dominated"&amp;" by Python, leaving the LLMs' capabilities in other programming languages such as Java and C/C++ unknown. Moreover, coding task bias is also crucial. Most benchmarks focus on code generation capability, while benchmarks for code reasoning (given input, re"&amp;"asoning output; and given output, reasoning input), an essential coding capability, are insufficient. Yet, constructing multi-lingual benchmarks can be expensive and labor-intensive, and codes in contest websites such as Leetcode suffer from data contamin"&amp;"ation during training. To fill this gap, we propose CRUXEVAL-X, a multi-lingual code reasoning benchmark that contains 19 programming languages. It comprises at least 600 subjects for each language, along with 19K content-consistent tests in total. In par"&amp;"ticular, the construction pipeline of CRUXEVAL-X works in a fully automated and test-guided manner, which iteratively generates and repairs based on execution feedback. Also, to cross language barriers (e.g., dynamic/static type systems in Python/C++), we"&amp;" formulated various transition rules between language pairs to facilitate translation. Our intensive evaluation of 24 representative LLMs reveals the correlation between language pairs. For example, TypeScript and JavaScript show a significant positive co"&amp;"rrelation, while Racket has less correlation with other languages. More interestingly, even a model trained solely on Python can achieve at most 34.4% Pass@1 in other languages, revealing the cross-language generalization of LLMs.")</f>
        <v>Code benchmarks such as HumanEval are widely adopted to evaluate Large Language Models' (LLMs) coding capabilities. However, there is an unignorable programming language bias in existing code benchmarks -- over 95% code generation benchmarks are dominated by Python, leaving the LLMs' capabilities in other programming languages such as Java and C/C++ unknown. Moreover, coding task bias is also crucial. Most benchmarks focus on code generation capability, while benchmarks for code reasoning (given input, reasoning output; and given output, reasoning input), an essential coding capability, are insufficient. Yet, constructing multi-lingual benchmarks can be expensive and labor-intensive, and codes in contest websites such as Leetcode suffer from data contamination during training. To fill this gap, we propose CRUXEVAL-X, a multi-lingual code reasoning benchmark that contains 19 programming languages. It comprises at least 600 subjects for each language, along with 19K content-consistent tests in total. In particular, the construction pipeline of CRUXEVAL-X works in a fully automated and test-guided manner, which iteratively generates and repairs based on execution feedback. Also, to cross language barriers (e.g., dynamic/static type systems in Python/C++), we formulated various transition rules between language pairs to facilitate translation. Our intensive evaluation of 24 representative LLMs reveals the correlation between language pairs. For example, TypeScript and JavaScript show a significant positive correlation, while Racket has less correlation with other languages. More interestingly, even a model trained solely on Python can achieve at most 34.4% Pass@1 in other languages, revealing the cross-language generalization of LLMs.</v>
      </c>
      <c r="D2800" s="7" t="str">
        <f>IFERROR(__xludf.DUMMYFUNCTION("""COMPUTED_VALUE"""),"Ruiyang Xu")</f>
        <v>Ruiyang Xu</v>
      </c>
      <c r="E2800" s="7" t="str">
        <f>IFERROR(__xludf.DUMMYFUNCTION("""COMPUTED_VALUE"""),"Yes")</f>
        <v>Yes</v>
      </c>
      <c r="F2800" s="7" t="str">
        <f>IFERROR(__xludf.DUMMYFUNCTION("""COMPUTED_VALUE"""),"IP-Poster")</f>
        <v>IP-Poster</v>
      </c>
      <c r="G2800" s="7" t="str">
        <f>IFERROR(__xludf.DUMMYFUNCTION("""COMPUTED_VALUE"""),"In-Person")</f>
        <v>In-Person</v>
      </c>
      <c r="H2800" s="7" t="str">
        <f>IFERROR(__xludf.DUMMYFUNCTION("""COMPUTED_VALUE"""),"Hall 4/5")</f>
        <v>Hall 4/5</v>
      </c>
      <c r="I2800" s="7" t="str">
        <f>IFERROR(__xludf.DUMMYFUNCTION("""COMPUTED_VALUE"""),"Session 2: IP-Posters ")</f>
        <v>Session 2: IP-Posters </v>
      </c>
      <c r="J2800" s="7" t="str">
        <f>IFERROR(__xludf.DUMMYFUNCTION("""COMPUTED_VALUE"""),"Poster Session 1")</f>
        <v>Poster Session 1</v>
      </c>
      <c r="K2800" s="7"/>
      <c r="L2800" s="8">
        <f>IFERROR(__xludf.DUMMYFUNCTION("""COMPUTED_VALUE"""),45866.0)</f>
        <v>45866</v>
      </c>
      <c r="M2800" s="7" t="str">
        <f>IFERROR(__xludf.DUMMYFUNCTION("""COMPUTED_VALUE"""),"11:00-12:30")</f>
        <v>11:00-12:30</v>
      </c>
      <c r="N2800" s="7"/>
    </row>
    <row r="2801">
      <c r="A2801" s="7" t="str">
        <f>IFERROR(__xludf.DUMMYFUNCTION("""COMPUTED_VALUE"""),"3265-MAIN")</f>
        <v>3265-MAIN</v>
      </c>
      <c r="B2801" s="7" t="str">
        <f>IFERROR(__xludf.DUMMYFUNCTION("""COMPUTED_VALUE"""),"Graph of Records: Boosting Retrieval Augmented Generation for Long-context Summarization with Graphs")</f>
        <v>Graph of Records: Boosting Retrieval Augmented Generation for Long-context Summarization with Graphs</v>
      </c>
      <c r="C2801" s="7" t="str">
        <f>IFERROR(__xludf.DUMMYFUNCTION("""COMPUTED_VALUE"""),"Retrieval-augmented generation (RAG) has revitalized Large Language Models (LLMs) by injecting non-parametric factual knowledge. Compared with long-context LLMs, RAG is considered an effective summarization tool in a more concise and lightweight manner, w"&amp;"hich can interact with LLMs multiple times using diverse queries to get comprehensive responses. However, the LLM-generated historical responses, which contain potentially insightful information, are largely neglected and discarded by existing approaches,"&amp;" leading to suboptimal results. In this paper, we propose $\textit{graph of records}$ ($\textbf{GoR}$), which leverages historical responses generated by LLMs to enhance RAG for long-context global summarization. Inspired by the $\textit{retrieve-then-gen"&amp;"erate}$ paradigm of RAG, we construct a graph by establishing an edge between the retrieved text chunks and the corresponding LLM-generated response. To further uncover the intricate correlations between them, GoR features a $\textit{graph neural network}"&amp;"$ and an elaborately designed $\textit{BERTScore}$-based objective for self-supervised model training, enabling seamless supervision signal backpropagation between reference summaries and node embeddings. We comprehensively compare GoR with 12 baselines a"&amp;"cross four long-context summarization datasets, and the results indicate that our proposed method reaches the best performance ($\textit{e.g.}$, 15%, 8%, and 19% improvement over retrievers w.r.t. Rouge-L, Rouge-1, and Rouge-2 on the WCEP dataset). Extens"&amp;"ive experiments further demonstrate the effectiveness of GoR.")</f>
        <v>Retrieval-augmented generation (RAG) has revitalized Large Language Models (LLMs) by injecting non-parametric factual knowledge. Compared with long-context LLMs, RAG is considered an effective summarization tool in a more concise and lightweight manner, which can interact with LLMs multiple times using diverse queries to get comprehensive responses. However, the LLM-generated historical responses, which contain potentially insightful information, are largely neglected and discarded by existing approaches, leading to suboptimal results. In this paper, we propose $\textit{graph of records}$ ($\textbf{GoR}$), which leverages historical responses generated by LLMs to enhance RAG for long-context global summarization. Inspired by the $\textit{retrieve-then-generate}$ paradigm of RAG, we construct a graph by establishing an edge between the retrieved text chunks and the corresponding LLM-generated response. To further uncover the intricate correlations between them, GoR features a $\textit{graph neural network}$ and an elaborately designed $\textit{BERTScore}$-based objective for self-supervised model training, enabling seamless supervision signal backpropagation between reference summaries and node embeddings. We comprehensively compare GoR with 12 baselines across four long-context summarization datasets, and the results indicate that our proposed method reaches the best performance ($\textit{e.g.}$, 15%, 8%, and 19% improvement over retrievers w.r.t. Rouge-L, Rouge-1, and Rouge-2 on the WCEP dataset). Extensive experiments further demonstrate the effectiveness of GoR.</v>
      </c>
      <c r="D2801" s="7" t="str">
        <f>IFERROR(__xludf.DUMMYFUNCTION("""COMPUTED_VALUE"""),"Haozhen Zhang")</f>
        <v>Haozhen Zhang</v>
      </c>
      <c r="E2801" s="7" t="str">
        <f>IFERROR(__xludf.DUMMYFUNCTION("""COMPUTED_VALUE"""),"Yes")</f>
        <v>Yes</v>
      </c>
      <c r="F2801" s="7" t="str">
        <f>IFERROR(__xludf.DUMMYFUNCTION("""COMPUTED_VALUE"""),"IP-Poster")</f>
        <v>IP-Poster</v>
      </c>
      <c r="G2801" s="7" t="str">
        <f>IFERROR(__xludf.DUMMYFUNCTION("""COMPUTED_VALUE"""),"In-Person")</f>
        <v>In-Person</v>
      </c>
      <c r="H2801" s="7" t="str">
        <f>IFERROR(__xludf.DUMMYFUNCTION("""COMPUTED_VALUE"""),"Hall 4/5")</f>
        <v>Hall 4/5</v>
      </c>
      <c r="I2801" s="7" t="str">
        <f>IFERROR(__xludf.DUMMYFUNCTION("""COMPUTED_VALUE"""),"Session 7: IP-Posters")</f>
        <v>Session 7: IP-Posters</v>
      </c>
      <c r="J2801" s="7" t="str">
        <f>IFERROR(__xludf.DUMMYFUNCTION("""COMPUTED_VALUE"""),"Poster Session 2")</f>
        <v>Poster Session 2</v>
      </c>
      <c r="K2801" s="7"/>
      <c r="L2801" s="8">
        <f>IFERROR(__xludf.DUMMYFUNCTION("""COMPUTED_VALUE"""),45867.0)</f>
        <v>45867</v>
      </c>
      <c r="M2801" s="7" t="str">
        <f>IFERROR(__xludf.DUMMYFUNCTION("""COMPUTED_VALUE"""),"10:30-12:00")</f>
        <v>10:30-12:00</v>
      </c>
      <c r="N2801" s="7"/>
    </row>
    <row r="2802">
      <c r="A2802" s="7" t="str">
        <f>IFERROR(__xludf.DUMMYFUNCTION("""COMPUTED_VALUE"""),"3268-MAIN")</f>
        <v>3268-MAIN</v>
      </c>
      <c r="B2802" s="7" t="str">
        <f>IFERROR(__xludf.DUMMYFUNCTION("""COMPUTED_VALUE"""),"Rubrik's Cube: Testing a New Rubric for Evaluating Explanations on the CUBE dataset")</f>
        <v>Rubrik's Cube: Testing a New Rubric for Evaluating Explanations on the CUBE dataset</v>
      </c>
      <c r="C2802" s="7" t="str">
        <f>IFERROR(__xludf.DUMMYFUNCTION("""COMPUTED_VALUE"""),"The performance and usability of Large-Language Models (LLMs) are driving their use in explanation generation tasks. However, despite their widespread adoption, LLM explanations have been found to be unreliable, making it difficult for users to distinguis"&amp;"h good from bad explanations. To address this issue, we present Rubrik’s CUBE--an education-inspired rubric and a dataset of 26k explanations, written and later quality-annotated using the rubric by both humans and six open- and closed-source LLMs. The CU"&amp;"BE dataset focuses on two reasoning and two language tasks, providing the necessary diversity for us to effectively test our proposed rubric. Using Rubrik, we find that explanations are influenced by both task and perceived difficulty. Low quality stems p"&amp;"rimarily from a lack of conciseness in LLM-generated explanations, rather than cohesion and word choice. The full dataset, rubric, and code are available at https://github.com/RubriksCube/rubriks_cube.")</f>
        <v>The performance and usability of Large-Language Models (LLMs) are driving their use in explanation generation tasks. However, despite their widespread adoption, LLM explanations have been found to be unreliable, making it difficult for users to distinguish good from bad explanations. To address this issue, we present Rubrik’s CUBE--an education-inspired rubric and a dataset of 26k explanations, written and later quality-annotated using the rubric by both humans and six open- and closed-source LLMs. The CUBE dataset focuses on two reasoning and two language tasks, providing the necessary diversity for us to effectively test our proposed rubric. Using Rubrik, we find that explanations are influenced by both task and perceived difficulty. Low quality stems primarily from a lack of conciseness in LLM-generated explanations, rather than cohesion and word choice. The full dataset, rubric, and code are available at https://github.com/RubriksCube/rubriks_cube.</v>
      </c>
      <c r="D2802" s="7" t="str">
        <f>IFERROR(__xludf.DUMMYFUNCTION("""COMPUTED_VALUE"""),"Gabrielle Gaudeau and Diana Galvan-Sosa")</f>
        <v>Gabrielle Gaudeau and Diana Galvan-Sosa</v>
      </c>
      <c r="E2802" s="7" t="str">
        <f>IFERROR(__xludf.DUMMYFUNCTION("""COMPUTED_VALUE"""),"Yes")</f>
        <v>Yes</v>
      </c>
      <c r="F2802" s="7" t="str">
        <f>IFERROR(__xludf.DUMMYFUNCTION("""COMPUTED_VALUE"""),"IP-Poster")</f>
        <v>IP-Poster</v>
      </c>
      <c r="G2802" s="7" t="str">
        <f>IFERROR(__xludf.DUMMYFUNCTION("""COMPUTED_VALUE"""),"In-Person")</f>
        <v>In-Person</v>
      </c>
      <c r="H2802" s="7" t="str">
        <f>IFERROR(__xludf.DUMMYFUNCTION("""COMPUTED_VALUE"""),"Hall 4/5")</f>
        <v>Hall 4/5</v>
      </c>
      <c r="I2802" s="7" t="str">
        <f>IFERROR(__xludf.DUMMYFUNCTION("""COMPUTED_VALUE"""),"Session 7: IP-Posters")</f>
        <v>Session 7: IP-Posters</v>
      </c>
      <c r="J2802" s="7" t="str">
        <f>IFERROR(__xludf.DUMMYFUNCTION("""COMPUTED_VALUE"""),"Poster Session 2")</f>
        <v>Poster Session 2</v>
      </c>
      <c r="K2802" s="7"/>
      <c r="L2802" s="8">
        <f>IFERROR(__xludf.DUMMYFUNCTION("""COMPUTED_VALUE"""),45867.0)</f>
        <v>45867</v>
      </c>
      <c r="M2802" s="7" t="str">
        <f>IFERROR(__xludf.DUMMYFUNCTION("""COMPUTED_VALUE"""),"10:30-12:00")</f>
        <v>10:30-12:00</v>
      </c>
      <c r="N2802" s="7"/>
    </row>
    <row r="2803">
      <c r="A2803" s="7" t="str">
        <f>IFERROR(__xludf.DUMMYFUNCTION("""COMPUTED_VALUE"""),"3270-MAIN")</f>
        <v>3270-MAIN</v>
      </c>
      <c r="B2803" s="7" t="str">
        <f>IFERROR(__xludf.DUMMYFUNCTION("""COMPUTED_VALUE"""),"A Dual-Mind Framework for Strategic and Expressive Negotiation Agent")</f>
        <v>A Dual-Mind Framework for Strategic and Expressive Negotiation Agent</v>
      </c>
      <c r="C2803" s="7" t="str">
        <f>IFERROR(__xludf.DUMMYFUNCTION("""COMPUTED_VALUE"""),"Negotiation agents need to influence the attitudes or intentions of users to reach a consensus. Strategy planning and expressive optimization are crucial aspects of effective negotiations. However, previous studies have typically focused on only one of th"&amp;"ese aspects, neglecting the fact that their combined synergistic effect can lead to better performance. Inspired by the dual-process theory in human cognition, we propose a Dual-Mind Negotiation Agent (DMNA) framework. This framework integrates an intuiti"&amp;"ve module for rapid, experience-based response and a deliberative module for slow, expression optimization. The intuitive module is trained using Monte Carlo Tree Search (MCTS) and Direct Preference Optimization (DPO), enabling it to make suitable strateg"&amp;"ic planning and expression. The deliberative module employs a multifaceted reflexion mechanism to enhance the quality of expression. Experiments conducted on negotiation datasets confirm that DMNA achieves state-of-the-art results, demonstrating an enhanc"&amp;"ement in the negotiation ability of agents.")</f>
        <v>Negotiation agents need to influence the attitudes or intentions of users to reach a consensus. Strategy planning and expressive optimization are crucial aspects of effective negotiations. However, previous studies have typically focused on only one of these aspects, neglecting the fact that their combined synergistic effect can lead to better performance. Inspired by the dual-process theory in human cognition, we propose a Dual-Mind Negotiation Agent (DMNA) framework. This framework integrates an intuitive module for rapid, experience-based response and a deliberative module for slow, expression optimization. The intuitive module is trained using Monte Carlo Tree Search (MCTS) and Direct Preference Optimization (DPO), enabling it to make suitable strategic planning and expression. The deliberative module employs a multifaceted reflexion mechanism to enhance the quality of expression. Experiments conducted on negotiation datasets confirm that DMNA achieves state-of-the-art results, demonstrating an enhancement in the negotiation ability of agents.</v>
      </c>
      <c r="D2803" s="7" t="str">
        <f>IFERROR(__xludf.DUMMYFUNCTION("""COMPUTED_VALUE"""),"Yutong Liu")</f>
        <v>Yutong Liu</v>
      </c>
      <c r="E2803" s="7" t="str">
        <f>IFERROR(__xludf.DUMMYFUNCTION("""COMPUTED_VALUE"""),"Yes")</f>
        <v>Yes</v>
      </c>
      <c r="F2803" s="7" t="str">
        <f>IFERROR(__xludf.DUMMYFUNCTION("""COMPUTED_VALUE"""),"V-Presentation")</f>
        <v>V-Presentation</v>
      </c>
      <c r="G2803" s="7" t="str">
        <f>IFERROR(__xludf.DUMMYFUNCTION("""COMPUTED_VALUE"""),"Virtual/Gather")</f>
        <v>Virtual/Gather</v>
      </c>
      <c r="H2803" s="7" t="str">
        <f>IFERROR(__xludf.DUMMYFUNCTION("""COMPUTED_VALUE"""),"Zoom")</f>
        <v>Zoom</v>
      </c>
      <c r="I2803" s="7" t="str">
        <f>IFERROR(__xludf.DUMMYFUNCTION("""COMPUTED_VALUE"""),"Session 12: V-Presentations")</f>
        <v>Session 12: V-Presentations</v>
      </c>
      <c r="J2803" s="7" t="str">
        <f>IFERROR(__xludf.DUMMYFUNCTION("""COMPUTED_VALUE"""),"Virtual Presentations 4")</f>
        <v>Virtual Presentations 4</v>
      </c>
      <c r="K2803" s="7"/>
      <c r="L2803" s="8">
        <f>IFERROR(__xludf.DUMMYFUNCTION("""COMPUTED_VALUE"""),45868.0)</f>
        <v>45868</v>
      </c>
      <c r="M2803" s="7" t="str">
        <f>IFERROR(__xludf.DUMMYFUNCTION("""COMPUTED_VALUE"""),"11:00-12:30")</f>
        <v>11:00-12:30</v>
      </c>
      <c r="N2803" s="7"/>
    </row>
    <row r="2804">
      <c r="A2804" s="7" t="str">
        <f>IFERROR(__xludf.DUMMYFUNCTION("""COMPUTED_VALUE"""),"3272-MAIN")</f>
        <v>3272-MAIN</v>
      </c>
      <c r="B2804" s="7" t="str">
        <f>IFERROR(__xludf.DUMMYFUNCTION("""COMPUTED_VALUE"""),"Ref-Long: Benchmarking the Long-context Referencing Capability of Long-context Language Models")</f>
        <v>Ref-Long: Benchmarking the Long-context Referencing Capability of Long-context Language Models</v>
      </c>
      <c r="C2804" s="7" t="str">
        <f>IFERROR(__xludf.DUMMYFUNCTION("""COMPUTED_VALUE"""),"Long-context language models (LCLMs) have exhibited impressive capabilities in long-context understanding tasks. Among these, long-context referencing—a crucial task that requires LCLMs to attribute items of interest to specific parts of long-context data"&amp;"—remains underexplored. To bridge this gap, this paper proposes Referencing Evaluation for Long-context Language Models (Ref-Long), a novel benchmark designed to assess the long-context referencing capability of LCLMs. Specifically, Ref-Long requires LCLM"&amp;"s to identify the indexes of documents that reference a specific key, emphasizing contextual relationships between the key and the documents over simple retrieval. Based on the task design, we construct three subsets ranging from synthetic to realistic sc"&amp;"enarios to form the Ref-Long benchmark. Experimental results of 13 LCLMs reveal significant shortcomings in long-context referencing, even among advanced models like GPT-4o. To further investigate these challenges, we conduct comprehensive analyses, inclu"&amp;"ding human evaluations, task format adjustments, fine-tuning experiments, and error analyses, leading to several key insights. Our data and code will be publicly released, and the data is also attached in the submission.")</f>
        <v>Long-context language models (LCLMs) have exhibited impressive capabilities in long-context understanding tasks. Among these, long-context referencing—a crucial task that requires LCLMs to attribute items of interest to specific parts of long-context data—remains underexplored. To bridge this gap, this paper proposes Referencing Evaluation for Long-context Language Models (Ref-Long), a novel benchmark designed to assess the long-context referencing capability of LCLMs. Specifically, Ref-Long requires LCLMs to identify the indexes of documents that reference a specific key, emphasizing contextual relationships between the key and the documents over simple retrieval. Based on the task design, we construct three subsets ranging from synthetic to realistic scenarios to form the Ref-Long benchmark. Experimental results of 13 LCLMs reveal significant shortcomings in long-context referencing, even among advanced models like GPT-4o. To further investigate these challenges, we conduct comprehensive analyses, including human evaluations, task format adjustments, fine-tuning experiments, and error analyses, leading to several key insights. Our data and code will be publicly released, and the data is also attached in the submission.</v>
      </c>
      <c r="D2804" s="7" t="str">
        <f>IFERROR(__xludf.DUMMYFUNCTION("""COMPUTED_VALUE"""),"Junjie Wu")</f>
        <v>Junjie Wu</v>
      </c>
      <c r="E2804" s="7" t="str">
        <f>IFERROR(__xludf.DUMMYFUNCTION("""COMPUTED_VALUE"""),"Yes")</f>
        <v>Yes</v>
      </c>
      <c r="F2804" s="7" t="str">
        <f>IFERROR(__xludf.DUMMYFUNCTION("""COMPUTED_VALUE"""),"V-Presentation")</f>
        <v>V-Presentation</v>
      </c>
      <c r="G2804" s="7" t="str">
        <f>IFERROR(__xludf.DUMMYFUNCTION("""COMPUTED_VALUE"""),"Virtual/Gather")</f>
        <v>Virtual/Gather</v>
      </c>
      <c r="H2804" s="7" t="str">
        <f>IFERROR(__xludf.DUMMYFUNCTION("""COMPUTED_VALUE"""),"Zoom")</f>
        <v>Zoom</v>
      </c>
      <c r="I2804" s="7" t="str">
        <f>IFERROR(__xludf.DUMMYFUNCTION("""COMPUTED_VALUE"""),"Session 10: V-Presenations")</f>
        <v>Session 10: V-Presenations</v>
      </c>
      <c r="J2804" s="7" t="str">
        <f>IFERROR(__xludf.DUMMYFUNCTION("""COMPUTED_VALUE"""),"Virtual Presentations 3")</f>
        <v>Virtual Presentations 3</v>
      </c>
      <c r="K2804" s="7"/>
      <c r="L2804" s="8">
        <f>IFERROR(__xludf.DUMMYFUNCTION("""COMPUTED_VALUE"""),45867.0)</f>
        <v>45867</v>
      </c>
      <c r="M2804" s="7" t="str">
        <f>IFERROR(__xludf.DUMMYFUNCTION("""COMPUTED_VALUE"""),"16:00-17:30")</f>
        <v>16:00-17:30</v>
      </c>
      <c r="N2804" s="7"/>
    </row>
    <row r="2805">
      <c r="A2805" s="7" t="str">
        <f>IFERROR(__xludf.DUMMYFUNCTION("""COMPUTED_VALUE"""),"3277-MAIN")</f>
        <v>3277-MAIN</v>
      </c>
      <c r="B2805" s="7" t="str">
        <f>IFERROR(__xludf.DUMMYFUNCTION("""COMPUTED_VALUE"""),"Revisiting Scaling Laws for Language Models: The Role of Data Quality and Training Strategies")</f>
        <v>Revisiting Scaling Laws for Language Models: The Role of Data Quality and Training Strategies</v>
      </c>
      <c r="C2805" s="7" t="str">
        <f>IFERROR(__xludf.DUMMYFUNCTION("""COMPUTED_VALUE"""),"Traditional scaling laws in natural language processing suggest that increasing model size and training data enhances performance. However, recent studies reveal deviations, particularly in large language models, where performance improvements decelerate—"&amp;"a phenomenon known as sub-scaling. This paper revisits these scaling laws by examining the impact of data quality and training strategies on model performance. Through extensive empirical analysis of over 400 models, we identify high data density and non-"&amp;"optimal resource allocation as key factors contributing to sub-scaling. High data density leads to diminishing returns due to redundant information, while optimal resource allocation is crucial for sustained performance improvements. We propose a sub-opti"&amp;"mal scaling law that better predicts performance in sub-scaling regimes, highlighting the importance of data quality and diversity.")</f>
        <v>Traditional scaling laws in natural language processing suggest that increasing model size and training data enhances performance. However, recent studies reveal deviations, particularly in large language models, where performance improvements decelerate—a phenomenon known as sub-scaling. This paper revisits these scaling laws by examining the impact of data quality and training strategies on model performance. Through extensive empirical analysis of over 400 models, we identify high data density and non-optimal resource allocation as key factors contributing to sub-scaling. High data density leads to diminishing returns due to redundant information, while optimal resource allocation is crucial for sustained performance improvements. We propose a sub-optimal scaling law that better predicts performance in sub-scaling regimes, highlighting the importance of data quality and diversity.</v>
      </c>
      <c r="D2805" s="7" t="str">
        <f>IFERROR(__xludf.DUMMYFUNCTION("""COMPUTED_VALUE"""),"Zhengyu Chen")</f>
        <v>Zhengyu Chen</v>
      </c>
      <c r="E2805" s="7" t="str">
        <f>IFERROR(__xludf.DUMMYFUNCTION("""COMPUTED_VALUE"""),"Yes")</f>
        <v>Yes</v>
      </c>
      <c r="F2805" s="7" t="str">
        <f>IFERROR(__xludf.DUMMYFUNCTION("""COMPUTED_VALUE"""),"V-Presentation")</f>
        <v>V-Presentation</v>
      </c>
      <c r="G2805" s="7" t="str">
        <f>IFERROR(__xludf.DUMMYFUNCTION("""COMPUTED_VALUE"""),"Virtual/Gather")</f>
        <v>Virtual/Gather</v>
      </c>
      <c r="H2805" s="7" t="str">
        <f>IFERROR(__xludf.DUMMYFUNCTION("""COMPUTED_VALUE"""),"Zoom")</f>
        <v>Zoom</v>
      </c>
      <c r="I2805" s="7" t="str">
        <f>IFERROR(__xludf.DUMMYFUNCTION("""COMPUTED_VALUE"""),"Session 12: V-Presentations")</f>
        <v>Session 12: V-Presentations</v>
      </c>
      <c r="J2805" s="7" t="str">
        <f>IFERROR(__xludf.DUMMYFUNCTION("""COMPUTED_VALUE"""),"Virtual Presentations 4")</f>
        <v>Virtual Presentations 4</v>
      </c>
      <c r="K2805" s="7"/>
      <c r="L2805" s="8">
        <f>IFERROR(__xludf.DUMMYFUNCTION("""COMPUTED_VALUE"""),45868.0)</f>
        <v>45868</v>
      </c>
      <c r="M2805" s="7" t="str">
        <f>IFERROR(__xludf.DUMMYFUNCTION("""COMPUTED_VALUE"""),"11:00-12:30")</f>
        <v>11:00-12:30</v>
      </c>
      <c r="N2805" s="7"/>
    </row>
    <row r="2806">
      <c r="A2806" s="7" t="str">
        <f>IFERROR(__xludf.DUMMYFUNCTION("""COMPUTED_VALUE"""),"3282-MAIN")</f>
        <v>3282-MAIN</v>
      </c>
      <c r="B2806" s="7" t="str">
        <f>IFERROR(__xludf.DUMMYFUNCTION("""COMPUTED_VALUE"""),"Limited Generalizability in Argument Mining: State-Of-The-Art Models Learn Datasets, Not Arguments")</f>
        <v>Limited Generalizability in Argument Mining: State-Of-The-Art Models Learn Datasets, Not Arguments</v>
      </c>
      <c r="C2806" s="7" t="str">
        <f>IFERROR(__xludf.DUMMYFUNCTION("""COMPUTED_VALUE"""),"Identifying arguments is a necessary prerequisite for various tasks in automated discourse analysis, particularly within contexts such as political debates, online discussions, and scientific reasoning. In addition to theoretical advances in understanding"&amp;" the constitution of arguments, a significant body of research has emerged around practical argument mining, supported by a growing number of publicly available datasets. On these benchmarks, BERT-like transformers have consistently performed best, reinfo"&amp;"rcing the belief that such models are broadly applicable across diverse contexts of debate. This study offers the first large-scale re-evaluation of such state-of-the-art models, with a specific focus on their ability to generalize in identifying argument"&amp;"s. We evaluate four transformers, three standard and one enhanced with contrastive pre-training for better generalization, on 17 English sentence-level datasets as most relevant to the task. Our findings show that, to varying degrees, these models tend to"&amp;" rely on lexical shortcuts tied to content words, suggesting that apparent progress may often be driven by dataset-specific cues rather than true task alignment. While the models achieve strong results on familiar benchmarks, their performance drops marke"&amp;"dly when applied to unseen datasets. Nonetheless, incorporating both task-specific pre-training and joint benchmark training proves effective in enhancing both robustness and generalization.")</f>
        <v>Identifying arguments is a necessary prerequisite for various tasks in automated discourse analysis, particularly within contexts such as political debates, online discussions, and scientific reasoning. In addition to theoretical advances in understanding the constitution of arguments, a significant body of research has emerged around practical argument mining, supported by a growing number of publicly available datasets. On these benchmarks, BERT-like transformers have consistently performed best, reinforcing the belief that such models are broadly applicable across diverse contexts of debate. This study offers the first large-scale re-evaluation of such state-of-the-art models, with a specific focus on their ability to generalize in identifying arguments. We evaluate four transformers, three standard and one enhanced with contrastive pre-training for better generalization, on 17 English sentence-level datasets as most relevant to the task. Our findings show that, to varying degrees, these models tend to rely on lexical shortcuts tied to content words, suggesting that apparent progress may often be driven by dataset-specific cues rather than true task alignment. While the models achieve strong results on familiar benchmarks, their performance drops markedly when applied to unseen datasets. Nonetheless, incorporating both task-specific pre-training and joint benchmark training proves effective in enhancing both robustness and generalization.</v>
      </c>
      <c r="D2806" s="7" t="str">
        <f>IFERROR(__xludf.DUMMYFUNCTION("""COMPUTED_VALUE"""),"Marc Feger")</f>
        <v>Marc Feger</v>
      </c>
      <c r="E2806" s="7" t="str">
        <f>IFERROR(__xludf.DUMMYFUNCTION("""COMPUTED_VALUE"""),"Yes")</f>
        <v>Yes</v>
      </c>
      <c r="F2806" s="7" t="str">
        <f>IFERROR(__xludf.DUMMYFUNCTION("""COMPUTED_VALUE"""),"IP-Oral")</f>
        <v>IP-Oral</v>
      </c>
      <c r="G2806" s="7" t="str">
        <f>IFERROR(__xludf.DUMMYFUNCTION("""COMPUTED_VALUE"""),"In-Person")</f>
        <v>In-Person</v>
      </c>
      <c r="H2806" s="7" t="str">
        <f>IFERROR(__xludf.DUMMYFUNCTION("""COMPUTED_VALUE"""),"Room 1.15-16")</f>
        <v>Room 1.15-16</v>
      </c>
      <c r="I2806" s="7" t="str">
        <f>IFERROR(__xludf.DUMMYFUNCTION("""COMPUTED_VALUE"""),"Session 3: IP-Orals")</f>
        <v>Session 3: IP-Orals</v>
      </c>
      <c r="J2806" s="7" t="str">
        <f>IFERROR(__xludf.DUMMYFUNCTION("""COMPUTED_VALUE"""),"Theme track: Generalisation of NLP models")</f>
        <v>Theme track: Generalisation of NLP models</v>
      </c>
      <c r="K2806" s="7"/>
      <c r="L2806" s="8">
        <f>IFERROR(__xludf.DUMMYFUNCTION("""COMPUTED_VALUE"""),45866.0)</f>
        <v>45866</v>
      </c>
      <c r="M2806" s="7" t="str">
        <f>IFERROR(__xludf.DUMMYFUNCTION("""COMPUTED_VALUE"""),"14:00-15:30")</f>
        <v>14:00-15:30</v>
      </c>
      <c r="N2806" s="7">
        <f>IFERROR(__xludf.DUMMYFUNCTION("""COMPUTED_VALUE"""),5.0)</f>
        <v>5</v>
      </c>
    </row>
    <row r="2807">
      <c r="A2807" s="7" t="str">
        <f>IFERROR(__xludf.DUMMYFUNCTION("""COMPUTED_VALUE"""),"3284-MAIN")</f>
        <v>3284-MAIN</v>
      </c>
      <c r="B2807" s="7" t="str">
        <f>IFERROR(__xludf.DUMMYFUNCTION("""COMPUTED_VALUE"""),"Enhancing Machine Translation with Self-Supervised Preference Data")</f>
        <v>Enhancing Machine Translation with Self-Supervised Preference Data</v>
      </c>
      <c r="C2807" s="7" t="str">
        <f>IFERROR(__xludf.DUMMYFUNCTION("""COMPUTED_VALUE"""),"Model alignment methods like Direct Preference Optimization and Contrastive Preference Optimization have enhanced machine translation performance by leveraging preference data to enable models to reject suboptimal outputs. During preference data construct"&amp;"ion, previous approaches primarily rely on humans, strong models like GPT4  or model self-sampling. In this study, we first explain the shortcomings of this practice. Then, we propose Self-Supervised Preference Optimization (SSPO), a novel framework which"&amp;" efficiently constructs translation preference data for iterative DPO training. Applying SSPO to 14B parameters large language models (LLMs) achieves comparable or better performance than GPT-4o on FLORES and multi-domain test datasets. We release an augm"&amp;"ented MQM dataset in https://github.com/sunny-sjtu/MQM-aug.")</f>
        <v>Model alignment methods like Direct Preference Optimization and Contrastive Preference Optimization have enhanced machine translation performance by leveraging preference data to enable models to reject suboptimal outputs. During preference data construction, previous approaches primarily rely on humans, strong models like GPT4  or model self-sampling. In this study, we first explain the shortcomings of this practice. Then, we propose Self-Supervised Preference Optimization (SSPO), a novel framework which efficiently constructs translation preference data for iterative DPO training. Applying SSPO to 14B parameters large language models (LLMs) achieves comparable or better performance than GPT-4o on FLORES and multi-domain test datasets. We release an augmented MQM dataset in https://github.com/sunny-sjtu/MQM-aug.</v>
      </c>
      <c r="D2807" s="7" t="str">
        <f>IFERROR(__xludf.DUMMYFUNCTION("""COMPUTED_VALUE"""),"Haoxiang Sun")</f>
        <v>Haoxiang Sun</v>
      </c>
      <c r="E2807" s="7" t="str">
        <f>IFERROR(__xludf.DUMMYFUNCTION("""COMPUTED_VALUE"""),"Yes")</f>
        <v>Yes</v>
      </c>
      <c r="F2807" s="7" t="str">
        <f>IFERROR(__xludf.DUMMYFUNCTION("""COMPUTED_VALUE"""),"IP-Poster")</f>
        <v>IP-Poster</v>
      </c>
      <c r="G2807" s="7" t="str">
        <f>IFERROR(__xludf.DUMMYFUNCTION("""COMPUTED_VALUE"""),"In-Person")</f>
        <v>In-Person</v>
      </c>
      <c r="H2807" s="7" t="str">
        <f>IFERROR(__xludf.DUMMYFUNCTION("""COMPUTED_VALUE"""),"Hall 4/5")</f>
        <v>Hall 4/5</v>
      </c>
      <c r="I2807" s="7" t="str">
        <f>IFERROR(__xludf.DUMMYFUNCTION("""COMPUTED_VALUE"""),"Session 10: IP-Posters")</f>
        <v>Session 10: IP-Posters</v>
      </c>
      <c r="J2807" s="7" t="str">
        <f>IFERROR(__xludf.DUMMYFUNCTION("""COMPUTED_VALUE"""),"Poster Session 3")</f>
        <v>Poster Session 3</v>
      </c>
      <c r="K2807" s="7"/>
      <c r="L2807" s="8">
        <f>IFERROR(__xludf.DUMMYFUNCTION("""COMPUTED_VALUE"""),45867.0)</f>
        <v>45867</v>
      </c>
      <c r="M2807" s="7" t="str">
        <f>IFERROR(__xludf.DUMMYFUNCTION("""COMPUTED_VALUE"""),"16:00-17:30")</f>
        <v>16:00-17:30</v>
      </c>
      <c r="N2807" s="7"/>
    </row>
    <row r="2808">
      <c r="A2808" s="7" t="str">
        <f>IFERROR(__xludf.DUMMYFUNCTION("""COMPUTED_VALUE"""),"3296-MAIN")</f>
        <v>3296-MAIN</v>
      </c>
      <c r="B2808" s="7" t="str">
        <f>IFERROR(__xludf.DUMMYFUNCTION("""COMPUTED_VALUE"""),"Unveil: Unified Visual-Textual Integration and Distillation for Multi-modal Document Retrieval")</f>
        <v>Unveil: Unified Visual-Textual Integration and Distillation for Multi-modal Document Retrieval</v>
      </c>
      <c r="C2808" s="7" t="str">
        <f>IFERROR(__xludf.DUMMYFUNCTION("""COMPUTED_VALUE"""),"Document retrieval in real-world scenarios faces significant challenges due to diverse document formats and modalities. Traditional text-based approaches rely on tailored parsing techniques that disregard layout information and are prone to errors, while "&amp;"recent parsing-free visual methods often struggle to capture fine-grained textual semantics in text-rich scenarios. To address these limitations, we propose Unveil, a novel visual-textual embedding framework that effectively integrates textual and visual "&amp;"features for robust document representation. Through knowledge distillation, we transfer the semantic understanding capabilities from the visual-textual embedding model to a purely visual model, enabling efficient parsing-free retrieval while preserving s"&amp;"emantic fidelity. Experimental results demonstrate that our visual-textual embedding method surpasses existing approaches, while knowledge distillation successfully bridges the performance gap between visual-textual and visual-only methods, improving both"&amp;" retrieval accuracy and efficiency.")</f>
        <v>Document retrieval in real-world scenarios faces significant challenges due to diverse document formats and modalities. Traditional text-based approaches rely on tailored parsing techniques that disregard layout information and are prone to errors, while recent parsing-free visual methods often struggle to capture fine-grained textual semantics in text-rich scenarios. To address these limitations, we propose Unveil, a novel visual-textual embedding framework that effectively integrates textual and visual features for robust document representation. Through knowledge distillation, we transfer the semantic understanding capabilities from the visual-textual embedding model to a purely visual model, enabling efficient parsing-free retrieval while preserving semantic fidelity. Experimental results demonstrate that our visual-textual embedding method surpasses existing approaches, while knowledge distillation successfully bridges the performance gap between visual-textual and visual-only methods, improving both retrieval accuracy and efficiency.</v>
      </c>
      <c r="D2808" s="7" t="str">
        <f>IFERROR(__xludf.DUMMYFUNCTION("""COMPUTED_VALUE"""),"Hao Sun")</f>
        <v>Hao Sun</v>
      </c>
      <c r="E2808" s="7" t="str">
        <f>IFERROR(__xludf.DUMMYFUNCTION("""COMPUTED_VALUE"""),"Yes")</f>
        <v>Yes</v>
      </c>
      <c r="F2808" s="7" t="str">
        <f>IFERROR(__xludf.DUMMYFUNCTION("""COMPUTED_VALUE"""),"IP-Poster")</f>
        <v>IP-Poster</v>
      </c>
      <c r="G2808" s="7" t="str">
        <f>IFERROR(__xludf.DUMMYFUNCTION("""COMPUTED_VALUE"""),"In-Person")</f>
        <v>In-Person</v>
      </c>
      <c r="H2808" s="7" t="str">
        <f>IFERROR(__xludf.DUMMYFUNCTION("""COMPUTED_VALUE"""),"Hall 4/5")</f>
        <v>Hall 4/5</v>
      </c>
      <c r="I2808" s="7" t="str">
        <f>IFERROR(__xludf.DUMMYFUNCTION("""COMPUTED_VALUE"""),"Session 2: IP-Posters ")</f>
        <v>Session 2: IP-Posters </v>
      </c>
      <c r="J2808" s="7" t="str">
        <f>IFERROR(__xludf.DUMMYFUNCTION("""COMPUTED_VALUE"""),"Poster Session 1")</f>
        <v>Poster Session 1</v>
      </c>
      <c r="K2808" s="7"/>
      <c r="L2808" s="8">
        <f>IFERROR(__xludf.DUMMYFUNCTION("""COMPUTED_VALUE"""),45866.0)</f>
        <v>45866</v>
      </c>
      <c r="M2808" s="7" t="str">
        <f>IFERROR(__xludf.DUMMYFUNCTION("""COMPUTED_VALUE"""),"11:00-12:30")</f>
        <v>11:00-12:30</v>
      </c>
      <c r="N2808" s="7"/>
    </row>
    <row r="2809">
      <c r="A2809" s="7" t="str">
        <f>IFERROR(__xludf.DUMMYFUNCTION("""COMPUTED_VALUE"""),"3301-MAIN")</f>
        <v>3301-MAIN</v>
      </c>
      <c r="B2809" s="7" t="str">
        <f>IFERROR(__xludf.DUMMYFUNCTION("""COMPUTED_VALUE"""),"Don't Get Lost in the Trees: Streamlining LLM Reasoning by Overcoming Tree Search Exploration Pitfalls")</f>
        <v>Don't Get Lost in the Trees: Streamlining LLM Reasoning by Overcoming Tree Search Exploration Pitfalls</v>
      </c>
      <c r="C2809" s="7" t="str">
        <f>IFERROR(__xludf.DUMMYFUNCTION("""COMPUTED_VALUE"""),"Recent advancements in tree search algorithms guided by verifiers have significantly enhanced the reasoning capabilities of large language models (LLMs), but at the cost of increased computational resources. In this work, we identify two key challenges co"&amp;"ntributing to this inefficiency: $\textit{over-exploration}$ due to redundant states with semantically equivalent content, and $\textit{under-exploration}$ caused by high variance in verifier scoring leading to frequent trajectory switching. 
To address t"&amp;"hese issues, we propose FETCH -- an  e${\bf f}$fici${\bf e}$nt ${\bf t}$ree sear${\bf ch}$ framework, which is a flexible, plug-and-play system compatible with various tree search algorithms.
Our framework mitigates over-exploration by merging semanticall"&amp;"y similar states using agglomerative clustering of text embeddings obtained from a fine-tuned SimCSE model. To tackle under-exploration, we enhance verifiers by incorporating temporal difference learning with adjusted $\lambda$-returns during training to "&amp;"reduce variance, and employing a verifier ensemble to aggregate scores during inference. Experiments on GSM8K, GSM-Plus, and MATH datasets demonstrate that our methods significantly improve reasoning accuracy and computational efficiency across four diffe"&amp;"rent tree search algorithms, paving the way for more practical applications of LLM-based reasoning. The code is available at https://github.com/DeepLearnXMU/Fetch.")</f>
        <v>Recent advancements in tree search algorithms guided by verifiers have significantly enhanced the reasoning capabilities of large language models (LLMs), but at the cost of increased computational resources. In this work, we identify two key challenges contributing to this inefficiency: $\textit{over-exploration}$ due to redundant states with semantically equivalent content, and $\textit{under-exploration}$ caused by high variance in verifier scoring leading to frequent trajectory switching. 
To address these issues, we propose FETCH -- an  e${\bf f}$fici${\bf e}$nt ${\bf t}$ree sear${\bf ch}$ framework, which is a flexible, plug-and-play system compatible with various tree search algorithms.
Our framework mitigates over-exploration by merging semantically similar states using agglomerative clustering of text embeddings obtained from a fine-tuned SimCSE model. To tackle under-exploration, we enhance verifiers by incorporating temporal difference learning with adjusted $\lambda$-returns during training to reduce variance, and employing a verifier ensemble to aggregate scores during inference. Experiments on GSM8K, GSM-Plus, and MATH datasets demonstrate that our methods significantly improve reasoning accuracy and computational efficiency across four different tree search algorithms, paving the way for more practical applications of LLM-based reasoning. The code is available at https://github.com/DeepLearnXMU/Fetch.</v>
      </c>
      <c r="D2809" s="7" t="str">
        <f>IFERROR(__xludf.DUMMYFUNCTION("""COMPUTED_VALUE"""),"Ante Wang")</f>
        <v>Ante Wang</v>
      </c>
      <c r="E2809" s="7" t="str">
        <f>IFERROR(__xludf.DUMMYFUNCTION("""COMPUTED_VALUE"""),"Yes")</f>
        <v>Yes</v>
      </c>
      <c r="F2809" s="7" t="str">
        <f>IFERROR(__xludf.DUMMYFUNCTION("""COMPUTED_VALUE"""),"V-Presentation")</f>
        <v>V-Presentation</v>
      </c>
      <c r="G2809" s="7" t="str">
        <f>IFERROR(__xludf.DUMMYFUNCTION("""COMPUTED_VALUE"""),"Virtual/Gather")</f>
        <v>Virtual/Gather</v>
      </c>
      <c r="H2809" s="7" t="str">
        <f>IFERROR(__xludf.DUMMYFUNCTION("""COMPUTED_VALUE"""),"Zoom")</f>
        <v>Zoom</v>
      </c>
      <c r="I2809" s="7" t="str">
        <f>IFERROR(__xludf.DUMMYFUNCTION("""COMPUTED_VALUE"""),"Session 10: V-Presenations")</f>
        <v>Session 10: V-Presenations</v>
      </c>
      <c r="J2809" s="7" t="str">
        <f>IFERROR(__xludf.DUMMYFUNCTION("""COMPUTED_VALUE"""),"Virtual Presentations 3")</f>
        <v>Virtual Presentations 3</v>
      </c>
      <c r="K2809" s="7"/>
      <c r="L2809" s="8">
        <f>IFERROR(__xludf.DUMMYFUNCTION("""COMPUTED_VALUE"""),45867.0)</f>
        <v>45867</v>
      </c>
      <c r="M2809" s="7" t="str">
        <f>IFERROR(__xludf.DUMMYFUNCTION("""COMPUTED_VALUE"""),"16:00-17:30")</f>
        <v>16:00-17:30</v>
      </c>
      <c r="N2809" s="7"/>
    </row>
    <row r="2810">
      <c r="A2810" s="7" t="str">
        <f>IFERROR(__xludf.DUMMYFUNCTION("""COMPUTED_VALUE"""),"3306-MAIN")</f>
        <v>3306-MAIN</v>
      </c>
      <c r="B2810" s="7" t="str">
        <f>IFERROR(__xludf.DUMMYFUNCTION("""COMPUTED_VALUE"""),"MEXMA: Token-level objectives improve sentence representations")</f>
        <v>MEXMA: Token-level objectives improve sentence representations</v>
      </c>
      <c r="C2810" s="7" t="str">
        <f>IFERROR(__xludf.DUMMYFUNCTION("""COMPUTED_VALUE"""),"Cross-lingual sentence encoders (CLSE) create fixed-size sentence representations with aligned translations. Current pre-trained CLSE approaches use sentence-level objectives only. This can lead to loss of information, especially for tokens, which then de"&amp;"grades the sentence representation. We propose MEXMA, a novel approach that integrates both sentence-level and token-level objectives. The sentence representation in one language is used to predict masked tokens in another language, with both the sentence"&amp;" representation and *all tokens directly update the encoder*. We show that adding token-level objectives greatly improves the sentence representation quality across several tasks. Our approach outperforms current pre-trained cross-lingual sentence encoder"&amp;"s on bitext mining as well as several downstream tasks. We also analyse the information encoded in our tokens, and how the sentence representation is built from them.")</f>
        <v>Cross-lingual sentence encoders (CLSE) create fixed-size sentence representations with aligned translations. Current pre-trained CLSE approaches use sentence-level objectives only. This can lead to loss of information, especially for tokens, which then degrades the sentence representation. We propose MEXMA, a novel approach that integrates both sentence-level and token-level objectives. The sentence representation in one language is used to predict masked tokens in another language, with both the sentence representation and *all tokens directly update the encoder*. We show that adding token-level objectives greatly improves the sentence representation quality across several tasks. Our approach outperforms current pre-trained cross-lingual sentence encoders on bitext mining as well as several downstream tasks. We also analyse the information encoded in our tokens, and how the sentence representation is built from them.</v>
      </c>
      <c r="D2810" s="7" t="str">
        <f>IFERROR(__xludf.DUMMYFUNCTION("""COMPUTED_VALUE"""),"João Maria Janeiro")</f>
        <v>João Maria Janeiro</v>
      </c>
      <c r="E2810" s="7" t="str">
        <f>IFERROR(__xludf.DUMMYFUNCTION("""COMPUTED_VALUE"""),"Yes")</f>
        <v>Yes</v>
      </c>
      <c r="F2810" s="7" t="str">
        <f>IFERROR(__xludf.DUMMYFUNCTION("""COMPUTED_VALUE"""),"IP-Oral")</f>
        <v>IP-Oral</v>
      </c>
      <c r="G2810" s="7" t="str">
        <f>IFERROR(__xludf.DUMMYFUNCTION("""COMPUTED_VALUE"""),"In-Person")</f>
        <v>In-Person</v>
      </c>
      <c r="H2810" s="7" t="str">
        <f>IFERROR(__xludf.DUMMYFUNCTION("""COMPUTED_VALUE"""),"Room 1.86")</f>
        <v>Room 1.86</v>
      </c>
      <c r="I2810" s="7" t="str">
        <f>IFERROR(__xludf.DUMMYFUNCTION("""COMPUTED_VALUE"""),"Session 3: IP-Orals")</f>
        <v>Session 3: IP-Orals</v>
      </c>
      <c r="J2810" s="7" t="str">
        <f>IFERROR(__xludf.DUMMYFUNCTION("""COMPUTED_VALUE"""),"Semantics")</f>
        <v>Semantics</v>
      </c>
      <c r="K2810" s="7"/>
      <c r="L2810" s="8">
        <f>IFERROR(__xludf.DUMMYFUNCTION("""COMPUTED_VALUE"""),45866.0)</f>
        <v>45866</v>
      </c>
      <c r="M2810" s="7" t="str">
        <f>IFERROR(__xludf.DUMMYFUNCTION("""COMPUTED_VALUE"""),"14:00-15:30")</f>
        <v>14:00-15:30</v>
      </c>
      <c r="N2810" s="7">
        <f>IFERROR(__xludf.DUMMYFUNCTION("""COMPUTED_VALUE"""),7.0)</f>
        <v>7</v>
      </c>
    </row>
    <row r="2811">
      <c r="A2811" s="7" t="str">
        <f>IFERROR(__xludf.DUMMYFUNCTION("""COMPUTED_VALUE"""),"3307-MAIN")</f>
        <v>3307-MAIN</v>
      </c>
      <c r="B2811" s="7" t="str">
        <f>IFERROR(__xludf.DUMMYFUNCTION("""COMPUTED_VALUE"""),"Sparse-to-Dense: A Free Lunch for Lossless Acceleration of Video Understanding in LLMs")</f>
        <v>Sparse-to-Dense: A Free Lunch for Lossless Acceleration of Video Understanding in LLMs</v>
      </c>
      <c r="C2811" s="7" t="str">
        <f>IFERROR(__xludf.DUMMYFUNCTION("""COMPUTED_VALUE"""),"Due to the auto-regressive nature of current video large language models (Video-LLMs), the inference latency increases as the input sequence length grows, posing challenges for the efficient processing of video sequences that are usually very long. We obs"&amp;"erve that during decoding, the attention scores of most tokens in Video-LLMs tend to be sparse and concentrated, with only certain tokens requiring comprehensive full attention. Based on this insight, we introduce Sparse-to-Dense (StD), a novel decoding s"&amp;"trategy that integrates two distinct modules: one leveraging sparse top-K attention and the other employing dense full attention. These modules collaborate to accelerate Video-LLMs without loss. The fast (sparse) model speculatively decodes multiple token"&amp;"s, while the slow (dense) model verifies them in parallel. StD is a tuning-free, plug-and-play solution that achieves up to a 1.94
 walltime speedup in video processing. It maintains model performance while enabling a seamless transition from a standard V"&amp;"ideo-LLM to a sparse Video-LLM with minimal code modifications.")</f>
        <v>Due to the auto-regressive nature of current video large language models (Video-LLMs), the inference latency increases as the input sequence length grows, posing challenges for the efficient processing of video sequences that are usually very long. We observe that during decoding, the attention scores of most tokens in Video-LLMs tend to be sparse and concentrated, with only certain tokens requiring comprehensive full attention. Based on this insight, we introduce Sparse-to-Dense (StD), a novel decoding strategy that integrates two distinct modules: one leveraging sparse top-K attention and the other employing dense full attention. These modules collaborate to accelerate Video-LLMs without loss. The fast (sparse) model speculatively decodes multiple tokens, while the slow (dense) model verifies them in parallel. StD is a tuning-free, plug-and-play solution that achieves up to a 1.94
 walltime speedup in video processing. It maintains model performance while enabling a seamless transition from a standard Video-LLM to a sparse Video-LLM with minimal code modifications.</v>
      </c>
      <c r="D2811" s="7" t="str">
        <f>IFERROR(__xludf.DUMMYFUNCTION("""COMPUTED_VALUE"""),"Wei Gao")</f>
        <v>Wei Gao</v>
      </c>
      <c r="E2811" s="7" t="str">
        <f>IFERROR(__xludf.DUMMYFUNCTION("""COMPUTED_VALUE"""),"Yes")</f>
        <v>Yes</v>
      </c>
      <c r="F2811" s="7" t="str">
        <f>IFERROR(__xludf.DUMMYFUNCTION("""COMPUTED_VALUE"""),"IP-Poster")</f>
        <v>IP-Poster</v>
      </c>
      <c r="G2811" s="7" t="str">
        <f>IFERROR(__xludf.DUMMYFUNCTION("""COMPUTED_VALUE"""),"In-Person")</f>
        <v>In-Person</v>
      </c>
      <c r="H2811" s="7" t="str">
        <f>IFERROR(__xludf.DUMMYFUNCTION("""COMPUTED_VALUE"""),"Hall 4/5")</f>
        <v>Hall 4/5</v>
      </c>
      <c r="I2811" s="7" t="str">
        <f>IFERROR(__xludf.DUMMYFUNCTION("""COMPUTED_VALUE"""),"Session 10: IP-Posters")</f>
        <v>Session 10: IP-Posters</v>
      </c>
      <c r="J2811" s="7" t="str">
        <f>IFERROR(__xludf.DUMMYFUNCTION("""COMPUTED_VALUE"""),"Poster Session 3")</f>
        <v>Poster Session 3</v>
      </c>
      <c r="K2811" s="7"/>
      <c r="L2811" s="8">
        <f>IFERROR(__xludf.DUMMYFUNCTION("""COMPUTED_VALUE"""),45867.0)</f>
        <v>45867</v>
      </c>
      <c r="M2811" s="7" t="str">
        <f>IFERROR(__xludf.DUMMYFUNCTION("""COMPUTED_VALUE"""),"16:00-17:30")</f>
        <v>16:00-17:30</v>
      </c>
      <c r="N2811" s="7"/>
    </row>
    <row r="2812">
      <c r="A2812" s="7" t="str">
        <f>IFERROR(__xludf.DUMMYFUNCTION("""COMPUTED_VALUE"""),"3312-MAIN")</f>
        <v>3312-MAIN</v>
      </c>
      <c r="B2812" s="7" t="str">
        <f>IFERROR(__xludf.DUMMYFUNCTION("""COMPUTED_VALUE"""),"Uncertainty-Aware Iterative Preference Optimization for Enhanced LLM Reasoning")</f>
        <v>Uncertainty-Aware Iterative Preference Optimization for Enhanced LLM Reasoning</v>
      </c>
      <c r="C2812" s="7" t="str">
        <f>IFERROR(__xludf.DUMMYFUNCTION("""COMPUTED_VALUE"""),"Direct Preference Optimization (DPO) has recently emerged as an efficient and effective method for aligning large language models with human preferences. However, constructing high-quality preference datasets remains challenging, often necessitating expen"&amp;"sive manual or powerful LM annotations. Additionally, standard DPO exhibits suboptimal performance in complex reasoning tasks, such as mathematical and code reasoning. In this paper, we introduce an approach to collect preference pairs through iterative s"&amp;"ampling and execution feedback, tailored to the current learning state (\emph{e.g.} well-learned, mis-learned, and unlearned) of the policy model. To alleviate the failures of DPO and improve its applicability in reasoning tasks, we propose {\ours}, an it"&amp;"erative uncertainty-aware preference optimization method that achieves fine-grained preference control by assessing model confidence. We validate our approach across three reasoning tasks, incorporating five established reasoning datasets and one self-cur"&amp;"ated dataset. Our experimental results demonstrate an overall improvement of 3.6% over the standard DPO method and show the model exhibits promising generalizability.")</f>
        <v>Direct Preference Optimization (DPO) has recently emerged as an efficient and effective method for aligning large language models with human preferences. However, constructing high-quality preference datasets remains challenging, often necessitating expensive manual or powerful LM annotations. Additionally, standard DPO exhibits suboptimal performance in complex reasoning tasks, such as mathematical and code reasoning. In this paper, we introduce an approach to collect preference pairs through iterative sampling and execution feedback, tailored to the current learning state (\emph{e.g.} well-learned, mis-learned, and unlearned) of the policy model. To alleviate the failures of DPO and improve its applicability in reasoning tasks, we propose {\ours}, an iterative uncertainty-aware preference optimization method that achieves fine-grained preference control by assessing model confidence. We validate our approach across three reasoning tasks, incorporating five established reasoning datasets and one self-curated dataset. Our experimental results demonstrate an overall improvement of 3.6% over the standard DPO method and show the model exhibits promising generalizability.</v>
      </c>
      <c r="D2812" s="7" t="str">
        <f>IFERROR(__xludf.DUMMYFUNCTION("""COMPUTED_VALUE"""),"Lei Li")</f>
        <v>Lei Li</v>
      </c>
      <c r="E2812" s="7" t="str">
        <f>IFERROR(__xludf.DUMMYFUNCTION("""COMPUTED_VALUE"""),"Yes")</f>
        <v>Yes</v>
      </c>
      <c r="F2812" s="7" t="str">
        <f>IFERROR(__xludf.DUMMYFUNCTION("""COMPUTED_VALUE"""),"IP-Poster")</f>
        <v>IP-Poster</v>
      </c>
      <c r="G2812" s="7" t="str">
        <f>IFERROR(__xludf.DUMMYFUNCTION("""COMPUTED_VALUE"""),"In-Person")</f>
        <v>In-Person</v>
      </c>
      <c r="H2812" s="7" t="str">
        <f>IFERROR(__xludf.DUMMYFUNCTION("""COMPUTED_VALUE"""),"Hall 4/5")</f>
        <v>Hall 4/5</v>
      </c>
      <c r="I2812" s="7" t="str">
        <f>IFERROR(__xludf.DUMMYFUNCTION("""COMPUTED_VALUE"""),"Session 10: IP-Posters")</f>
        <v>Session 10: IP-Posters</v>
      </c>
      <c r="J2812" s="7" t="str">
        <f>IFERROR(__xludf.DUMMYFUNCTION("""COMPUTED_VALUE"""),"Poster Session 3")</f>
        <v>Poster Session 3</v>
      </c>
      <c r="K2812" s="7"/>
      <c r="L2812" s="8">
        <f>IFERROR(__xludf.DUMMYFUNCTION("""COMPUTED_VALUE"""),45867.0)</f>
        <v>45867</v>
      </c>
      <c r="M2812" s="7" t="str">
        <f>IFERROR(__xludf.DUMMYFUNCTION("""COMPUTED_VALUE"""),"16:00-17:30")</f>
        <v>16:00-17:30</v>
      </c>
      <c r="N2812" s="7"/>
    </row>
    <row r="2813">
      <c r="A2813" s="7" t="str">
        <f>IFERROR(__xludf.DUMMYFUNCTION("""COMPUTED_VALUE"""),"3314-MAIN")</f>
        <v>3314-MAIN</v>
      </c>
      <c r="B2813" s="7" t="str">
        <f>IFERROR(__xludf.DUMMYFUNCTION("""COMPUTED_VALUE"""),"AgentDropout: Dynamic Agent Elimination for Token-Efficient and High-Performance LLM-Based Multi-Agent Collaboration")</f>
        <v>AgentDropout: Dynamic Agent Elimination for Token-Efficient and High-Performance LLM-Based Multi-Agent Collaboration</v>
      </c>
      <c r="C2813" s="7" t="str">
        <f>IFERROR(__xludf.DUMMYFUNCTION("""COMPUTED_VALUE"""),"Multi-agent systems (MAS) based on large language models (LLMs) have demonstrated significant potential in collaborative problem-solving. However, they still face substantial challenges of low communication efficiency and suboptimal task performance, maki"&amp;"ng the careful design of the agents' communication topologies particularly important. Inspired by the management theory that roles in an efficient team are often dynamically adjusted, we propose $\textbf{AgentDropout}$, which identifies redundant agents a"&amp;"nd communication across different communication rounds by optimizing the adjacency matrices of the communication graphs and eliminates them to enhance both token efficiency and task performance. Compared to state-of-the-art methods, AgentDropout achieves "&amp;"an average reduction of 21.6% in prompt token consumption and 18.4% in completion token consumption, along with a performance improvement of 1.14 on the tasks. Furthermore, the extended experiments demonstrate that AgentDropout achieves notable domain tra"&amp;"nsferability and structure robustness, revealing its reliability and effectiveness. We release our code at https://github.com/wangzx1219/AgentDropout.")</f>
        <v>Multi-agent systems (MAS) based on large language models (LLMs) have demonstrated significant potential in collaborative problem-solving. However, they still face substantial challenges of low communication efficiency and suboptimal task performance, making the careful design of the agents' communication topologies particularly important. Inspired by the management theory that roles in an efficient team are often dynamically adjusted, we propose $\textbf{AgentDropout}$, which identifies redundant agents and communication across different communication rounds by optimizing the adjacency matrices of the communication graphs and eliminates them to enhance both token efficiency and task performance. Compared to state-of-the-art methods, AgentDropout achieves an average reduction of 21.6% in prompt token consumption and 18.4% in completion token consumption, along with a performance improvement of 1.14 on the tasks. Furthermore, the extended experiments demonstrate that AgentDropout achieves notable domain transferability and structure robustness, revealing its reliability and effectiveness. We release our code at https://github.com/wangzx1219/AgentDropout.</v>
      </c>
      <c r="D2813" s="7" t="str">
        <f>IFERROR(__xludf.DUMMYFUNCTION("""COMPUTED_VALUE"""),"Wang Zhexuan")</f>
        <v>Wang Zhexuan</v>
      </c>
      <c r="E2813" s="7" t="str">
        <f>IFERROR(__xludf.DUMMYFUNCTION("""COMPUTED_VALUE"""),"Yes")</f>
        <v>Yes</v>
      </c>
      <c r="F2813" s="7" t="str">
        <f>IFERROR(__xludf.DUMMYFUNCTION("""COMPUTED_VALUE"""),"IP-Poster")</f>
        <v>IP-Poster</v>
      </c>
      <c r="G2813" s="7" t="str">
        <f>IFERROR(__xludf.DUMMYFUNCTION("""COMPUTED_VALUE"""),"In-Person")</f>
        <v>In-Person</v>
      </c>
      <c r="H2813" s="7" t="str">
        <f>IFERROR(__xludf.DUMMYFUNCTION("""COMPUTED_VALUE"""),"Hall 4/5")</f>
        <v>Hall 4/5</v>
      </c>
      <c r="I2813" s="7" t="str">
        <f>IFERROR(__xludf.DUMMYFUNCTION("""COMPUTED_VALUE"""),"Session 2: IP-Posters ")</f>
        <v>Session 2: IP-Posters </v>
      </c>
      <c r="J2813" s="7" t="str">
        <f>IFERROR(__xludf.DUMMYFUNCTION("""COMPUTED_VALUE"""),"Poster Session 1")</f>
        <v>Poster Session 1</v>
      </c>
      <c r="K2813" s="7"/>
      <c r="L2813" s="8">
        <f>IFERROR(__xludf.DUMMYFUNCTION("""COMPUTED_VALUE"""),45866.0)</f>
        <v>45866</v>
      </c>
      <c r="M2813" s="7" t="str">
        <f>IFERROR(__xludf.DUMMYFUNCTION("""COMPUTED_VALUE"""),"11:00-12:30")</f>
        <v>11:00-12:30</v>
      </c>
      <c r="N2813" s="7"/>
    </row>
    <row r="2814">
      <c r="A2814" s="7" t="str">
        <f>IFERROR(__xludf.DUMMYFUNCTION("""COMPUTED_VALUE"""),"3315-MAIN")</f>
        <v>3315-MAIN</v>
      </c>
      <c r="B2814" s="7" t="str">
        <f>IFERROR(__xludf.DUMMYFUNCTION("""COMPUTED_VALUE"""),"Towards Dynamic Theory of Mind: Evaluating LLM Adaptation to Temporal Evolution of Human States")</f>
        <v>Towards Dynamic Theory of Mind: Evaluating LLM Adaptation to Temporal Evolution of Human States</v>
      </c>
      <c r="C2814" s="7" t="str">
        <f>IFERROR(__xludf.DUMMYFUNCTION("""COMPUTED_VALUE"""),"As Large Language Models (LLMs) increasingly participate in human-AI interactions, evaluating their Theory of Mind (ToM) capabilities - particularly their ability to track dynamic mental states - becomes crucial. While existing benchmarks assess basic ToM"&amp;" abilities, they predominantly focus on static snapshots of mental states, overlooking the temporal evolution that characterizes real-world social interactions. We present **DynToM**, a novel benchmark specifically designed to evaluate LLMs' ability to un"&amp;"derstand and track the temporal progression of mental states across interconnected scenarios. Through a systematic four-step framework, we generate 1,100 social contexts encompassing 5,500 scenarios and 78,100 questions, each validated for realism and qua"&amp;"lity. Our comprehensive evaluation of ten state-of-the-art LLMs reveals that their average performance underperforms humans by 44.7%, with performance degrading significantly when tracking and reasoning about the shift of mental states. This performance g"&amp;"ap highlights fundamental limitations in current LLMs' ability to model the dynamic nature of human mental states.")</f>
        <v>As Large Language Models (LLMs) increasingly participate in human-AI interactions, evaluating their Theory of Mind (ToM) capabilities - particularly their ability to track dynamic mental states - becomes crucial. While existing benchmarks assess basic ToM abilities, they predominantly focus on static snapshots of mental states, overlooking the temporal evolution that characterizes real-world social interactions. We present **DynToM**, a novel benchmark specifically designed to evaluate LLMs' ability to understand and track the temporal progression of mental states across interconnected scenarios. Through a systematic four-step framework, we generate 1,100 social contexts encompassing 5,500 scenarios and 78,100 questions, each validated for realism and quality. Our comprehensive evaluation of ten state-of-the-art LLMs reveals that their average performance underperforms humans by 44.7%, with performance degrading significantly when tracking and reasoning about the shift of mental states. This performance gap highlights fundamental limitations in current LLMs' ability to model the dynamic nature of human mental states.</v>
      </c>
      <c r="D2814" s="7" t="str">
        <f>IFERROR(__xludf.DUMMYFUNCTION("""COMPUTED_VALUE"""),"Yang Xiao")</f>
        <v>Yang Xiao</v>
      </c>
      <c r="E2814" s="7" t="str">
        <f>IFERROR(__xludf.DUMMYFUNCTION("""COMPUTED_VALUE"""),"Yes")</f>
        <v>Yes</v>
      </c>
      <c r="F2814" s="7" t="str">
        <f>IFERROR(__xludf.DUMMYFUNCTION("""COMPUTED_VALUE"""),"V-Presentation")</f>
        <v>V-Presentation</v>
      </c>
      <c r="G2814" s="7" t="str">
        <f>IFERROR(__xludf.DUMMYFUNCTION("""COMPUTED_VALUE"""),"Virtual/Gather")</f>
        <v>Virtual/Gather</v>
      </c>
      <c r="H2814" s="7" t="str">
        <f>IFERROR(__xludf.DUMMYFUNCTION("""COMPUTED_VALUE"""),"Zoom")</f>
        <v>Zoom</v>
      </c>
      <c r="I2814" s="7" t="str">
        <f>IFERROR(__xludf.DUMMYFUNCTION("""COMPUTED_VALUE"""),"Session 10: V-Presenations")</f>
        <v>Session 10: V-Presenations</v>
      </c>
      <c r="J2814" s="7" t="str">
        <f>IFERROR(__xludf.DUMMYFUNCTION("""COMPUTED_VALUE"""),"Virtual Presentations 3")</f>
        <v>Virtual Presentations 3</v>
      </c>
      <c r="K2814" s="7"/>
      <c r="L2814" s="8">
        <f>IFERROR(__xludf.DUMMYFUNCTION("""COMPUTED_VALUE"""),45867.0)</f>
        <v>45867</v>
      </c>
      <c r="M2814" s="7" t="str">
        <f>IFERROR(__xludf.DUMMYFUNCTION("""COMPUTED_VALUE"""),"16:00-17:30")</f>
        <v>16:00-17:30</v>
      </c>
      <c r="N2814" s="7"/>
    </row>
    <row r="2815">
      <c r="A2815" s="7" t="str">
        <f>IFERROR(__xludf.DUMMYFUNCTION("""COMPUTED_VALUE"""),"3324-MAIN")</f>
        <v>3324-MAIN</v>
      </c>
      <c r="B2815" s="7" t="str">
        <f>IFERROR(__xludf.DUMMYFUNCTION("""COMPUTED_VALUE"""),"M-IFEval: On Multilingual Instruction-Following Capability of Large Language Models")</f>
        <v>M-IFEval: On Multilingual Instruction-Following Capability of Large Language Models</v>
      </c>
      <c r="C2815" s="7" t="str">
        <f>IFERROR(__xludf.DUMMYFUNCTION("""COMPUTED_VALUE"""),"Instruction-following capability has become a major ability to be evaluated for Large Language Models. However, existing datasets, such as IFEval, are either predominantly monolingual and centered on English or simply machine translated to other languages"&amp;", limiting their applicability in multilingual contexts. In this paper, we present an carefully-curated extension of IFEval to a localized multilingual version named Marco-Bench-MIF, covering 30 languages with varying levels of localization. Our benchmark"&amp;" addresses linguistic constraints (e.g., modifying capitalization requirements for Chinese) and cultural references (e.g., substituting region-specific company names in prompts) via a hybrid pipeline combining translation with verification. Through compre"&amp;"hensive evaluation of 20+ LLMs on our Marco-Bench-MIF, we found that: (1) 25-35% accuracy gap between high/low-resource languages, (2) model scales largely impact performance by 45-60% yet persists script-specific challenges, and (3) machine-translated da"&amp;"ta underestimates accuracy by 7-22% versus localized data. Our analysis identifies challenges in multilingual instruction following, including keyword consistency preservation and compositional constraint adherence across languages. Our Marco-Bench-MIF wi"&amp;"ll be made publicly available to the community.")</f>
        <v>Instruction-following capability has become a major ability to be evaluated for Large Language Models. However, existing datasets, such as IFEval, are either predominantly monolingual and centered on English or simply machine translated to other languages, limiting their applicability in multilingual contexts. In this paper, we present an carefully-curated extension of IFEval to a localized multilingual version named Marco-Bench-MIF, covering 30 languages with varying levels of localization. Our benchmark addresses linguistic constraints (e.g., modifying capitalization requirements for Chinese) and cultural references (e.g., substituting region-specific company names in prompts) via a hybrid pipeline combining translation with verification. Through comprehensive evaluation of 20+ LLMs on our Marco-Bench-MIF, we found that: (1) 25-35% accuracy gap between high/low-resource languages, (2) model scales largely impact performance by 45-60% yet persists script-specific challenges, and (3) machine-translated data underestimates accuracy by 7-22% versus localized data. Our analysis identifies challenges in multilingual instruction following, including keyword consistency preservation and compositional constraint adherence across languages. Our Marco-Bench-MIF will be made publicly available to the community.</v>
      </c>
      <c r="D2815" s="7" t="str">
        <f>IFERROR(__xludf.DUMMYFUNCTION("""COMPUTED_VALUE"""),"Chenyang Lyu")</f>
        <v>Chenyang Lyu</v>
      </c>
      <c r="E2815" s="7" t="str">
        <f>IFERROR(__xludf.DUMMYFUNCTION("""COMPUTED_VALUE"""),"Yes")</f>
        <v>Yes</v>
      </c>
      <c r="F2815" s="7" t="str">
        <f>IFERROR(__xludf.DUMMYFUNCTION("""COMPUTED_VALUE"""),"IP-Oral")</f>
        <v>IP-Oral</v>
      </c>
      <c r="G2815" s="7" t="str">
        <f>IFERROR(__xludf.DUMMYFUNCTION("""COMPUTED_VALUE"""),"In-Person")</f>
        <v>In-Person</v>
      </c>
      <c r="H2815" s="7" t="str">
        <f>IFERROR(__xludf.DUMMYFUNCTION("""COMPUTED_VALUE"""),"Room 1.15-16")</f>
        <v>Room 1.15-16</v>
      </c>
      <c r="I2815" s="7" t="str">
        <f>IFERROR(__xludf.DUMMYFUNCTION("""COMPUTED_VALUE"""),"Session 3: IP-Orals")</f>
        <v>Session 3: IP-Orals</v>
      </c>
      <c r="J2815" s="7" t="str">
        <f>IFERROR(__xludf.DUMMYFUNCTION("""COMPUTED_VALUE"""),"Theme track: Generalisation of NLP models")</f>
        <v>Theme track: Generalisation of NLP models</v>
      </c>
      <c r="K2815" s="7"/>
      <c r="L2815" s="8">
        <f>IFERROR(__xludf.DUMMYFUNCTION("""COMPUTED_VALUE"""),45866.0)</f>
        <v>45866</v>
      </c>
      <c r="M2815" s="7" t="str">
        <f>IFERROR(__xludf.DUMMYFUNCTION("""COMPUTED_VALUE"""),"14:00-15:30")</f>
        <v>14:00-15:30</v>
      </c>
      <c r="N2815" s="7">
        <f>IFERROR(__xludf.DUMMYFUNCTION("""COMPUTED_VALUE"""),6.0)</f>
        <v>6</v>
      </c>
    </row>
    <row r="2816">
      <c r="A2816" s="7" t="str">
        <f>IFERROR(__xludf.DUMMYFUNCTION("""COMPUTED_VALUE"""),"3327-MAIN")</f>
        <v>3327-MAIN</v>
      </c>
      <c r="B2816" s="7" t="str">
        <f>IFERROR(__xludf.DUMMYFUNCTION("""COMPUTED_VALUE"""),"Revisiting Uncertainty Quantification Evaluation in Language Models: Spurious Interactions with Response Length Bias Results")</f>
        <v>Revisiting Uncertainty Quantification Evaluation in Language Models: Spurious Interactions with Response Length Bias Results</v>
      </c>
      <c r="C2816" s="7" t="str">
        <f>IFERROR(__xludf.DUMMYFUNCTION("""COMPUTED_VALUE"""),"Uncertainty Quantification (UQ) in Language Models (LMs) is key to improving their safety and reliability. Evaluations often use metrics like AUROC to assess how well UQ methods (e.g., negative sequence probabilities) correlate with task correctness funct"&amp;"ions (e.g., ROUGE-L). We show that mutual biases-when both UQ methods and correctness functions are biased by the same factors-systematically distort evaluation. First, we formally prove that any mutual bias non-randomly skews AUROC rankings, compromising"&amp;" benchmark integrity. Second, we confirm this happens empirically by testing 7 widely used correctness functions, from lexical-based and embedding-based metrics to LM-as-a-judge approaches, across 4 datasets × 4 models × 8 UQ methods. Our analysis showsth"&amp;"at length biases in correctness functions distort UQ assessments by interacting with length biases in UQ methods. We identify LM-as-a-judge methods as the least length-biased, offering a promising path for a fairer UQ evaluation.")</f>
        <v>Uncertainty Quantification (UQ) in Language Models (LMs) is key to improving their safety and reliability. Evaluations often use metrics like AUROC to assess how well UQ methods (e.g., negative sequence probabilities) correlate with task correctness functions (e.g., ROUGE-L). We show that mutual biases-when both UQ methods and correctness functions are biased by the same factors-systematically distort evaluation. First, we formally prove that any mutual bias non-randomly skews AUROC rankings, compromising benchmark integrity. Second, we confirm this happens empirically by testing 7 widely used correctness functions, from lexical-based and embedding-based metrics to LM-as-a-judge approaches, across 4 datasets × 4 models × 8 UQ methods. Our analysis showsthat length biases in correctness functions distort UQ assessments by interacting with length biases in UQ methods. We identify LM-as-a-judge methods as the least length-biased, offering a promising path for a fairer UQ evaluation.</v>
      </c>
      <c r="D2816" s="7" t="str">
        <f>IFERROR(__xludf.DUMMYFUNCTION("""COMPUTED_VALUE"""),"Andrea Santilli")</f>
        <v>Andrea Santilli</v>
      </c>
      <c r="E2816" s="7" t="str">
        <f>IFERROR(__xludf.DUMMYFUNCTION("""COMPUTED_VALUE"""),"Yes")</f>
        <v>Yes</v>
      </c>
      <c r="F2816" s="7" t="str">
        <f>IFERROR(__xludf.DUMMYFUNCTION("""COMPUTED_VALUE"""),"IP-Poster")</f>
        <v>IP-Poster</v>
      </c>
      <c r="G2816" s="7" t="str">
        <f>IFERROR(__xludf.DUMMYFUNCTION("""COMPUTED_VALUE"""),"In-Person")</f>
        <v>In-Person</v>
      </c>
      <c r="H2816" s="7" t="str">
        <f>IFERROR(__xludf.DUMMYFUNCTION("""COMPUTED_VALUE"""),"Hall 4/5")</f>
        <v>Hall 4/5</v>
      </c>
      <c r="I2816" s="7" t="str">
        <f>IFERROR(__xludf.DUMMYFUNCTION("""COMPUTED_VALUE"""),"Session 12: IP-Posters")</f>
        <v>Session 12: IP-Posters</v>
      </c>
      <c r="J2816" s="7" t="str">
        <f>IFERROR(__xludf.DUMMYFUNCTION("""COMPUTED_VALUE"""),"Poster Session 4")</f>
        <v>Poster Session 4</v>
      </c>
      <c r="K2816" s="7"/>
      <c r="L2816" s="8">
        <f>IFERROR(__xludf.DUMMYFUNCTION("""COMPUTED_VALUE"""),45868.0)</f>
        <v>45868</v>
      </c>
      <c r="M2816" s="7" t="str">
        <f>IFERROR(__xludf.DUMMYFUNCTION("""COMPUTED_VALUE"""),"11:00-12:30")</f>
        <v>11:00-12:30</v>
      </c>
      <c r="N2816" s="7"/>
    </row>
    <row r="2817">
      <c r="A2817" s="7" t="str">
        <f>IFERROR(__xludf.DUMMYFUNCTION("""COMPUTED_VALUE"""),"3330-MAIN")</f>
        <v>3330-MAIN</v>
      </c>
      <c r="B2817" s="7" t="str">
        <f>IFERROR(__xludf.DUMMYFUNCTION("""COMPUTED_VALUE"""),"Representation Bending for Large Language Model Safety")</f>
        <v>Representation Bending for Large Language Model Safety</v>
      </c>
      <c r="C2817" s="7" t="str">
        <f>IFERROR(__xludf.DUMMYFUNCTION("""COMPUTED_VALUE"""),"Large Language Models (LLMs) have emerged as powerful tools, but their inherent safety risks -- ranging from harmful content generation to broader societal harms -- pose significant challenges. These risks can be amplified by the recent adversarial attack"&amp;"s, fine-tuning vulnerabilities, and the increasing deployment of LLMs in high-stakes environments. Existing safety-enhancing techniques, such as fine-tuning with human feedback or adversarial training, are still vulnerable as they address specific threats"&amp;" and often fail to generalize across unseen attacks, or require manual system-level defenses. This paper introduces RepBend, a novel approach that fundamentally disrupts the representations underlying harmful behaviors in LLMs, offering a scalable solutio"&amp;"n to enhance (potentially inherent) safety. RepBend brings the idea of activation steering -- simple vector arithmetic for steering model's behavior during inference -- to loss-based fine-tuning. Through extensive evaluation, RepBend achieves state-of-the"&amp;"-art performance, outperforming prior methods such as Circuit Breaker, RMU, and NPO, with up to 95% reduction in attack success rates across diverse jailbreak benchmarks, all with negligible reduction in model usability and general capabilities.")</f>
        <v>Large Language Models (LLMs) have emerged as powerful tools, but their inherent safety risks -- ranging from harmful content generation to broader societal harms -- pose significant challenges. These risks can be amplified by the recent adversarial attacks, fine-tuning vulnerabilities, and the increasing deployment of LLMs in high-stakes environments. Existing safety-enhancing techniques, such as fine-tuning with human feedback or adversarial training, are still vulnerable as they address specific threats and often fail to generalize across unseen attacks, or require manual system-level defenses. This paper introduces RepBend, a novel approach that fundamentally disrupts the representations underlying harmful behaviors in LLMs, offering a scalable solution to enhance (potentially inherent) safety. RepBend brings the idea of activation steering -- simple vector arithmetic for steering model's behavior during inference -- to loss-based fine-tuning. Through extensive evaluation, RepBend achieves state-of-the-art performance, outperforming prior methods such as Circuit Breaker, RMU, and NPO, with up to 95% reduction in attack success rates across diverse jailbreak benchmarks, all with negligible reduction in model usability and general capabilities.</v>
      </c>
      <c r="D2817" s="7" t="str">
        <f>IFERROR(__xludf.DUMMYFUNCTION("""COMPUTED_VALUE"""),"Taeheon Kim")</f>
        <v>Taeheon Kim</v>
      </c>
      <c r="E2817" s="7" t="str">
        <f>IFERROR(__xludf.DUMMYFUNCTION("""COMPUTED_VALUE"""),"Yes")</f>
        <v>Yes</v>
      </c>
      <c r="F2817" s="7" t="str">
        <f>IFERROR(__xludf.DUMMYFUNCTION("""COMPUTED_VALUE"""),"IP-Poster")</f>
        <v>IP-Poster</v>
      </c>
      <c r="G2817" s="7" t="str">
        <f>IFERROR(__xludf.DUMMYFUNCTION("""COMPUTED_VALUE"""),"In-Person")</f>
        <v>In-Person</v>
      </c>
      <c r="H2817" s="7" t="str">
        <f>IFERROR(__xludf.DUMMYFUNCTION("""COMPUTED_VALUE"""),"Hall 4/5")</f>
        <v>Hall 4/5</v>
      </c>
      <c r="I2817" s="7" t="str">
        <f>IFERROR(__xludf.DUMMYFUNCTION("""COMPUTED_VALUE"""),"Session 12: IP-Posters")</f>
        <v>Session 12: IP-Posters</v>
      </c>
      <c r="J2817" s="7" t="str">
        <f>IFERROR(__xludf.DUMMYFUNCTION("""COMPUTED_VALUE"""),"Poster Session 4")</f>
        <v>Poster Session 4</v>
      </c>
      <c r="K2817" s="7"/>
      <c r="L2817" s="8">
        <f>IFERROR(__xludf.DUMMYFUNCTION("""COMPUTED_VALUE"""),45868.0)</f>
        <v>45868</v>
      </c>
      <c r="M2817" s="7" t="str">
        <f>IFERROR(__xludf.DUMMYFUNCTION("""COMPUTED_VALUE"""),"11:00-12:30")</f>
        <v>11:00-12:30</v>
      </c>
      <c r="N2817" s="7"/>
    </row>
    <row r="2818">
      <c r="A2818" s="7" t="str">
        <f>IFERROR(__xludf.DUMMYFUNCTION("""COMPUTED_VALUE"""),"3334-MAIN")</f>
        <v>3334-MAIN</v>
      </c>
      <c r="B2818" s="7" t="str">
        <f>IFERROR(__xludf.DUMMYFUNCTION("""COMPUTED_VALUE"""),"Analyzing LLMs' Cognition of Knowledge Boundary Across Languages Through the Lens of Internal Representation")</f>
        <v>Analyzing LLMs' Cognition of Knowledge Boundary Across Languages Through the Lens of Internal Representation</v>
      </c>
      <c r="C2818" s="7" t="str">
        <f>IFERROR(__xludf.DUMMYFUNCTION("""COMPUTED_VALUE"""),"While understanding the knowledge boundaries of LLMs is crucial to prevent hallucination, research on the knowledge boundaries of LLMs has predominantly focused on English. In this work, we present the first study to analyze how LLMs recognize knowledge b"&amp;"oundaries across different languages by probing their internal representations when processing known and unknown questions in multiple languages. Our empirical studies reveal three key findings: 1) LLMs' perceptions of knowledge boundaries are encoded in "&amp;"the middle to middle-upper layers across different languages. 2) Language differences in knowledge boundary perception follow a linear structure, which motivates our proposal of a training-free alignment method that effectively transfers knowledge boundar"&amp;"y perception ability across languages, thereby helping reduce hallucination risk in low-resource languages; 3) Fine-tuning on bilingual question pair translation further enhances LLMs' recognition of knowledge boundaries across languages. Given the absenc"&amp;"e of standard testbeds for cross-lingual knowledge boundary analysis, we construct a multilingual evaluation suite comprising three representative types of knowledge boundary data. Our code and datasets are publicly available at \url{https://github.com/DA"&amp;"MO-NLP-SG/LLM-Multilingual-Knowledge-Boundaries}.")</f>
        <v>While understanding the knowledge boundaries of LLMs is crucial to prevent hallucination, research on the knowledge boundaries of LLMs has predominantly focused on English. In this work, we present the first study to analyze how LLMs recognize knowledge boundaries across different languages by probing their internal representations when processing known and unknown questions in multiple languages. Our empirical studies reveal three key findings: 1) LLMs' perceptions of knowledge boundaries are encoded in the middle to middle-upper layers across different languages. 2) Language differences in knowledge boundary perception follow a linear structure, which motivates our proposal of a training-free alignment method that effectively transfers knowledge boundary perception ability across languages, thereby helping reduce hallucination risk in low-resource languages; 3) Fine-tuning on bilingual question pair translation further enhances LLMs' recognition of knowledge boundaries across languages. Given the absence of standard testbeds for cross-lingual knowledge boundary analysis, we construct a multilingual evaluation suite comprising three representative types of knowledge boundary data. Our code and datasets are publicly available at \url{https://github.com/DAMO-NLP-SG/LLM-Multilingual-Knowledge-Boundaries}.</v>
      </c>
      <c r="D2818" s="7" t="str">
        <f>IFERROR(__xludf.DUMMYFUNCTION("""COMPUTED_VALUE"""),"Chenghao Xiao")</f>
        <v>Chenghao Xiao</v>
      </c>
      <c r="E2818" s="7" t="str">
        <f>IFERROR(__xludf.DUMMYFUNCTION("""COMPUTED_VALUE"""),"Yes")</f>
        <v>Yes</v>
      </c>
      <c r="F2818" s="7" t="str">
        <f>IFERROR(__xludf.DUMMYFUNCTION("""COMPUTED_VALUE"""),"IP-Poster")</f>
        <v>IP-Poster</v>
      </c>
      <c r="G2818" s="7" t="str">
        <f>IFERROR(__xludf.DUMMYFUNCTION("""COMPUTED_VALUE"""),"In-Person")</f>
        <v>In-Person</v>
      </c>
      <c r="H2818" s="7" t="str">
        <f>IFERROR(__xludf.DUMMYFUNCTION("""COMPUTED_VALUE"""),"Hall 4/5")</f>
        <v>Hall 4/5</v>
      </c>
      <c r="I2818" s="7" t="str">
        <f>IFERROR(__xludf.DUMMYFUNCTION("""COMPUTED_VALUE"""),"Session 7: IP-Posters")</f>
        <v>Session 7: IP-Posters</v>
      </c>
      <c r="J2818" s="7" t="str">
        <f>IFERROR(__xludf.DUMMYFUNCTION("""COMPUTED_VALUE"""),"Poster Session 2")</f>
        <v>Poster Session 2</v>
      </c>
      <c r="K2818" s="7"/>
      <c r="L2818" s="8">
        <f>IFERROR(__xludf.DUMMYFUNCTION("""COMPUTED_VALUE"""),45867.0)</f>
        <v>45867</v>
      </c>
      <c r="M2818" s="7" t="str">
        <f>IFERROR(__xludf.DUMMYFUNCTION("""COMPUTED_VALUE"""),"10:30-12:00")</f>
        <v>10:30-12:00</v>
      </c>
      <c r="N2818" s="7"/>
    </row>
    <row r="2819">
      <c r="A2819" s="7" t="str">
        <f>IFERROR(__xludf.DUMMYFUNCTION("""COMPUTED_VALUE"""),"3346-MAIN")</f>
        <v>3346-MAIN</v>
      </c>
      <c r="B2819" s="7" t="str">
        <f>IFERROR(__xludf.DUMMYFUNCTION("""COMPUTED_VALUE"""),"Enhancing Retrieval-Augmented Generation via Evidence Tree Search")</f>
        <v>Enhancing Retrieval-Augmented Generation via Evidence Tree Search</v>
      </c>
      <c r="C2819" s="7" t="str">
        <f>IFERROR(__xludf.DUMMYFUNCTION("""COMPUTED_VALUE"""),"Retrieval-Augmented Generation (RAG) is widely used to enhance Large Language Models (LLMs) by grounding responses in external knowledge. However, in real-world applications, retrievers often return lengthy documents with redundant or irrelevant content, "&amp;"confusing downstream readers. While evidence retrieval aims to address this by extracting key information, it faces critical challenges: (1) inability to model synergistic inter-dependencies among evidence sentences, (2) lack of supervision for evaluating"&amp;" multi-sentence evidence quality, and (3) computational inefficiency in navigating exponentially growing search spaces of candidate evidence sets. To tackle these challenges, we propose ETS (Evidence Tree Search), a novel framework that reformulates evide"&amp;"nce retrieval as a dynamic tree expansion process. Our approach first constructs an evidence tree where each path represents a candidate evidence set, explicitly modeling inter-sentence dependencies through context-aware node selection. We then leverage M"&amp;"onte Carlo Tree Search (MCTS) to efficiently assess evidence quality and introduce an Early-Terminating Beam Search strategy to efficiently accelerate the model inference. Extensive experiments on five datasets demonstrate that ETS significantly outperfor"&amp;"ms existing methods across different readers. Our code and datasets will be released to facilitate future research.")</f>
        <v>Retrieval-Augmented Generation (RAG) is widely used to enhance Large Language Models (LLMs) by grounding responses in external knowledge. However, in real-world applications, retrievers often return lengthy documents with redundant or irrelevant content, confusing downstream readers. While evidence retrieval aims to address this by extracting key information, it faces critical challenges: (1) inability to model synergistic inter-dependencies among evidence sentences, (2) lack of supervision for evaluating multi-sentence evidence quality, and (3) computational inefficiency in navigating exponentially growing search spaces of candidate evidence sets. To tackle these challenges, we propose ETS (Evidence Tree Search), a novel framework that reformulates evidence retrieval as a dynamic tree expansion process. Our approach first constructs an evidence tree where each path represents a candidate evidence set, explicitly modeling inter-sentence dependencies through context-aware node selection. We then leverage Monte Carlo Tree Search (MCTS) to efficiently assess evidence quality and introduce an Early-Terminating Beam Search strategy to efficiently accelerate the model inference. Extensive experiments on five datasets demonstrate that ETS significantly outperforms existing methods across different readers. Our code and datasets will be released to facilitate future research.</v>
      </c>
      <c r="D2819" s="7" t="str">
        <f>IFERROR(__xludf.DUMMYFUNCTION("""COMPUTED_VALUE"""),"Hao Sun")</f>
        <v>Hao Sun</v>
      </c>
      <c r="E2819" s="7" t="str">
        <f>IFERROR(__xludf.DUMMYFUNCTION("""COMPUTED_VALUE"""),"Yes")</f>
        <v>Yes</v>
      </c>
      <c r="F2819" s="7" t="str">
        <f>IFERROR(__xludf.DUMMYFUNCTION("""COMPUTED_VALUE"""),"IP-Poster")</f>
        <v>IP-Poster</v>
      </c>
      <c r="G2819" s="7" t="str">
        <f>IFERROR(__xludf.DUMMYFUNCTION("""COMPUTED_VALUE"""),"In-Person")</f>
        <v>In-Person</v>
      </c>
      <c r="H2819" s="7" t="str">
        <f>IFERROR(__xludf.DUMMYFUNCTION("""COMPUTED_VALUE"""),"Hall 4/5")</f>
        <v>Hall 4/5</v>
      </c>
      <c r="I2819" s="7" t="str">
        <f>IFERROR(__xludf.DUMMYFUNCTION("""COMPUTED_VALUE"""),"Session 2: IP-Posters ")</f>
        <v>Session 2: IP-Posters </v>
      </c>
      <c r="J2819" s="7" t="str">
        <f>IFERROR(__xludf.DUMMYFUNCTION("""COMPUTED_VALUE"""),"Poster Session 1")</f>
        <v>Poster Session 1</v>
      </c>
      <c r="K2819" s="7"/>
      <c r="L2819" s="8">
        <f>IFERROR(__xludf.DUMMYFUNCTION("""COMPUTED_VALUE"""),45866.0)</f>
        <v>45866</v>
      </c>
      <c r="M2819" s="7" t="str">
        <f>IFERROR(__xludf.DUMMYFUNCTION("""COMPUTED_VALUE"""),"11:00-12:30")</f>
        <v>11:00-12:30</v>
      </c>
      <c r="N2819" s="7"/>
    </row>
    <row r="2820">
      <c r="A2820" s="7" t="str">
        <f>IFERROR(__xludf.DUMMYFUNCTION("""COMPUTED_VALUE"""),"3349-MAIN")</f>
        <v>3349-MAIN</v>
      </c>
      <c r="B2820" s="7" t="str">
        <f>IFERROR(__xludf.DUMMYFUNCTION("""COMPUTED_VALUE"""),"HalluLens: LLM Hallucination Benchmark")</f>
        <v>HalluLens: LLM Hallucination Benchmark</v>
      </c>
      <c r="C2820" s="7" t="str">
        <f>IFERROR(__xludf.DUMMYFUNCTION("""COMPUTED_VALUE"""),"Large language models (LLMs) often generate responses that deviate from user input or training data, a phenomenon known as ""hallucination."" These hallucinations undermine user trust and hinder the adoption of generative AI systems. Addressing hallucinat"&amp;"ions is important for the advancement of LLMs. This paper introduces a comprehensive hallucination benchmark HalluLens, incorporating both extrinsic and intrinsic evaluation tasks, built upon a clear taxonomy of hallucination. A major challenge in benchma"&amp;"rking hallucinations is the lack of a unified framework due to inconsistent definitions and categorizations. We disentangle LLM hallucination from ""factuality"" and propose a taxonomy distinguishing extrinsic and intrinsic hallucinations to promote consi"&amp;"stency and facilitate research. We emphasize extrinsic hallucinations -- where generated content deviates from training data -- as they become increasingly relevant with LLM advancements. However, no benchmark is solely dedicated to extrinsic hallucinatio"&amp;"ns. To address this gap, HalluLens introduces three new extrinsic tasks with dynamic test set generation to mitigate data leakage and ensure robustness. We release codebase for extrinsic hallucination benchmark.")</f>
        <v>Large language models (LLMs) often generate responses that deviate from user input or training data, a phenomenon known as "hallucination." These hallucinations undermine user trust and hinder the adoption of generative AI systems. Addressing hallucinations is important for the advancement of LLMs. This paper introduces a comprehensive hallucination benchmark HalluLens, incorporating both extrinsic and intrinsic evaluation tasks, built upon a clear taxonomy of hallucination. A major challenge in benchmarking hallucinations is the lack of a unified framework due to inconsistent definitions and categorizations. We disentangle LLM hallucination from "factuality" and propose a taxonomy distinguishing extrinsic and intrinsic hallucinations to promote consistency and facilitate research. We emphasize extrinsic hallucinations -- where generated content deviates from training data -- as they become increasingly relevant with LLM advancements. However, no benchmark is solely dedicated to extrinsic hallucinations. To address this gap, HalluLens introduces three new extrinsic tasks with dynamic test set generation to mitigate data leakage and ensure robustness. We release codebase for extrinsic hallucination benchmark.</v>
      </c>
      <c r="D2820" s="7" t="str">
        <f>IFERROR(__xludf.DUMMYFUNCTION("""COMPUTED_VALUE"""),"Yejin Bang")</f>
        <v>Yejin Bang</v>
      </c>
      <c r="E2820" s="7" t="str">
        <f>IFERROR(__xludf.DUMMYFUNCTION("""COMPUTED_VALUE"""),"Yes")</f>
        <v>Yes</v>
      </c>
      <c r="F2820" s="7" t="str">
        <f>IFERROR(__xludf.DUMMYFUNCTION("""COMPUTED_VALUE"""),"IP-Poster")</f>
        <v>IP-Poster</v>
      </c>
      <c r="G2820" s="7" t="str">
        <f>IFERROR(__xludf.DUMMYFUNCTION("""COMPUTED_VALUE"""),"In-Person")</f>
        <v>In-Person</v>
      </c>
      <c r="H2820" s="7" t="str">
        <f>IFERROR(__xludf.DUMMYFUNCTION("""COMPUTED_VALUE"""),"Hall 4/5")</f>
        <v>Hall 4/5</v>
      </c>
      <c r="I2820" s="7" t="str">
        <f>IFERROR(__xludf.DUMMYFUNCTION("""COMPUTED_VALUE"""),"Session 12: IP-Posters")</f>
        <v>Session 12: IP-Posters</v>
      </c>
      <c r="J2820" s="7" t="str">
        <f>IFERROR(__xludf.DUMMYFUNCTION("""COMPUTED_VALUE"""),"Poster Session 4")</f>
        <v>Poster Session 4</v>
      </c>
      <c r="K2820" s="7"/>
      <c r="L2820" s="8">
        <f>IFERROR(__xludf.DUMMYFUNCTION("""COMPUTED_VALUE"""),45868.0)</f>
        <v>45868</v>
      </c>
      <c r="M2820" s="7" t="str">
        <f>IFERROR(__xludf.DUMMYFUNCTION("""COMPUTED_VALUE"""),"11:00-12:30")</f>
        <v>11:00-12:30</v>
      </c>
      <c r="N2820" s="7"/>
    </row>
    <row r="2821">
      <c r="A2821" s="7" t="str">
        <f>IFERROR(__xludf.DUMMYFUNCTION("""COMPUTED_VALUE"""),"3350-MAIN")</f>
        <v>3350-MAIN</v>
      </c>
      <c r="B2821" s="7" t="str">
        <f>IFERROR(__xludf.DUMMYFUNCTION("""COMPUTED_VALUE"""),"DEEPER Insight into Your User: Directed Persona Refinement for Dynamic Persona Modeling")</f>
        <v>DEEPER Insight into Your User: Directed Persona Refinement for Dynamic Persona Modeling</v>
      </c>
      <c r="C2821" s="7" t="str">
        <f>IFERROR(__xludf.DUMMYFUNCTION("""COMPUTED_VALUE"""),"To advance personalized applications such as recommendation systems and user behavior prediction, recent research increasingly adopts large language models (LLMs) for human-readable persona modeling. In dynamic real-world scenarios, effective persona mode"&amp;"ling necessitates leveraging streaming behavior data to continually optimize user personas.However, existing methods—whether regenerating personas or incrementally extending them with new behaviors—often fail to achieve sustained improvements in persona q"&amp;"uality or future behavior prediction accuracy. To address this, we propose DEEPER, a novel approach for dynamic persona modeling that enables continual persona optimization. Specifically, we enhance the model’s direction-search capability through an itera"&amp;"tive reinforcement learning framework, allowing it to automatically identify effective update directions and optimize personas using discrepancies between user behaviors and model predictions.Extensive experiments on dynamic persona modeling involving 4,8"&amp;"00 users across 10 domains highlight \method’s superior persona optimization capabilities, delivering an impressive 32.2% average reduction in user behavior prediction error over four update rounds—outperforming the best baseline by a remarkable 22.92%.")</f>
        <v>To advance personalized applications such as recommendation systems and user behavior prediction, recent research increasingly adopts large language models (LLMs) for human-readable persona modeling. In dynamic real-world scenarios, effective persona modeling necessitates leveraging streaming behavior data to continually optimize user personas.However, existing methods—whether regenerating personas or incrementally extending them with new behaviors—often fail to achieve sustained improvements in persona quality or future behavior prediction accuracy. To address this, we propose DEEPER, a novel approach for dynamic persona modeling that enables continual persona optimization. Specifically, we enhance the model’s direction-search capability through an iterative reinforcement learning framework, allowing it to automatically identify effective update directions and optimize personas using discrepancies between user behaviors and model predictions.Extensive experiments on dynamic persona modeling involving 4,800 users across 10 domains highlight \method’s superior persona optimization capabilities, delivering an impressive 32.2% average reduction in user behavior prediction error over four update rounds—outperforming the best baseline by a remarkable 22.92%.</v>
      </c>
      <c r="D2821" s="7" t="str">
        <f>IFERROR(__xludf.DUMMYFUNCTION("""COMPUTED_VALUE"""),"Aili Chen")</f>
        <v>Aili Chen</v>
      </c>
      <c r="E2821" s="7" t="str">
        <f>IFERROR(__xludf.DUMMYFUNCTION("""COMPUTED_VALUE"""),"Yes")</f>
        <v>Yes</v>
      </c>
      <c r="F2821" s="7" t="str">
        <f>IFERROR(__xludf.DUMMYFUNCTION("""COMPUTED_VALUE"""),"IP-Poster")</f>
        <v>IP-Poster</v>
      </c>
      <c r="G2821" s="7" t="str">
        <f>IFERROR(__xludf.DUMMYFUNCTION("""COMPUTED_VALUE"""),"In-Person")</f>
        <v>In-Person</v>
      </c>
      <c r="H2821" s="7" t="str">
        <f>IFERROR(__xludf.DUMMYFUNCTION("""COMPUTED_VALUE"""),"Hall 4/5")</f>
        <v>Hall 4/5</v>
      </c>
      <c r="I2821" s="7" t="str">
        <f>IFERROR(__xludf.DUMMYFUNCTION("""COMPUTED_VALUE"""),"Session 2: IP-Posters ")</f>
        <v>Session 2: IP-Posters </v>
      </c>
      <c r="J2821" s="7" t="str">
        <f>IFERROR(__xludf.DUMMYFUNCTION("""COMPUTED_VALUE"""),"Poster Session 1")</f>
        <v>Poster Session 1</v>
      </c>
      <c r="K2821" s="7"/>
      <c r="L2821" s="8">
        <f>IFERROR(__xludf.DUMMYFUNCTION("""COMPUTED_VALUE"""),45866.0)</f>
        <v>45866</v>
      </c>
      <c r="M2821" s="7" t="str">
        <f>IFERROR(__xludf.DUMMYFUNCTION("""COMPUTED_VALUE"""),"11:00-12:30")</f>
        <v>11:00-12:30</v>
      </c>
      <c r="N2821" s="7"/>
    </row>
    <row r="2822">
      <c r="A2822" s="7" t="str">
        <f>IFERROR(__xludf.DUMMYFUNCTION("""COMPUTED_VALUE"""),"3351-MAIN")</f>
        <v>3351-MAIN</v>
      </c>
      <c r="B2822" s="7" t="str">
        <f>IFERROR(__xludf.DUMMYFUNCTION("""COMPUTED_VALUE"""),"Asclepius: A Spectrum Evaluation Benchmark for Medical Multi-Modal Large Language Models")</f>
        <v>Asclepius: A Spectrum Evaluation Benchmark for Medical Multi-Modal Large Language Models</v>
      </c>
      <c r="C2822" s="7" t="str">
        <f>IFERROR(__xludf.DUMMYFUNCTION("""COMPUTED_VALUE"""),"The significant breakthroughs of Medical Multi-Modal Large Language Models (Med-MLLMs) renovate modern healthcare with robust information synthesis and medical decision support. However, these models are often evaluated on benchmarks that are unsuitable f"&amp;"or the Med-MLLMs due to the intricate nature of the real-world diagnostic frameworks, which encompass diverse medical specialties and involve complex clinical decisions. Thus, a clinically representative benchmark is highly desirable for credible Med-MLLM"&amp;"s evaluation. To this end, we introduce Asclepius, a novel Med-MLLM benchmark that comprehensively assesses Med-MLLMs in terms of: distinct medical specialties (cardiovascular, gastroenterology, etc.) and different diagnostic capacities (perception, disea"&amp;"se analysis, etc.). Grounded in 3 proposed core principles, Asclepius ensures a comprehensive evaluation by encompassing 15 medical specialties, stratifying into 3 main categories and 8 sub-categories of clinical tasks, and exempting overlap with the exis"&amp;"ting VQA dataset. We further provide an in-depth analysis of 6 Med-MLLMs and compare them with 3 human specialists, providing insights into their competencies and limitations in various medical contexts. Our work not only advances the understanding of Med"&amp;"-MLLMs' capabilities but also sets a precedent for future evaluations and the safe deployment of these models in clinical environments.")</f>
        <v>The significant breakthroughs of Medical Multi-Modal Large Language Models (Med-MLLMs) renovate modern healthcare with robust information synthesis and medical decision support. However, these models are often evaluated on benchmarks that are unsuitable for the Med-MLLMs due to the intricate nature of the real-world diagnostic frameworks, which encompass diverse medical specialties and involve complex clinical decisions. Thus, a clinically representative benchmark is highly desirable for credible Med-MLLMs evaluation. To this end, we introduce Asclepius, a novel Med-MLLM benchmark that comprehensively assesses Med-MLLMs in terms of: distinct medical specialties (cardiovascular, gastroenterology, etc.) and different diagnostic capacities (perception, disease analysis, etc.). Grounded in 3 proposed core principles, Asclepius ensures a comprehensive evaluation by encompassing 15 medical specialties, stratifying into 3 main categories and 8 sub-categories of clinical tasks, and exempting overlap with the existing VQA dataset. We further provide an in-depth analysis of 6 Med-MLLMs and compare them with 3 human specialists, providing insights into their competencies and limitations in various medical contexts. Our work not only advances the understanding of Med-MLLMs' capabilities but also sets a precedent for future evaluations and the safe deployment of these models in clinical environments.</v>
      </c>
      <c r="D2822" s="7" t="str">
        <f>IFERROR(__xludf.DUMMYFUNCTION("""COMPUTED_VALUE"""),"LIU JIE")</f>
        <v>LIU JIE</v>
      </c>
      <c r="E2822" s="7" t="str">
        <f>IFERROR(__xludf.DUMMYFUNCTION("""COMPUTED_VALUE"""),"Yes")</f>
        <v>Yes</v>
      </c>
      <c r="F2822" s="7" t="str">
        <f>IFERROR(__xludf.DUMMYFUNCTION("""COMPUTED_VALUE"""),"IP-Poster")</f>
        <v>IP-Poster</v>
      </c>
      <c r="G2822" s="7" t="str">
        <f>IFERROR(__xludf.DUMMYFUNCTION("""COMPUTED_VALUE"""),"In-Person")</f>
        <v>In-Person</v>
      </c>
      <c r="H2822" s="7" t="str">
        <f>IFERROR(__xludf.DUMMYFUNCTION("""COMPUTED_VALUE"""),"Hall 4/5")</f>
        <v>Hall 4/5</v>
      </c>
      <c r="I2822" s="7" t="str">
        <f>IFERROR(__xludf.DUMMYFUNCTION("""COMPUTED_VALUE"""),"Session 2: IP-Posters ")</f>
        <v>Session 2: IP-Posters </v>
      </c>
      <c r="J2822" s="7" t="str">
        <f>IFERROR(__xludf.DUMMYFUNCTION("""COMPUTED_VALUE"""),"Poster Session 1")</f>
        <v>Poster Session 1</v>
      </c>
      <c r="K2822" s="7"/>
      <c r="L2822" s="8">
        <f>IFERROR(__xludf.DUMMYFUNCTION("""COMPUTED_VALUE"""),45866.0)</f>
        <v>45866</v>
      </c>
      <c r="M2822" s="7" t="str">
        <f>IFERROR(__xludf.DUMMYFUNCTION("""COMPUTED_VALUE"""),"11:00-12:30")</f>
        <v>11:00-12:30</v>
      </c>
      <c r="N2822" s="7"/>
    </row>
    <row r="2823">
      <c r="A2823" s="7" t="str">
        <f>IFERROR(__xludf.DUMMYFUNCTION("""COMPUTED_VALUE"""),"3360-MAIN")</f>
        <v>3360-MAIN</v>
      </c>
      <c r="B2823" s="7" t="str">
        <f>IFERROR(__xludf.DUMMYFUNCTION("""COMPUTED_VALUE"""),"InstructPart: Task-Oriented Part Segmentation with Instruction Reasoning")</f>
        <v>InstructPart: Task-Oriented Part Segmentation with Instruction Reasoning</v>
      </c>
      <c r="C2823" s="7" t="str">
        <f>IFERROR(__xludf.DUMMYFUNCTION("""COMPUTED_VALUE"""),"Large multimodal foundation models, particularly in the domains of language and vision, have significantly advanced various tasks, including robotics, autonomous driving, information retrieval, and grounding. However, many of these models perceive objects"&amp;" as indivisible, overlooking the components that constitute them. Understanding these components and their associated affordances provides valuable insights into an object's functionality, which is fundamental for performing a wide range of tasks. In this"&amp;" work, we introduce a novel real-world benchmark, InstructPart, comprising hand-labeled part segmentation annotations and task-oriented instructions to evaluate the performance of current models in understanding and executing part-level tasks within every"&amp;"day contexts. Through our experiments, we demonstrate that task-oriented part segmentation remains a challenging problem, even for state-of-the-art Vision-Language Models (VLMs). In addition to our benchmark, we introduce a simple baseline that achieves a"&amp;" twofold performance improvement through fine-tuning with our dataset. With our dataset and benchmark, we aim to facilitate research on task-oriented part segmentation and enhance the applicability of VLMs across various domains, including robotics, virtu"&amp;"al reality, information retrieval, and other related fields. Project website: https://zifuwan.github.io/InstructPart/.")</f>
        <v>Large multimodal foundation models, particularly in the domains of language and vision, have significantly advanced various tasks, including robotics, autonomous driving, information retrieval, and grounding. However, many of these models perceive objects as indivisible, overlooking the components that constitute them. Understanding these components and their associated affordances provides valuable insights into an object's functionality, which is fundamental for performing a wide range of tasks. In this work, we introduce a novel real-world benchmark, InstructPart, comprising hand-labeled part segmentation annotations and task-oriented instructions to evaluate the performance of current models in understanding and executing part-level tasks within everyday contexts. Through our experiments, we demonstrate that task-oriented part segmentation remains a challenging problem, even for state-of-the-art Vision-Language Models (VLMs). In addition to our benchmark, we introduce a simple baseline that achieves a twofold performance improvement through fine-tuning with our dataset. With our dataset and benchmark, we aim to facilitate research on task-oriented part segmentation and enhance the applicability of VLMs across various domains, including robotics, virtual reality, information retrieval, and other related fields. Project website: https://zifuwan.github.io/InstructPart/.</v>
      </c>
      <c r="D2823" s="7" t="str">
        <f>IFERROR(__xludf.DUMMYFUNCTION("""COMPUTED_VALUE"""),"Zifu Wan")</f>
        <v>Zifu Wan</v>
      </c>
      <c r="E2823" s="7" t="str">
        <f>IFERROR(__xludf.DUMMYFUNCTION("""COMPUTED_VALUE"""),"Yes")</f>
        <v>Yes</v>
      </c>
      <c r="F2823" s="7" t="str">
        <f>IFERROR(__xludf.DUMMYFUNCTION("""COMPUTED_VALUE"""),"V-Presentation")</f>
        <v>V-Presentation</v>
      </c>
      <c r="G2823" s="7" t="str">
        <f>IFERROR(__xludf.DUMMYFUNCTION("""COMPUTED_VALUE"""),"Virtual/Gather")</f>
        <v>Virtual/Gather</v>
      </c>
      <c r="H2823" s="7" t="str">
        <f>IFERROR(__xludf.DUMMYFUNCTION("""COMPUTED_VALUE"""),"Zoom")</f>
        <v>Zoom</v>
      </c>
      <c r="I2823" s="7" t="str">
        <f>IFERROR(__xludf.DUMMYFUNCTION("""COMPUTED_VALUE"""),"Session 10: V-Presenations")</f>
        <v>Session 10: V-Presenations</v>
      </c>
      <c r="J2823" s="7" t="str">
        <f>IFERROR(__xludf.DUMMYFUNCTION("""COMPUTED_VALUE"""),"Virtual Presentations 3")</f>
        <v>Virtual Presentations 3</v>
      </c>
      <c r="K2823" s="7"/>
      <c r="L2823" s="8">
        <f>IFERROR(__xludf.DUMMYFUNCTION("""COMPUTED_VALUE"""),45867.0)</f>
        <v>45867</v>
      </c>
      <c r="M2823" s="7" t="str">
        <f>IFERROR(__xludf.DUMMYFUNCTION("""COMPUTED_VALUE"""),"16:00-17:30")</f>
        <v>16:00-17:30</v>
      </c>
      <c r="N2823" s="7"/>
    </row>
    <row r="2824">
      <c r="A2824" s="7" t="str">
        <f>IFERROR(__xludf.DUMMYFUNCTION("""COMPUTED_VALUE"""),"3363-MAIN")</f>
        <v>3363-MAIN</v>
      </c>
      <c r="B2824" s="7" t="str">
        <f>IFERROR(__xludf.DUMMYFUNCTION("""COMPUTED_VALUE"""),"GRaMPa: Subword Regularisation by Skewing Uniform Segmentation Distributions with an Efficient Path-counting Markov Model")</f>
        <v>GRaMPa: Subword Regularisation by Skewing Uniform Segmentation Distributions with an Efficient Path-counting Markov Model</v>
      </c>
      <c r="C2824" s="7" t="str">
        <f>IFERROR(__xludf.DUMMYFUNCTION("""COMPUTED_VALUE"""),"Stochastically sampling word segmentations from a subword tokeniser, also called subword regularisation, is a known way to increase robustness of language models to out-of-distribution inputs, such as text containing spelling errors. Recent work has obser"&amp;"ved that usual augmentations that make popular deterministic subword tokenisers stochastic still cause only a handful of all possible segmentations to be sampled. It has been proposed to uniformly sample across these instead, through rejection sampling of"&amp;" paths in an unweighted segmentation graph. In this paper, we argue that uniformly random segmentation in turn skews the distributions of certain segmentational properties (e.g. token lengths and amount of tokens produced) away from uniformity, which stil"&amp;"l ends up hiding meaningfully diverse tokenisations. We propose an alternative uniform sampler using the same segmentation graph, but weighted by counting the paths through it. Our sampling algorithm, GRaMPa, provides hyperparameters allowing sampled toke"&amp;"nisations to skew towards fewer, longer tokens. Furthermore, GRaMPa is single-pass, guaranteeing significantly better computational complexity than previous approaches relying on rejection sampling. We show experimentally that language models trained with"&amp;" GRaMPa outperform existing regularising tokenisers in a data-scarce setting on token-level tasks such as dependency parsing, especially with spelling errors present.")</f>
        <v>Stochastically sampling word segmentations from a subword tokeniser, also called subword regularisation, is a known way to increase robustness of language models to out-of-distribution inputs, such as text containing spelling errors. Recent work has observed that usual augmentations that make popular deterministic subword tokenisers stochastic still cause only a handful of all possible segmentations to be sampled. It has been proposed to uniformly sample across these instead, through rejection sampling of paths in an unweighted segmentation graph. In this paper, we argue that uniformly random segmentation in turn skews the distributions of certain segmentational properties (e.g. token lengths and amount of tokens produced) away from uniformity, which still ends up hiding meaningfully diverse tokenisations. We propose an alternative uniform sampler using the same segmentation graph, but weighted by counting the paths through it. Our sampling algorithm, GRaMPa, provides hyperparameters allowing sampled tokenisations to skew towards fewer, longer tokens. Furthermore, GRaMPa is single-pass, guaranteeing significantly better computational complexity than previous approaches relying on rejection sampling. We show experimentally that language models trained with GRaMPa outperform existing regularising tokenisers in a data-scarce setting on token-level tasks such as dependency parsing, especially with spelling errors present.</v>
      </c>
      <c r="D2824" s="7" t="str">
        <f>IFERROR(__xludf.DUMMYFUNCTION("""COMPUTED_VALUE"""),"Thomas Bauwens")</f>
        <v>Thomas Bauwens</v>
      </c>
      <c r="E2824" s="7" t="str">
        <f>IFERROR(__xludf.DUMMYFUNCTION("""COMPUTED_VALUE"""),"Yes")</f>
        <v>Yes</v>
      </c>
      <c r="F2824" s="7" t="str">
        <f>IFERROR(__xludf.DUMMYFUNCTION("""COMPUTED_VALUE"""),"IP-Oral")</f>
        <v>IP-Oral</v>
      </c>
      <c r="G2824" s="7" t="str">
        <f>IFERROR(__xludf.DUMMYFUNCTION("""COMPUTED_VALUE"""),"In-Person")</f>
        <v>In-Person</v>
      </c>
      <c r="H2824" s="7" t="str">
        <f>IFERROR(__xludf.DUMMYFUNCTION("""COMPUTED_VALUE"""),"Hall M.1")</f>
        <v>Hall M.1</v>
      </c>
      <c r="I2824" s="7" t="str">
        <f>IFERROR(__xludf.DUMMYFUNCTION("""COMPUTED_VALUE"""),"Session 9: IP-Orals")</f>
        <v>Session 9: IP-Orals</v>
      </c>
      <c r="J2824" s="7" t="str">
        <f>IFERROR(__xludf.DUMMYFUNCTION("""COMPUTED_VALUE"""),"Efficient Methods for NLP 1")</f>
        <v>Efficient Methods for NLP 1</v>
      </c>
      <c r="K2824" s="7"/>
      <c r="L2824" s="8">
        <f>IFERROR(__xludf.DUMMYFUNCTION("""COMPUTED_VALUE"""),45867.0)</f>
        <v>45867</v>
      </c>
      <c r="M2824" s="7" t="str">
        <f>IFERROR(__xludf.DUMMYFUNCTION("""COMPUTED_VALUE"""),"14:00-15:30")</f>
        <v>14:00-15:30</v>
      </c>
      <c r="N2824" s="7">
        <f>IFERROR(__xludf.DUMMYFUNCTION("""COMPUTED_VALUE"""),7.0)</f>
        <v>7</v>
      </c>
    </row>
    <row r="2825">
      <c r="A2825" s="7" t="str">
        <f>IFERROR(__xludf.DUMMYFUNCTION("""COMPUTED_VALUE"""),"3365-MAIN")</f>
        <v>3365-MAIN</v>
      </c>
      <c r="B2825" s="7" t="str">
        <f>IFERROR(__xludf.DUMMYFUNCTION("""COMPUTED_VALUE"""),"Evaluating the Evaluation of Diversity in Commonsense Generation")</f>
        <v>Evaluating the Evaluation of Diversity in Commonsense Generation</v>
      </c>
      <c r="C2825" s="7" t="str">
        <f>IFERROR(__xludf.DUMMYFUNCTION("""COMPUTED_VALUE"""),"In commonsense generation, given a set of input concepts, a model must generate a response that is not only commonsense bearing, but also capturing multiple diverse viewpoints. Numerous evaluation metrics based on form- and content-level overlap have been"&amp;" proposed in prior work for evaluating the diversity of a commonsense generation model. However, it remains unclear as to which metrics are best suited for evaluating the diversity in commonsense generation. To address this gap, we conduct a systematic me"&amp;"ta-evaluation of diversity metrics for commonsense generation. We find that form-based diversity metrics tend to consistently overestimate the diversity in sentence sets, where even randomly generated sentences are assigned overly high diversity scores. W"&amp;"e then use an Large Language Model (LLM) to create a novel dataset annotated for the diversity of sentences generated for a commonsense generation task, and use it to conduct a meta-evaluation of the existing diversity evaluation metrics. Our experimental"&amp;" results show that content-based diversity evaluation metrics consistently outperform the form-based counterparts, showing high correlations with the LLM-based ratings. We recommend that future work on commonsense generation should use content-based metri"&amp;"cs for evaluating the diversity of their outputs.")</f>
        <v>In commonsense generation, given a set of input concepts, a model must generate a response that is not only commonsense bearing, but also capturing multiple diverse viewpoints. Numerous evaluation metrics based on form- and content-level overlap have been proposed in prior work for evaluating the diversity of a commonsense generation model. However, it remains unclear as to which metrics are best suited for evaluating the diversity in commonsense generation. To address this gap, we conduct a systematic meta-evaluation of diversity metrics for commonsense generation. We find that form-based diversity metrics tend to consistently overestimate the diversity in sentence sets, where even randomly generated sentences are assigned overly high diversity scores. We then use an Large Language Model (LLM) to create a novel dataset annotated for the diversity of sentences generated for a commonsense generation task, and use it to conduct a meta-evaluation of the existing diversity evaluation metrics. Our experimental results show that content-based diversity evaluation metrics consistently outperform the form-based counterparts, showing high correlations with the LLM-based ratings. We recommend that future work on commonsense generation should use content-based metrics for evaluating the diversity of their outputs.</v>
      </c>
      <c r="D2825" s="7" t="str">
        <f>IFERROR(__xludf.DUMMYFUNCTION("""COMPUTED_VALUE"""),"Tianhui Zhang")</f>
        <v>Tianhui Zhang</v>
      </c>
      <c r="E2825" s="7" t="str">
        <f>IFERROR(__xludf.DUMMYFUNCTION("""COMPUTED_VALUE"""),"Yes")</f>
        <v>Yes</v>
      </c>
      <c r="F2825" s="7" t="str">
        <f>IFERROR(__xludf.DUMMYFUNCTION("""COMPUTED_VALUE"""),"IP-Poster")</f>
        <v>IP-Poster</v>
      </c>
      <c r="G2825" s="7" t="str">
        <f>IFERROR(__xludf.DUMMYFUNCTION("""COMPUTED_VALUE"""),"In-Person")</f>
        <v>In-Person</v>
      </c>
      <c r="H2825" s="7" t="str">
        <f>IFERROR(__xludf.DUMMYFUNCTION("""COMPUTED_VALUE"""),"Hall 4/5")</f>
        <v>Hall 4/5</v>
      </c>
      <c r="I2825" s="7" t="str">
        <f>IFERROR(__xludf.DUMMYFUNCTION("""COMPUTED_VALUE"""),"Session 12: IP-Posters")</f>
        <v>Session 12: IP-Posters</v>
      </c>
      <c r="J2825" s="7" t="str">
        <f>IFERROR(__xludf.DUMMYFUNCTION("""COMPUTED_VALUE"""),"Poster Session 4")</f>
        <v>Poster Session 4</v>
      </c>
      <c r="K2825" s="7"/>
      <c r="L2825" s="8">
        <f>IFERROR(__xludf.DUMMYFUNCTION("""COMPUTED_VALUE"""),45868.0)</f>
        <v>45868</v>
      </c>
      <c r="M2825" s="7" t="str">
        <f>IFERROR(__xludf.DUMMYFUNCTION("""COMPUTED_VALUE"""),"11:00-12:30")</f>
        <v>11:00-12:30</v>
      </c>
      <c r="N2825" s="7"/>
    </row>
    <row r="2826">
      <c r="A2826" s="7" t="str">
        <f>IFERROR(__xludf.DUMMYFUNCTION("""COMPUTED_VALUE"""),"3367-MAIN")</f>
        <v>3367-MAIN</v>
      </c>
      <c r="B2826" s="7" t="str">
        <f>IFERROR(__xludf.DUMMYFUNCTION("""COMPUTED_VALUE"""),"Generate First, Then Sample: Enhancing Fake News Detection with LLM-Augmented Reinforced Sampling")</f>
        <v>Generate First, Then Sample: Enhancing Fake News Detection with LLM-Augmented Reinforced Sampling</v>
      </c>
      <c r="C2826" s="7" t="str">
        <f>IFERROR(__xludf.DUMMYFUNCTION("""COMPUTED_VALUE"""),"The spread of fake news on online platforms has long been a pressing concern. Considering this, extensive efforts have been made to develop fake news detectors. However, a major drawback of these models is their relatively low performance—lagging by more "&amp;"than 20%—in identifying *fake* news compared to *real* news, making them less suitable for practical deployment. This gap is likely due to an imbalance in the dataset and the model’s inadequate understanding of data distribution on the targeted platform. "&amp;"In this work, we focus on improving the model's effectiveness in detecting *fake* news. To achieve this, we **first** adopt an LLM to **generate** fake news in three different styles, which are later incorporated into the training set to augment the repre"&amp;"sentation of fake news. **Then**, we apply Reinforcement Learning to dynamically **sample** fake news, allowing the model to learn the optimal real-to-fake news ratio for training an effective fake news detector on the targeted platform.  This approach al"&amp;"lows our model to perform effectively even with a limited amount of annotated news data and consistently improve detection accuracy across different platforms. Experimental results demonstrate that our approach achieves state-of-the-art performance on two"&amp;" benchmark datasets, improving *fake* news detection performance by 24.02% and 11.06% respectively.")</f>
        <v>The spread of fake news on online platforms has long been a pressing concern. Considering this, extensive efforts have been made to develop fake news detectors. However, a major drawback of these models is their relatively low performance—lagging by more than 20%—in identifying *fake* news compared to *real* news, making them less suitable for practical deployment. This gap is likely due to an imbalance in the dataset and the model’s inadequate understanding of data distribution on the targeted platform. In this work, we focus on improving the model's effectiveness in detecting *fake* news. To achieve this, we **first** adopt an LLM to **generate** fake news in three different styles, which are later incorporated into the training set to augment the representation of fake news. **Then**, we apply Reinforcement Learning to dynamically **sample** fake news, allowing the model to learn the optimal real-to-fake news ratio for training an effective fake news detector on the targeted platform.  This approach allows our model to perform effectively even with a limited amount of annotated news data and consistently improve detection accuracy across different platforms. Experimental results demonstrate that our approach achieves state-of-the-art performance on two benchmark datasets, improving *fake* news detection performance by 24.02% and 11.06% respectively.</v>
      </c>
      <c r="D2826" s="7" t="str">
        <f>IFERROR(__xludf.DUMMYFUNCTION("""COMPUTED_VALUE"""),"Zhao Tong")</f>
        <v>Zhao Tong</v>
      </c>
      <c r="E2826" s="7" t="str">
        <f>IFERROR(__xludf.DUMMYFUNCTION("""COMPUTED_VALUE"""),"Yes")</f>
        <v>Yes</v>
      </c>
      <c r="F2826" s="7" t="str">
        <f>IFERROR(__xludf.DUMMYFUNCTION("""COMPUTED_VALUE"""),"IP-Oral")</f>
        <v>IP-Oral</v>
      </c>
      <c r="G2826" s="7" t="str">
        <f>IFERROR(__xludf.DUMMYFUNCTION("""COMPUTED_VALUE"""),"In-Person")</f>
        <v>In-Person</v>
      </c>
      <c r="H2826" s="7" t="str">
        <f>IFERROR(__xludf.DUMMYFUNCTION("""COMPUTED_VALUE"""),"Hall B")</f>
        <v>Hall B</v>
      </c>
      <c r="I2826" s="7" t="str">
        <f>IFERROR(__xludf.DUMMYFUNCTION("""COMPUTED_VALUE"""),"Session 3: IP-Orals")</f>
        <v>Session 3: IP-Orals</v>
      </c>
      <c r="J2826" s="7" t="str">
        <f>IFERROR(__xludf.DUMMYFUNCTION("""COMPUTED_VALUE"""),"NLP Applications 1")</f>
        <v>NLP Applications 1</v>
      </c>
      <c r="K2826" s="7"/>
      <c r="L2826" s="8">
        <f>IFERROR(__xludf.DUMMYFUNCTION("""COMPUTED_VALUE"""),45866.0)</f>
        <v>45866</v>
      </c>
      <c r="M2826" s="7" t="str">
        <f>IFERROR(__xludf.DUMMYFUNCTION("""COMPUTED_VALUE"""),"14:00-15:30")</f>
        <v>14:00-15:30</v>
      </c>
      <c r="N2826" s="7">
        <f>IFERROR(__xludf.DUMMYFUNCTION("""COMPUTED_VALUE"""),6.0)</f>
        <v>6</v>
      </c>
    </row>
    <row r="2827">
      <c r="A2827" s="7" t="str">
        <f>IFERROR(__xludf.DUMMYFUNCTION("""COMPUTED_VALUE"""),"3374-MAIN")</f>
        <v>3374-MAIN</v>
      </c>
      <c r="B2827" s="7" t="str">
        <f>IFERROR(__xludf.DUMMYFUNCTION("""COMPUTED_VALUE"""),"ChemActor: Enhancing Automated Extraction of Chemical Synthesis Actions with LLM-Generated Data")</f>
        <v>ChemActor: Enhancing Automated Extraction of Chemical Synthesis Actions with LLM-Generated Data</v>
      </c>
      <c r="C2827" s="7" t="str">
        <f>IFERROR(__xludf.DUMMYFUNCTION("""COMPUTED_VALUE"""),"With the increasing interest in robotic synthesis in the context of organic chemistry, the automated extraction of chemical procedures from literature is critical. However, this task remains challenging due to the inherent ambiguity of chemical language a"&amp;"nd the high cost of human annotation required for developing reliable computer-aided extraction protocols. Here, we present \textbf{ChemActor}, a fully fine-tuned large language model (LLM), as a chemical executor to convert between unstructured experimen"&amp;"tal procedures and structured action sequences. We propose a sequential LLM-generated data framework to address the challenges of insufficient and low-quality annotated data. This framework integrates a data selection module that selects data based on dis"&amp;"tribution divergence, with a general-purpose LLM, to generate machine-executable actions from a single molecule input. Additionally, we introduce a novel multi-round LLMs circle review metric, which reflects the model's advanced understanding of chemical "&amp;"experimental procedures. Extensive experiments on reaction-to-description (R2D) and description-to-action (D2A) tasks demonstrate that ChemActor, augmented by LLM-generated data, achieves state-of-the-art performance, outperforming the baseline model by 1"&amp;"0\%. The code is available at: https://github.com/Zhanghahah/ChemActor.")</f>
        <v>With the increasing interest in robotic synthesis in the context of organic chemistry, the automated extraction of chemical procedures from literature is critical. However, this task remains challenging due to the inherent ambiguity of chemical language and the high cost of human annotation required for developing reliable computer-aided extraction protocols. Here, we present \textbf{ChemActor}, a fully fine-tuned large language model (LLM), as a chemical executor to convert between unstructured experimental procedures and structured action sequences. We propose a sequential LLM-generated data framework to address the challenges of insufficient and low-quality annotated data. This framework integrates a data selection module that selects data based on distribution divergence, with a general-purpose LLM, to generate machine-executable actions from a single molecule input. Additionally, we introduce a novel multi-round LLMs circle review metric, which reflects the model's advanced understanding of chemical experimental procedures. Extensive experiments on reaction-to-description (R2D) and description-to-action (D2A) tasks demonstrate that ChemActor, augmented by LLM-generated data, achieves state-of-the-art performance, outperforming the baseline model by 10\%. The code is available at: https://github.com/Zhanghahah/ChemActor.</v>
      </c>
      <c r="D2827" s="7" t="str">
        <f>IFERROR(__xludf.DUMMYFUNCTION("""COMPUTED_VALUE"""),"Yu Zhang")</f>
        <v>Yu Zhang</v>
      </c>
      <c r="E2827" s="7" t="str">
        <f>IFERROR(__xludf.DUMMYFUNCTION("""COMPUTED_VALUE"""),"Yes")</f>
        <v>Yes</v>
      </c>
      <c r="F2827" s="7" t="str">
        <f>IFERROR(__xludf.DUMMYFUNCTION("""COMPUTED_VALUE"""),"IP-Poster")</f>
        <v>IP-Poster</v>
      </c>
      <c r="G2827" s="7" t="str">
        <f>IFERROR(__xludf.DUMMYFUNCTION("""COMPUTED_VALUE"""),"In-Person")</f>
        <v>In-Person</v>
      </c>
      <c r="H2827" s="7" t="str">
        <f>IFERROR(__xludf.DUMMYFUNCTION("""COMPUTED_VALUE"""),"Hall 4/5")</f>
        <v>Hall 4/5</v>
      </c>
      <c r="I2827" s="7" t="str">
        <f>IFERROR(__xludf.DUMMYFUNCTION("""COMPUTED_VALUE"""),"Session 7: IP-Posters")</f>
        <v>Session 7: IP-Posters</v>
      </c>
      <c r="J2827" s="7" t="str">
        <f>IFERROR(__xludf.DUMMYFUNCTION("""COMPUTED_VALUE"""),"Poster Session 2")</f>
        <v>Poster Session 2</v>
      </c>
      <c r="K2827" s="7"/>
      <c r="L2827" s="8">
        <f>IFERROR(__xludf.DUMMYFUNCTION("""COMPUTED_VALUE"""),45867.0)</f>
        <v>45867</v>
      </c>
      <c r="M2827" s="7" t="str">
        <f>IFERROR(__xludf.DUMMYFUNCTION("""COMPUTED_VALUE"""),"10:30-12:00")</f>
        <v>10:30-12:00</v>
      </c>
      <c r="N2827" s="7"/>
    </row>
    <row r="2828">
      <c r="A2828" s="7" t="str">
        <f>IFERROR(__xludf.DUMMYFUNCTION("""COMPUTED_VALUE"""),"3378-MAIN")</f>
        <v>3378-MAIN</v>
      </c>
      <c r="B2828" s="7" t="str">
        <f>IFERROR(__xludf.DUMMYFUNCTION("""COMPUTED_VALUE"""),"Towards Fully Exploiting LLM Internal States to Enhance Knowledge Boundary Perception")</f>
        <v>Towards Fully Exploiting LLM Internal States to Enhance Knowledge Boundary Perception</v>
      </c>
      <c r="C2828" s="7" t="str">
        <f>IFERROR(__xludf.DUMMYFUNCTION("""COMPUTED_VALUE"""),"Large language models (LLMs) exhibit impressive performance across diverse tasks but often struggle to accurately gauge their knowledge boundaries, leading to confident yet incorrect responses. This paper explores leveraging LLMs' internal states to enhan"&amp;"ce their perception of knowledge boundaries from efficiency and risk perspectives. We investigate whether LLMs can estimate their confidence using internal states before response generation, potentially saving computational resources. Our experiments on d"&amp;"atasets like Natural Questions, HotpotQA, and MMLU reveal that LLMs demonstrate significant pre-generation perception, which is further refined post-generation, with perception gaps remaining stable across varying conditions. To mitigate risks in critical"&amp;" domains, we introduce Consistency-based Confidence Calibration ($C^3$), which assesses confidence consistency through question reformulation. $C^3$ significantly improves LLMs' ability to recognize their knowledge gaps, enhancing the unknown perception r"&amp;"ate by 5.6\% on NQ and 4.9\% on HotpotQA. Our findings suggest that pre-generation confidence estimation can optimize efficiency, while $C^3$ effectively controls output risks, advancing the reliability of LLMs in practical applications.")</f>
        <v>Large language models (LLMs) exhibit impressive performance across diverse tasks but often struggle to accurately gauge their knowledge boundaries, leading to confident yet incorrect responses. This paper explores leveraging LLMs' internal states to enhance their perception of knowledge boundaries from efficiency and risk perspectives. We investigate whether LLMs can estimate their confidence using internal states before response generation, potentially saving computational resources. Our experiments on datasets like Natural Questions, HotpotQA, and MMLU reveal that LLMs demonstrate significant pre-generation perception, which is further refined post-generation, with perception gaps remaining stable across varying conditions. To mitigate risks in critical domains, we introduce Consistency-based Confidence Calibration ($C^3$), which assesses confidence consistency through question reformulation. $C^3$ significantly improves LLMs' ability to recognize their knowledge gaps, enhancing the unknown perception rate by 5.6\% on NQ and 4.9\% on HotpotQA. Our findings suggest that pre-generation confidence estimation can optimize efficiency, while $C^3$ effectively controls output risks, advancing the reliability of LLMs in practical applications.</v>
      </c>
      <c r="D2828" s="7" t="str">
        <f>IFERROR(__xludf.DUMMYFUNCTION("""COMPUTED_VALUE"""),"Shiyu Ni")</f>
        <v>Shiyu Ni</v>
      </c>
      <c r="E2828" s="7" t="str">
        <f>IFERROR(__xludf.DUMMYFUNCTION("""COMPUTED_VALUE"""),"Yes")</f>
        <v>Yes</v>
      </c>
      <c r="F2828" s="7" t="str">
        <f>IFERROR(__xludf.DUMMYFUNCTION("""COMPUTED_VALUE"""),"IP-Poster")</f>
        <v>IP-Poster</v>
      </c>
      <c r="G2828" s="7" t="str">
        <f>IFERROR(__xludf.DUMMYFUNCTION("""COMPUTED_VALUE"""),"In-Person")</f>
        <v>In-Person</v>
      </c>
      <c r="H2828" s="7" t="str">
        <f>IFERROR(__xludf.DUMMYFUNCTION("""COMPUTED_VALUE"""),"Hall 4/5")</f>
        <v>Hall 4/5</v>
      </c>
      <c r="I2828" s="7" t="str">
        <f>IFERROR(__xludf.DUMMYFUNCTION("""COMPUTED_VALUE"""),"Session 12: IP-Posters")</f>
        <v>Session 12: IP-Posters</v>
      </c>
      <c r="J2828" s="7" t="str">
        <f>IFERROR(__xludf.DUMMYFUNCTION("""COMPUTED_VALUE"""),"Poster Session 4")</f>
        <v>Poster Session 4</v>
      </c>
      <c r="K2828" s="7"/>
      <c r="L2828" s="8">
        <f>IFERROR(__xludf.DUMMYFUNCTION("""COMPUTED_VALUE"""),45868.0)</f>
        <v>45868</v>
      </c>
      <c r="M2828" s="7" t="str">
        <f>IFERROR(__xludf.DUMMYFUNCTION("""COMPUTED_VALUE"""),"11:00-12:30")</f>
        <v>11:00-12:30</v>
      </c>
      <c r="N2828" s="7"/>
    </row>
    <row r="2829">
      <c r="A2829" s="7" t="str">
        <f>IFERROR(__xludf.DUMMYFUNCTION("""COMPUTED_VALUE"""),"3383-MAIN")</f>
        <v>3383-MAIN</v>
      </c>
      <c r="B2829" s="7" t="str">
        <f>IFERROR(__xludf.DUMMYFUNCTION("""COMPUTED_VALUE"""),"ALGEN: Few-shot Inversion Attacks on Textual Embeddings using Alignment and Generation")</f>
        <v>ALGEN: Few-shot Inversion Attacks on Textual Embeddings using Alignment and Generation</v>
      </c>
      <c r="C2829" s="7" t="str">
        <f>IFERROR(__xludf.DUMMYFUNCTION("""COMPUTED_VALUE"""),"With the growing popularity of Large Language Models (LLMs) and vector databases, private textual data is increasingly processed and stored as numerical embeddings. However, recent studies have proven that such embeddings are vulnerable to inversion attac"&amp;"ks, where original text is reconstructed to reveal sensitive information. Previous research has largely assumed access to millions of sentences to train attack models, e.g., through data leakage or nearly unrestricted API access. With our method, a single"&amp;" data point is sufficient for a partially successful inversion attack. With as little as 1k data samples, performance reaches an optimum across a range of black-box encoders, without training on leaked data. We present a Few-shot Textual Embedding Inversi"&amp;"on Attack using Cross-Model **AL**ignment and **GEN**eration (__ALGEN__), by aligning victim embeddings to the attack space and using a generative model to reconstruct text. We find that __ALGEN__ attacks can be effectively transferred across domains and "&amp;"languages, revealing key information. We further examine a variety of defense mechanisms against **ALGEN**, and find that none are effective, highlighting the vulnerabilities posed by inversion attacks. By significantly lowering the cost of inversion and "&amp;"proving that embedding spaces can be aligned through one-step optimization, we establish a new textual embedding inversion paradigm with broader applications for embedding alignment in NLP.")</f>
        <v>With the growing popularity of Large Language Models (LLMs) and vector databases, private textual data is increasingly processed and stored as numerical embeddings. However, recent studies have proven that such embeddings are vulnerable to inversion attacks, where original text is reconstructed to reveal sensitive information. Previous research has largely assumed access to millions of sentences to train attack models, e.g., through data leakage or nearly unrestricted API access. With our method, a single data point is sufficient for a partially successful inversion attack. With as little as 1k data samples, performance reaches an optimum across a range of black-box encoders, without training on leaked data. We present a Few-shot Textual Embedding Inversion Attack using Cross-Model **AL**ignment and **GEN**eration (__ALGEN__), by aligning victim embeddings to the attack space and using a generative model to reconstruct text. We find that __ALGEN__ attacks can be effectively transferred across domains and languages, revealing key information. We further examine a variety of defense mechanisms against **ALGEN**, and find that none are effective, highlighting the vulnerabilities posed by inversion attacks. By significantly lowering the cost of inversion and proving that embedding spaces can be aligned through one-step optimization, we establish a new textual embedding inversion paradigm with broader applications for embedding alignment in NLP.</v>
      </c>
      <c r="D2829" s="7" t="str">
        <f>IFERROR(__xludf.DUMMYFUNCTION("""COMPUTED_VALUE"""),"Yiyi Chen")</f>
        <v>Yiyi Chen</v>
      </c>
      <c r="E2829" s="7" t="str">
        <f>IFERROR(__xludf.DUMMYFUNCTION("""COMPUTED_VALUE"""),"Yes")</f>
        <v>Yes</v>
      </c>
      <c r="F2829" s="7" t="str">
        <f>IFERROR(__xludf.DUMMYFUNCTION("""COMPUTED_VALUE"""),"IP-Poster")</f>
        <v>IP-Poster</v>
      </c>
      <c r="G2829" s="7" t="str">
        <f>IFERROR(__xludf.DUMMYFUNCTION("""COMPUTED_VALUE"""),"In-Person")</f>
        <v>In-Person</v>
      </c>
      <c r="H2829" s="7" t="str">
        <f>IFERROR(__xludf.DUMMYFUNCTION("""COMPUTED_VALUE"""),"Hall 4/5")</f>
        <v>Hall 4/5</v>
      </c>
      <c r="I2829" s="7" t="str">
        <f>IFERROR(__xludf.DUMMYFUNCTION("""COMPUTED_VALUE"""),"Session 7: IP-Posters")</f>
        <v>Session 7: IP-Posters</v>
      </c>
      <c r="J2829" s="7" t="str">
        <f>IFERROR(__xludf.DUMMYFUNCTION("""COMPUTED_VALUE"""),"Poster Session 2")</f>
        <v>Poster Session 2</v>
      </c>
      <c r="K2829" s="7"/>
      <c r="L2829" s="8">
        <f>IFERROR(__xludf.DUMMYFUNCTION("""COMPUTED_VALUE"""),45867.0)</f>
        <v>45867</v>
      </c>
      <c r="M2829" s="7" t="str">
        <f>IFERROR(__xludf.DUMMYFUNCTION("""COMPUTED_VALUE"""),"10:30-12:00")</f>
        <v>10:30-12:00</v>
      </c>
      <c r="N2829" s="7"/>
    </row>
    <row r="2830">
      <c r="A2830" s="7" t="str">
        <f>IFERROR(__xludf.DUMMYFUNCTION("""COMPUTED_VALUE"""),"3385-MAIN")</f>
        <v>3385-MAIN</v>
      </c>
      <c r="B2830" s="7" t="str">
        <f>IFERROR(__xludf.DUMMYFUNCTION("""COMPUTED_VALUE"""),"Decoding on Graphs: Faithful and Sound Reasoning on Knowledge Graphs through Generation of Well-Formed Chains")</f>
        <v>Decoding on Graphs: Faithful and Sound Reasoning on Knowledge Graphs through Generation of Well-Formed Chains</v>
      </c>
      <c r="C2830" s="7" t="str">
        <f>IFERROR(__xludf.DUMMYFUNCTION("""COMPUTED_VALUE"""),"Knowledge Graphs (KGs) can serve as reliable knowledge sources for question answering (QA) due to their structured representation of knowledge. Existing research on the utilization of KG for large language models (LLMs) prevalently relies on subgraph retr"&amp;"iever or iterative prompting, overlooking the potential synergy of LLMs' step-wise reasoning capabilities and KGs' structural nature. In this paper, we present DoG (Decoding on Graph), a novel framework that facilitates a deep synergy between LLMs and KGs"&amp;". We first define a concept, well-formed chain, which consists of a sequence of interrelated fact triplets on the KGs, starting from question entities and leading to answers. We argue that this concept can serve as a principle for making faithful and soun"&amp;"d reasoning for KGQA. To enable LLMs to generate well-formed chains, we propose graph-aware constrained decoding, in which a constraint derived from the topology of the KG regulates the decoding process of the LLMs. This constrained decoding method ensure"&amp;"s the generation of well-formed chains while making full use of the step-wise reasoning capabilities of LLMs. Based on the above, DoG, a training-free approach, is able to provide faithful and sound reasoning trajectories grounded on the KGs. Experiments "&amp;"across various KGQA tasks with different background KGs demonstrate that DoG achieves superior and robust performance. DoG also shows general applicability with various open-source LLMs.")</f>
        <v>Knowledge Graphs (KGs) can serve as reliable knowledge sources for question answering (QA) due to their structured representation of knowledge. Existing research on the utilization of KG for large language models (LLMs) prevalently relies on subgraph retriever or iterative prompting, overlooking the potential synergy of LLMs' step-wise reasoning capabilities and KGs' structural nature. In this paper, we present DoG (Decoding on Graph), a novel framework that facilitates a deep synergy between LLMs and KGs. We first define a concept, well-formed chain, which consists of a sequence of interrelated fact triplets on the KGs, starting from question entities and leading to answers. We argue that this concept can serve as a principle for making faithful and sound reasoning for KGQA. To enable LLMs to generate well-formed chains, we propose graph-aware constrained decoding, in which a constraint derived from the topology of the KG regulates the decoding process of the LLMs. This constrained decoding method ensures the generation of well-formed chains while making full use of the step-wise reasoning capabilities of LLMs. Based on the above, DoG, a training-free approach, is able to provide faithful and sound reasoning trajectories grounded on the KGs. Experiments across various KGQA tasks with different background KGs demonstrate that DoG achieves superior and robust performance. DoG also shows general applicability with various open-source LLMs.</v>
      </c>
      <c r="D2830" s="7" t="str">
        <f>IFERROR(__xludf.DUMMYFUNCTION("""COMPUTED_VALUE"""),"Kun Li")</f>
        <v>Kun Li</v>
      </c>
      <c r="E2830" s="7" t="str">
        <f>IFERROR(__xludf.DUMMYFUNCTION("""COMPUTED_VALUE"""),"Yes")</f>
        <v>Yes</v>
      </c>
      <c r="F2830" s="7" t="str">
        <f>IFERROR(__xludf.DUMMYFUNCTION("""COMPUTED_VALUE"""),"IP-Poster")</f>
        <v>IP-Poster</v>
      </c>
      <c r="G2830" s="7" t="str">
        <f>IFERROR(__xludf.DUMMYFUNCTION("""COMPUTED_VALUE"""),"In-Person")</f>
        <v>In-Person</v>
      </c>
      <c r="H2830" s="7" t="str">
        <f>IFERROR(__xludf.DUMMYFUNCTION("""COMPUTED_VALUE"""),"Hall 4/5")</f>
        <v>Hall 4/5</v>
      </c>
      <c r="I2830" s="7" t="str">
        <f>IFERROR(__xludf.DUMMYFUNCTION("""COMPUTED_VALUE"""),"Session 7: IP-Posters")</f>
        <v>Session 7: IP-Posters</v>
      </c>
      <c r="J2830" s="7" t="str">
        <f>IFERROR(__xludf.DUMMYFUNCTION("""COMPUTED_VALUE"""),"Poster Session 2")</f>
        <v>Poster Session 2</v>
      </c>
      <c r="K2830" s="7"/>
      <c r="L2830" s="8">
        <f>IFERROR(__xludf.DUMMYFUNCTION("""COMPUTED_VALUE"""),45867.0)</f>
        <v>45867</v>
      </c>
      <c r="M2830" s="7" t="str">
        <f>IFERROR(__xludf.DUMMYFUNCTION("""COMPUTED_VALUE"""),"10:30-12:00")</f>
        <v>10:30-12:00</v>
      </c>
      <c r="N2830" s="7"/>
    </row>
    <row r="2831">
      <c r="A2831" s="7" t="str">
        <f>IFERROR(__xludf.DUMMYFUNCTION("""COMPUTED_VALUE"""),"3387-MAIN")</f>
        <v>3387-MAIN</v>
      </c>
      <c r="B2831" s="7" t="str">
        <f>IFERROR(__xludf.DUMMYFUNCTION("""COMPUTED_VALUE"""),"STaR-SQL: Self-Taught Reasoner for Text-to-SQL")</f>
        <v>STaR-SQL: Self-Taught Reasoner for Text-to-SQL</v>
      </c>
      <c r="C2831" s="7" t="str">
        <f>IFERROR(__xludf.DUMMYFUNCTION("""COMPUTED_VALUE"""),"Generating step-by-step “chain-of-thought” rationales has proven effective for improving the performance of large language models on complex reasoning tasks. However, applying such techniques to structured tasks, such as text-to-SQL, remains largely unexp"&amp;"lored. In this paper, we introduce Self-Taught Reasoner for text-to-SQL (STaR-SQL), a novel approach that reframes SQL query generation as a reasoning-driven process. Our method prompts the LLM to produce detailed reasoning steps for SQL queries and fine-"&amp;"tunes it on rationales that lead to correct outcomes. Unlike traditional methods, STaR-SQL dedicates additional test-time computation to reasoning, thereby positioning LLMs as spontaneous reasoners rather than mere prompt-based agents. To further scale th"&amp;"e inference process, we incorporate an outcome-supervised reward model (ORM) as a verifier, which enhances SQL query accuracy. Experimental results on the challenging Spider benchmark demonstrate that STaR-SQL significantly improves text-to-SQL performanc"&amp;"e, achieving an execution accuracy of 86.6\%. This surpasses a few-shot baseline by 31.6\% and a baseline fine-tuned to predict answers directly by 18.0\%. Additionally, STaR-SQL outperforms agent-like prompting methods that leverage more powerful yet clo"&amp;"sed-source models such as GPT-4. These findings underscore the potential of reasoning-augmented training for structured tasks and open the door to extending self-improving reasoning models to text-to-SQL generation and beyond.")</f>
        <v>Generating step-by-step “chain-of-thought” rationales has proven effective for improving the performance of large language models on complex reasoning tasks. However, applying such techniques to structured tasks, such as text-to-SQL, remains largely unexplored. In this paper, we introduce Self-Taught Reasoner for text-to-SQL (STaR-SQL), a novel approach that reframes SQL query generation as a reasoning-driven process. Our method prompts the LLM to produce detailed reasoning steps for SQL queries and fine-tunes it on rationales that lead to correct outcomes. Unlike traditional methods, STaR-SQL dedicates additional test-time computation to reasoning, thereby positioning LLMs as spontaneous reasoners rather than mere prompt-based agents. To further scale the inference process, we incorporate an outcome-supervised reward model (ORM) as a verifier, which enhances SQL query accuracy. Experimental results on the challenging Spider benchmark demonstrate that STaR-SQL significantly improves text-to-SQL performance, achieving an execution accuracy of 86.6\%. This surpasses a few-shot baseline by 31.6\% and a baseline fine-tuned to predict answers directly by 18.0\%. Additionally, STaR-SQL outperforms agent-like prompting methods that leverage more powerful yet closed-source models such as GPT-4. These findings underscore the potential of reasoning-augmented training for structured tasks and open the door to extending self-improving reasoning models to text-to-SQL generation and beyond.</v>
      </c>
      <c r="D2831" s="7" t="str">
        <f>IFERROR(__xludf.DUMMYFUNCTION("""COMPUTED_VALUE"""),"Mingqian He")</f>
        <v>Mingqian He</v>
      </c>
      <c r="E2831" s="7" t="str">
        <f>IFERROR(__xludf.DUMMYFUNCTION("""COMPUTED_VALUE"""),"Yes")</f>
        <v>Yes</v>
      </c>
      <c r="F2831" s="7" t="str">
        <f>IFERROR(__xludf.DUMMYFUNCTION("""COMPUTED_VALUE"""),"V-Presentation")</f>
        <v>V-Presentation</v>
      </c>
      <c r="G2831" s="7" t="str">
        <f>IFERROR(__xludf.DUMMYFUNCTION("""COMPUTED_VALUE"""),"Virtual/Gather")</f>
        <v>Virtual/Gather</v>
      </c>
      <c r="H2831" s="7" t="str">
        <f>IFERROR(__xludf.DUMMYFUNCTION("""COMPUTED_VALUE"""),"Zoom")</f>
        <v>Zoom</v>
      </c>
      <c r="I2831" s="7" t="str">
        <f>IFERROR(__xludf.DUMMYFUNCTION("""COMPUTED_VALUE"""),"Session 10: V-Presenations")</f>
        <v>Session 10: V-Presenations</v>
      </c>
      <c r="J2831" s="7" t="str">
        <f>IFERROR(__xludf.DUMMYFUNCTION("""COMPUTED_VALUE"""),"Virtual Presentations 3")</f>
        <v>Virtual Presentations 3</v>
      </c>
      <c r="K2831" s="7"/>
      <c r="L2831" s="8">
        <f>IFERROR(__xludf.DUMMYFUNCTION("""COMPUTED_VALUE"""),45867.0)</f>
        <v>45867</v>
      </c>
      <c r="M2831" s="7" t="str">
        <f>IFERROR(__xludf.DUMMYFUNCTION("""COMPUTED_VALUE"""),"16:00-17:30")</f>
        <v>16:00-17:30</v>
      </c>
      <c r="N2831" s="7"/>
    </row>
    <row r="2832">
      <c r="A2832" s="7" t="str">
        <f>IFERROR(__xludf.DUMMYFUNCTION("""COMPUTED_VALUE"""),"3395-MAIN")</f>
        <v>3395-MAIN</v>
      </c>
      <c r="B2832" s="7" t="str">
        <f>IFERROR(__xludf.DUMMYFUNCTION("""COMPUTED_VALUE"""),"Fairness Beyond Performance: Investigating Reliability Disparities Across Groups in Legal NLP")</f>
        <v>Fairness Beyond Performance: Investigating Reliability Disparities Across Groups in Legal NLP</v>
      </c>
      <c r="C2832" s="7" t="str">
        <f>IFERROR(__xludf.DUMMYFUNCTION("""COMPUTED_VALUE"""),"Fairness in NLP must extend beyond performance parity to encompass equitable reliability across groups. This study exposes a critical
blind spot: models often make less reliable or overconfident predictions for marginalized groups, even when overall perfo"&amp;"rmance appears
fair. Using the FairLex benchmark as a case study in legal NLP, we systematically evaluate both performance and reliability dispari-
ties across demographic, regional, and legal attributes spanning four jurisdictions. We show that domain-sp"&amp;"ecific pre-training consistently
improves both performance and reliability, especially for underrepresented groups. However, common bias mitigation methods frequently
worsen reliability disparities, revealing a trade-off not captured by performance metric"&amp;"s alone. Our results call for a rethinking of fairness
in high-stakes NLP: To ensure equitable treatment, models must not only be accurate, but also reliably self-aware across all groups.")</f>
        <v>Fairness in NLP must extend beyond performance parity to encompass equitable reliability across groups. This study exposes a critical
blind spot: models often make less reliable or overconfident predictions for marginalized groups, even when overall performance appears
fair. Using the FairLex benchmark as a case study in legal NLP, we systematically evaluate both performance and reliability dispari-
ties across demographic, regional, and legal attributes spanning four jurisdictions. We show that domain-specific pre-training consistently
improves both performance and reliability, especially for underrepresented groups. However, common bias mitigation methods frequently
worsen reliability disparities, revealing a trade-off not captured by performance metrics alone. Our results call for a rethinking of fairness
in high-stakes NLP: To ensure equitable treatment, models must not only be accurate, but also reliably self-aware across all groups.</v>
      </c>
      <c r="D2832" s="7" t="str">
        <f>IFERROR(__xludf.DUMMYFUNCTION("""COMPUTED_VALUE"""),"Santosh Tokala")</f>
        <v>Santosh Tokala</v>
      </c>
      <c r="E2832" s="7" t="str">
        <f>IFERROR(__xludf.DUMMYFUNCTION("""COMPUTED_VALUE"""),"Yes")</f>
        <v>Yes</v>
      </c>
      <c r="F2832" s="7" t="str">
        <f>IFERROR(__xludf.DUMMYFUNCTION("""COMPUTED_VALUE"""),"V-Presentation")</f>
        <v>V-Presentation</v>
      </c>
      <c r="G2832" s="7" t="str">
        <f>IFERROR(__xludf.DUMMYFUNCTION("""COMPUTED_VALUE"""),"Virtual/Gather")</f>
        <v>Virtual/Gather</v>
      </c>
      <c r="H2832" s="7" t="str">
        <f>IFERROR(__xludf.DUMMYFUNCTION("""COMPUTED_VALUE"""),"Zoom")</f>
        <v>Zoom</v>
      </c>
      <c r="I2832" s="7" t="str">
        <f>IFERROR(__xludf.DUMMYFUNCTION("""COMPUTED_VALUE"""),"Session 10: V-Presenations")</f>
        <v>Session 10: V-Presenations</v>
      </c>
      <c r="J2832" s="7" t="str">
        <f>IFERROR(__xludf.DUMMYFUNCTION("""COMPUTED_VALUE"""),"Virtual Presentations 3")</f>
        <v>Virtual Presentations 3</v>
      </c>
      <c r="K2832" s="7"/>
      <c r="L2832" s="8">
        <f>IFERROR(__xludf.DUMMYFUNCTION("""COMPUTED_VALUE"""),45867.0)</f>
        <v>45867</v>
      </c>
      <c r="M2832" s="7" t="str">
        <f>IFERROR(__xludf.DUMMYFUNCTION("""COMPUTED_VALUE"""),"16:00-17:30")</f>
        <v>16:00-17:30</v>
      </c>
      <c r="N2832" s="7"/>
    </row>
    <row r="2833">
      <c r="A2833" s="7" t="str">
        <f>IFERROR(__xludf.DUMMYFUNCTION("""COMPUTED_VALUE"""),"3398-MAIN")</f>
        <v>3398-MAIN</v>
      </c>
      <c r="B2833" s="7" t="str">
        <f>IFERROR(__xludf.DUMMYFUNCTION("""COMPUTED_VALUE"""),"Beyond Similarity: A Gradient-based Graph Method for Instruction Tuning Data Selection")</f>
        <v>Beyond Similarity: A Gradient-based Graph Method for Instruction Tuning Data Selection</v>
      </c>
      <c r="C2833" s="7" t="str">
        <f>IFERROR(__xludf.DUMMYFUNCTION("""COMPUTED_VALUE"""),"Large language models (LLMs) have shown great potential across various industries due to their remarkable ability to generalize through instruction tuning. However, the limited availability of domain-specific data significantly hampers their performance o"&amp;"n specialized tasks. While existing methods primarily focus on selecting training data from general datasets that are similar to the target domain, they often fail to consider the joint distribution of instructions, resulting in inefficient learning and s"&amp;"uboptimal knowledge transfer. To address these challenges, we introduce **G2IS** (**G**radient-based **G**raph **I**nstruction **S**election), a novel method that constructs a mixed gradient-based instruction graph to capture the joint distribution and in"&amp;"terdependencies among instructions. By accounting for the relationships between instructions, G2IS improves domain adaptation efficiency. Additionally, we propose a gradient walk algorithm to refine the data selection process, enhancing both training effe"&amp;"ctiveness and efficiency. Our experiments demonstrate that G2IS outperforms traditional methods across various domain adaptation tasks, yielding significant performance gains, particularly in complex, data-scarce scenarios. These results underscore the po"&amp;"tential of G2IS in advancing the development of large, domain-specific models.")</f>
        <v>Large language models (LLMs) have shown great potential across various industries due to their remarkable ability to generalize through instruction tuning. However, the limited availability of domain-specific data significantly hampers their performance on specialized tasks. While existing methods primarily focus on selecting training data from general datasets that are similar to the target domain, they often fail to consider the joint distribution of instructions, resulting in inefficient learning and suboptimal knowledge transfer. To address these challenges, we introduce **G2IS** (**G**radient-based **G**raph **I**nstruction **S**election), a novel method that constructs a mixed gradient-based instruction graph to capture the joint distribution and interdependencies among instructions. By accounting for the relationships between instructions, G2IS improves domain adaptation efficiency. Additionally, we propose a gradient walk algorithm to refine the data selection process, enhancing both training effectiveness and efficiency. Our experiments demonstrate that G2IS outperforms traditional methods across various domain adaptation tasks, yielding significant performance gains, particularly in complex, data-scarce scenarios. These results underscore the potential of G2IS in advancing the development of large, domain-specific models.</v>
      </c>
      <c r="D2833" s="7" t="str">
        <f>IFERROR(__xludf.DUMMYFUNCTION("""COMPUTED_VALUE"""),"Yang Zhao")</f>
        <v>Yang Zhao</v>
      </c>
      <c r="E2833" s="7" t="str">
        <f>IFERROR(__xludf.DUMMYFUNCTION("""COMPUTED_VALUE"""),"Yes")</f>
        <v>Yes</v>
      </c>
      <c r="F2833" s="7" t="str">
        <f>IFERROR(__xludf.DUMMYFUNCTION("""COMPUTED_VALUE"""),"IP-Poster")</f>
        <v>IP-Poster</v>
      </c>
      <c r="G2833" s="7" t="str">
        <f>IFERROR(__xludf.DUMMYFUNCTION("""COMPUTED_VALUE"""),"In-Person")</f>
        <v>In-Person</v>
      </c>
      <c r="H2833" s="7" t="str">
        <f>IFERROR(__xludf.DUMMYFUNCTION("""COMPUTED_VALUE"""),"Hall 4/5")</f>
        <v>Hall 4/5</v>
      </c>
      <c r="I2833" s="7" t="str">
        <f>IFERROR(__xludf.DUMMYFUNCTION("""COMPUTED_VALUE"""),"Session 10: IP-Posters")</f>
        <v>Session 10: IP-Posters</v>
      </c>
      <c r="J2833" s="7" t="str">
        <f>IFERROR(__xludf.DUMMYFUNCTION("""COMPUTED_VALUE"""),"Poster Session 3")</f>
        <v>Poster Session 3</v>
      </c>
      <c r="K2833" s="7"/>
      <c r="L2833" s="8">
        <f>IFERROR(__xludf.DUMMYFUNCTION("""COMPUTED_VALUE"""),45867.0)</f>
        <v>45867</v>
      </c>
      <c r="M2833" s="7" t="str">
        <f>IFERROR(__xludf.DUMMYFUNCTION("""COMPUTED_VALUE"""),"16:00-17:30")</f>
        <v>16:00-17:30</v>
      </c>
      <c r="N2833" s="7"/>
    </row>
    <row r="2834">
      <c r="A2834" s="7" t="str">
        <f>IFERROR(__xludf.DUMMYFUNCTION("""COMPUTED_VALUE"""),"3402-MAIN")</f>
        <v>3402-MAIN</v>
      </c>
      <c r="B2834" s="7" t="str">
        <f>IFERROR(__xludf.DUMMYFUNCTION("""COMPUTED_VALUE"""),"FastMCTS: A Simple Sampling Strategy for Data Synthesis")</f>
        <v>FastMCTS: A Simple Sampling Strategy for Data Synthesis</v>
      </c>
      <c r="C2834" s="7" t="str">
        <f>IFERROR(__xludf.DUMMYFUNCTION("""COMPUTED_VALUE"""),"Synthetic high-quality multi-step reasoning data can significantly enhance the performance of large language models on various tasks. However, most existing methods rely on rejection sampling, which generates trajectories independently and suffers from in"&amp;"efficiency and imbalanced sampling across problems of varying difficulty. In this work, we introduce FastMCTS, an innovative data synthesis strategy inspired by Monte Carlo Tree Search. FastMCTS provides a more efficient sampling method for multi-step rea"&amp;"soning data, offering step-level evaluation signals and promoting balanced sampling across problems of different difficulty levels. Experiments on both English and Chinese reasoning datasets demonstrate that FastMCTS generates over 30% more correct reason"&amp;"ing paths compared to rejection sampling as the number of generated tokens scales up. Furthermore, under comparable synthetic data budgets, models trained on FastMCTS-generated data outperform those trained on rejection sampling data by 3.9% across multip"&amp;"le benchmarks. As a lightweight sampling strategy, FastMCTS offers a practical and efficient alternative for synthesizing high-quality reasoning data.")</f>
        <v>Synthetic high-quality multi-step reasoning data can significantly enhance the performance of large language models on various tasks. However, most existing methods rely on rejection sampling, which generates trajectories independently and suffers from inefficiency and imbalanced sampling across problems of varying difficulty. In this work, we introduce FastMCTS, an innovative data synthesis strategy inspired by Monte Carlo Tree Search. FastMCTS provides a more efficient sampling method for multi-step reasoning data, offering step-level evaluation signals and promoting balanced sampling across problems of different difficulty levels. Experiments on both English and Chinese reasoning datasets demonstrate that FastMCTS generates over 30% more correct reasoning paths compared to rejection sampling as the number of generated tokens scales up. Furthermore, under comparable synthetic data budgets, models trained on FastMCTS-generated data outperform those trained on rejection sampling data by 3.9% across multiple benchmarks. As a lightweight sampling strategy, FastMCTS offers a practical and efficient alternative for synthesizing high-quality reasoning data.</v>
      </c>
      <c r="D2834" s="7" t="str">
        <f>IFERROR(__xludf.DUMMYFUNCTION("""COMPUTED_VALUE"""),"Linyang Li")</f>
        <v>Linyang Li</v>
      </c>
      <c r="E2834" s="7" t="str">
        <f>IFERROR(__xludf.DUMMYFUNCTION("""COMPUTED_VALUE"""),"Yes")</f>
        <v>Yes</v>
      </c>
      <c r="F2834" s="7" t="str">
        <f>IFERROR(__xludf.DUMMYFUNCTION("""COMPUTED_VALUE"""),"IP-Poster")</f>
        <v>IP-Poster</v>
      </c>
      <c r="G2834" s="7" t="str">
        <f>IFERROR(__xludf.DUMMYFUNCTION("""COMPUTED_VALUE"""),"In-Person")</f>
        <v>In-Person</v>
      </c>
      <c r="H2834" s="7" t="str">
        <f>IFERROR(__xludf.DUMMYFUNCTION("""COMPUTED_VALUE"""),"Hall 4/5")</f>
        <v>Hall 4/5</v>
      </c>
      <c r="I2834" s="7" t="str">
        <f>IFERROR(__xludf.DUMMYFUNCTION("""COMPUTED_VALUE"""),"Session 12: IP-Posters")</f>
        <v>Session 12: IP-Posters</v>
      </c>
      <c r="J2834" s="7" t="str">
        <f>IFERROR(__xludf.DUMMYFUNCTION("""COMPUTED_VALUE"""),"Poster Session 4")</f>
        <v>Poster Session 4</v>
      </c>
      <c r="K2834" s="7"/>
      <c r="L2834" s="8">
        <f>IFERROR(__xludf.DUMMYFUNCTION("""COMPUTED_VALUE"""),45868.0)</f>
        <v>45868</v>
      </c>
      <c r="M2834" s="7" t="str">
        <f>IFERROR(__xludf.DUMMYFUNCTION("""COMPUTED_VALUE"""),"11:00-12:30")</f>
        <v>11:00-12:30</v>
      </c>
      <c r="N2834" s="7"/>
    </row>
    <row r="2835">
      <c r="A2835" s="7" t="str">
        <f>IFERROR(__xludf.DUMMYFUNCTION("""COMPUTED_VALUE"""),"3406-MAIN")</f>
        <v>3406-MAIN</v>
      </c>
      <c r="B2835" s="7" t="str">
        <f>IFERROR(__xludf.DUMMYFUNCTION("""COMPUTED_VALUE"""),"Dialogue-RAG: Enhancing Retrieval for LLMs via Node-Linking Utterance Rewriting")</f>
        <v>Dialogue-RAG: Enhancing Retrieval for LLMs via Node-Linking Utterance Rewriting</v>
      </c>
      <c r="C2835" s="7" t="str">
        <f>IFERROR(__xludf.DUMMYFUNCTION("""COMPUTED_VALUE"""),"Large Language Models (LLMs) and Retrieval Augmented Generation (RAG) methods have demonstrated significant potential on tasks across multiple domains. However, ellipses and coreferences, as common phenomena in dialogue scenes, pose challenges to LLMs' un"&amp;"derstanding and RAG's retrieval accuracy. The previous works ignore the negative impact of this fuzzy data on RAG system.
We explore the capabilities of LLMs and RAG systems in dialogue scenarios and use Incomplete Utterance Rewriting (IUR) to complete th"&amp;"e key information in dialogue to enhance retrieval.
Besides, we propose a lightweight IUR model for query rewriting. It is an end-to-end framework for node linking and iterative inference, incorporating two newly proposed probing semantic features derived"&amp;" from generative pre-training. This framework treats IUR as a series of link decisions on the input sequence and the incrementally constructed rewriting outputs.
To test the performance of RAG system in the model multi-round dialogue scenario, we construc"&amp;"t an RAG dialogue dataset on English and Chinese,  Dialogue-RAG-MULTI-v1.0.
Experiment results show that utterance rewriting can effectively improve the retrieval and generation ability of RAG system in dialogue scenes. Experiments on IUR tasks demonstrat"&amp;"e the excellent performance of our lightweight IUR method.")</f>
        <v>Large Language Models (LLMs) and Retrieval Augmented Generation (RAG) methods have demonstrated significant potential on tasks across multiple domains. However, ellipses and coreferences, as common phenomena in dialogue scenes, pose challenges to LLMs' understanding and RAG's retrieval accuracy. The previous works ignore the negative impact of this fuzzy data on RAG system.
We explore the capabilities of LLMs and RAG systems in dialogue scenarios and use Incomplete Utterance Rewriting (IUR) to complete the key information in dialogue to enhance retrieval.
Besides, we propose a lightweight IUR model for query rewriting. It is an end-to-end framework for node linking and iterative inference, incorporating two newly proposed probing semantic features derived from generative pre-training. This framework treats IUR as a series of link decisions on the input sequence and the incrementally constructed rewriting outputs.
To test the performance of RAG system in the model multi-round dialogue scenario, we construct an RAG dialogue dataset on English and Chinese,  Dialogue-RAG-MULTI-v1.0.
Experiment results show that utterance rewriting can effectively improve the retrieval and generation ability of RAG system in dialogue scenes. Experiments on IUR tasks demonstrate the excellent performance of our lightweight IUR method.</v>
      </c>
      <c r="D2835" s="7" t="str">
        <f>IFERROR(__xludf.DUMMYFUNCTION("""COMPUTED_VALUE"""),"Qiwei Li")</f>
        <v>Qiwei Li</v>
      </c>
      <c r="E2835" s="7" t="str">
        <f>IFERROR(__xludf.DUMMYFUNCTION("""COMPUTED_VALUE"""),"Yes")</f>
        <v>Yes</v>
      </c>
      <c r="F2835" s="7" t="str">
        <f>IFERROR(__xludf.DUMMYFUNCTION("""COMPUTED_VALUE"""),"IP-Poster")</f>
        <v>IP-Poster</v>
      </c>
      <c r="G2835" s="7" t="str">
        <f>IFERROR(__xludf.DUMMYFUNCTION("""COMPUTED_VALUE"""),"In-Person")</f>
        <v>In-Person</v>
      </c>
      <c r="H2835" s="7" t="str">
        <f>IFERROR(__xludf.DUMMYFUNCTION("""COMPUTED_VALUE"""),"Hall 4/5")</f>
        <v>Hall 4/5</v>
      </c>
      <c r="I2835" s="7" t="str">
        <f>IFERROR(__xludf.DUMMYFUNCTION("""COMPUTED_VALUE"""),"Session 2: IP-Posters ")</f>
        <v>Session 2: IP-Posters </v>
      </c>
      <c r="J2835" s="7" t="str">
        <f>IFERROR(__xludf.DUMMYFUNCTION("""COMPUTED_VALUE"""),"Poster Session 1")</f>
        <v>Poster Session 1</v>
      </c>
      <c r="K2835" s="7"/>
      <c r="L2835" s="8">
        <f>IFERROR(__xludf.DUMMYFUNCTION("""COMPUTED_VALUE"""),45866.0)</f>
        <v>45866</v>
      </c>
      <c r="M2835" s="7" t="str">
        <f>IFERROR(__xludf.DUMMYFUNCTION("""COMPUTED_VALUE"""),"11:00-12:30")</f>
        <v>11:00-12:30</v>
      </c>
      <c r="N2835" s="7"/>
    </row>
    <row r="2836">
      <c r="A2836" s="7" t="str">
        <f>IFERROR(__xludf.DUMMYFUNCTION("""COMPUTED_VALUE"""),"3407-MAIN")</f>
        <v>3407-MAIN</v>
      </c>
      <c r="B2836" s="7" t="str">
        <f>IFERROR(__xludf.DUMMYFUNCTION("""COMPUTED_VALUE"""),"Using Information Theory to Characterize Prosodic Typology: The Case of Tone, Pitch-Accent and Stress-Accent")</f>
        <v>Using Information Theory to Characterize Prosodic Typology: The Case of Tone, Pitch-Accent and Stress-Accent</v>
      </c>
      <c r="C2836" s="7" t="str">
        <f>IFERROR(__xludf.DUMMYFUNCTION("""COMPUTED_VALUE"""),"This paper argues that the relationship between lexical identity and prosody---one well-studied parameter of linguistic variation---can be characterized using information theory. We predict that languages that use prosody to make lexical distinctions shou"&amp;"ld exhibit a higher mutual information between word identity and prosody, compared to languages that don't. We test this hypothesis in the domain of pitch, which is used to make lexical distinctions in tonal languages, like Cantonese. We use a dataset of "&amp;"speakers reading sentences aloud in ten languages across five language families to estimate the mutual information between the text and their pitch curves. We find that, across languages, pitch curves display similar amounts of entropy. However, these cur"&amp;"ves are easier to predict given their associated text in the tonal languages, compared to pitch- and stress-accent languages, and thus the mutual information is higher in these languages, supporting our hypothesis. Our results support perspectives that vi"&amp;"ew linguistic typology as gradient, rather than categorical.")</f>
        <v>This paper argues that the relationship between lexical identity and prosody---one well-studied parameter of linguistic variation---can be characterized using information theory. We predict that languages that use prosody to make lexical distinctions should exhibit a higher mutual information between word identity and prosody, compared to languages that don't. We test this hypothesis in the domain of pitch, which is used to make lexical distinctions in tonal languages, like Cantonese. We use a dataset of speakers reading sentences aloud in ten languages across five language families to estimate the mutual information between the text and their pitch curves. We find that, across languages, pitch curves display similar amounts of entropy. However, these curves are easier to predict given their associated text in the tonal languages, compared to pitch- and stress-accent languages, and thus the mutual information is higher in these languages, supporting our hypothesis. Our results support perspectives that view linguistic typology as gradient, rather than categorical.</v>
      </c>
      <c r="D2836" s="7" t="str">
        <f>IFERROR(__xludf.DUMMYFUNCTION("""COMPUTED_VALUE"""),"Ethan Gotlieb Wilcox")</f>
        <v>Ethan Gotlieb Wilcox</v>
      </c>
      <c r="E2836" s="7" t="str">
        <f>IFERROR(__xludf.DUMMYFUNCTION("""COMPUTED_VALUE"""),"Yes")</f>
        <v>Yes</v>
      </c>
      <c r="F2836" s="7" t="str">
        <f>IFERROR(__xludf.DUMMYFUNCTION("""COMPUTED_VALUE"""),"IP-Oral")</f>
        <v>IP-Oral</v>
      </c>
      <c r="G2836" s="7" t="str">
        <f>IFERROR(__xludf.DUMMYFUNCTION("""COMPUTED_VALUE"""),"In-Person")</f>
        <v>In-Person</v>
      </c>
      <c r="H2836" s="7" t="str">
        <f>IFERROR(__xludf.DUMMYFUNCTION("""COMPUTED_VALUE"""),"Room 1.61")</f>
        <v>Room 1.61</v>
      </c>
      <c r="I2836" s="7" t="str">
        <f>IFERROR(__xludf.DUMMYFUNCTION("""COMPUTED_VALUE"""),"Session 3: IP-Orals")</f>
        <v>Session 3: IP-Orals</v>
      </c>
      <c r="J2836" s="7" t="str">
        <f>IFERROR(__xludf.DUMMYFUNCTION("""COMPUTED_VALUE"""),"Linguistic Theories and Cognitive Modeling")</f>
        <v>Linguistic Theories and Cognitive Modeling</v>
      </c>
      <c r="K2836" s="7"/>
      <c r="L2836" s="8">
        <f>IFERROR(__xludf.DUMMYFUNCTION("""COMPUTED_VALUE"""),45866.0)</f>
        <v>45866</v>
      </c>
      <c r="M2836" s="7" t="str">
        <f>IFERROR(__xludf.DUMMYFUNCTION("""COMPUTED_VALUE"""),"14:00-15:30")</f>
        <v>14:00-15:30</v>
      </c>
      <c r="N2836" s="7">
        <f>IFERROR(__xludf.DUMMYFUNCTION("""COMPUTED_VALUE"""),7.0)</f>
        <v>7</v>
      </c>
    </row>
    <row r="2837">
      <c r="A2837" s="7" t="str">
        <f>IFERROR(__xludf.DUMMYFUNCTION("""COMPUTED_VALUE"""),"3411-MAIN")</f>
        <v>3411-MAIN</v>
      </c>
      <c r="B2837" s="7" t="str">
        <f>IFERROR(__xludf.DUMMYFUNCTION("""COMPUTED_VALUE"""),"Evaluating LLMs for Portuguese Sentence Simplification with Linguistic Insights")</f>
        <v>Evaluating LLMs for Portuguese Sentence Simplification with Linguistic Insights</v>
      </c>
      <c r="C2837" s="7" t="str">
        <f>IFERROR(__xludf.DUMMYFUNCTION("""COMPUTED_VALUE"""),"Sentence simplification (SS) focuses on adapting sentences to enhance their readability and accessibility. While large language models (LLMs) match task-specific baselines in English SS, their performance in Portuguese remains underexplored. This paper pr"&amp;"esents a comprehensive performance comparison of 26 state-of-the-art LLMs in Portuguese SS, alongside two simplification models trained explicitly for this task and language. They are evaluated under a one-shot setting across scientific, news, and governm"&amp;"ent datasets. We benchmark the models with our newly introduced Gov-Lang-BR corpus (1,703 complex-simple sentence pairs from Brazilian government agencies) and two established datasets: PorSimplesSent and Museum-PT. Our investigation takes advantage of bo"&amp;"th automatic metrics and large-scale linguistic analysis to examine the transformations achieved by the LLMs. Furthermore, a qualitative assessment of selected generated outputs provides deeper insights into simplification quality. Our findings reveal tha"&amp;"t while open-source LLMs have achieved impressive results, closed-source LLMs continue to outperform them in Portuguese SS.")</f>
        <v>Sentence simplification (SS) focuses on adapting sentences to enhance their readability and accessibility. While large language models (LLMs) match task-specific baselines in English SS, their performance in Portuguese remains underexplored. This paper presents a comprehensive performance comparison of 26 state-of-the-art LLMs in Portuguese SS, alongside two simplification models trained explicitly for this task and language. They are evaluated under a one-shot setting across scientific, news, and government datasets. We benchmark the models with our newly introduced Gov-Lang-BR corpus (1,703 complex-simple sentence pairs from Brazilian government agencies) and two established datasets: PorSimplesSent and Museum-PT. Our investigation takes advantage of both automatic metrics and large-scale linguistic analysis to examine the transformations achieved by the LLMs. Furthermore, a qualitative assessment of selected generated outputs provides deeper insights into simplification quality. Our findings reveal that while open-source LLMs have achieved impressive results, closed-source LLMs continue to outperform them in Portuguese SS.</v>
      </c>
      <c r="D2837" s="7" t="str">
        <f>IFERROR(__xludf.DUMMYFUNCTION("""COMPUTED_VALUE"""),"Arthur Mariano Rocha de Azevedo Scalercio")</f>
        <v>Arthur Mariano Rocha de Azevedo Scalercio</v>
      </c>
      <c r="E2837" s="7" t="str">
        <f>IFERROR(__xludf.DUMMYFUNCTION("""COMPUTED_VALUE"""),"Yes")</f>
        <v>Yes</v>
      </c>
      <c r="F2837" s="7" t="str">
        <f>IFERROR(__xludf.DUMMYFUNCTION("""COMPUTED_VALUE"""),"IP-Poster")</f>
        <v>IP-Poster</v>
      </c>
      <c r="G2837" s="7" t="str">
        <f>IFERROR(__xludf.DUMMYFUNCTION("""COMPUTED_VALUE"""),"In-Person")</f>
        <v>In-Person</v>
      </c>
      <c r="H2837" s="7" t="str">
        <f>IFERROR(__xludf.DUMMYFUNCTION("""COMPUTED_VALUE"""),"Hall 4/5")</f>
        <v>Hall 4/5</v>
      </c>
      <c r="I2837" s="7" t="str">
        <f>IFERROR(__xludf.DUMMYFUNCTION("""COMPUTED_VALUE"""),"Session 2: IP-Posters ")</f>
        <v>Session 2: IP-Posters </v>
      </c>
      <c r="J2837" s="7" t="str">
        <f>IFERROR(__xludf.DUMMYFUNCTION("""COMPUTED_VALUE"""),"Poster Session 1")</f>
        <v>Poster Session 1</v>
      </c>
      <c r="K2837" s="7"/>
      <c r="L2837" s="8">
        <f>IFERROR(__xludf.DUMMYFUNCTION("""COMPUTED_VALUE"""),45866.0)</f>
        <v>45866</v>
      </c>
      <c r="M2837" s="7" t="str">
        <f>IFERROR(__xludf.DUMMYFUNCTION("""COMPUTED_VALUE"""),"11:00-12:30")</f>
        <v>11:00-12:30</v>
      </c>
      <c r="N2837" s="7"/>
    </row>
    <row r="2838">
      <c r="A2838" s="7" t="str">
        <f>IFERROR(__xludf.DUMMYFUNCTION("""COMPUTED_VALUE"""),"3414-MAIN")</f>
        <v>3414-MAIN</v>
      </c>
      <c r="B2838" s="7" t="str">
        <f>IFERROR(__xludf.DUMMYFUNCTION("""COMPUTED_VALUE"""),"LaTIM: Measuring Latent Token-to-Token Interactions in Mamba Models")</f>
        <v>LaTIM: Measuring Latent Token-to-Token Interactions in Mamba Models</v>
      </c>
      <c r="C2838" s="7" t="str">
        <f>IFERROR(__xludf.DUMMYFUNCTION("""COMPUTED_VALUE"""),"State space models (SSMs), such as Mamba, have emerged as an efficient alternative to transformers for long-context sequence modeling. However, despite their growing adoption, SSMs lack the interpretability tools that have been crucial for understanding a"&amp;"nd improving attention-based architectures. While recent efforts provide insights into Mamba's internal mechanisms, they struggle to capture precise
token-level interactions at the layer level, leaving gaps in understanding how Mamba selectively processes"&amp;" sequences across layers. In this work, we introduce LaTIM, a novel token-level decomposition method for both Mamba-1 and Mamba-2 that enables fine-grained interpretability. We extensively evaluate our method across diverse tasks, including machine transl"&amp;"ation, copying, and retrieval-based generation, demonstrating its effectiveness in revealing Mamba's token-to-token interaction patterns.")</f>
        <v>State space models (SSMs), such as Mamba, have emerged as an efficient alternative to transformers for long-context sequence modeling. However, despite their growing adoption, SSMs lack the interpretability tools that have been crucial for understanding and improving attention-based architectures. While recent efforts provide insights into Mamba's internal mechanisms, they struggle to capture precise
token-level interactions at the layer level, leaving gaps in understanding how Mamba selectively processes sequences across layers. In this work, we introduce LaTIM, a novel token-level decomposition method for both Mamba-1 and Mamba-2 that enables fine-grained interpretability. We extensively evaluate our method across diverse tasks, including machine translation, copying, and retrieval-based generation, demonstrating its effectiveness in revealing Mamba's token-to-token interaction patterns.</v>
      </c>
      <c r="D2838" s="7" t="str">
        <f>IFERROR(__xludf.DUMMYFUNCTION("""COMPUTED_VALUE"""),"Hugo Pitorro")</f>
        <v>Hugo Pitorro</v>
      </c>
      <c r="E2838" s="7" t="str">
        <f>IFERROR(__xludf.DUMMYFUNCTION("""COMPUTED_VALUE"""),"Yes")</f>
        <v>Yes</v>
      </c>
      <c r="F2838" s="7" t="str">
        <f>IFERROR(__xludf.DUMMYFUNCTION("""COMPUTED_VALUE"""),"IP-Oral")</f>
        <v>IP-Oral</v>
      </c>
      <c r="G2838" s="7" t="str">
        <f>IFERROR(__xludf.DUMMYFUNCTION("""COMPUTED_VALUE"""),"In-Person")</f>
        <v>In-Person</v>
      </c>
      <c r="H2838" s="7" t="str">
        <f>IFERROR(__xludf.DUMMYFUNCTION("""COMPUTED_VALUE"""),"Room 1.85")</f>
        <v>Room 1.85</v>
      </c>
      <c r="I2838" s="7" t="str">
        <f>IFERROR(__xludf.DUMMYFUNCTION("""COMPUTED_VALUE"""),"Session 11: IP-Orals ")</f>
        <v>Session 11: IP-Orals </v>
      </c>
      <c r="J2838" s="7" t="str">
        <f>IFERROR(__xludf.DUMMYFUNCTION("""COMPUTED_VALUE"""),"Interpretability and Model Analysis 2")</f>
        <v>Interpretability and Model Analysis 2</v>
      </c>
      <c r="K2838" s="7"/>
      <c r="L2838" s="8">
        <f>IFERROR(__xludf.DUMMYFUNCTION("""COMPUTED_VALUE"""),45868.0)</f>
        <v>45868</v>
      </c>
      <c r="M2838" s="7" t="str">
        <f>IFERROR(__xludf.DUMMYFUNCTION("""COMPUTED_VALUE"""),"09:00-10:30")</f>
        <v>09:00-10:30</v>
      </c>
      <c r="N2838" s="7">
        <f>IFERROR(__xludf.DUMMYFUNCTION("""COMPUTED_VALUE"""),7.0)</f>
        <v>7</v>
      </c>
    </row>
    <row r="2839">
      <c r="A2839" s="7" t="str">
        <f>IFERROR(__xludf.DUMMYFUNCTION("""COMPUTED_VALUE"""),"3417-MAIN")</f>
        <v>3417-MAIN</v>
      </c>
      <c r="B2839" s="7" t="str">
        <f>IFERROR(__xludf.DUMMYFUNCTION("""COMPUTED_VALUE"""),"Memorization Inheritance in Sequence-Level Knowledge Distillation for Neural Machine Translation")</f>
        <v>Memorization Inheritance in Sequence-Level Knowledge Distillation for Neural Machine Translation</v>
      </c>
      <c r="C2839" s="7" t="str">
        <f>IFERROR(__xludf.DUMMYFUNCTION("""COMPUTED_VALUE"""),"In this work, we explore how instance-level memorization in the teacher Neural Machine Translation (NMT) model gets inherited by the student model in sequence-level knowledge distillation (SeqKD). We find that despite not directly seeing the original trai"&amp;"ning data, students memorize more than baseline models (models of the same size, trained on the original data)—3.4% for exact matches and 57% for extractive memorization—and show increased hallucination rates. Further, under this SeqKD setting, we also ch"&amp;"aracterize how students behave on specific training data subgroups, such as subgroups with low quality or specific counterfactual memorization (CM) scores, and find that students exhibit greater denoising on low-quality subgroups. Finally, we propose a mo"&amp;"dification to SeqKD named Adaptive-SeqKD, which intervenes in SeqKD to reduce memorization and hallucinations. Overall, we recommend caution when applying SeqKD: students inherit both their teachers' superior performance and their fault modes, thereby req"&amp;"uiring active monitoring.")</f>
        <v>In this work, we explore how instance-level memorization in the teacher Neural Machine Translation (NMT) model gets inherited by the student model in sequence-level knowledge distillation (SeqKD). We find that despite not directly seeing the original training data, students memorize more than baseline models (models of the same size, trained on the original data)—3.4% for exact matches and 57% for extractive memorization—and show increased hallucination rates. Further, under this SeqKD setting, we also characterize how students behave on specific training data subgroups, such as subgroups with low quality or specific counterfactual memorization (CM) scores, and find that students exhibit greater denoising on low-quality subgroups. Finally, we propose a modification to SeqKD named Adaptive-SeqKD, which intervenes in SeqKD to reduce memorization and hallucinations. Overall, we recommend caution when applying SeqKD: students inherit both their teachers' superior performance and their fault modes, thereby requiring active monitoring.</v>
      </c>
      <c r="D2839" s="7" t="str">
        <f>IFERROR(__xludf.DUMMYFUNCTION("""COMPUTED_VALUE"""),"Verna Dankers")</f>
        <v>Verna Dankers</v>
      </c>
      <c r="E2839" s="7" t="str">
        <f>IFERROR(__xludf.DUMMYFUNCTION("""COMPUTED_VALUE"""),"Yes")</f>
        <v>Yes</v>
      </c>
      <c r="F2839" s="7" t="str">
        <f>IFERROR(__xludf.DUMMYFUNCTION("""COMPUTED_VALUE"""),"IP-Poster")</f>
        <v>IP-Poster</v>
      </c>
      <c r="G2839" s="7" t="str">
        <f>IFERROR(__xludf.DUMMYFUNCTION("""COMPUTED_VALUE"""),"In-Person")</f>
        <v>In-Person</v>
      </c>
      <c r="H2839" s="7" t="str">
        <f>IFERROR(__xludf.DUMMYFUNCTION("""COMPUTED_VALUE"""),"Hall 4/5")</f>
        <v>Hall 4/5</v>
      </c>
      <c r="I2839" s="7" t="str">
        <f>IFERROR(__xludf.DUMMYFUNCTION("""COMPUTED_VALUE"""),"Session 12: IP-Posters")</f>
        <v>Session 12: IP-Posters</v>
      </c>
      <c r="J2839" s="7" t="str">
        <f>IFERROR(__xludf.DUMMYFUNCTION("""COMPUTED_VALUE"""),"Poster Session 4")</f>
        <v>Poster Session 4</v>
      </c>
      <c r="K2839" s="7"/>
      <c r="L2839" s="8">
        <f>IFERROR(__xludf.DUMMYFUNCTION("""COMPUTED_VALUE"""),45868.0)</f>
        <v>45868</v>
      </c>
      <c r="M2839" s="7" t="str">
        <f>IFERROR(__xludf.DUMMYFUNCTION("""COMPUTED_VALUE"""),"11:00-12:30")</f>
        <v>11:00-12:30</v>
      </c>
      <c r="N2839" s="7"/>
    </row>
    <row r="2840">
      <c r="A2840" s="7" t="str">
        <f>IFERROR(__xludf.DUMMYFUNCTION("""COMPUTED_VALUE"""),"3425-MAIN")</f>
        <v>3425-MAIN</v>
      </c>
      <c r="B2840" s="7" t="str">
        <f>IFERROR(__xludf.DUMMYFUNCTION("""COMPUTED_VALUE"""),"Improving Low-Resource Morphological Inflection via Self-Supervised Objectives")</f>
        <v>Improving Low-Resource Morphological Inflection via Self-Supervised Objectives</v>
      </c>
      <c r="C2840" s="7" t="str">
        <f>IFERROR(__xludf.DUMMYFUNCTION("""COMPUTED_VALUE"""),"Self-supervised objectives have driven major advances in NLP by leveraging large-scale unlabeled data, but such resources are scarce for many of the world’s languages. Surprisingly, they have not been explored much for character-level tasks, where smaller"&amp;" amounts of data have the potential to be beneficial. We investigate the effectiveness of self-supervised auxiliary tasks for morphological inflection -- a character-level task highly relevant for language documentation -- in extremely low-resource settin"&amp;"gs, training encoder-decoder transformers for 19 languages and 13 auxiliary objectives. Autoencoding yields the best performance when unlabeled data is very limited, while character masked language modeling (CMLM) becomes more effective as data availabili"&amp;"ty increases. Though objectives with stronger inductive biases influence model predictions intuitively, they rarely outperform standard CMLM. However, sampling masks based on known morpheme boundaries consistently improves performance, highlighting a prom"&amp;"ising direction for low-resource morphological modeling.")</f>
        <v>Self-supervised objectives have driven major advances in NLP by leveraging large-scale unlabeled data, but such resources are scarce for many of the world’s languages. Surprisingly, they have not been explored much for character-level tasks, where smaller amounts of data have the potential to be beneficial. We investigate the effectiveness of self-supervised auxiliary tasks for morphological inflection -- a character-level task highly relevant for language documentation -- in extremely low-resource settings, training encoder-decoder transformers for 19 languages and 13 auxiliary objectives. Autoencoding yields the best performance when unlabeled data is very limited, while character masked language modeling (CMLM) becomes more effective as data availability increases. Though objectives with stronger inductive biases influence model predictions intuitively, they rarely outperform standard CMLM. However, sampling masks based on known morpheme boundaries consistently improves performance, highlighting a promising direction for low-resource morphological modeling.</v>
      </c>
      <c r="D2840" s="7" t="str">
        <f>IFERROR(__xludf.DUMMYFUNCTION("""COMPUTED_VALUE"""),"Adam Wiemerslage")</f>
        <v>Adam Wiemerslage</v>
      </c>
      <c r="E2840" s="7" t="str">
        <f>IFERROR(__xludf.DUMMYFUNCTION("""COMPUTED_VALUE"""),"Yes")</f>
        <v>Yes</v>
      </c>
      <c r="F2840" s="7" t="str">
        <f>IFERROR(__xludf.DUMMYFUNCTION("""COMPUTED_VALUE"""),"V-Presentation")</f>
        <v>V-Presentation</v>
      </c>
      <c r="G2840" s="7" t="str">
        <f>IFERROR(__xludf.DUMMYFUNCTION("""COMPUTED_VALUE"""),"Virtual/Gather")</f>
        <v>Virtual/Gather</v>
      </c>
      <c r="H2840" s="7" t="str">
        <f>IFERROR(__xludf.DUMMYFUNCTION("""COMPUTED_VALUE"""),"Zoom")</f>
        <v>Zoom</v>
      </c>
      <c r="I2840" s="7" t="str">
        <f>IFERROR(__xludf.DUMMYFUNCTION("""COMPUTED_VALUE"""),"Session 2: V-Presentations")</f>
        <v>Session 2: V-Presentations</v>
      </c>
      <c r="J2840" s="7" t="str">
        <f>IFERROR(__xludf.DUMMYFUNCTION("""COMPUTED_VALUE"""),"Virtual Presentations 1")</f>
        <v>Virtual Presentations 1</v>
      </c>
      <c r="K2840" s="7"/>
      <c r="L2840" s="8">
        <f>IFERROR(__xludf.DUMMYFUNCTION("""COMPUTED_VALUE"""),45866.0)</f>
        <v>45866</v>
      </c>
      <c r="M2840" s="7" t="str">
        <f>IFERROR(__xludf.DUMMYFUNCTION("""COMPUTED_VALUE"""),"11:00-12:30")</f>
        <v>11:00-12:30</v>
      </c>
      <c r="N2840" s="7"/>
    </row>
    <row r="2841">
      <c r="A2841" s="7" t="str">
        <f>IFERROR(__xludf.DUMMYFUNCTION("""COMPUTED_VALUE"""),"3432-MAIN")</f>
        <v>3432-MAIN</v>
      </c>
      <c r="B2841" s="7" t="str">
        <f>IFERROR(__xludf.DUMMYFUNCTION("""COMPUTED_VALUE"""),"Don't Reinvent the Wheel: Efficient Instruction-Following Text Embedding based on Guided Space Transformation")</f>
        <v>Don't Reinvent the Wheel: Efficient Instruction-Following Text Embedding based on Guided Space Transformation</v>
      </c>
      <c r="C2841" s="7" t="str">
        <f>IFERROR(__xludf.DUMMYFUNCTION("""COMPUTED_VALUE"""),"In this work, we investigate an important task named instruction-following text embedding, which generates dynamic text embeddings that adapt to user instructions, highlighting specific attributes of text. Despite recent advancements, existing approaches "&amp;"suffer from significant computational overhead, as they require re-encoding the entire corpus for each new instruction. To address this challenge, we propose GSTransform, a novel instruction-following text embedding framework based on Guided Space Transfo"&amp;"rmation. Our key observation is that instruction-relevant information is inherently encoded in generic embeddings but remains underutilized. Instead of repeatedly encoding the corpus for each instruction, GSTransform is a lightweight transformation mechan"&amp;"ism that adapts pre-computed embeddings in real time to align with user instructions, guided by a small amount of text data with instruction-focused label annotation. We conduct extensive experiments on three instruction-awareness downstream tasks across "&amp;"nine real-world datasets, demonstrating that GSTransform improves instruction-following text embedding quality over state-of-the-art methods while achieving dramatic speedups of 6$\sim$300$\times$ in real-time processing on large-scale datasets. The sourc"&amp;"e code is available at https://github.com/YingchaojieFeng/GSTransform.")</f>
        <v>In this work, we investigate an important task named instruction-following text embedding, which generates dynamic text embeddings that adapt to user instructions, highlighting specific attributes of text. Despite recent advancements, existing approaches suffer from significant computational overhead, as they require re-encoding the entire corpus for each new instruction. To address this challenge, we propose GSTransform, a novel instruction-following text embedding framework based on Guided Space Transformation. Our key observation is that instruction-relevant information is inherently encoded in generic embeddings but remains underutilized. Instead of repeatedly encoding the corpus for each instruction, GSTransform is a lightweight transformation mechanism that adapts pre-computed embeddings in real time to align with user instructions, guided by a small amount of text data with instruction-focused label annotation. We conduct extensive experiments on three instruction-awareness downstream tasks across nine real-world datasets, demonstrating that GSTransform improves instruction-following text embedding quality over state-of-the-art methods while achieving dramatic speedups of 6$\sim$300$\times$ in real-time processing on large-scale datasets. The source code is available at https://github.com/YingchaojieFeng/GSTransform.</v>
      </c>
      <c r="D2841" s="7" t="str">
        <f>IFERROR(__xludf.DUMMYFUNCTION("""COMPUTED_VALUE"""),"Yingchaojie Feng")</f>
        <v>Yingchaojie Feng</v>
      </c>
      <c r="E2841" s="7" t="str">
        <f>IFERROR(__xludf.DUMMYFUNCTION("""COMPUTED_VALUE"""),"Yes")</f>
        <v>Yes</v>
      </c>
      <c r="F2841" s="7" t="str">
        <f>IFERROR(__xludf.DUMMYFUNCTION("""COMPUTED_VALUE"""),"IP-Oral")</f>
        <v>IP-Oral</v>
      </c>
      <c r="G2841" s="7" t="str">
        <f>IFERROR(__xludf.DUMMYFUNCTION("""COMPUTED_VALUE"""),"In-Person")</f>
        <v>In-Person</v>
      </c>
      <c r="H2841" s="7" t="str">
        <f>IFERROR(__xludf.DUMMYFUNCTION("""COMPUTED_VALUE"""),"Hall N.1")</f>
        <v>Hall N.1</v>
      </c>
      <c r="I2841" s="7" t="str">
        <f>IFERROR(__xludf.DUMMYFUNCTION("""COMPUTED_VALUE"""),"Session 3: IP-Orals")</f>
        <v>Session 3: IP-Orals</v>
      </c>
      <c r="J2841" s="7" t="str">
        <f>IFERROR(__xludf.DUMMYFUNCTION("""COMPUTED_VALUE"""),"Information Retrieval and Text Mining")</f>
        <v>Information Retrieval and Text Mining</v>
      </c>
      <c r="K2841" s="7"/>
      <c r="L2841" s="8">
        <f>IFERROR(__xludf.DUMMYFUNCTION("""COMPUTED_VALUE"""),45866.0)</f>
        <v>45866</v>
      </c>
      <c r="M2841" s="7" t="str">
        <f>IFERROR(__xludf.DUMMYFUNCTION("""COMPUTED_VALUE"""),"14:00-15:30")</f>
        <v>14:00-15:30</v>
      </c>
      <c r="N2841" s="7">
        <f>IFERROR(__xludf.DUMMYFUNCTION("""COMPUTED_VALUE"""),4.0)</f>
        <v>4</v>
      </c>
    </row>
    <row r="2842">
      <c r="A2842" s="7" t="str">
        <f>IFERROR(__xludf.DUMMYFUNCTION("""COMPUTED_VALUE"""),"3438-MAIN")</f>
        <v>3438-MAIN</v>
      </c>
      <c r="B2842" s="7" t="str">
        <f>IFERROR(__xludf.DUMMYFUNCTION("""COMPUTED_VALUE"""),"BOOKCOREF: Coreference Resolution at Book Scale")</f>
        <v>BOOKCOREF: Coreference Resolution at Book Scale</v>
      </c>
      <c r="C2842" s="7" t="str">
        <f>IFERROR(__xludf.DUMMYFUNCTION("""COMPUTED_VALUE"""),"Coreference Resolution systems are typically evaluated on benchmarks containing small- to medium-scale documents.
When it comes to evaluating long texts, however, existing benchmarks, such as LitBank, remain limited in length and do not adequately assess "&amp;"system capabilities at the book scale, i.e., when co-referring mentions span hundreds of thousands of tokens.
To fill this gap, we first put forward a novel automatic pipeline that produces high-quality Coreference Resolution annotations on full narrative"&amp;" texts. 
Then, we adopt this pipeline to create the first book-scale coreference benchmark, BOOKCOREF, with an average document length of more than 200,000 tokens.
We carry out a series of experiments showing the robustness of our automatic procedure and "&amp;"demonstrating the value of our resource, which enables current long-document coreference systems to gain up to +20 CoNLL-F1 points when evaluated on full books.
Moreover, we report on the new challenges introduced by this unprecedented book-scale setting,"&amp;" highlighting that current models fail to deliver the same performance they achieve on smaller documents.
We release our data and code to encourage research and development of new book-scale Coreference Resolution systems at https://github.com/sapienzanlp"&amp;"/bookcoref.")</f>
        <v>Coreference Resolution systems are typically evaluated on benchmarks containing small- to medium-scale documents.
When it comes to evaluating long texts, however, existing benchmarks, such as LitBank, remain limited in length and do not adequately assess system capabilities at the book scale, i.e., when co-referring mentions span hundreds of thousands of tokens.
To fill this gap, we first put forward a novel automatic pipeline that produces high-quality Coreference Resolution annotations on full narrative texts. 
Then, we adopt this pipeline to create the first book-scale coreference benchmark, BOOKCOREF, with an average document length of more than 200,000 tokens.
We carry out a series of experiments showing the robustness of our automatic procedure and demonstrating the value of our resource, which enables current long-document coreference systems to gain up to +20 CoNLL-F1 points when evaluated on full books.
Moreover, we report on the new challenges introduced by this unprecedented book-scale setting, highlighting that current models fail to deliver the same performance they achieve on smaller documents.
We release our data and code to encourage research and development of new book-scale Coreference Resolution systems at https://github.com/sapienzanlp/bookcoref.</v>
      </c>
      <c r="D2842" s="7" t="str">
        <f>IFERROR(__xludf.DUMMYFUNCTION("""COMPUTED_VALUE"""),"Giuliano Martinelli")</f>
        <v>Giuliano Martinelli</v>
      </c>
      <c r="E2842" s="7" t="str">
        <f>IFERROR(__xludf.DUMMYFUNCTION("""COMPUTED_VALUE"""),"Yes")</f>
        <v>Yes</v>
      </c>
      <c r="F2842" s="7" t="str">
        <f>IFERROR(__xludf.DUMMYFUNCTION("""COMPUTED_VALUE"""),"IP-Poster")</f>
        <v>IP-Poster</v>
      </c>
      <c r="G2842" s="7" t="str">
        <f>IFERROR(__xludf.DUMMYFUNCTION("""COMPUTED_VALUE"""),"In-Person")</f>
        <v>In-Person</v>
      </c>
      <c r="H2842" s="7" t="str">
        <f>IFERROR(__xludf.DUMMYFUNCTION("""COMPUTED_VALUE"""),"Hall 4/5")</f>
        <v>Hall 4/5</v>
      </c>
      <c r="I2842" s="7" t="str">
        <f>IFERROR(__xludf.DUMMYFUNCTION("""COMPUTED_VALUE"""),"Session 12: IP-Posters")</f>
        <v>Session 12: IP-Posters</v>
      </c>
      <c r="J2842" s="7" t="str">
        <f>IFERROR(__xludf.DUMMYFUNCTION("""COMPUTED_VALUE"""),"Poster Session 4")</f>
        <v>Poster Session 4</v>
      </c>
      <c r="K2842" s="7"/>
      <c r="L2842" s="8">
        <f>IFERROR(__xludf.DUMMYFUNCTION("""COMPUTED_VALUE"""),45868.0)</f>
        <v>45868</v>
      </c>
      <c r="M2842" s="7" t="str">
        <f>IFERROR(__xludf.DUMMYFUNCTION("""COMPUTED_VALUE"""),"11:00-12:30")</f>
        <v>11:00-12:30</v>
      </c>
      <c r="N2842" s="7"/>
    </row>
    <row r="2843">
      <c r="A2843" s="7" t="str">
        <f>IFERROR(__xludf.DUMMYFUNCTION("""COMPUTED_VALUE"""),"3439-MAIN")</f>
        <v>3439-MAIN</v>
      </c>
      <c r="B2843" s="7" t="str">
        <f>IFERROR(__xludf.DUMMYFUNCTION("""COMPUTED_VALUE"""),"OMGM: Orchestrate Multiple Granularities and Modalities for Efficient Multimodal Retrieval")</f>
        <v>OMGM: Orchestrate Multiple Granularities and Modalities for Efficient Multimodal Retrieval</v>
      </c>
      <c r="C2843" s="7" t="str">
        <f>IFERROR(__xludf.DUMMYFUNCTION("""COMPUTED_VALUE"""),"Vision-language retrieval-augmented generation (RAG) has become an effective approach for tackling Knowledge-Based Visual Question Answering (KB-VQA), which requires external knowledge beyond the visual content presented in images. The effectiveness of Vi"&amp;"sion-language RAG systems hinges on multimodal retrieval, which is inherently challenging due to the diverse modalities and knowledge granularities in both queries and knowledge bases. Existing methods have not fully tapped into the potential interplay be"&amp;"tween these elements. We propose a multimodal RAG system featuring a coarse-to-fine, multi-step retrieval that harmonizes multiple granularities and modalities to enhance efficacy. Our system begins with a broad initial search aligning knowledge granulari"&amp;"ty for cross-modal retrieval, followed by a multimodal fusion reranking to capture the nuanced multimodal information for top entity selection. A text reranker then filters out the most relevant fine-grained section for augmented generation. Extensive exp"&amp;"eriments on the InfoSeek and Encyclopedic-VQA benchmarks show our method achieves state-of-the-art retrieval performance and highly competitive answering results, underscoring its effectiveness in advancing KB-VQA systems. Our code can be found at https:/"&amp;"/github.com/ChaoLinAViy/OMGM.")</f>
        <v>Vision-language retrieval-augmented generation (RAG) has become an effective approach for tackling Knowledge-Based Visual Question Answering (KB-VQA), which requires external knowledge beyond the visual content presented in images. The effectiveness of Vision-language RAG systems hinges on multimodal retrieval, which is inherently challenging due to the diverse modalities and knowledge granularities in both queries and knowledge bases. Existing methods have not fully tapped into the potential interplay between these elements. We propose a multimodal RAG system featuring a coarse-to-fine, multi-step retrieval that harmonizes multiple granularities and modalities to enhance efficacy. Our system begins with a broad initial search aligning knowledge granularity for cross-modal retrieval, followed by a multimodal fusion reranking to capture the nuanced multimodal information for top entity selection. A text reranker then filters out the most relevant fine-grained section for augmented generation. Extensive experiments on the InfoSeek and Encyclopedic-VQA benchmarks show our method achieves state-of-the-art retrieval performance and highly competitive answering results, underscoring its effectiveness in advancing KB-VQA systems. Our code can be found at https://github.com/ChaoLinAViy/OMGM.</v>
      </c>
      <c r="D2843" s="7" t="str">
        <f>IFERROR(__xludf.DUMMYFUNCTION("""COMPUTED_VALUE"""),"Jingjing Fu")</f>
        <v>Jingjing Fu</v>
      </c>
      <c r="E2843" s="7" t="str">
        <f>IFERROR(__xludf.DUMMYFUNCTION("""COMPUTED_VALUE"""),"Yes")</f>
        <v>Yes</v>
      </c>
      <c r="F2843" s="7" t="str">
        <f>IFERROR(__xludf.DUMMYFUNCTION("""COMPUTED_VALUE"""),"IP-Poster")</f>
        <v>IP-Poster</v>
      </c>
      <c r="G2843" s="7" t="str">
        <f>IFERROR(__xludf.DUMMYFUNCTION("""COMPUTED_VALUE"""),"In-Person")</f>
        <v>In-Person</v>
      </c>
      <c r="H2843" s="7" t="str">
        <f>IFERROR(__xludf.DUMMYFUNCTION("""COMPUTED_VALUE"""),"Hall 4/5")</f>
        <v>Hall 4/5</v>
      </c>
      <c r="I2843" s="7" t="str">
        <f>IFERROR(__xludf.DUMMYFUNCTION("""COMPUTED_VALUE"""),"Session 10: IP-Posters")</f>
        <v>Session 10: IP-Posters</v>
      </c>
      <c r="J2843" s="7" t="str">
        <f>IFERROR(__xludf.DUMMYFUNCTION("""COMPUTED_VALUE"""),"Poster Session 3")</f>
        <v>Poster Session 3</v>
      </c>
      <c r="K2843" s="7"/>
      <c r="L2843" s="8">
        <f>IFERROR(__xludf.DUMMYFUNCTION("""COMPUTED_VALUE"""),45867.0)</f>
        <v>45867</v>
      </c>
      <c r="M2843" s="7" t="str">
        <f>IFERROR(__xludf.DUMMYFUNCTION("""COMPUTED_VALUE"""),"16:00-17:30")</f>
        <v>16:00-17:30</v>
      </c>
      <c r="N2843" s="7"/>
    </row>
    <row r="2844">
      <c r="A2844" s="7" t="str">
        <f>IFERROR(__xludf.DUMMYFUNCTION("""COMPUTED_VALUE"""),"3444-MAIN")</f>
        <v>3444-MAIN</v>
      </c>
      <c r="B2844" s="7" t="str">
        <f>IFERROR(__xludf.DUMMYFUNCTION("""COMPUTED_VALUE"""),"Alleviating Hallucinations from Knowledge Misalignment in Large Language Models via Selective Abstention Learning")</f>
        <v>Alleviating Hallucinations from Knowledge Misalignment in Large Language Models via Selective Abstention Learning</v>
      </c>
      <c r="C2844" s="7" t="str">
        <f>IFERROR(__xludf.DUMMYFUNCTION("""COMPUTED_VALUE"""),"Large language models (LLMs) are known to suffer from severe hallucination issues. One of the main causes lies in the knowledge misalignment between the pre-training stage and the supervised fine-tuning stage. The unfamiliar knowledge encountered during f"&amp;"ine-tuning may encourage LLMs to generate facts that are not grounded in parametric knowledge. To address this, we propose Seal, a novel training objective with an abstention mechanism, in which the model learns to selectively reject tokens that misalign "&amp;"with the desired knowledge distribution via a special $\texttt{[REJ]}$ token. This allows the model the option of acknowledging the insufficiency of knowledge rather than blindly assigning high probability to all ground-truth answers. We further propose a"&amp;" regularized decoding objective that penalizes uncertain predictions during inference by using the $\texttt{[REJ]}$ probability learned during training. Extensive experiments on six short-form and long-form QA datasets with three LLMs of different sizes d"&amp;"emonstrate that our method effectively alleviates hallucinations caused by knowledge misalignment. Further analysis highlights the adaptations of our method in answer refusal scenarios and its ability to effectively maintain the model’s instruction-follow"&amp;"ing capabilities.")</f>
        <v>Large language models (LLMs) are known to suffer from severe hallucination issues. One of the main causes lies in the knowledge misalignment between the pre-training stage and the supervised fine-tuning stage. The unfamiliar knowledge encountered during fine-tuning may encourage LLMs to generate facts that are not grounded in parametric knowledge. To address this, we propose Seal, a novel training objective with an abstention mechanism, in which the model learns to selectively reject tokens that misalign with the desired knowledge distribution via a special $\texttt{[REJ]}$ token. This allows the model the option of acknowledging the insufficiency of knowledge rather than blindly assigning high probability to all ground-truth answers. We further propose a regularized decoding objective that penalizes uncertain predictions during inference by using the $\texttt{[REJ]}$ probability learned during training. Extensive experiments on six short-form and long-form QA datasets with three LLMs of different sizes demonstrate that our method effectively alleviates hallucinations caused by knowledge misalignment. Further analysis highlights the adaptations of our method in answer refusal scenarios and its ability to effectively maintain the model’s instruction-following capabilities.</v>
      </c>
      <c r="D2844" s="7" t="str">
        <f>IFERROR(__xludf.DUMMYFUNCTION("""COMPUTED_VALUE"""),"Lei Huang")</f>
        <v>Lei Huang</v>
      </c>
      <c r="E2844" s="7" t="str">
        <f>IFERROR(__xludf.DUMMYFUNCTION("""COMPUTED_VALUE"""),"Yes")</f>
        <v>Yes</v>
      </c>
      <c r="F2844" s="7" t="str">
        <f>IFERROR(__xludf.DUMMYFUNCTION("""COMPUTED_VALUE"""),"IP-Oral")</f>
        <v>IP-Oral</v>
      </c>
      <c r="G2844" s="7" t="str">
        <f>IFERROR(__xludf.DUMMYFUNCTION("""COMPUTED_VALUE"""),"In-Person")</f>
        <v>In-Person</v>
      </c>
      <c r="H2844" s="7" t="str">
        <f>IFERROR(__xludf.DUMMYFUNCTION("""COMPUTED_VALUE"""),"Room 1.86")</f>
        <v>Room 1.86</v>
      </c>
      <c r="I2844" s="7" t="str">
        <f>IFERROR(__xludf.DUMMYFUNCTION("""COMPUTED_VALUE"""),"Session 11: IP-Orals ")</f>
        <v>Session 11: IP-Orals </v>
      </c>
      <c r="J2844" s="7" t="str">
        <f>IFERROR(__xludf.DUMMYFUNCTION("""COMPUTED_VALUE"""),"Question Answering ")</f>
        <v>Question Answering </v>
      </c>
      <c r="K2844" s="7"/>
      <c r="L2844" s="8">
        <f>IFERROR(__xludf.DUMMYFUNCTION("""COMPUTED_VALUE"""),45868.0)</f>
        <v>45868</v>
      </c>
      <c r="M2844" s="7" t="str">
        <f>IFERROR(__xludf.DUMMYFUNCTION("""COMPUTED_VALUE"""),"09:00-10:30")</f>
        <v>09:00-10:30</v>
      </c>
      <c r="N2844" s="7">
        <f>IFERROR(__xludf.DUMMYFUNCTION("""COMPUTED_VALUE"""),6.0)</f>
        <v>6</v>
      </c>
    </row>
    <row r="2845">
      <c r="A2845" s="7" t="str">
        <f>IFERROR(__xludf.DUMMYFUNCTION("""COMPUTED_VALUE"""),"3445-MAIN")</f>
        <v>3445-MAIN</v>
      </c>
      <c r="B2845" s="7" t="str">
        <f>IFERROR(__xludf.DUMMYFUNCTION("""COMPUTED_VALUE"""),"Retrospective Learning from Interactions")</f>
        <v>Retrospective Learning from Interactions</v>
      </c>
      <c r="C2845" s="7" t="str">
        <f>IFERROR(__xludf.DUMMYFUNCTION("""COMPUTED_VALUE"""),"Multi-turn interactions between large language models (LLMs) and users naturally include implicit feedback signals. If an LLM responds in an unexpected way to an instruction, the user is likely to signal it by rephrasing the request, expressing frustratio"&amp;"n, or pivoting to an alternative task. Such signals are task-independent and occupy a relatively constrained subspace of language, allowing the LLM to identify them even if it fails on the actual task. We introduce ReSpect, a method to learn from such sig"&amp;"nals in past interactions via retrospection without additional annotations. We deploy ReSpect in a new multimodal interaction scenario, where humans instruct a multimodal LLM to solve an abstract reasoning task with a combinatorial solution space. Through"&amp;" thousands of interactions with humans, we show how ReSpect gradually improves task completion rate from 31% to 82%, all without any external annotation.")</f>
        <v>Multi-turn interactions between large language models (LLMs) and users naturally include implicit feedback signals. If an LLM responds in an unexpected way to an instruction, the user is likely to signal it by rephrasing the request, expressing frustration, or pivoting to an alternative task. Such signals are task-independent and occupy a relatively constrained subspace of language, allowing the LLM to identify them even if it fails on the actual task. We introduce ReSpect, a method to learn from such signals in past interactions via retrospection without additional annotations. We deploy ReSpect in a new multimodal interaction scenario, where humans instruct a multimodal LLM to solve an abstract reasoning task with a combinatorial solution space. Through thousands of interactions with humans, we show how ReSpect gradually improves task completion rate from 31% to 82%, all without any external annotation.</v>
      </c>
      <c r="D2845" s="7" t="str">
        <f>IFERROR(__xludf.DUMMYFUNCTION("""COMPUTED_VALUE"""),"Yoav Artzi")</f>
        <v>Yoav Artzi</v>
      </c>
      <c r="E2845" s="7" t="str">
        <f>IFERROR(__xludf.DUMMYFUNCTION("""COMPUTED_VALUE"""),"Yes")</f>
        <v>Yes</v>
      </c>
      <c r="F2845" s="7" t="str">
        <f>IFERROR(__xludf.DUMMYFUNCTION("""COMPUTED_VALUE"""),"IP-Oral")</f>
        <v>IP-Oral</v>
      </c>
      <c r="G2845" s="7" t="str">
        <f>IFERROR(__xludf.DUMMYFUNCTION("""COMPUTED_VALUE"""),"In-Person")</f>
        <v>In-Person</v>
      </c>
      <c r="H2845" s="7" t="str">
        <f>IFERROR(__xludf.DUMMYFUNCTION("""COMPUTED_VALUE"""),"Hall M.2")</f>
        <v>Hall M.2</v>
      </c>
      <c r="I2845" s="7" t="str">
        <f>IFERROR(__xludf.DUMMYFUNCTION("""COMPUTED_VALUE"""),"Session 11: IP-Orals ")</f>
        <v>Session 11: IP-Orals </v>
      </c>
      <c r="J2845" s="7" t="str">
        <f>IFERROR(__xludf.DUMMYFUNCTION("""COMPUTED_VALUE"""),"Multimodality and Language Grounding 2")</f>
        <v>Multimodality and Language Grounding 2</v>
      </c>
      <c r="K2845" s="7"/>
      <c r="L2845" s="8">
        <f>IFERROR(__xludf.DUMMYFUNCTION("""COMPUTED_VALUE"""),45868.0)</f>
        <v>45868</v>
      </c>
      <c r="M2845" s="7" t="str">
        <f>IFERROR(__xludf.DUMMYFUNCTION("""COMPUTED_VALUE"""),"09:00-10:30")</f>
        <v>09:00-10:30</v>
      </c>
      <c r="N2845" s="7">
        <f>IFERROR(__xludf.DUMMYFUNCTION("""COMPUTED_VALUE"""),6.0)</f>
        <v>6</v>
      </c>
    </row>
    <row r="2846">
      <c r="A2846" s="7" t="str">
        <f>IFERROR(__xludf.DUMMYFUNCTION("""COMPUTED_VALUE"""),"3446-MAIN")</f>
        <v>3446-MAIN</v>
      </c>
      <c r="B2846" s="7" t="str">
        <f>IFERROR(__xludf.DUMMYFUNCTION("""COMPUTED_VALUE"""),"Personalized Generation In Large Model Era: A Survey")</f>
        <v>Personalized Generation In Large Model Era: A Survey</v>
      </c>
      <c r="C2846" s="7" t="str">
        <f>IFERROR(__xludf.DUMMYFUNCTION("""COMPUTED_VALUE"""),"In the era of large models, content generation is gradually shifting to Personalized Generation (PGen), tailoring content to individual preferences and needs. This paper presents the first comprehensive survey on PGen, investigating existing research in t"&amp;"his rapidly growing field. We conceptualize PGen from a unified perspective, systematically formalizing its key components, core objectives, and abstract workflows. Based on this unified perspective, we propose a multi-level taxonomy, offering an in-depth"&amp;" review of technical advancements, commonly used datasets, and evaluation metrics across multiple modalities, personalized contexts, and tasks. Moreover, we envision the potential applications of PGen and highlight open challenges and promising directions"&amp;" for future exploration. By bridging PGen research across multiple modalities, this survey serves as a valuable resource for fostering knowledge sharing and interdisciplinary collaboration, ultimately contributing to a more personalized digital landscape.")</f>
        <v>In the era of large models, content generation is gradually shifting to Personalized Generation (PGen), tailoring content to individual preferences and needs. This paper presents the first comprehensive survey on PGen, investigating existing research in this rapidly growing field. We conceptualize PGen from a unified perspective, systematically formalizing its key components, core objectives, and abstract workflows. Based on this unified perspective, we propose a multi-level taxonomy, offering an in-depth review of technical advancements, commonly used datasets, and evaluation metrics across multiple modalities, personalized contexts, and tasks. Moreover, we envision the potential applications of PGen and highlight open challenges and promising directions for future exploration. By bridging PGen research across multiple modalities, this survey serves as a valuable resource for fostering knowledge sharing and interdisciplinary collaboration, ultimately contributing to a more personalized digital landscape.</v>
      </c>
      <c r="D2846" s="7" t="str">
        <f>IFERROR(__xludf.DUMMYFUNCTION("""COMPUTED_VALUE"""),"Yiyan Xu")</f>
        <v>Yiyan Xu</v>
      </c>
      <c r="E2846" s="7" t="str">
        <f>IFERROR(__xludf.DUMMYFUNCTION("""COMPUTED_VALUE"""),"Yes")</f>
        <v>Yes</v>
      </c>
      <c r="F2846" s="7" t="str">
        <f>IFERROR(__xludf.DUMMYFUNCTION("""COMPUTED_VALUE"""),"IP-Poster")</f>
        <v>IP-Poster</v>
      </c>
      <c r="G2846" s="7" t="str">
        <f>IFERROR(__xludf.DUMMYFUNCTION("""COMPUTED_VALUE"""),"In-Person")</f>
        <v>In-Person</v>
      </c>
      <c r="H2846" s="7" t="str">
        <f>IFERROR(__xludf.DUMMYFUNCTION("""COMPUTED_VALUE"""),"Hall 4/5")</f>
        <v>Hall 4/5</v>
      </c>
      <c r="I2846" s="7" t="str">
        <f>IFERROR(__xludf.DUMMYFUNCTION("""COMPUTED_VALUE"""),"Session 10: IP-Posters")</f>
        <v>Session 10: IP-Posters</v>
      </c>
      <c r="J2846" s="7" t="str">
        <f>IFERROR(__xludf.DUMMYFUNCTION("""COMPUTED_VALUE"""),"Poster Session 3")</f>
        <v>Poster Session 3</v>
      </c>
      <c r="K2846" s="7"/>
      <c r="L2846" s="8">
        <f>IFERROR(__xludf.DUMMYFUNCTION("""COMPUTED_VALUE"""),45867.0)</f>
        <v>45867</v>
      </c>
      <c r="M2846" s="7" t="str">
        <f>IFERROR(__xludf.DUMMYFUNCTION("""COMPUTED_VALUE"""),"16:00-17:30")</f>
        <v>16:00-17:30</v>
      </c>
      <c r="N2846" s="7"/>
    </row>
    <row r="2847">
      <c r="A2847" s="7" t="str">
        <f>IFERROR(__xludf.DUMMYFUNCTION("""COMPUTED_VALUE"""),"3447-MAIN")</f>
        <v>3447-MAIN</v>
      </c>
      <c r="B2847" s="7" t="str">
        <f>IFERROR(__xludf.DUMMYFUNCTION("""COMPUTED_VALUE"""),"Graph Counselor: Adaptive Graph Exploration via Multi-Agent Synergy to Enhance LLM Reasoning")</f>
        <v>Graph Counselor: Adaptive Graph Exploration via Multi-Agent Synergy to Enhance LLM Reasoning</v>
      </c>
      <c r="C2847" s="7" t="str">
        <f>IFERROR(__xludf.DUMMYFUNCTION("""COMPUTED_VALUE"""),"Graph Retrieval Augmented Generation (GraphRAG) effectively enhances external knowledge integration capabilities by explicitly modeling knowledge relationships, thereby improving the factual accuracy and generation quality of Large Language Models (LLMs) "&amp;"in specialized domains. However, existing methods suffer from two inherent limitations: 1) Inefficient Information Aggregation: They rely on a single agent and fixed iterative patterns, making it difficult to adaptively capture multi-level textual, struct"&amp;"ural, and degree information within graph data. 2) Rigid Reasoning Mechanism: They employ preset reasoning schemes, which cannot dynamically adjust reasoning depth nor achieve precise semantic correction. To overcome these limitations, we propose Graph Co"&amp;"unselor, an GraphRAG method based on multi-agent collaboration. This method uses the Adaptive Graph Information Extraction Module (AGIEM), where Planning, Thought, and Execution Agents work together to precisely model complex graph structures and dynamica"&amp;"lly adjust information extraction strategies, addressing the challenges of multi-level dependency modeling and adaptive reasoning depth. Additionally, the Self-Reflection with Multiple Perspectives (SR) module improves the accuracy and semantic consistenc"&amp;"y of reasoning results through self-reflection and backward reasoning mechanisms. Experiments demonstrate that Graph Counselor outperforms existing methods in multiple graph reasoning tasks, exhibiting higher reasoning accuracy and generalization ability."&amp;"
Our code is available at https://github.com/gjq100/Graph-Counselor.git.")</f>
        <v>Graph Retrieval Augmented Generation (GraphRAG) effectively enhances external knowledge integration capabilities by explicitly modeling knowledge relationships, thereby improving the factual accuracy and generation quality of Large Language Models (LLMs) in specialized domains. However, existing methods suffer from two inherent limitations: 1) Inefficient Information Aggregation: They rely on a single agent and fixed iterative patterns, making it difficult to adaptively capture multi-level textual, structural, and degree information within graph data. 2) Rigid Reasoning Mechanism: They employ preset reasoning schemes, which cannot dynamically adjust reasoning depth nor achieve precise semantic correction. To overcome these limitations, we propose Graph Counselor, an GraphRAG method based on multi-agent collaboration. This method uses the Adaptive Graph Information Extraction Module (AGIEM), where Planning, Thought, and Execution Agents work together to precisely model complex graph structures and dynamically adjust information extraction strategies, addressing the challenges of multi-level dependency modeling and adaptive reasoning depth. Additionally, the Self-Reflection with Multiple Perspectives (SR) module improves the accuracy and semantic consistency of reasoning results through self-reflection and backward reasoning mechanisms. Experiments demonstrate that Graph Counselor outperforms existing methods in multiple graph reasoning tasks, exhibiting higher reasoning accuracy and generalization ability.
Our code is available at https://github.com/gjq100/Graph-Counselor.git.</v>
      </c>
      <c r="D2847" s="7" t="str">
        <f>IFERROR(__xludf.DUMMYFUNCTION("""COMPUTED_VALUE"""),"Junqi Gao")</f>
        <v>Junqi Gao</v>
      </c>
      <c r="E2847" s="7" t="str">
        <f>IFERROR(__xludf.DUMMYFUNCTION("""COMPUTED_VALUE"""),"Yes")</f>
        <v>Yes</v>
      </c>
      <c r="F2847" s="7" t="str">
        <f>IFERROR(__xludf.DUMMYFUNCTION("""COMPUTED_VALUE"""),"V-Presentation")</f>
        <v>V-Presentation</v>
      </c>
      <c r="G2847" s="7" t="str">
        <f>IFERROR(__xludf.DUMMYFUNCTION("""COMPUTED_VALUE"""),"Virtual/Gather")</f>
        <v>Virtual/Gather</v>
      </c>
      <c r="H2847" s="7" t="str">
        <f>IFERROR(__xludf.DUMMYFUNCTION("""COMPUTED_VALUE"""),"Zoom")</f>
        <v>Zoom</v>
      </c>
      <c r="I2847" s="7" t="str">
        <f>IFERROR(__xludf.DUMMYFUNCTION("""COMPUTED_VALUE"""),"Session 10: V-Presenations")</f>
        <v>Session 10: V-Presenations</v>
      </c>
      <c r="J2847" s="7" t="str">
        <f>IFERROR(__xludf.DUMMYFUNCTION("""COMPUTED_VALUE"""),"Virtual Presentations 3")</f>
        <v>Virtual Presentations 3</v>
      </c>
      <c r="K2847" s="7"/>
      <c r="L2847" s="8">
        <f>IFERROR(__xludf.DUMMYFUNCTION("""COMPUTED_VALUE"""),45867.0)</f>
        <v>45867</v>
      </c>
      <c r="M2847" s="7" t="str">
        <f>IFERROR(__xludf.DUMMYFUNCTION("""COMPUTED_VALUE"""),"16:00-17:30")</f>
        <v>16:00-17:30</v>
      </c>
      <c r="N2847" s="7"/>
    </row>
    <row r="2848">
      <c r="A2848" s="7" t="str">
        <f>IFERROR(__xludf.DUMMYFUNCTION("""COMPUTED_VALUE"""),"3454-MAIN")</f>
        <v>3454-MAIN</v>
      </c>
      <c r="B2848" s="7" t="str">
        <f>IFERROR(__xludf.DUMMYFUNCTION("""COMPUTED_VALUE"""),"SOTOPIA-Ω: Dynamic Strategy Injection Learning and Social Instruction Following Evaluation for Social Agents")</f>
        <v>SOTOPIA-Ω: Dynamic Strategy Injection Learning and Social Instruction Following Evaluation for Social Agents</v>
      </c>
      <c r="C2848" s="7" t="str">
        <f>IFERROR(__xludf.DUMMYFUNCTION("""COMPUTED_VALUE"""),"Despite the abundance of prior social strategies possessed by humans, there remains a paucity of research dedicated to their transfer and integration into social agents. Our proposed SOTOPIA-Ω framework aims to address and bridge this gap, with a particul"&amp;"ar focus on enhancing the social capabilities of language agents. This framework dynamically injects a variety of social strategies into expert agents, thereby automating the construction of high-quality social dialogue training corpus. Additionally, we i"&amp;"ntroduce the concept of Social Instruction Following (S-IF) and propose two new S-IF evaluation metrics that are complementary to social capability. We demonstrate that several 7B models trained on high-quality corpus not only significantly surpasses the "&amp;"expert agent (GPT-4) in achieving social goals but also enhances S-IF performance. Analysis and variant experiments validate the advantages of dynamic construction, which can especially break the agent's prolonged deadlock.")</f>
        <v>Despite the abundance of prior social strategies possessed by humans, there remains a paucity of research dedicated to their transfer and integration into social agents. Our proposed SOTOPIA-Ω framework aims to address and bridge this gap, with a particular focus on enhancing the social capabilities of language agents. This framework dynamically injects a variety of social strategies into expert agents, thereby automating the construction of high-quality social dialogue training corpus. Additionally, we introduce the concept of Social Instruction Following (S-IF) and propose two new S-IF evaluation metrics that are complementary to social capability. We demonstrate that several 7B models trained on high-quality corpus not only significantly surpasses the expert agent (GPT-4) in achieving social goals but also enhances S-IF performance. Analysis and variant experiments validate the advantages of dynamic construction, which can especially break the agent's prolonged deadlock.</v>
      </c>
      <c r="D2848" s="7" t="str">
        <f>IFERROR(__xludf.DUMMYFUNCTION("""COMPUTED_VALUE"""),"Wenyuan Zhang")</f>
        <v>Wenyuan Zhang</v>
      </c>
      <c r="E2848" s="7" t="str">
        <f>IFERROR(__xludf.DUMMYFUNCTION("""COMPUTED_VALUE"""),"Yes")</f>
        <v>Yes</v>
      </c>
      <c r="F2848" s="7" t="str">
        <f>IFERROR(__xludf.DUMMYFUNCTION("""COMPUTED_VALUE"""),"IP-Poster")</f>
        <v>IP-Poster</v>
      </c>
      <c r="G2848" s="7" t="str">
        <f>IFERROR(__xludf.DUMMYFUNCTION("""COMPUTED_VALUE"""),"In-Person")</f>
        <v>In-Person</v>
      </c>
      <c r="H2848" s="7" t="str">
        <f>IFERROR(__xludf.DUMMYFUNCTION("""COMPUTED_VALUE"""),"Hall 4/5")</f>
        <v>Hall 4/5</v>
      </c>
      <c r="I2848" s="7" t="str">
        <f>IFERROR(__xludf.DUMMYFUNCTION("""COMPUTED_VALUE"""),"Session 2: IP-Posters ")</f>
        <v>Session 2: IP-Posters </v>
      </c>
      <c r="J2848" s="7" t="str">
        <f>IFERROR(__xludf.DUMMYFUNCTION("""COMPUTED_VALUE"""),"Poster Session 1")</f>
        <v>Poster Session 1</v>
      </c>
      <c r="K2848" s="7"/>
      <c r="L2848" s="8">
        <f>IFERROR(__xludf.DUMMYFUNCTION("""COMPUTED_VALUE"""),45866.0)</f>
        <v>45866</v>
      </c>
      <c r="M2848" s="7" t="str">
        <f>IFERROR(__xludf.DUMMYFUNCTION("""COMPUTED_VALUE"""),"11:00-12:30")</f>
        <v>11:00-12:30</v>
      </c>
      <c r="N2848" s="7"/>
    </row>
    <row r="2849">
      <c r="A2849" s="7" t="str">
        <f>IFERROR(__xludf.DUMMYFUNCTION("""COMPUTED_VALUE"""),"3455-MAIN")</f>
        <v>3455-MAIN</v>
      </c>
      <c r="B2849" s="7" t="str">
        <f>IFERROR(__xludf.DUMMYFUNCTION("""COMPUTED_VALUE"""),"Can Language Models Replace Programmers? REPOCOD Says ‘Not Yet’")</f>
        <v>Can Language Models Replace Programmers? REPOCOD Says ‘Not Yet’</v>
      </c>
      <c r="C2849" s="7" t="str">
        <f>IFERROR(__xludf.DUMMYFUNCTION("""COMPUTED_VALUE"""),"Recently, a number of repository-level code generation benchmarks--such as CoderEval, DevEval, RepoEval, RepoBench, and LongCode-Arena--have emerged to evaluate the capabilities of large language models (LLMs) beyond standalone benchmarks like HumanEval a"&amp;"nd MBPP. Thus, a natural question is, would LLMs have similar performance in real world coding tasks as their performance in these benchmarks? Unfortunately, one cannot answer this question, since these benchmarks consist of short completions, synthetic e"&amp;"xamples, or focus on limited scale repositories, failing to represent real-world coding tasks.
To address these challenges, we create RepoCod, a Python code-generation benchmark containing complex tasks with realistic dependencies in real-world large pro"&amp;"jects and appropriate metrics for evaluating source code. It includes 980 whole-function generation tasks from 11 popular projects, 50.8\% of which require repository-level context. RepoCod includes 314 developer-written test cases per instance for better"&amp;" evaluation. We evaluate ten LLMs on RepoCod and find that none achieves more than 30\% pass@1 on RepoCod, indicating the necessity of building stronger LLMs that can help developers in real-world software development. In addition, we found that retrieval"&amp;"-augmented generation achieves better results than using target function dependencies as context.")</f>
        <v>Recently, a number of repository-level code generation benchmarks--such as CoderEval, DevEval, RepoEval, RepoBench, and LongCode-Arena--have emerged to evaluate the capabilities of large language models (LLMs) beyond standalone benchmarks like HumanEval and MBPP. Thus, a natural question is, would LLMs have similar performance in real world coding tasks as their performance in these benchmarks? Unfortunately, one cannot answer this question, since these benchmarks consist of short completions, synthetic examples, or focus on limited scale repositories, failing to represent real-world coding tasks.
To address these challenges, we create RepoCod, a Python code-generation benchmark containing complex tasks with realistic dependencies in real-world large projects and appropriate metrics for evaluating source code. It includes 980 whole-function generation tasks from 11 popular projects, 50.8\% of which require repository-level context. RepoCod includes 314 developer-written test cases per instance for better evaluation. We evaluate ten LLMs on RepoCod and find that none achieves more than 30\% pass@1 on RepoCod, indicating the necessity of building stronger LLMs that can help developers in real-world software development. In addition, we found that retrieval-augmented generation achieves better results than using target function dependencies as context.</v>
      </c>
      <c r="D2849" s="7" t="str">
        <f>IFERROR(__xludf.DUMMYFUNCTION("""COMPUTED_VALUE"""),"Shanchao Liang")</f>
        <v>Shanchao Liang</v>
      </c>
      <c r="E2849" s="7" t="str">
        <f>IFERROR(__xludf.DUMMYFUNCTION("""COMPUTED_VALUE"""),"Yes")</f>
        <v>Yes</v>
      </c>
      <c r="F2849" s="7" t="str">
        <f>IFERROR(__xludf.DUMMYFUNCTION("""COMPUTED_VALUE"""),"V-Presentation")</f>
        <v>V-Presentation</v>
      </c>
      <c r="G2849" s="7" t="str">
        <f>IFERROR(__xludf.DUMMYFUNCTION("""COMPUTED_VALUE"""),"Virtual/Gather")</f>
        <v>Virtual/Gather</v>
      </c>
      <c r="H2849" s="7" t="str">
        <f>IFERROR(__xludf.DUMMYFUNCTION("""COMPUTED_VALUE"""),"Zoom")</f>
        <v>Zoom</v>
      </c>
      <c r="I2849" s="7" t="str">
        <f>IFERROR(__xludf.DUMMYFUNCTION("""COMPUTED_VALUE"""),"Session 7: V--Presentations ")</f>
        <v>Session 7: V--Presentations </v>
      </c>
      <c r="J2849" s="7" t="str">
        <f>IFERROR(__xludf.DUMMYFUNCTION("""COMPUTED_VALUE"""),"Virtual Presentations 2")</f>
        <v>Virtual Presentations 2</v>
      </c>
      <c r="K2849" s="7"/>
      <c r="L2849" s="8"/>
      <c r="M2849" s="7" t="str">
        <f>IFERROR(__xludf.DUMMYFUNCTION("""COMPUTED_VALUE"""),"10:30-12:00")</f>
        <v>10:30-12:00</v>
      </c>
      <c r="N2849" s="7"/>
    </row>
    <row r="2850">
      <c r="A2850" s="7" t="str">
        <f>IFERROR(__xludf.DUMMYFUNCTION("""COMPUTED_VALUE"""),"3462-MAIN")</f>
        <v>3462-MAIN</v>
      </c>
      <c r="B2850" s="7" t="str">
        <f>IFERROR(__xludf.DUMMYFUNCTION("""COMPUTED_VALUE"""),"Leveraging In-Context Learning for Political Bias Testing of LLMs")</f>
        <v>Leveraging In-Context Learning for Political Bias Testing of LLMs</v>
      </c>
      <c r="C2850" s="7" t="str">
        <f>IFERROR(__xludf.DUMMYFUNCTION("""COMPUTED_VALUE"""),"A growing body of work has been querying LLMs with political questions to evaluate their potential biases. However, this probing method has limited stability, making comparisons between models unreliable. In this paper, we argue that LLMs need more contex"&amp;"t. We propose a new probing task, Questionnaire Modeling (QM), that uses human survey data as in-context examples. We show that QM improves the stability of question-based bias evaluation, and demonstrate that it may be used to compare instruction-tuned m"&amp;"odels to their base versions. Experiments with LLMs of various sizes indicate that instruction tuning can indeed change the direction of bias. Furthermore, we observe a trend that larger models are able to leverage in-context examples more effectively, an"&amp;"d generally exhibit smaller bias scores in QM. Data and code are publicly available.")</f>
        <v>A growing body of work has been querying LLMs with political questions to evaluate their potential biases. However, this probing method has limited stability, making comparisons between models unreliable. In this paper, we argue that LLMs need more context. We propose a new probing task, Questionnaire Modeling (QM), that uses human survey data as in-context examples. We show that QM improves the stability of question-based bias evaluation, and demonstrate that it may be used to compare instruction-tuned models to their base versions. Experiments with LLMs of various sizes indicate that instruction tuning can indeed change the direction of bias. Furthermore, we observe a trend that larger models are able to leverage in-context examples more effectively, and generally exhibit smaller bias scores in QM. Data and code are publicly available.</v>
      </c>
      <c r="D2850" s="7" t="str">
        <f>IFERROR(__xludf.DUMMYFUNCTION("""COMPUTED_VALUE"""),"Jannis Vamvas")</f>
        <v>Jannis Vamvas</v>
      </c>
      <c r="E2850" s="7" t="str">
        <f>IFERROR(__xludf.DUMMYFUNCTION("""COMPUTED_VALUE"""),"Yes")</f>
        <v>Yes</v>
      </c>
      <c r="F2850" s="7" t="str">
        <f>IFERROR(__xludf.DUMMYFUNCTION("""COMPUTED_VALUE"""),"IP-Poster")</f>
        <v>IP-Poster</v>
      </c>
      <c r="G2850" s="7" t="str">
        <f>IFERROR(__xludf.DUMMYFUNCTION("""COMPUTED_VALUE"""),"In-Person")</f>
        <v>In-Person</v>
      </c>
      <c r="H2850" s="7" t="str">
        <f>IFERROR(__xludf.DUMMYFUNCTION("""COMPUTED_VALUE"""),"Hall 4/5")</f>
        <v>Hall 4/5</v>
      </c>
      <c r="I2850" s="7" t="str">
        <f>IFERROR(__xludf.DUMMYFUNCTION("""COMPUTED_VALUE"""),"Session 7: IP-Posters")</f>
        <v>Session 7: IP-Posters</v>
      </c>
      <c r="J2850" s="7" t="str">
        <f>IFERROR(__xludf.DUMMYFUNCTION("""COMPUTED_VALUE"""),"Poster Session 2")</f>
        <v>Poster Session 2</v>
      </c>
      <c r="K2850" s="7"/>
      <c r="L2850" s="8">
        <f>IFERROR(__xludf.DUMMYFUNCTION("""COMPUTED_VALUE"""),45867.0)</f>
        <v>45867</v>
      </c>
      <c r="M2850" s="7" t="str">
        <f>IFERROR(__xludf.DUMMYFUNCTION("""COMPUTED_VALUE"""),"10:30-12:00")</f>
        <v>10:30-12:00</v>
      </c>
      <c r="N2850" s="7"/>
    </row>
    <row r="2851">
      <c r="A2851" s="7" t="str">
        <f>IFERROR(__xludf.DUMMYFUNCTION("""COMPUTED_VALUE"""),"3466-MAIN")</f>
        <v>3466-MAIN</v>
      </c>
      <c r="B2851" s="7" t="str">
        <f>IFERROR(__xludf.DUMMYFUNCTION("""COMPUTED_VALUE"""),"CoRet: Improved Retriever for Code Editing")</f>
        <v>CoRet: Improved Retriever for Code Editing</v>
      </c>
      <c r="C2851" s="7" t="str">
        <f>IFERROR(__xludf.DUMMYFUNCTION("""COMPUTED_VALUE"""),"In this paper, we introduce CoRet, a dense retrieval model designed for code-editing tasks that integrates code semantics, repository structure, and call-graph dependencies. The model focuses on retrieving relevant portions of a code repository based on n"&amp;"atural language queries such as requests to implement new features or fix bugs. These retrieved code chunks can then be presented to an user or to a second code-editing model or agent. To train CoRet, we propose a loss function explicitly designed for rep"&amp;"ository-level retrieval. On SWE-bench and Long Code Arena's bug localisation datasets, we show that our model substantially improves retrieval recall by at least 15 percentage points over existing models, and ablate the design choices to show their import"&amp;"ance in achieving these results.")</f>
        <v>In this paper, we introduce CoRet, a dense retrieval model designed for code-editing tasks that integrates code semantics, repository structure, and call-graph dependencies. The model focuses on retrieving relevant portions of a code repository based on natural language queries such as requests to implement new features or fix bugs. These retrieved code chunks can then be presented to an user or to a second code-editing model or agent. To train CoRet, we propose a loss function explicitly designed for repository-level retrieval. On SWE-bench and Long Code Arena's bug localisation datasets, we show that our model substantially improves retrieval recall by at least 15 percentage points over existing models, and ablate the design choices to show their importance in achieving these results.</v>
      </c>
      <c r="D2851" s="7" t="str">
        <f>IFERROR(__xludf.DUMMYFUNCTION("""COMPUTED_VALUE"""),"Fabio James Fehr")</f>
        <v>Fabio James Fehr</v>
      </c>
      <c r="E2851" s="7" t="str">
        <f>IFERROR(__xludf.DUMMYFUNCTION("""COMPUTED_VALUE"""),"Yes")</f>
        <v>Yes</v>
      </c>
      <c r="F2851" s="7" t="str">
        <f>IFERROR(__xludf.DUMMYFUNCTION("""COMPUTED_VALUE"""),"IP-Poster")</f>
        <v>IP-Poster</v>
      </c>
      <c r="G2851" s="7" t="str">
        <f>IFERROR(__xludf.DUMMYFUNCTION("""COMPUTED_VALUE"""),"In-Person")</f>
        <v>In-Person</v>
      </c>
      <c r="H2851" s="7" t="str">
        <f>IFERROR(__xludf.DUMMYFUNCTION("""COMPUTED_VALUE"""),"Hall 4/5")</f>
        <v>Hall 4/5</v>
      </c>
      <c r="I2851" s="7" t="str">
        <f>IFERROR(__xludf.DUMMYFUNCTION("""COMPUTED_VALUE"""),"Session 2: IP-Posters ")</f>
        <v>Session 2: IP-Posters </v>
      </c>
      <c r="J2851" s="7" t="str">
        <f>IFERROR(__xludf.DUMMYFUNCTION("""COMPUTED_VALUE"""),"Poster Session 1")</f>
        <v>Poster Session 1</v>
      </c>
      <c r="K2851" s="7"/>
      <c r="L2851" s="8">
        <f>IFERROR(__xludf.DUMMYFUNCTION("""COMPUTED_VALUE"""),45866.0)</f>
        <v>45866</v>
      </c>
      <c r="M2851" s="7" t="str">
        <f>IFERROR(__xludf.DUMMYFUNCTION("""COMPUTED_VALUE"""),"11:00-12:30")</f>
        <v>11:00-12:30</v>
      </c>
      <c r="N2851" s="7"/>
    </row>
    <row r="2852">
      <c r="A2852" s="7" t="str">
        <f>IFERROR(__xludf.DUMMYFUNCTION("""COMPUTED_VALUE"""),"3471-MAIN")</f>
        <v>3471-MAIN</v>
      </c>
      <c r="B2852" s="7" t="str">
        <f>IFERROR(__xludf.DUMMYFUNCTION("""COMPUTED_VALUE"""),"ACORD: An Expert-Annotated Retrieval Dataset for Legal Contract Drafting")</f>
        <v>ACORD: An Expert-Annotated Retrieval Dataset for Legal Contract Drafting</v>
      </c>
      <c r="C2852" s="7" t="str">
        <f>IFERROR(__xludf.DUMMYFUNCTION("""COMPUTED_VALUE"""),"Contract clause retrieval is foundational to contract drafting because lawyers rarely draft contracts from scratch; instead, they locate and revise the most relevant precedent clauses. We introduce the Atticus Clause Retrieval Dataset (ACORD), the first e"&amp;"xpert-annotated benchmark specifically designed for contract clause retrieval to support contract drafting tasks. ACORD focuses on complex contract clauses such as Limitation of Liability, Indemnification, Change of Control, and Most Favored Nation. It in"&amp;"cludes 114 queries and over 126,000 query-clause pairs, each ranked on a scale from 1 to 5 stars. The task is to find the most relevant precedent clauses to a query. The bi-encoder retriever paired with pointwise LLMs re-rankers shows promising results. H"&amp;"owever, substantial improvements are still needed to manage the complex legal work typically undertaken by lawyers effectively. As the first expert-annotated benchmark for contract clause retrieval, ACORD can serve as a valuable IR benchmark for the NLP c"&amp;"ommunity.")</f>
        <v>Contract clause retrieval is foundational to contract drafting because lawyers rarely draft contracts from scratch; instead, they locate and revise the most relevant precedent clauses. We introduce the Atticus Clause Retrieval Dataset (ACORD), the first expert-annotated benchmark specifically designed for contract clause retrieval to support contract drafting tasks. ACORD focuses on complex contract clauses such as Limitation of Liability, Indemnification, Change of Control, and Most Favored Nation. It includes 114 queries and over 126,000 query-clause pairs, each ranked on a scale from 1 to 5 stars. The task is to find the most relevant precedent clauses to a query. The bi-encoder retriever paired with pointwise LLMs re-rankers shows promising results. However, substantial improvements are still needed to manage the complex legal work typically undertaken by lawyers effectively. As the first expert-annotated benchmark for contract clause retrieval, ACORD can serve as a valuable IR benchmark for the NLP community.</v>
      </c>
      <c r="D2852" s="7" t="str">
        <f>IFERROR(__xludf.DUMMYFUNCTION("""COMPUTED_VALUE"""),"Andreas Plesner")</f>
        <v>Andreas Plesner</v>
      </c>
      <c r="E2852" s="7" t="str">
        <f>IFERROR(__xludf.DUMMYFUNCTION("""COMPUTED_VALUE"""),"Yes")</f>
        <v>Yes</v>
      </c>
      <c r="F2852" s="7" t="str">
        <f>IFERROR(__xludf.DUMMYFUNCTION("""COMPUTED_VALUE"""),"IP-Poster")</f>
        <v>IP-Poster</v>
      </c>
      <c r="G2852" s="7" t="str">
        <f>IFERROR(__xludf.DUMMYFUNCTION("""COMPUTED_VALUE"""),"In-Person")</f>
        <v>In-Person</v>
      </c>
      <c r="H2852" s="7" t="str">
        <f>IFERROR(__xludf.DUMMYFUNCTION("""COMPUTED_VALUE"""),"Hall 4/5")</f>
        <v>Hall 4/5</v>
      </c>
      <c r="I2852" s="7" t="str">
        <f>IFERROR(__xludf.DUMMYFUNCTION("""COMPUTED_VALUE"""),"Session 12: IP-Posters")</f>
        <v>Session 12: IP-Posters</v>
      </c>
      <c r="J2852" s="7" t="str">
        <f>IFERROR(__xludf.DUMMYFUNCTION("""COMPUTED_VALUE"""),"Poster Session 4")</f>
        <v>Poster Session 4</v>
      </c>
      <c r="K2852" s="7"/>
      <c r="L2852" s="8">
        <f>IFERROR(__xludf.DUMMYFUNCTION("""COMPUTED_VALUE"""),45868.0)</f>
        <v>45868</v>
      </c>
      <c r="M2852" s="7" t="str">
        <f>IFERROR(__xludf.DUMMYFUNCTION("""COMPUTED_VALUE"""),"11:00-12:30")</f>
        <v>11:00-12:30</v>
      </c>
      <c r="N2852" s="7"/>
    </row>
    <row r="2853">
      <c r="A2853" s="7" t="str">
        <f>IFERROR(__xludf.DUMMYFUNCTION("""COMPUTED_VALUE"""),"3472-MAIN")</f>
        <v>3472-MAIN</v>
      </c>
      <c r="B2853" s="7" t="str">
        <f>IFERROR(__xludf.DUMMYFUNCTION("""COMPUTED_VALUE"""),"LLMs know their vulnerabilities: Uncover Safety Gaps through Natural Distribution Shifts")</f>
        <v>LLMs know their vulnerabilities: Uncover Safety Gaps through Natural Distribution Shifts</v>
      </c>
      <c r="C2853" s="7" t="str">
        <f>IFERROR(__xludf.DUMMYFUNCTION("""COMPUTED_VALUE"""),"Safety concerns in large language models (LLMs) have gained significant attention due to their exposure to potentially harmful data during pre-training. In this paper, we identify a new safety vulnerability in LLMs: their susceptibility to \textit{natural"&amp;" distribution shifts} between attack prompts and original toxic prompts, where seemingly benign prompts, semantically related to harmful content, can bypass safety mechanisms. To explore this issue, we introduce a novel attack method, \textit{ActorBreaker"&amp;"}, which identifies actors related to toxic prompts within pre-training distribution to craft multi-turn prompts that gradually lead LLMs to reveal unsafe content. ActorBreaker is grounded in Latour's actor-network theory, encompassing both human and non-"&amp;"human actors to capture a broader range of vulnerabilities. Our experimental results demonstrate that ActorBreaker outperforms existing attack methods in terms of diversity, effectiveness, and efficiency across aligned LLMs. To address this vulnerability,"&amp;" we propose expanding safety training to cover a broader semantic space of toxic content. We thus construct a multi-turn safety dataset using ActorBreaker. Fine-tuning models on our dataset shows significant improvements in robustness, though with some tr"&amp;"ade-offs in utility. Code is available at https://github.com/AI45Lab/ActorAttack.")</f>
        <v>Safety concerns in large language models (LLMs) have gained significant attention due to their exposure to potentially harmful data during pre-training. In this paper, we identify a new safety vulnerability in LLMs: their susceptibility to \textit{natural distribution shifts} between attack prompts and original toxic prompts, where seemingly benign prompts, semantically related to harmful content, can bypass safety mechanisms. To explore this issue, we introduce a novel attack method, \textit{ActorBreaker}, which identifies actors related to toxic prompts within pre-training distribution to craft multi-turn prompts that gradually lead LLMs to reveal unsafe content. ActorBreaker is grounded in Latour's actor-network theory, encompassing both human and non-human actors to capture a broader range of vulnerabilities. Our experimental results demonstrate that ActorBreaker outperforms existing attack methods in terms of diversity, effectiveness, and efficiency across aligned LLMs. To address this vulnerability, we propose expanding safety training to cover a broader semantic space of toxic content. We thus construct a multi-turn safety dataset using ActorBreaker. Fine-tuning models on our dataset shows significant improvements in robustness, though with some trade-offs in utility. Code is available at https://github.com/AI45Lab/ActorAttack.</v>
      </c>
      <c r="D2853" s="7" t="str">
        <f>IFERROR(__xludf.DUMMYFUNCTION("""COMPUTED_VALUE"""),"Qibing Ren")</f>
        <v>Qibing Ren</v>
      </c>
      <c r="E2853" s="7" t="str">
        <f>IFERROR(__xludf.DUMMYFUNCTION("""COMPUTED_VALUE"""),"Yes")</f>
        <v>Yes</v>
      </c>
      <c r="F2853" s="7" t="str">
        <f>IFERROR(__xludf.DUMMYFUNCTION("""COMPUTED_VALUE"""),"IP-Oral")</f>
        <v>IP-Oral</v>
      </c>
      <c r="G2853" s="7" t="str">
        <f>IFERROR(__xludf.DUMMYFUNCTION("""COMPUTED_VALUE"""),"In-Person")</f>
        <v>In-Person</v>
      </c>
      <c r="H2853" s="7" t="str">
        <f>IFERROR(__xludf.DUMMYFUNCTION("""COMPUTED_VALUE"""),"Hall M.1")</f>
        <v>Hall M.1</v>
      </c>
      <c r="I2853" s="7" t="str">
        <f>IFERROR(__xludf.DUMMYFUNCTION("""COMPUTED_VALUE"""),"Session 3: IP-Orals")</f>
        <v>Session 3: IP-Orals</v>
      </c>
      <c r="J2853" s="7" t="str">
        <f>IFERROR(__xludf.DUMMYFUNCTION("""COMPUTED_VALUE"""),"Generation")</f>
        <v>Generation</v>
      </c>
      <c r="K2853" s="7"/>
      <c r="L2853" s="8">
        <f>IFERROR(__xludf.DUMMYFUNCTION("""COMPUTED_VALUE"""),45866.0)</f>
        <v>45866</v>
      </c>
      <c r="M2853" s="7" t="str">
        <f>IFERROR(__xludf.DUMMYFUNCTION("""COMPUTED_VALUE"""),"14:00-15:30")</f>
        <v>14:00-15:30</v>
      </c>
      <c r="N2853" s="7">
        <f>IFERROR(__xludf.DUMMYFUNCTION("""COMPUTED_VALUE"""),8.0)</f>
        <v>8</v>
      </c>
    </row>
    <row r="2854">
      <c r="A2854" s="7" t="str">
        <f>IFERROR(__xludf.DUMMYFUNCTION("""COMPUTED_VALUE"""),"3473-MAIN")</f>
        <v>3473-MAIN</v>
      </c>
      <c r="B2854" s="7" t="str">
        <f>IFERROR(__xludf.DUMMYFUNCTION("""COMPUTED_VALUE"""),"WAFFLE: Fine-tuning Multi-Modal Model for Automated Front-End Development")</f>
        <v>WAFFLE: Fine-tuning Multi-Modal Model for Automated Front-End Development</v>
      </c>
      <c r="C2854" s="7" t="str">
        <f>IFERROR(__xludf.DUMMYFUNCTION("""COMPUTED_VALUE"""),"Web development involves turning UI designs into functional webpages, which can be difficult for both beginners and experienced developers due to the complexity of HTML's hierarchical structures and styles. While Large Language Models (LLMs) have shown pr"&amp;"omise in generating source code, two major challenges persist in UI-to-HTML code generation: (1) effectively representing HTML's hierarchical structure for LLMs, and (2) bridging the gap between the visual nature of UI designs and the text-based format of"&amp;" HTML code. To tackle these challenges, we introduce Waffle, a new fine-tuning strategy that uses a structure-aware attention mechanism to improve LLMs' understanding of HTML's structure and a contrastive fine-tuning approach to align LLMs' understanding "&amp;"of UI images and HTML code. Models fine-tuned with Waffle show up to 9.00 pp (percentage point) higher HTML match, 0.0982 higher CW-SSIM, 32.99 higher CLIP, and 27.12 pp higher LLEM on our new benchmark WebSight-Test and an existing benchmark Design2Code,"&amp;" outperforming current fine-tuning methods.")</f>
        <v>Web development involves turning UI designs into functional webpages, which can be difficult for both beginners and experienced developers due to the complexity of HTML's hierarchical structures and styles. While Large Language Models (LLMs) have shown promise in generating source code, two major challenges persist in UI-to-HTML code generation: (1) effectively representing HTML's hierarchical structure for LLMs, and (2) bridging the gap between the visual nature of UI designs and the text-based format of HTML code. To tackle these challenges, we introduce Waffle, a new fine-tuning strategy that uses a structure-aware attention mechanism to improve LLMs' understanding of HTML's structure and a contrastive fine-tuning approach to align LLMs' understanding of UI images and HTML code. Models fine-tuned with Waffle show up to 9.00 pp (percentage point) higher HTML match, 0.0982 higher CW-SSIM, 32.99 higher CLIP, and 27.12 pp higher LLEM on our new benchmark WebSight-Test and an existing benchmark Design2Code, outperforming current fine-tuning methods.</v>
      </c>
      <c r="D2854" s="7" t="str">
        <f>IFERROR(__xludf.DUMMYFUNCTION("""COMPUTED_VALUE"""),"Shanchao Liang")</f>
        <v>Shanchao Liang</v>
      </c>
      <c r="E2854" s="7" t="str">
        <f>IFERROR(__xludf.DUMMYFUNCTION("""COMPUTED_VALUE"""),"Yes")</f>
        <v>Yes</v>
      </c>
      <c r="F2854" s="7" t="str">
        <f>IFERROR(__xludf.DUMMYFUNCTION("""COMPUTED_VALUE"""),"V-Presentation")</f>
        <v>V-Presentation</v>
      </c>
      <c r="G2854" s="7" t="str">
        <f>IFERROR(__xludf.DUMMYFUNCTION("""COMPUTED_VALUE"""),"Virtual/Gather")</f>
        <v>Virtual/Gather</v>
      </c>
      <c r="H2854" s="7" t="str">
        <f>IFERROR(__xludf.DUMMYFUNCTION("""COMPUTED_VALUE"""),"Zoom")</f>
        <v>Zoom</v>
      </c>
      <c r="I2854" s="7" t="str">
        <f>IFERROR(__xludf.DUMMYFUNCTION("""COMPUTED_VALUE"""),"Session 7: V--Presentations ")</f>
        <v>Session 7: V--Presentations </v>
      </c>
      <c r="J2854" s="7" t="str">
        <f>IFERROR(__xludf.DUMMYFUNCTION("""COMPUTED_VALUE"""),"Virtual Presentations 2")</f>
        <v>Virtual Presentations 2</v>
      </c>
      <c r="K2854" s="7"/>
      <c r="L2854" s="8"/>
      <c r="M2854" s="7" t="str">
        <f>IFERROR(__xludf.DUMMYFUNCTION("""COMPUTED_VALUE"""),"10:30-12:00")</f>
        <v>10:30-12:00</v>
      </c>
      <c r="N2854" s="7"/>
    </row>
    <row r="2855">
      <c r="A2855" s="7" t="str">
        <f>IFERROR(__xludf.DUMMYFUNCTION("""COMPUTED_VALUE"""),"3476-MAIN")</f>
        <v>3476-MAIN</v>
      </c>
      <c r="B2855" s="7" t="str">
        <f>IFERROR(__xludf.DUMMYFUNCTION("""COMPUTED_VALUE"""),"Math Neurosurgery: Isolating Language Models' Math Reasoning Abilities Using Only Forward Passes")</f>
        <v>Math Neurosurgery: Isolating Language Models' Math Reasoning Abilities Using Only Forward Passes</v>
      </c>
      <c r="C2855" s="7" t="str">
        <f>IFERROR(__xludf.DUMMYFUNCTION("""COMPUTED_VALUE"""),"Math reasoning is an active area of Large Language Model (LLM) research because it is a hallmark of artificial intelligence and has implications in several domains, including math education. However, few works have explored how math reasoning is encoded w"&amp;"ithin LLM parameters and if it is a skill that can be isolated within models. Doing so could allow targeted intervention to improve math performance without altering non-math behavior and foster understanding of how models encode math reasoning. We introd"&amp;"uce Math Neurosurgery (MathNeuro), a computationally efficient method we use to isolate math-specific parameters in LLMs using only forward passes. MathNeuro builds on existing work by using weights and activations to calculate parameter importance, but i"&amp;"solates math-specific parameters by filtering out those important for general language tasks. Through pruning parameters MathNeuro identifies, we delete a LLM's math reasoning ability without significantly impacting its general language ability. Scaling t"&amp;"he identified parameters by a small constant improves a pretrained or instruction-tuned LLM's performance by 4-17% on GSM8K and 5-35% on MATH while leaving non-math behavior unaltered. MathNeuro is also data efficient: most of its effectiveness holds when"&amp;" identifying math-specific parameters using a single sample. MathNeuro highlights the potential for future work to intervene on math-specific parameters.")</f>
        <v>Math reasoning is an active area of Large Language Model (LLM) research because it is a hallmark of artificial intelligence and has implications in several domains, including math education. However, few works have explored how math reasoning is encoded within LLM parameters and if it is a skill that can be isolated within models. Doing so could allow targeted intervention to improve math performance without altering non-math behavior and foster understanding of how models encode math reasoning. We introduce Math Neurosurgery (MathNeuro), a computationally efficient method we use to isolate math-specific parameters in LLMs using only forward passes. MathNeuro builds on existing work by using weights and activations to calculate parameter importance, but isolates math-specific parameters by filtering out those important for general language tasks. Through pruning parameters MathNeuro identifies, we delete a LLM's math reasoning ability without significantly impacting its general language ability. Scaling the identified parameters by a small constant improves a pretrained or instruction-tuned LLM's performance by 4-17% on GSM8K and 5-35% on MATH while leaving non-math behavior unaltered. MathNeuro is also data efficient: most of its effectiveness holds when identifying math-specific parameters using a single sample. MathNeuro highlights the potential for future work to intervene on math-specific parameters.</v>
      </c>
      <c r="D2855" s="7" t="str">
        <f>IFERROR(__xludf.DUMMYFUNCTION("""COMPUTED_VALUE"""),"Bryan Christ")</f>
        <v>Bryan Christ</v>
      </c>
      <c r="E2855" s="7" t="str">
        <f>IFERROR(__xludf.DUMMYFUNCTION("""COMPUTED_VALUE"""),"Yes")</f>
        <v>Yes</v>
      </c>
      <c r="F2855" s="7" t="str">
        <f>IFERROR(__xludf.DUMMYFUNCTION("""COMPUTED_VALUE"""),"V-Presentation")</f>
        <v>V-Presentation</v>
      </c>
      <c r="G2855" s="7" t="str">
        <f>IFERROR(__xludf.DUMMYFUNCTION("""COMPUTED_VALUE"""),"Virtual/Gather")</f>
        <v>Virtual/Gather</v>
      </c>
      <c r="H2855" s="7" t="str">
        <f>IFERROR(__xludf.DUMMYFUNCTION("""COMPUTED_VALUE"""),"Zoom")</f>
        <v>Zoom</v>
      </c>
      <c r="I2855" s="7" t="str">
        <f>IFERROR(__xludf.DUMMYFUNCTION("""COMPUTED_VALUE"""),"Session 10: V-Presenations")</f>
        <v>Session 10: V-Presenations</v>
      </c>
      <c r="J2855" s="7" t="str">
        <f>IFERROR(__xludf.DUMMYFUNCTION("""COMPUTED_VALUE"""),"Virtual Presentations 3")</f>
        <v>Virtual Presentations 3</v>
      </c>
      <c r="K2855" s="7"/>
      <c r="L2855" s="8">
        <f>IFERROR(__xludf.DUMMYFUNCTION("""COMPUTED_VALUE"""),45867.0)</f>
        <v>45867</v>
      </c>
      <c r="M2855" s="7" t="str">
        <f>IFERROR(__xludf.DUMMYFUNCTION("""COMPUTED_VALUE"""),"16:00-17:30")</f>
        <v>16:00-17:30</v>
      </c>
      <c r="N2855" s="7"/>
    </row>
    <row r="2856">
      <c r="A2856" s="7" t="str">
        <f>IFERROR(__xludf.DUMMYFUNCTION("""COMPUTED_VALUE"""),"3478-MAIN")</f>
        <v>3478-MAIN</v>
      </c>
      <c r="B2856" s="7" t="str">
        <f>IFERROR(__xludf.DUMMYFUNCTION("""COMPUTED_VALUE"""),"Multiple LLM Agents Debate for Equitable Cultural Alignment")</f>
        <v>Multiple LLM Agents Debate for Equitable Cultural Alignment</v>
      </c>
      <c r="C2856" s="7" t="str">
        <f>IFERROR(__xludf.DUMMYFUNCTION("""COMPUTED_VALUE"""),"Large Language Models (LLMs) need to adapt their predictions to diverse cultural contexts to benefit diverse communities across the world. While previous efforts have focused on single-LLM, single-turn approaches, we propose to exploit the complementary s"&amp;"trengths of multiple LLMs to promote cultural adaptability. We introduce a Multi-Agent Debate framework, where two LLM-based agents debate over a cultural scenario and collaboratively reach a final decision. We propose two variants: one where either LLM a"&amp;"gents exclusively debate and another where they dynamically choose between self-reflection and debate during their turns. We evaluate these approaches on 7 open-weight LLMs (and 21 LLM combinations)  using the NormAd-ETI benchmark for social etiquette nor"&amp;"ms in 75 countries. Experiments show that debate improves both overall accuracy and cultural group parity over single-LLM baselines. Notably, multi-agent debate enables relatively small LLMs (7-9B) to achieve accuracies comparable to that of a much larger"&amp;" model (27B parameters).")</f>
        <v>Large Language Models (LLMs) need to adapt their predictions to diverse cultural contexts to benefit diverse communities across the world. While previous efforts have focused on single-LLM, single-turn approaches, we propose to exploit the complementary strengths of multiple LLMs to promote cultural adaptability. We introduce a Multi-Agent Debate framework, where two LLM-based agents debate over a cultural scenario and collaboratively reach a final decision. We propose two variants: one where either LLM agents exclusively debate and another where they dynamically choose between self-reflection and debate during their turns. We evaluate these approaches on 7 open-weight LLMs (and 21 LLM combinations)  using the NormAd-ETI benchmark for social etiquette norms in 75 countries. Experiments show that debate improves both overall accuracy and cultural group parity over single-LLM baselines. Notably, multi-agent debate enables relatively small LLMs (7-9B) to achieve accuracies comparable to that of a much larger model (27B parameters).</v>
      </c>
      <c r="D2856" s="7" t="str">
        <f>IFERROR(__xludf.DUMMYFUNCTION("""COMPUTED_VALUE"""),"Dayeon Ki")</f>
        <v>Dayeon Ki</v>
      </c>
      <c r="E2856" s="7" t="str">
        <f>IFERROR(__xludf.DUMMYFUNCTION("""COMPUTED_VALUE"""),"Yes")</f>
        <v>Yes</v>
      </c>
      <c r="F2856" s="7" t="str">
        <f>IFERROR(__xludf.DUMMYFUNCTION("""COMPUTED_VALUE"""),"IP-Oral")</f>
        <v>IP-Oral</v>
      </c>
      <c r="G2856" s="7" t="str">
        <f>IFERROR(__xludf.DUMMYFUNCTION("""COMPUTED_VALUE"""),"In-Person")</f>
        <v>In-Person</v>
      </c>
      <c r="H2856" s="7" t="str">
        <f>IFERROR(__xludf.DUMMYFUNCTION("""COMPUTED_VALUE"""),"Room 1.85")</f>
        <v>Room 1.85</v>
      </c>
      <c r="I2856" s="7" t="str">
        <f>IFERROR(__xludf.DUMMYFUNCTION("""COMPUTED_VALUE"""),"Session 9: IP-Orals")</f>
        <v>Session 9: IP-Orals</v>
      </c>
      <c r="J2856" s="7" t="str">
        <f>IFERROR(__xludf.DUMMYFUNCTION("""COMPUTED_VALUE"""),"Computational Social Science and Cultural Analytics")</f>
        <v>Computational Social Science and Cultural Analytics</v>
      </c>
      <c r="K2856" s="7"/>
      <c r="L2856" s="8">
        <f>IFERROR(__xludf.DUMMYFUNCTION("""COMPUTED_VALUE"""),45867.0)</f>
        <v>45867</v>
      </c>
      <c r="M2856" s="7" t="str">
        <f>IFERROR(__xludf.DUMMYFUNCTION("""COMPUTED_VALUE"""),"14:00-15:30")</f>
        <v>14:00-15:30</v>
      </c>
      <c r="N2856" s="7">
        <f>IFERROR(__xludf.DUMMYFUNCTION("""COMPUTED_VALUE"""),5.0)</f>
        <v>5</v>
      </c>
    </row>
    <row r="2857">
      <c r="A2857" s="7" t="str">
        <f>IFERROR(__xludf.DUMMYFUNCTION("""COMPUTED_VALUE"""),"3482-MAIN")</f>
        <v>3482-MAIN</v>
      </c>
      <c r="B2857" s="7" t="str">
        <f>IFERROR(__xludf.DUMMYFUNCTION("""COMPUTED_VALUE"""),"RefreshKV: Updating Small KV Cache During Long-form Generation")</f>
        <v>RefreshKV: Updating Small KV Cache During Long-form Generation</v>
      </c>
      <c r="C2857" s="7" t="str">
        <f>IFERROR(__xludf.DUMMYFUNCTION("""COMPUTED_VALUE"""),"Generating long sequences of tokens given a long-context input is a very compute-intensive inference scenario for large language models (LLMs). One prominent inference speed-up approach is constructing a smaller key-value (KV) cache, relieving LLMs from c"&amp;"omputing attention over a long sequence of tokens. While such methods work well to generate short sequences, their performance degrades rapidly for long-form generation. Most KV compression happens once, prematurely removing tokens that can be useful late"&amp;"r in the generation. We propose a new inference-time method, RefreshKV, that flexibly alternates between full context attention and attention over a subset of input tokens during generation. After each full attention step, we update the smaller KV cache b"&amp;"ased on the attention pattern over the entire input. Applying our method to off-the-shelf LLMs achieves comparable speedup to eviction-based methods while improving performance for various long-form generation tasks. Lastly, we show that continued pretrai"&amp;"ning with our inference setting brings further gains in performance.")</f>
        <v>Generating long sequences of tokens given a long-context input is a very compute-intensive inference scenario for large language models (LLMs). One prominent inference speed-up approach is constructing a smaller key-value (KV) cache, relieving LLMs from computing attention over a long sequence of tokens. While such methods work well to generate short sequences, their performance degrades rapidly for long-form generation. Most KV compression happens once, prematurely removing tokens that can be useful later in the generation. We propose a new inference-time method, RefreshKV, that flexibly alternates between full context attention and attention over a subset of input tokens during generation. After each full attention step, we update the smaller KV cache based on the attention pattern over the entire input. Applying our method to off-the-shelf LLMs achieves comparable speedup to eviction-based methods while improving performance for various long-form generation tasks. Lastly, we show that continued pretraining with our inference setting brings further gains in performance.</v>
      </c>
      <c r="D2857" s="7" t="str">
        <f>IFERROR(__xludf.DUMMYFUNCTION("""COMPUTED_VALUE"""),"Fangyuan Xu")</f>
        <v>Fangyuan Xu</v>
      </c>
      <c r="E2857" s="7" t="str">
        <f>IFERROR(__xludf.DUMMYFUNCTION("""COMPUTED_VALUE"""),"Yes")</f>
        <v>Yes</v>
      </c>
      <c r="F2857" s="7" t="str">
        <f>IFERROR(__xludf.DUMMYFUNCTION("""COMPUTED_VALUE"""),"IP-Poster")</f>
        <v>IP-Poster</v>
      </c>
      <c r="G2857" s="7" t="str">
        <f>IFERROR(__xludf.DUMMYFUNCTION("""COMPUTED_VALUE"""),"In-Person")</f>
        <v>In-Person</v>
      </c>
      <c r="H2857" s="7" t="str">
        <f>IFERROR(__xludf.DUMMYFUNCTION("""COMPUTED_VALUE"""),"Hall 4/5")</f>
        <v>Hall 4/5</v>
      </c>
      <c r="I2857" s="7" t="str">
        <f>IFERROR(__xludf.DUMMYFUNCTION("""COMPUTED_VALUE"""),"Session 2: IP-Posters ")</f>
        <v>Session 2: IP-Posters </v>
      </c>
      <c r="J2857" s="7" t="str">
        <f>IFERROR(__xludf.DUMMYFUNCTION("""COMPUTED_VALUE"""),"Poster Session 1")</f>
        <v>Poster Session 1</v>
      </c>
      <c r="K2857" s="7"/>
      <c r="L2857" s="8">
        <f>IFERROR(__xludf.DUMMYFUNCTION("""COMPUTED_VALUE"""),45866.0)</f>
        <v>45866</v>
      </c>
      <c r="M2857" s="7" t="str">
        <f>IFERROR(__xludf.DUMMYFUNCTION("""COMPUTED_VALUE"""),"11:00-12:30")</f>
        <v>11:00-12:30</v>
      </c>
      <c r="N2857" s="7"/>
    </row>
    <row r="2858">
      <c r="A2858" s="7" t="str">
        <f>IFERROR(__xludf.DUMMYFUNCTION("""COMPUTED_VALUE"""),"3487-MAIN")</f>
        <v>3487-MAIN</v>
      </c>
      <c r="B2858" s="7" t="str">
        <f>IFERROR(__xludf.DUMMYFUNCTION("""COMPUTED_VALUE"""),"SEA: Low-Resource Safety Alignment for Multimodal Large Language Models via Synthetic Embeddings")</f>
        <v>SEA: Low-Resource Safety Alignment for Multimodal Large Language Models via Synthetic Embeddings</v>
      </c>
      <c r="C2858" s="7" t="str">
        <f>IFERROR(__xludf.DUMMYFUNCTION("""COMPUTED_VALUE"""),"Multimodal Large Language Models (MLLMs) have serious security vulnerabilities. While safety alignment using multimodal datasets consisting of text and data of additional modalities can effectively enhance MLLM's security, it is costly to construct these "&amp;"datasets. Existing low-resource security alignment methods, including textual alignment, have been found to struggle with the security risks posed by additional modalities. To address this, we propose Synthetic Embedding augmented safety Alignment (SEA), "&amp;"which optimizes embeddings of additional modality through gradient updates to expand textual datasets. This enables multimodal safety alignment training even when only textual data is available. Extensive experiments on image, video, and audio-based MLLMs"&amp;" demonstrate that SEA can synthesize a high-quality embedding on a single RTX3090 GPU within 24 seconds. SEA significantly improves the security of MLLMs when faced with threats from additional modalities. To assess the security risks introduced by video "&amp;"and audio, we also introduced a new benchmark called VA-SafetyBench. High attack success rates across multiple MLLMs validate its challenge. Our code and data will be available at https://github.com/ZeroNLP/SEA.")</f>
        <v>Multimodal Large Language Models (MLLMs) have serious security vulnerabilities. While safety alignment using multimodal datasets consisting of text and data of additional modalities can effectively enhance MLLM's security, it is costly to construct these datasets. Existing low-resource security alignment methods, including textual alignment, have been found to struggle with the security risks posed by additional modalities. To address this, we propose Synthetic Embedding augmented safety Alignment (SEA), which optimizes embeddings of additional modality through gradient updates to expand textual datasets. This enables multimodal safety alignment training even when only textual data is available. Extensive experiments on image, video, and audio-based MLLMs demonstrate that SEA can synthesize a high-quality embedding on a single RTX3090 GPU within 24 seconds. SEA significantly improves the security of MLLMs when faced with threats from additional modalities. To assess the security risks introduced by video and audio, we also introduced a new benchmark called VA-SafetyBench. High attack success rates across multiple MLLMs validate its challenge. Our code and data will be available at https://github.com/ZeroNLP/SEA.</v>
      </c>
      <c r="D2858" s="7" t="str">
        <f>IFERROR(__xludf.DUMMYFUNCTION("""COMPUTED_VALUE"""),"Ziqian Zeng")</f>
        <v>Ziqian Zeng</v>
      </c>
      <c r="E2858" s="7" t="str">
        <f>IFERROR(__xludf.DUMMYFUNCTION("""COMPUTED_VALUE"""),"Yes")</f>
        <v>Yes</v>
      </c>
      <c r="F2858" s="7" t="str">
        <f>IFERROR(__xludf.DUMMYFUNCTION("""COMPUTED_VALUE"""),"IP-Poster")</f>
        <v>IP-Poster</v>
      </c>
      <c r="G2858" s="7" t="str">
        <f>IFERROR(__xludf.DUMMYFUNCTION("""COMPUTED_VALUE"""),"In-Person")</f>
        <v>In-Person</v>
      </c>
      <c r="H2858" s="7" t="str">
        <f>IFERROR(__xludf.DUMMYFUNCTION("""COMPUTED_VALUE"""),"Hall 4/5")</f>
        <v>Hall 4/5</v>
      </c>
      <c r="I2858" s="7" t="str">
        <f>IFERROR(__xludf.DUMMYFUNCTION("""COMPUTED_VALUE"""),"Session 10: IP-Posters")</f>
        <v>Session 10: IP-Posters</v>
      </c>
      <c r="J2858" s="7" t="str">
        <f>IFERROR(__xludf.DUMMYFUNCTION("""COMPUTED_VALUE"""),"Poster Session 3")</f>
        <v>Poster Session 3</v>
      </c>
      <c r="K2858" s="7"/>
      <c r="L2858" s="8">
        <f>IFERROR(__xludf.DUMMYFUNCTION("""COMPUTED_VALUE"""),45867.0)</f>
        <v>45867</v>
      </c>
      <c r="M2858" s="7" t="str">
        <f>IFERROR(__xludf.DUMMYFUNCTION("""COMPUTED_VALUE"""),"16:00-17:30")</f>
        <v>16:00-17:30</v>
      </c>
      <c r="N2858" s="7"/>
    </row>
    <row r="2859">
      <c r="A2859" s="7" t="str">
        <f>IFERROR(__xludf.DUMMYFUNCTION("""COMPUTED_VALUE"""),"3488-MAIN")</f>
        <v>3488-MAIN</v>
      </c>
      <c r="B2859" s="7" t="str">
        <f>IFERROR(__xludf.DUMMYFUNCTION("""COMPUTED_VALUE"""),"Has Machine Translation Evaluation Achieved Human Parity? The Human Reference and the Limits of Progress")</f>
        <v>Has Machine Translation Evaluation Achieved Human Parity? The Human Reference and the Limits of Progress</v>
      </c>
      <c r="C2859" s="7" t="str">
        <f>IFERROR(__xludf.DUMMYFUNCTION("""COMPUTED_VALUE"""),"In Machine Translation (MT) evaluation, metric performance is assessed based on agreement with human judgments. In recent years, automatic metrics have demonstrated increasingly high levels of agreement with humans. To gain a clearer understanding of metr"&amp;"ic performance and establish an upper bound, we incorporate human baselines in the MT meta-evaluation, that is, the assessment of MT metrics' capabilities. Our results show that human annotators are not consistently superior to automatic metrics, with sta"&amp;"te-of-the-art metrics often ranking on par with or higher than human baselines. Despite these findings suggesting human parity, we discuss several reasons for caution. Finally, we explore the broader implications of our results for the research field, ask"&amp;"ing: Can we still reliably measure improvements in MT evaluation? With this work, we aim to shed light on the limits of our ability to measure progress in the field, fostering discussion on an issue that we believe is crucial to the entire MT evaluation c"&amp;"ommunity.")</f>
        <v>In Machine Translation (MT) evaluation, metric performance is assessed based on agreement with human judgments. In recent years, automatic metrics have demonstrated increasingly high levels of agreement with humans. To gain a clearer understanding of metric performance and establish an upper bound, we incorporate human baselines in the MT meta-evaluation, that is, the assessment of MT metrics' capabilities. Our results show that human annotators are not consistently superior to automatic metrics, with state-of-the-art metrics often ranking on par with or higher than human baselines. Despite these findings suggesting human parity, we discuss several reasons for caution. Finally, we explore the broader implications of our results for the research field, asking: Can we still reliably measure improvements in MT evaluation? With this work, we aim to shed light on the limits of our ability to measure progress in the field, fostering discussion on an issue that we believe is crucial to the entire MT evaluation community.</v>
      </c>
      <c r="D2859" s="7" t="str">
        <f>IFERROR(__xludf.DUMMYFUNCTION("""COMPUTED_VALUE"""),"Lorenzo Proietti")</f>
        <v>Lorenzo Proietti</v>
      </c>
      <c r="E2859" s="7" t="str">
        <f>IFERROR(__xludf.DUMMYFUNCTION("""COMPUTED_VALUE"""),"Yes")</f>
        <v>Yes</v>
      </c>
      <c r="F2859" s="7" t="str">
        <f>IFERROR(__xludf.DUMMYFUNCTION("""COMPUTED_VALUE"""),"IP-Oral")</f>
        <v>IP-Oral</v>
      </c>
      <c r="G2859" s="7" t="str">
        <f>IFERROR(__xludf.DUMMYFUNCTION("""COMPUTED_VALUE"""),"In-Person")</f>
        <v>In-Person</v>
      </c>
      <c r="H2859" s="7" t="str">
        <f>IFERROR(__xludf.DUMMYFUNCTION("""COMPUTED_VALUE"""),"Room 1.85")</f>
        <v>Room 1.85</v>
      </c>
      <c r="I2859" s="7" t="str">
        <f>IFERROR(__xludf.DUMMYFUNCTION("""COMPUTED_VALUE"""),"Session 3: IP-Orals")</f>
        <v>Session 3: IP-Orals</v>
      </c>
      <c r="J2859" s="7" t="str">
        <f>IFERROR(__xludf.DUMMYFUNCTION("""COMPUTED_VALUE"""),"Machine Translation")</f>
        <v>Machine Translation</v>
      </c>
      <c r="K2859" s="7"/>
      <c r="L2859" s="8">
        <f>IFERROR(__xludf.DUMMYFUNCTION("""COMPUTED_VALUE"""),45866.0)</f>
        <v>45866</v>
      </c>
      <c r="M2859" s="7" t="str">
        <f>IFERROR(__xludf.DUMMYFUNCTION("""COMPUTED_VALUE"""),"14:00-15:30")</f>
        <v>14:00-15:30</v>
      </c>
      <c r="N2859" s="7">
        <f>IFERROR(__xludf.DUMMYFUNCTION("""COMPUTED_VALUE"""),6.0)</f>
        <v>6</v>
      </c>
    </row>
    <row r="2860">
      <c r="A2860" s="7" t="str">
        <f>IFERROR(__xludf.DUMMYFUNCTION("""COMPUTED_VALUE"""),"3489-MAIN")</f>
        <v>3489-MAIN</v>
      </c>
      <c r="B2860" s="7" t="str">
        <f>IFERROR(__xludf.DUMMYFUNCTION("""COMPUTED_VALUE"""),"Chain-of-Reasoning: Towards Unified Mathematical Reasoning in Large Language Models via a Multi-Paradigm Perspective")</f>
        <v>Chain-of-Reasoning: Towards Unified Mathematical Reasoning in Large Language Models via a Multi-Paradigm Perspective</v>
      </c>
      <c r="C2860" s="7" t="str">
        <f>IFERROR(__xludf.DUMMYFUNCTION("""COMPUTED_VALUE"""),"Large Language Models (LLMs) have made notable progress in mathematical reasoning, yet they often rely on single-paradigm reasoning that limits their effectiveness across diverse tasks. In this paper, we introduce Chain-of-Reasoning (CoR), a novel unified"&amp;" framework that integrates multiple reasoning paradigms --- Natural Language Reasoning (NLR), Algorithmic Reasoning (AR), and Symbolic Reasoning (SR) --- to enable synergistic collaboration. CoR generates multiple potential answers using different reasoni"&amp;"ng paradigms and synthesizes them into a coherent final solution. We propose a Progressive Paradigm Training (PPT) strategy that allows models to progressively master these paradigms, culminating in the development of at CoR-Math-7B. Experimental results "&amp;"demonstrate that CoR-Math-7B significantly outperforms current SOTA models, achieving up to a 41.0% absolute improvement over GPT-4o in theorem proving tasks and a 15% improvement over RL-based methods on the MATH benchmark in arithmetic tasks. These resu"&amp;"lts show the enhanced mathematical comprehensive ability of our model, enabling zero-shot generalization across tasks.The code is available at https://github.com/microsoft/CoR.")</f>
        <v>Large Language Models (LLMs) have made notable progress in mathematical reasoning, yet they often rely on single-paradigm reasoning that limits their effectiveness across diverse tasks. In this paper, we introduce Chain-of-Reasoning (CoR), a novel unified framework that integrates multiple reasoning paradigms --- Natural Language Reasoning (NLR), Algorithmic Reasoning (AR), and Symbolic Reasoning (SR) --- to enable synergistic collaboration. CoR generates multiple potential answers using different reasoning paradigms and synthesizes them into a coherent final solution. We propose a Progressive Paradigm Training (PPT) strategy that allows models to progressively master these paradigms, culminating in the development of at CoR-Math-7B. Experimental results demonstrate that CoR-Math-7B significantly outperforms current SOTA models, achieving up to a 41.0% absolute improvement over GPT-4o in theorem proving tasks and a 15% improvement over RL-based methods on the MATH benchmark in arithmetic tasks. These results show the enhanced mathematical comprehensive ability of our model, enabling zero-shot generalization across tasks.The code is available at https://github.com/microsoft/CoR.</v>
      </c>
      <c r="D2860" s="7" t="str">
        <f>IFERROR(__xludf.DUMMYFUNCTION("""COMPUTED_VALUE"""),"Yiyao Yu")</f>
        <v>Yiyao Yu</v>
      </c>
      <c r="E2860" s="7" t="str">
        <f>IFERROR(__xludf.DUMMYFUNCTION("""COMPUTED_VALUE"""),"Yes")</f>
        <v>Yes</v>
      </c>
      <c r="F2860" s="7" t="str">
        <f>IFERROR(__xludf.DUMMYFUNCTION("""COMPUTED_VALUE"""),"IP-Poster")</f>
        <v>IP-Poster</v>
      </c>
      <c r="G2860" s="7" t="str">
        <f>IFERROR(__xludf.DUMMYFUNCTION("""COMPUTED_VALUE"""),"In-Person")</f>
        <v>In-Person</v>
      </c>
      <c r="H2860" s="7" t="str">
        <f>IFERROR(__xludf.DUMMYFUNCTION("""COMPUTED_VALUE"""),"Hall 4/5")</f>
        <v>Hall 4/5</v>
      </c>
      <c r="I2860" s="7" t="str">
        <f>IFERROR(__xludf.DUMMYFUNCTION("""COMPUTED_VALUE"""),"Session 12: IP-Posters")</f>
        <v>Session 12: IP-Posters</v>
      </c>
      <c r="J2860" s="7" t="str">
        <f>IFERROR(__xludf.DUMMYFUNCTION("""COMPUTED_VALUE"""),"Poster Session 4")</f>
        <v>Poster Session 4</v>
      </c>
      <c r="K2860" s="7"/>
      <c r="L2860" s="8">
        <f>IFERROR(__xludf.DUMMYFUNCTION("""COMPUTED_VALUE"""),45868.0)</f>
        <v>45868</v>
      </c>
      <c r="M2860" s="7" t="str">
        <f>IFERROR(__xludf.DUMMYFUNCTION("""COMPUTED_VALUE"""),"11:00-12:30")</f>
        <v>11:00-12:30</v>
      </c>
      <c r="N2860" s="7"/>
    </row>
    <row r="2861">
      <c r="A2861" s="7" t="str">
        <f>IFERROR(__xludf.DUMMYFUNCTION("""COMPUTED_VALUE"""),"3493-MAIN")</f>
        <v>3493-MAIN</v>
      </c>
      <c r="B2861" s="7" t="str">
        <f>IFERROR(__xludf.DUMMYFUNCTION("""COMPUTED_VALUE"""),"Language Models Grow Less Humanlike beyond Phase Transition")</f>
        <v>Language Models Grow Less Humanlike beyond Phase Transition</v>
      </c>
      <c r="C2861" s="7" t="str">
        <f>IFERROR(__xludf.DUMMYFUNCTION("""COMPUTED_VALUE"""),"LMs’ alignment with human reading behavior (i.e. psychometric predictive power; PPP) is known to improve during pretraining up to a tipping point, beyond which it either plateaus or degrades. Various factors, such as word frequency, recency bias in attent"&amp;"ion, and context size, have been theorized to affect PPP, yet there is no current account that explains why such a tipping point exists, and how it interacts with LMs’ pretraining dynamics more generally. We hypothesize that the underlying factor is a pre"&amp;"training phase transition, characterized by the rapid emergence of specialized attention heads. We conduct a series of correlational and causal experiments to show that such a phase transition is responsible for the tipping point in PPP. We then show that"&amp;", rather than producing attention patterns that contribute to the degradation in PPP, phase transitions alter the subsequent learning dynamics of the model, such that further training keeps damaging PPP.")</f>
        <v>LMs’ alignment with human reading behavior (i.e. psychometric predictive power; PPP) is known to improve during pretraining up to a tipping point, beyond which it either plateaus or degrades. Various factors, such as word frequency, recency bias in attention, and context size, have been theorized to affect PPP, yet there is no current account that explains why such a tipping point exists, and how it interacts with LMs’ pretraining dynamics more generally. We hypothesize that the underlying factor is a pretraining phase transition, characterized by the rapid emergence of specialized attention heads. We conduct a series of correlational and causal experiments to show that such a phase transition is responsible for the tipping point in PPP. We then show that, rather than producing attention patterns that contribute to the degradation in PPP, phase transitions alter the subsequent learning dynamics of the model, such that further training keeps damaging PPP.</v>
      </c>
      <c r="D2861" s="7" t="str">
        <f>IFERROR(__xludf.DUMMYFUNCTION("""COMPUTED_VALUE"""),"Tatsuya Aoyama")</f>
        <v>Tatsuya Aoyama</v>
      </c>
      <c r="E2861" s="7" t="str">
        <f>IFERROR(__xludf.DUMMYFUNCTION("""COMPUTED_VALUE"""),"Yes")</f>
        <v>Yes</v>
      </c>
      <c r="F2861" s="7" t="str">
        <f>IFERROR(__xludf.DUMMYFUNCTION("""COMPUTED_VALUE"""),"IP-Poster")</f>
        <v>IP-Poster</v>
      </c>
      <c r="G2861" s="7" t="str">
        <f>IFERROR(__xludf.DUMMYFUNCTION("""COMPUTED_VALUE"""),"In-Person")</f>
        <v>In-Person</v>
      </c>
      <c r="H2861" s="7" t="str">
        <f>IFERROR(__xludf.DUMMYFUNCTION("""COMPUTED_VALUE"""),"Hall 4/5")</f>
        <v>Hall 4/5</v>
      </c>
      <c r="I2861" s="7" t="str">
        <f>IFERROR(__xludf.DUMMYFUNCTION("""COMPUTED_VALUE"""),"Session 12: IP-Posters")</f>
        <v>Session 12: IP-Posters</v>
      </c>
      <c r="J2861" s="7" t="str">
        <f>IFERROR(__xludf.DUMMYFUNCTION("""COMPUTED_VALUE"""),"Poster Session 4")</f>
        <v>Poster Session 4</v>
      </c>
      <c r="K2861" s="7"/>
      <c r="L2861" s="8">
        <f>IFERROR(__xludf.DUMMYFUNCTION("""COMPUTED_VALUE"""),45868.0)</f>
        <v>45868</v>
      </c>
      <c r="M2861" s="7" t="str">
        <f>IFERROR(__xludf.DUMMYFUNCTION("""COMPUTED_VALUE"""),"11:00-12:30")</f>
        <v>11:00-12:30</v>
      </c>
      <c r="N2861" s="7"/>
    </row>
    <row r="2862">
      <c r="A2862" s="7" t="str">
        <f>IFERROR(__xludf.DUMMYFUNCTION("""COMPUTED_VALUE"""),"3497-MAIN")</f>
        <v>3497-MAIN</v>
      </c>
      <c r="B2862" s="7" t="str">
        <f>IFERROR(__xludf.DUMMYFUNCTION("""COMPUTED_VALUE"""),"PCoT: Persuasion-Augmented Chain of Thought for Detecting Fake News and Social Media Disinformation")</f>
        <v>PCoT: Persuasion-Augmented Chain of Thought for Detecting Fake News and Social Media Disinformation</v>
      </c>
      <c r="C2862" s="7" t="str">
        <f>IFERROR(__xludf.DUMMYFUNCTION("""COMPUTED_VALUE"""),"Disinformation detection is a key aspect of media literacy. Psychological studies have shown that knowledge of persuasive fallacies helps individuals detect disinformation. Inspired by these findings, we experimented with large language models (LLMs) to t"&amp;"est whether infusing persuasion knowledge enhances disinformation detection. As a result, we introduce the Persuasion-Augmented Chain of Thought (PCoT), a novel approach that leverages persuasion to improve disinformation detection in zero-shot classifica"&amp;"tion. We extensively evaluate PCoT on online news and social media posts. Moreover, we publish two novel, up-to-date disinformation datasets: EUDisinfo and MultiDis. These datasets enable the evaluation of PCoT on content entirely unseen by the LLMs used "&amp;"in our experiments, as the content was published after the models' knowledge cutoffs. We show that, on average, PCoT outperforms competitive methods by 15\% across five LLMs and five datasets. These findings highlight the value of persuasion in strengthen"&amp;"ing zero-shot disinformation detection.")</f>
        <v>Disinformation detection is a key aspect of media literacy. Psychological studies have shown that knowledge of persuasive fallacies helps individuals detect disinformation. Inspired by these findings, we experimented with large language models (LLMs) to test whether infusing persuasion knowledge enhances disinformation detection. As a result, we introduce the Persuasion-Augmented Chain of Thought (PCoT), a novel approach that leverages persuasion to improve disinformation detection in zero-shot classification. We extensively evaluate PCoT on online news and social media posts. Moreover, we publish two novel, up-to-date disinformation datasets: EUDisinfo and MultiDis. These datasets enable the evaluation of PCoT on content entirely unseen by the LLMs used in our experiments, as the content was published after the models' knowledge cutoffs. We show that, on average, PCoT outperforms competitive methods by 15\% across five LLMs and five datasets. These findings highlight the value of persuasion in strengthening zero-shot disinformation detection.</v>
      </c>
      <c r="D2862" s="7" t="str">
        <f>IFERROR(__xludf.DUMMYFUNCTION("""COMPUTED_VALUE"""),"Arkadiusz Modzelewski")</f>
        <v>Arkadiusz Modzelewski</v>
      </c>
      <c r="E2862" s="7" t="str">
        <f>IFERROR(__xludf.DUMMYFUNCTION("""COMPUTED_VALUE"""),"Yes")</f>
        <v>Yes</v>
      </c>
      <c r="F2862" s="7" t="str">
        <f>IFERROR(__xludf.DUMMYFUNCTION("""COMPUTED_VALUE"""),"IP-Poster")</f>
        <v>IP-Poster</v>
      </c>
      <c r="G2862" s="7" t="str">
        <f>IFERROR(__xludf.DUMMYFUNCTION("""COMPUTED_VALUE"""),"In-Person")</f>
        <v>In-Person</v>
      </c>
      <c r="H2862" s="7" t="str">
        <f>IFERROR(__xludf.DUMMYFUNCTION("""COMPUTED_VALUE"""),"Hall 4/5")</f>
        <v>Hall 4/5</v>
      </c>
      <c r="I2862" s="7" t="str">
        <f>IFERROR(__xludf.DUMMYFUNCTION("""COMPUTED_VALUE"""),"Session 12: IP-Posters")</f>
        <v>Session 12: IP-Posters</v>
      </c>
      <c r="J2862" s="7" t="str">
        <f>IFERROR(__xludf.DUMMYFUNCTION("""COMPUTED_VALUE"""),"Poster Session 4")</f>
        <v>Poster Session 4</v>
      </c>
      <c r="K2862" s="7"/>
      <c r="L2862" s="8">
        <f>IFERROR(__xludf.DUMMYFUNCTION("""COMPUTED_VALUE"""),45868.0)</f>
        <v>45868</v>
      </c>
      <c r="M2862" s="7" t="str">
        <f>IFERROR(__xludf.DUMMYFUNCTION("""COMPUTED_VALUE"""),"11:00-12:30")</f>
        <v>11:00-12:30</v>
      </c>
      <c r="N2862" s="7"/>
    </row>
    <row r="2863">
      <c r="A2863" s="7" t="str">
        <f>IFERROR(__xludf.DUMMYFUNCTION("""COMPUTED_VALUE"""),"3500-MAIN")</f>
        <v>3500-MAIN</v>
      </c>
      <c r="B2863" s="7" t="str">
        <f>IFERROR(__xludf.DUMMYFUNCTION("""COMPUTED_VALUE"""),"Coordinating Chaos: A Structured Review of Linguistic Coordination Methodologies")</f>
        <v>Coordinating Chaos: A Structured Review of Linguistic Coordination Methodologies</v>
      </c>
      <c r="C2863" s="7" t="str">
        <f>IFERROR(__xludf.DUMMYFUNCTION("""COMPUTED_VALUE"""),"Linguistic coordination—a phenomenon where conversation partners end up having similar patterns of language use—has been established across a variety of contexts and for multiple linguistic features. However, the study of language coordination has been ac"&amp;"companied by a diverse and inconsistently applied set of measures and theoretical perspectives. This diversity has significant consequences, as replication studies have highlighted the brittleness of certain measures and called influential findings into q"&amp;"uestion. While prior work has addressed specific modeling decisions and model types, linguistic coordination research has yet to fully examine, synthesize, and critique the space of modeling choices available. In this work, we present a framework to organ"&amp;"ize the linguistic coordination literature. Using this schema, we provide a high-level overview of the choices involved in the measurement process and synthesize relevant critiques. Based on both gaps and limitations surfaced from this review, we suggest "&amp;"directions for further exploration and evaluation. In doing so, we provide the clarity required for linguistic coordination research to arrive at interpretable and sound conclusions.")</f>
        <v>Linguistic coordination—a phenomenon where conversation partners end up having similar patterns of language use—has been established across a variety of contexts and for multiple linguistic features. However, the study of language coordination has been accompanied by a diverse and inconsistently applied set of measures and theoretical perspectives. This diversity has significant consequences, as replication studies have highlighted the brittleness of certain measures and called influential findings into question. While prior work has addressed specific modeling decisions and model types, linguistic coordination research has yet to fully examine, synthesize, and critique the space of modeling choices available. In this work, we present a framework to organize the linguistic coordination literature. Using this schema, we provide a high-level overview of the choices involved in the measurement process and synthesize relevant critiques. Based on both gaps and limitations surfaced from this review, we suggest directions for further exploration and evaluation. In doing so, we provide the clarity required for linguistic coordination research to arrive at interpretable and sound conclusions.</v>
      </c>
      <c r="D2863" s="7" t="str">
        <f>IFERROR(__xludf.DUMMYFUNCTION("""COMPUTED_VALUE"""),"Benjamin Litterer")</f>
        <v>Benjamin Litterer</v>
      </c>
      <c r="E2863" s="7" t="str">
        <f>IFERROR(__xludf.DUMMYFUNCTION("""COMPUTED_VALUE"""),"Yes")</f>
        <v>Yes</v>
      </c>
      <c r="F2863" s="7" t="str">
        <f>IFERROR(__xludf.DUMMYFUNCTION("""COMPUTED_VALUE"""),"IP-Poster")</f>
        <v>IP-Poster</v>
      </c>
      <c r="G2863" s="7" t="str">
        <f>IFERROR(__xludf.DUMMYFUNCTION("""COMPUTED_VALUE"""),"In-Person")</f>
        <v>In-Person</v>
      </c>
      <c r="H2863" s="7" t="str">
        <f>IFERROR(__xludf.DUMMYFUNCTION("""COMPUTED_VALUE"""),"Hall 4/5")</f>
        <v>Hall 4/5</v>
      </c>
      <c r="I2863" s="7" t="str">
        <f>IFERROR(__xludf.DUMMYFUNCTION("""COMPUTED_VALUE"""),"Session 10: IP-Posters")</f>
        <v>Session 10: IP-Posters</v>
      </c>
      <c r="J2863" s="7" t="str">
        <f>IFERROR(__xludf.DUMMYFUNCTION("""COMPUTED_VALUE"""),"Poster Session 3")</f>
        <v>Poster Session 3</v>
      </c>
      <c r="K2863" s="7"/>
      <c r="L2863" s="8">
        <f>IFERROR(__xludf.DUMMYFUNCTION("""COMPUTED_VALUE"""),45867.0)</f>
        <v>45867</v>
      </c>
      <c r="M2863" s="7" t="str">
        <f>IFERROR(__xludf.DUMMYFUNCTION("""COMPUTED_VALUE"""),"16:00-17:30")</f>
        <v>16:00-17:30</v>
      </c>
      <c r="N2863" s="7"/>
    </row>
    <row r="2864">
      <c r="A2864" s="7" t="str">
        <f>IFERROR(__xludf.DUMMYFUNCTION("""COMPUTED_VALUE"""),"3502-MAIN")</f>
        <v>3502-MAIN</v>
      </c>
      <c r="B2864" s="7" t="str">
        <f>IFERROR(__xludf.DUMMYFUNCTION("""COMPUTED_VALUE"""),"iNews: A Multimodal Dataset for Modeling Personalized Affective Responses to News")</f>
        <v>iNews: A Multimodal Dataset for Modeling Personalized Affective Responses to News</v>
      </c>
      <c r="C2864" s="7" t="str">
        <f>IFERROR(__xludf.DUMMYFUNCTION("""COMPUTED_VALUE"""),"Understanding how individuals perceive and react to information is fundamental for advancing social and behavioral sciences and developing human-centered AI systems. Current approaches often lack the granular data needed to model these personalized respon"&amp;"ses, relying instead on aggregated labels that obscure the rich variability driven by individual differences. We introduce iNews, a novel large-scale dataset specifically designed to facilitate the modeling of personalized affective responses to news cont"&amp;"ent. Our dataset comprises annotations from 291 demographically diverse UK participants across 2,899 multimodal Facebook news posts from major UK outlets, with an average of 5.18 annotators per sample. For each post, annotators provide multifaceted labels"&amp;" including valence, arousal, dominance, discrete emotions, content relevance judgments, sharing likelihood, and modality importance ratings. Crucially, we collect comprehensive annotator persona information covering demographics, personality, media trust,"&amp;" and consumption patterns, which explain 15.2% of annotation variance - substantially higher than existing NLP datasets. Incorporating this information yields a 7% accuracy gain in zero-shot prediction and remains beneficial even with 32-shot in-context l"&amp;"earning.")</f>
        <v>Understanding how individuals perceive and react to information is fundamental for advancing social and behavioral sciences and developing human-centered AI systems. Current approaches often lack the granular data needed to model these personalized responses, relying instead on aggregated labels that obscure the rich variability driven by individual differences. We introduce iNews, a novel large-scale dataset specifically designed to facilitate the modeling of personalized affective responses to news content. Our dataset comprises annotations from 291 demographically diverse UK participants across 2,899 multimodal Facebook news posts from major UK outlets, with an average of 5.18 annotators per sample. For each post, annotators provide multifaceted labels including valence, arousal, dominance, discrete emotions, content relevance judgments, sharing likelihood, and modality importance ratings. Crucially, we collect comprehensive annotator persona information covering demographics, personality, media trust, and consumption patterns, which explain 15.2% of annotation variance - substantially higher than existing NLP datasets. Incorporating this information yields a 7% accuracy gain in zero-shot prediction and remains beneficial even with 32-shot in-context learning.</v>
      </c>
      <c r="D2864" s="7" t="str">
        <f>IFERROR(__xludf.DUMMYFUNCTION("""COMPUTED_VALUE"""),"Tiancheng Hu")</f>
        <v>Tiancheng Hu</v>
      </c>
      <c r="E2864" s="7" t="str">
        <f>IFERROR(__xludf.DUMMYFUNCTION("""COMPUTED_VALUE"""),"Yes")</f>
        <v>Yes</v>
      </c>
      <c r="F2864" s="7" t="str">
        <f>IFERROR(__xludf.DUMMYFUNCTION("""COMPUTED_VALUE"""),"IP-Poster")</f>
        <v>IP-Poster</v>
      </c>
      <c r="G2864" s="7" t="str">
        <f>IFERROR(__xludf.DUMMYFUNCTION("""COMPUTED_VALUE"""),"In-Person")</f>
        <v>In-Person</v>
      </c>
      <c r="H2864" s="7" t="str">
        <f>IFERROR(__xludf.DUMMYFUNCTION("""COMPUTED_VALUE"""),"Hall 4/5")</f>
        <v>Hall 4/5</v>
      </c>
      <c r="I2864" s="7" t="str">
        <f>IFERROR(__xludf.DUMMYFUNCTION("""COMPUTED_VALUE"""),"Session 2: IP-Posters ")</f>
        <v>Session 2: IP-Posters </v>
      </c>
      <c r="J2864" s="7" t="str">
        <f>IFERROR(__xludf.DUMMYFUNCTION("""COMPUTED_VALUE"""),"Poster Session 1")</f>
        <v>Poster Session 1</v>
      </c>
      <c r="K2864" s="7"/>
      <c r="L2864" s="8">
        <f>IFERROR(__xludf.DUMMYFUNCTION("""COMPUTED_VALUE"""),45866.0)</f>
        <v>45866</v>
      </c>
      <c r="M2864" s="7" t="str">
        <f>IFERROR(__xludf.DUMMYFUNCTION("""COMPUTED_VALUE"""),"11:00-12:30")</f>
        <v>11:00-12:30</v>
      </c>
      <c r="N2864" s="7"/>
    </row>
    <row r="2865">
      <c r="A2865" s="7" t="str">
        <f>IFERROR(__xludf.DUMMYFUNCTION("""COMPUTED_VALUE"""),"3508-MAIN")</f>
        <v>3508-MAIN</v>
      </c>
      <c r="B2865" s="7" t="str">
        <f>IFERROR(__xludf.DUMMYFUNCTION("""COMPUTED_VALUE"""),"Mind the Gesture: Evaluating AI Sensitivity to Culturally Offensive Non-Verbal Gestures")</f>
        <v>Mind the Gesture: Evaluating AI Sensitivity to Culturally Offensive Non-Verbal Gestures</v>
      </c>
      <c r="C2865" s="7" t="str">
        <f>IFERROR(__xludf.DUMMYFUNCTION("""COMPUTED_VALUE"""),"Gestures are an integral part of non-verbal communication, with meanings that vary across cultures, and misinterpretations that can have serious social and diplomatic consequences. As AI systems become more integrated into global applications, ensuring th"&amp;"ey do not inadvertently perpetuate cultural offenses is critical. To this end, we introduce Multi-Cultural Set of Inappropriate Gestures and Nonverbal Signs (MC-SIGNS), a dataset of 288 gesture-country pairs annotated for offensiveness, cultural significa"&amp;"nce, and contextual factors across 25 gestures and 85 countries. Through systematic evaluation using MC-SIGNS, we uncover critical limitations: text-to-image (T2I) systems exhibit strong US-centric biases,  performing better at detecting offensive gesture"&amp;"s in US contexts than in non-US ones; large language models (LLMs) tend to over-flag gestures as offensive; and vision-language models (VLMs) default to US-based interpretations when responding to universal concepts like wishing someone luck, frequently s"&amp;"uggesting culturally inappropriate gestures. These findings highlight the urgent need for culturally-aware AI safety mechanisms to ensure equitable global deployment of AI technologies.")</f>
        <v>Gestures are an integral part of non-verbal communication, with meanings that vary across cultures, and misinterpretations that can have serious social and diplomatic consequences. As AI systems become more integrated into global applications, ensuring they do not inadvertently perpetuate cultural offenses is critical. To this end, we introduce Multi-Cultural Set of Inappropriate Gestures and Nonverbal Signs (MC-SIGNS), a dataset of 288 gesture-country pairs annotated for offensiveness, cultural significance, and contextual factors across 25 gestures and 85 countries. Through systematic evaluation using MC-SIGNS, we uncover critical limitations: text-to-image (T2I) systems exhibit strong US-centric biases,  performing better at detecting offensive gestures in US contexts than in non-US ones; large language models (LLMs) tend to over-flag gestures as offensive; and vision-language models (VLMs) default to US-based interpretations when responding to universal concepts like wishing someone luck, frequently suggesting culturally inappropriate gestures. These findings highlight the urgent need for culturally-aware AI safety mechanisms to ensure equitable global deployment of AI technologies.</v>
      </c>
      <c r="D2865" s="7" t="str">
        <f>IFERROR(__xludf.DUMMYFUNCTION("""COMPUTED_VALUE"""),"Akhila Yerukola")</f>
        <v>Akhila Yerukola</v>
      </c>
      <c r="E2865" s="7" t="str">
        <f>IFERROR(__xludf.DUMMYFUNCTION("""COMPUTED_VALUE"""),"Yes")</f>
        <v>Yes</v>
      </c>
      <c r="F2865" s="7" t="str">
        <f>IFERROR(__xludf.DUMMYFUNCTION("""COMPUTED_VALUE"""),"IP-Poster")</f>
        <v>IP-Poster</v>
      </c>
      <c r="G2865" s="7" t="str">
        <f>IFERROR(__xludf.DUMMYFUNCTION("""COMPUTED_VALUE"""),"In-Person")</f>
        <v>In-Person</v>
      </c>
      <c r="H2865" s="7" t="str">
        <f>IFERROR(__xludf.DUMMYFUNCTION("""COMPUTED_VALUE"""),"Hall 4/5")</f>
        <v>Hall 4/5</v>
      </c>
      <c r="I2865" s="7" t="str">
        <f>IFERROR(__xludf.DUMMYFUNCTION("""COMPUTED_VALUE"""),"Session 12: IP-Posters")</f>
        <v>Session 12: IP-Posters</v>
      </c>
      <c r="J2865" s="7" t="str">
        <f>IFERROR(__xludf.DUMMYFUNCTION("""COMPUTED_VALUE"""),"Poster Session 4")</f>
        <v>Poster Session 4</v>
      </c>
      <c r="K2865" s="7"/>
      <c r="L2865" s="8">
        <f>IFERROR(__xludf.DUMMYFUNCTION("""COMPUTED_VALUE"""),45868.0)</f>
        <v>45868</v>
      </c>
      <c r="M2865" s="7" t="str">
        <f>IFERROR(__xludf.DUMMYFUNCTION("""COMPUTED_VALUE"""),"11:00-12:30")</f>
        <v>11:00-12:30</v>
      </c>
      <c r="N2865" s="7"/>
    </row>
    <row r="2866">
      <c r="A2866" s="7" t="str">
        <f>IFERROR(__xludf.DUMMYFUNCTION("""COMPUTED_VALUE"""),"3509-MAIN")</f>
        <v>3509-MAIN</v>
      </c>
      <c r="B2866" s="7" t="str">
        <f>IFERROR(__xludf.DUMMYFUNCTION("""COMPUTED_VALUE"""),"500xCompressor: Generalized Prompt Compression for Large Language Models")</f>
        <v>500xCompressor: Generalized Prompt Compression for Large Language Models</v>
      </c>
      <c r="C2866" s="7" t="str">
        <f>IFERROR(__xludf.DUMMYFUNCTION("""COMPUTED_VALUE"""),"Prompt compression is important for large language models (LLMs) to increase inference speed, reduce costs, and improve user experience. However, current methods face challenges such as low compression ratios and potential training-test overlap during eva"&amp;"luation. To address these issues, we propose 500xCompressor, a method that compresses natural language contexts into a minimum of one special token and demonstrates strong generalization ability. The 500xCompressor introduces approximately 0.3% additional"&amp;" parameters and achieves compression ratios ranging from 6x to 500x, achieving 27-90% reduction in calculations and 55-83% memory savings when generating 100-400 tokens for new and reused prompts at 500x compression, while retaining 70-74% (F1) and 77-84%"&amp;" (Exact Match) of the LLM capabilities compared to using non-compressed prompts. It is designed to compress any text, answer various types of questions, and can be utilized by the original LLM without requiring fine-tuning. Initially, 500xCompressor was p"&amp;"retrained on the ArxivCorpus, followed by fine-tuning on the ArxivQA dataset, and subsequently evaluated on strictly unseen and cross-domain question answering (QA) datasets. This study shows that KV values outperform embeddings in preserving information "&amp;"at high compression ratios. The highly compressive nature of natural language prompts, even for detailed information, suggests potential for future applications and the development of a new LLM language.")</f>
        <v>Prompt compression is important for large language models (LLMs) to increase inference speed, reduce costs, and improve user experience. However, current methods face challenges such as low compression ratios and potential training-test overlap during evaluation. To address these issues, we propose 500xCompressor, a method that compresses natural language contexts into a minimum of one special token and demonstrates strong generalization ability. The 500xCompressor introduces approximately 0.3% additional parameters and achieves compression ratios ranging from 6x to 500x, achieving 27-90% reduction in calculations and 55-83% memory savings when generating 100-400 tokens for new and reused prompts at 500x compression, while retaining 70-74% (F1) and 77-84% (Exact Match) of the LLM capabilities compared to using non-compressed prompts. It is designed to compress any text, answer various types of questions, and can be utilized by the original LLM without requiring fine-tuning. Initially, 500xCompressor was pretrained on the ArxivCorpus, followed by fine-tuning on the ArxivQA dataset, and subsequently evaluated on strictly unseen and cross-domain question answering (QA) datasets. This study shows that KV values outperform embeddings in preserving information at high compression ratios. The highly compressive nature of natural language prompts, even for detailed information, suggests potential for future applications and the development of a new LLM language.</v>
      </c>
      <c r="D2866" s="7" t="str">
        <f>IFERROR(__xludf.DUMMYFUNCTION("""COMPUTED_VALUE"""),"Zongqian Li")</f>
        <v>Zongqian Li</v>
      </c>
      <c r="E2866" s="7" t="str">
        <f>IFERROR(__xludf.DUMMYFUNCTION("""COMPUTED_VALUE"""),"Yes")</f>
        <v>Yes</v>
      </c>
      <c r="F2866" s="7" t="str">
        <f>IFERROR(__xludf.DUMMYFUNCTION("""COMPUTED_VALUE"""),"IP-Poster")</f>
        <v>IP-Poster</v>
      </c>
      <c r="G2866" s="7" t="str">
        <f>IFERROR(__xludf.DUMMYFUNCTION("""COMPUTED_VALUE"""),"In-Person")</f>
        <v>In-Person</v>
      </c>
      <c r="H2866" s="7" t="str">
        <f>IFERROR(__xludf.DUMMYFUNCTION("""COMPUTED_VALUE"""),"Hall 4/5")</f>
        <v>Hall 4/5</v>
      </c>
      <c r="I2866" s="7" t="str">
        <f>IFERROR(__xludf.DUMMYFUNCTION("""COMPUTED_VALUE"""),"Session 10: IP-Posters")</f>
        <v>Session 10: IP-Posters</v>
      </c>
      <c r="J2866" s="7" t="str">
        <f>IFERROR(__xludf.DUMMYFUNCTION("""COMPUTED_VALUE"""),"Poster Session 3")</f>
        <v>Poster Session 3</v>
      </c>
      <c r="K2866" s="7"/>
      <c r="L2866" s="8">
        <f>IFERROR(__xludf.DUMMYFUNCTION("""COMPUTED_VALUE"""),45867.0)</f>
        <v>45867</v>
      </c>
      <c r="M2866" s="7" t="str">
        <f>IFERROR(__xludf.DUMMYFUNCTION("""COMPUTED_VALUE"""),"16:00-17:30")</f>
        <v>16:00-17:30</v>
      </c>
      <c r="N2866" s="7"/>
    </row>
    <row r="2867">
      <c r="A2867" s="7" t="str">
        <f>IFERROR(__xludf.DUMMYFUNCTION("""COMPUTED_VALUE"""),"3512-MAIN")</f>
        <v>3512-MAIN</v>
      </c>
      <c r="B2867" s="7" t="str">
        <f>IFERROR(__xludf.DUMMYFUNCTION("""COMPUTED_VALUE"""),"Estimating Privacy Leakage of Augmented Contextual Knowledge in Language Models")</f>
        <v>Estimating Privacy Leakage of Augmented Contextual Knowledge in Language Models</v>
      </c>
      <c r="C2867" s="7" t="str">
        <f>IFERROR(__xludf.DUMMYFUNCTION("""COMPUTED_VALUE"""),"Language models (LMs) rely on their parametric knowledge augmented with relevant contextual knowledge for certain tasks, such as question answering. However, the contextual knowledge can contain private information that may be leaked when answering querie"&amp;"s, and estimating this privacy leakage is not well understood. A straightforward approach of directly comparing an LM's output to the contexts can overestimate the privacy risk, since the LM's parametric knowledge might already contain the augmented conte"&amp;"xtual knowledge. To this end, we introduce \emph{context influence}, a metric that builds on differential privacy, a widely-adopted privacy notion, to estimate the privacy leakage of contextual knowledge during decoding. Our approach effectively measures "&amp;"how each subset of the context influences an LM's response while separating the specific parametric knowledge of the LM. Using our context influence metric, we demonstrate that context privacy leakage occurs when contextual knowledge is out of distributio"&amp;"n with respect to parametric knowledge. Moreover, we experimentally demonstrate how context influence properly attributes the privacy leakage to augmented contexts, and we evaluate how factors-- such as model size, context size, generation position, etc.-"&amp;"- affect context privacy leakage. The practical implications of our results will inform practitioners of the privacy risk associated with augmented contextual knowledge.")</f>
        <v>Language models (LMs) rely on their parametric knowledge augmented with relevant contextual knowledge for certain tasks, such as question answering. However, the contextual knowledge can contain private information that may be leaked when answering queries, and estimating this privacy leakage is not well understood. A straightforward approach of directly comparing an LM's output to the contexts can overestimate the privacy risk, since the LM's parametric knowledge might already contain the augmented contextual knowledge. To this end, we introduce \emph{context influence}, a metric that builds on differential privacy, a widely-adopted privacy notion, to estimate the privacy leakage of contextual knowledge during decoding. Our approach effectively measures how each subset of the context influences an LM's response while separating the specific parametric knowledge of the LM. Using our context influence metric, we demonstrate that context privacy leakage occurs when contextual knowledge is out of distribution with respect to parametric knowledge. Moreover, we experimentally demonstrate how context influence properly attributes the privacy leakage to augmented contexts, and we evaluate how factors-- such as model size, context size, generation position, etc.-- affect context privacy leakage. The practical implications of our results will inform practitioners of the privacy risk associated with augmented contextual knowledge.</v>
      </c>
      <c r="D2867" s="7" t="str">
        <f>IFERROR(__xludf.DUMMYFUNCTION("""COMPUTED_VALUE"""),"James Flemings")</f>
        <v>James Flemings</v>
      </c>
      <c r="E2867" s="7" t="str">
        <f>IFERROR(__xludf.DUMMYFUNCTION("""COMPUTED_VALUE"""),"Yes")</f>
        <v>Yes</v>
      </c>
      <c r="F2867" s="7" t="str">
        <f>IFERROR(__xludf.DUMMYFUNCTION("""COMPUTED_VALUE"""),"IP-Poster")</f>
        <v>IP-Poster</v>
      </c>
      <c r="G2867" s="7" t="str">
        <f>IFERROR(__xludf.DUMMYFUNCTION("""COMPUTED_VALUE"""),"In-Person")</f>
        <v>In-Person</v>
      </c>
      <c r="H2867" s="7" t="str">
        <f>IFERROR(__xludf.DUMMYFUNCTION("""COMPUTED_VALUE"""),"Hall 4/5")</f>
        <v>Hall 4/5</v>
      </c>
      <c r="I2867" s="7" t="str">
        <f>IFERROR(__xludf.DUMMYFUNCTION("""COMPUTED_VALUE"""),"Session 10: IP-Posters")</f>
        <v>Session 10: IP-Posters</v>
      </c>
      <c r="J2867" s="7" t="str">
        <f>IFERROR(__xludf.DUMMYFUNCTION("""COMPUTED_VALUE"""),"Poster Session 3")</f>
        <v>Poster Session 3</v>
      </c>
      <c r="K2867" s="7"/>
      <c r="L2867" s="8">
        <f>IFERROR(__xludf.DUMMYFUNCTION("""COMPUTED_VALUE"""),45867.0)</f>
        <v>45867</v>
      </c>
      <c r="M2867" s="7" t="str">
        <f>IFERROR(__xludf.DUMMYFUNCTION("""COMPUTED_VALUE"""),"16:00-17:30")</f>
        <v>16:00-17:30</v>
      </c>
      <c r="N2867" s="7"/>
    </row>
    <row r="2868">
      <c r="A2868" s="7" t="str">
        <f>IFERROR(__xludf.DUMMYFUNCTION("""COMPUTED_VALUE"""),"3513-MAIN")</f>
        <v>3513-MAIN</v>
      </c>
      <c r="B2868" s="7" t="str">
        <f>IFERROR(__xludf.DUMMYFUNCTION("""COMPUTED_VALUE"""),"Document-Level Event-Argument Data Augmentation for Challenging Role Types")</f>
        <v>Document-Level Event-Argument Data Augmentation for Challenging Role Types</v>
      </c>
      <c r="C2868" s="7" t="str">
        <f>IFERROR(__xludf.DUMMYFUNCTION("""COMPUTED_VALUE"""),"Event Argument Extraction (EAE) is a daunting information extraction problem --- with significant limitations in few-shot cross-domain (FSCD) settings. A common solution to FSCD modeling is data augmentation. Unfortunately, existing augmentation methods a"&amp;"re not well-suited to a variety of real-world EAE contexts, including (i) modeling long documents (documents with over 10 sentences), and (ii) modeling challenging role types (i.e., event roles with little to no training data and semantically outlying rol"&amp;"es). We introduce two novel LLM-powered data augmentation methods for generating extractive document-level EAE samples using zero in-domain training data. We validate the generalizability of our approach on four datasets --- showing significant performanc"&amp;"e increases in low-resource settings. Our highest performing models provide a 13-pt increase in F1 score on zero-shot role extraction in FSCD evaluation.")</f>
        <v>Event Argument Extraction (EAE) is a daunting information extraction problem --- with significant limitations in few-shot cross-domain (FSCD) settings. A common solution to FSCD modeling is data augmentation. Unfortunately, existing augmentation methods are not well-suited to a variety of real-world EAE contexts, including (i) modeling long documents (documents with over 10 sentences), and (ii) modeling challenging role types (i.e., event roles with little to no training data and semantically outlying roles). We introduce two novel LLM-powered data augmentation methods for generating extractive document-level EAE samples using zero in-domain training data. We validate the generalizability of our approach on four datasets --- showing significant performance increases in low-resource settings. Our highest performing models provide a 13-pt increase in F1 score on zero-shot role extraction in FSCD evaluation.</v>
      </c>
      <c r="D2868" s="7" t="str">
        <f>IFERROR(__xludf.DUMMYFUNCTION("""COMPUTED_VALUE"""),"Joseph Gatto")</f>
        <v>Joseph Gatto</v>
      </c>
      <c r="E2868" s="7" t="str">
        <f>IFERROR(__xludf.DUMMYFUNCTION("""COMPUTED_VALUE"""),"Yes")</f>
        <v>Yes</v>
      </c>
      <c r="F2868" s="7" t="str">
        <f>IFERROR(__xludf.DUMMYFUNCTION("""COMPUTED_VALUE"""),"V-Presentation")</f>
        <v>V-Presentation</v>
      </c>
      <c r="G2868" s="7" t="str">
        <f>IFERROR(__xludf.DUMMYFUNCTION("""COMPUTED_VALUE"""),"Virtual/Gather")</f>
        <v>Virtual/Gather</v>
      </c>
      <c r="H2868" s="7" t="str">
        <f>IFERROR(__xludf.DUMMYFUNCTION("""COMPUTED_VALUE"""),"Zoom")</f>
        <v>Zoom</v>
      </c>
      <c r="I2868" s="7" t="str">
        <f>IFERROR(__xludf.DUMMYFUNCTION("""COMPUTED_VALUE"""),"Session 12: V-Presentations")</f>
        <v>Session 12: V-Presentations</v>
      </c>
      <c r="J2868" s="7" t="str">
        <f>IFERROR(__xludf.DUMMYFUNCTION("""COMPUTED_VALUE"""),"Virtual Presentations 4")</f>
        <v>Virtual Presentations 4</v>
      </c>
      <c r="K2868" s="7"/>
      <c r="L2868" s="8">
        <f>IFERROR(__xludf.DUMMYFUNCTION("""COMPUTED_VALUE"""),45868.0)</f>
        <v>45868</v>
      </c>
      <c r="M2868" s="7" t="str">
        <f>IFERROR(__xludf.DUMMYFUNCTION("""COMPUTED_VALUE"""),"11:00-12:30")</f>
        <v>11:00-12:30</v>
      </c>
      <c r="N2868" s="7"/>
    </row>
    <row r="2869">
      <c r="A2869" s="7" t="str">
        <f>IFERROR(__xludf.DUMMYFUNCTION("""COMPUTED_VALUE"""),"3514-MAIN")</f>
        <v>3514-MAIN</v>
      </c>
      <c r="B2869" s="7" t="str">
        <f>IFERROR(__xludf.DUMMYFUNCTION("""COMPUTED_VALUE"""),"Mapping the Podcast Ecosystem with the Structured Podcast Research Corpus")</f>
        <v>Mapping the Podcast Ecosystem with the Structured Podcast Research Corpus</v>
      </c>
      <c r="C2869" s="7" t="str">
        <f>IFERROR(__xludf.DUMMYFUNCTION("""COMPUTED_VALUE"""),"Podcasts provide highly diverse content to a massive listener base through a unique on-demand modality. However, limited data has prevented large-scale computational analysis of the podcast ecosystem. To fill this gap, we introduce a massive dataset of ov"&amp;"er 1.1M podcast transcripts that is largely comprehensive of all English language podcasts available through public RSS feeds from May and June of 2020. This data is not limited to text, but includes metadata, inferred speaker roles, and audio features an"&amp;"d speaker turns for a subset of 370K episodes. Using this data, we conduct a foundational investigation into the content, structure, and responsiveness of this ecosystem. Together, our data and analyses open the door to continued computational research of"&amp;" this popular and impactful medium.")</f>
        <v>Podcasts provide highly diverse content to a massive listener base through a unique on-demand modality. However, limited data has prevented large-scale computational analysis of the podcast ecosystem. To fill this gap, we introduce a massive dataset of over 1.1M podcast transcripts that is largely comprehensive of all English language podcasts available through public RSS feeds from May and June of 2020. This data is not limited to text, but includes metadata, inferred speaker roles, and audio features and speaker turns for a subset of 370K episodes. Using this data, we conduct a foundational investigation into the content, structure, and responsiveness of this ecosystem. Together, our data and analyses open the door to continued computational research of this popular and impactful medium.</v>
      </c>
      <c r="D2869" s="7" t="str">
        <f>IFERROR(__xludf.DUMMYFUNCTION("""COMPUTED_VALUE"""),"Benjamin Litterer")</f>
        <v>Benjamin Litterer</v>
      </c>
      <c r="E2869" s="7" t="str">
        <f>IFERROR(__xludf.DUMMYFUNCTION("""COMPUTED_VALUE"""),"Yes")</f>
        <v>Yes</v>
      </c>
      <c r="F2869" s="7" t="str">
        <f>IFERROR(__xludf.DUMMYFUNCTION("""COMPUTED_VALUE"""),"IP-Poster")</f>
        <v>IP-Poster</v>
      </c>
      <c r="G2869" s="7" t="str">
        <f>IFERROR(__xludf.DUMMYFUNCTION("""COMPUTED_VALUE"""),"In-Person")</f>
        <v>In-Person</v>
      </c>
      <c r="H2869" s="7" t="str">
        <f>IFERROR(__xludf.DUMMYFUNCTION("""COMPUTED_VALUE"""),"Hall 4/5")</f>
        <v>Hall 4/5</v>
      </c>
      <c r="I2869" s="7" t="str">
        <f>IFERROR(__xludf.DUMMYFUNCTION("""COMPUTED_VALUE"""),"Session 12: IP-Posters")</f>
        <v>Session 12: IP-Posters</v>
      </c>
      <c r="J2869" s="7" t="str">
        <f>IFERROR(__xludf.DUMMYFUNCTION("""COMPUTED_VALUE"""),"Poster Session 4")</f>
        <v>Poster Session 4</v>
      </c>
      <c r="K2869" s="7"/>
      <c r="L2869" s="8">
        <f>IFERROR(__xludf.DUMMYFUNCTION("""COMPUTED_VALUE"""),45868.0)</f>
        <v>45868</v>
      </c>
      <c r="M2869" s="7" t="str">
        <f>IFERROR(__xludf.DUMMYFUNCTION("""COMPUTED_VALUE"""),"11:00-12:30")</f>
        <v>11:00-12:30</v>
      </c>
      <c r="N2869" s="7"/>
    </row>
    <row r="2870">
      <c r="A2870" s="7" t="str">
        <f>IFERROR(__xludf.DUMMYFUNCTION("""COMPUTED_VALUE"""),"3516-MAIN")</f>
        <v>3516-MAIN</v>
      </c>
      <c r="B2870" s="7" t="str">
        <f>IFERROR(__xludf.DUMMYFUNCTION("""COMPUTED_VALUE"""),"Unravelling the Logic: Investigating the Generalisation of Transformers in Numerical Satisfiability Problems")</f>
        <v>Unravelling the Logic: Investigating the Generalisation of Transformers in Numerical Satisfiability Problems</v>
      </c>
      <c r="C2870" s="7" t="str">
        <f>IFERROR(__xludf.DUMMYFUNCTION("""COMPUTED_VALUE"""),"Transformer models have achieved remarkable performance in many formal reasoning tasks. Nonetheless, the extent of their comprehension pertaining to logical semantics and rules of inference remains somewhat uncertain. Evaluating such understanding necessi"&amp;"tates a rigorous examination of these models' generalisation capacity to out-of-distribution data. In this study, we probe the generalisation prowess of Transformer models with respect to the hitherto unexplored domain of numerical satisfiability problems"&amp;". Our investigation reveals that Transformers exhibit minimal scale and noise invariance, alongside limited vocabulary and number invariance. However, even when Transformer models experience a notable decline in performance on out-of-distribution test set"&amp;"s, they often still surpass the random baseline by a considerable margin.")</f>
        <v>Transformer models have achieved remarkable performance in many formal reasoning tasks. Nonetheless, the extent of their comprehension pertaining to logical semantics and rules of inference remains somewhat uncertain. Evaluating such understanding necessitates a rigorous examination of these models' generalisation capacity to out-of-distribution data. In this study, we probe the generalisation prowess of Transformer models with respect to the hitherto unexplored domain of numerical satisfiability problems. Our investigation reveals that Transformers exhibit minimal scale and noise invariance, alongside limited vocabulary and number invariance. However, even when Transformer models experience a notable decline in performance on out-of-distribution test sets, they often still surpass the random baseline by a considerable margin.</v>
      </c>
      <c r="D2870" s="7" t="str">
        <f>IFERROR(__xludf.DUMMYFUNCTION("""COMPUTED_VALUE"""),"Tharindu Madusanka")</f>
        <v>Tharindu Madusanka</v>
      </c>
      <c r="E2870" s="7" t="str">
        <f>IFERROR(__xludf.DUMMYFUNCTION("""COMPUTED_VALUE"""),"Yes")</f>
        <v>Yes</v>
      </c>
      <c r="F2870" s="7" t="str">
        <f>IFERROR(__xludf.DUMMYFUNCTION("""COMPUTED_VALUE"""),"IP-Poster")</f>
        <v>IP-Poster</v>
      </c>
      <c r="G2870" s="7" t="str">
        <f>IFERROR(__xludf.DUMMYFUNCTION("""COMPUTED_VALUE"""),"In-Person")</f>
        <v>In-Person</v>
      </c>
      <c r="H2870" s="7" t="str">
        <f>IFERROR(__xludf.DUMMYFUNCTION("""COMPUTED_VALUE"""),"Hall 4/5")</f>
        <v>Hall 4/5</v>
      </c>
      <c r="I2870" s="7" t="str">
        <f>IFERROR(__xludf.DUMMYFUNCTION("""COMPUTED_VALUE"""),"Session 10: IP-Posters")</f>
        <v>Session 10: IP-Posters</v>
      </c>
      <c r="J2870" s="7" t="str">
        <f>IFERROR(__xludf.DUMMYFUNCTION("""COMPUTED_VALUE"""),"Poster Session 3")</f>
        <v>Poster Session 3</v>
      </c>
      <c r="K2870" s="7"/>
      <c r="L2870" s="8">
        <f>IFERROR(__xludf.DUMMYFUNCTION("""COMPUTED_VALUE"""),45867.0)</f>
        <v>45867</v>
      </c>
      <c r="M2870" s="7" t="str">
        <f>IFERROR(__xludf.DUMMYFUNCTION("""COMPUTED_VALUE"""),"16:00-17:30")</f>
        <v>16:00-17:30</v>
      </c>
      <c r="N2870" s="7"/>
    </row>
    <row r="2871">
      <c r="A2871" s="7" t="str">
        <f>IFERROR(__xludf.DUMMYFUNCTION("""COMPUTED_VALUE"""),"3518-MAIN")</f>
        <v>3518-MAIN</v>
      </c>
      <c r="B2871" s="7" t="str">
        <f>IFERROR(__xludf.DUMMYFUNCTION("""COMPUTED_VALUE"""),"The Nature of NLP: Analyzing Contributions in NLP Papers")</f>
        <v>The Nature of NLP: Analyzing Contributions in NLP Papers</v>
      </c>
      <c r="C2871" s="7" t="str">
        <f>IFERROR(__xludf.DUMMYFUNCTION("""COMPUTED_VALUE"""),"Natural Language Processing (NLP) is an established and dynamic field. Despite this, what constitutes NLP research remains debated. 
In this work, we address the question by quantitatively examining NLP research papers. We propose a taxonomy of research c"&amp;"ontributions and introduce _NLPContributions_, a dataset of nearly $2k$ NLP research paper abstracts, carefully annotated to identify scientific contributions and classify their types according to this taxonomy. We also introduce a novel task of automatic"&amp;"ally identifying contribution statements and classifying their types from research papers. We present experimental results for this task and apply our model to $\sim$$29k$ NLP research papers to analyze their contributions, aiding in the understanding of "&amp;"the nature of NLP research. We show that NLP research has taken a winding path --- with the focus on language and human-centric studies being prominent in the 1970s and 80s, tapering off in the 1990s and 2000s, and starting to rise again since the late 20"&amp;"10s. Alongside this revival, we observe a steady rise in dataset and methodological contributions since the 1990s, such that today, on average, individual NLP papers contribute in more ways than ever before. Our dataset and analyses offer a powerful lens "&amp;"for tracing research trends and offer potential for generating informed, data-driven literature surveys.")</f>
        <v>Natural Language Processing (NLP) is an established and dynamic field. Despite this, what constitutes NLP research remains debated. 
In this work, we address the question by quantitatively examining NLP research papers. We propose a taxonomy of research contributions and introduce _NLPContributions_, a dataset of nearly $2k$ NLP research paper abstracts, carefully annotated to identify scientific contributions and classify their types according to this taxonomy. We also introduce a novel task of automatically identifying contribution statements and classifying their types from research papers. We present experimental results for this task and apply our model to $\sim$$29k$ NLP research papers to analyze their contributions, aiding in the understanding of the nature of NLP research. We show that NLP research has taken a winding path --- with the focus on language and human-centric studies being prominent in the 1970s and 80s, tapering off in the 1990s and 2000s, and starting to rise again since the late 2010s. Alongside this revival, we observe a steady rise in dataset and methodological contributions since the 1990s, such that today, on average, individual NLP papers contribute in more ways than ever before. Our dataset and analyses offer a powerful lens for tracing research trends and offer potential for generating informed, data-driven literature surveys.</v>
      </c>
      <c r="D2871" s="7" t="str">
        <f>IFERROR(__xludf.DUMMYFUNCTION("""COMPUTED_VALUE"""),"Aniket Pramanick")</f>
        <v>Aniket Pramanick</v>
      </c>
      <c r="E2871" s="7" t="str">
        <f>IFERROR(__xludf.DUMMYFUNCTION("""COMPUTED_VALUE"""),"Yes")</f>
        <v>Yes</v>
      </c>
      <c r="F2871" s="7" t="str">
        <f>IFERROR(__xludf.DUMMYFUNCTION("""COMPUTED_VALUE"""),"IP-Poster")</f>
        <v>IP-Poster</v>
      </c>
      <c r="G2871" s="7" t="str">
        <f>IFERROR(__xludf.DUMMYFUNCTION("""COMPUTED_VALUE"""),"In-Person")</f>
        <v>In-Person</v>
      </c>
      <c r="H2871" s="7" t="str">
        <f>IFERROR(__xludf.DUMMYFUNCTION("""COMPUTED_VALUE"""),"Hall 4/5")</f>
        <v>Hall 4/5</v>
      </c>
      <c r="I2871" s="7" t="str">
        <f>IFERROR(__xludf.DUMMYFUNCTION("""COMPUTED_VALUE"""),"Session 12: IP-Posters")</f>
        <v>Session 12: IP-Posters</v>
      </c>
      <c r="J2871" s="7" t="str">
        <f>IFERROR(__xludf.DUMMYFUNCTION("""COMPUTED_VALUE"""),"Poster Session 4")</f>
        <v>Poster Session 4</v>
      </c>
      <c r="K2871" s="7"/>
      <c r="L2871" s="8">
        <f>IFERROR(__xludf.DUMMYFUNCTION("""COMPUTED_VALUE"""),45868.0)</f>
        <v>45868</v>
      </c>
      <c r="M2871" s="7" t="str">
        <f>IFERROR(__xludf.DUMMYFUNCTION("""COMPUTED_VALUE"""),"11:00-12:30")</f>
        <v>11:00-12:30</v>
      </c>
      <c r="N2871" s="7"/>
    </row>
    <row r="2872">
      <c r="A2872" s="7" t="str">
        <f>IFERROR(__xludf.DUMMYFUNCTION("""COMPUTED_VALUE"""),"3522-MAIN")</f>
        <v>3522-MAIN</v>
      </c>
      <c r="B2872" s="7" t="str">
        <f>IFERROR(__xludf.DUMMYFUNCTION("""COMPUTED_VALUE"""),"\mathtt{GeLLM^3O}: Generalizing Large Language Models for Multi-property Molecule Optimization")</f>
        <v>\mathtt{GeLLM^3O}: Generalizing Large Language Models for Multi-property Molecule Optimization</v>
      </c>
      <c r="C2872" s="7" t="str">
        <f>IFERROR(__xludf.DUMMYFUNCTION("""COMPUTED_VALUE"""),"Despite recent advancements, most computational methods for molecule optimization are constrained to single- or double-property optimization tasks and suffer from poor scalability and generalizability to novel optimization tasks. Meanwhile, Large Language"&amp;" Models (LLMs) demonstrate remarkable out-of-domain generalizability to novel tasks. To demonstrate LLMs' potential for molecule optimization, we introduce $\mathtt{MuMOInstruct}$, the first high-quality instruction-tuning dataset specifically focused on "&amp;"multi-property molecule optimization tasks. Leveraging $\mathtt{MuMOInstruct}$, we develop $\mathtt{GeLLM^3O}$s, a series of instruction-tuned LLMs for molecule optimization. Extensive evaluations across 5 in-domain and 5 out-of-domain tasks demonstrate t"&amp;"hat $\mathtt{GeLLM^3O}$s consistently outperform state-of-the-art baselines. $\mathtt{GeLLM^3O}$s also exhibit outstanding zero-shot generalization to unseen tasks, significantly outperforming powerful closed-source LLMs. Such strong generalizability demo"&amp;"nstrates the tremendous potential of $\mathtt{GeLLM^3O}$s as foundational models for molecule optimization, thereby tackling novel optimization tasks without resource-intensive retraining. $\mathtt{MuMOInstruct}$ and code are accessible through https://gi"&amp;"thub.com/ninglab/GeLLMO.")</f>
        <v>Despite recent advancements, most computational methods for molecule optimization are constrained to single- or double-property optimization tasks and suffer from poor scalability and generalizability to novel optimization tasks. Meanwhile, Large Language Models (LLMs) demonstrate remarkable out-of-domain generalizability to novel tasks. To demonstrate LLMs' potential for molecule optimization, we introduce $\mathtt{MuMOInstruct}$, the first high-quality instruction-tuning dataset specifically focused on multi-property molecule optimization tasks. Leveraging $\mathtt{MuMOInstruct}$, we develop $\mathtt{GeLLM^3O}$s, a series of instruction-tuned LLMs for molecule optimization. Extensive evaluations across 5 in-domain and 5 out-of-domain tasks demonstrate that $\mathtt{GeLLM^3O}$s consistently outperform state-of-the-art baselines. $\mathtt{GeLLM^3O}$s also exhibit outstanding zero-shot generalization to unseen tasks, significantly outperforming powerful closed-source LLMs. Such strong generalizability demonstrates the tremendous potential of $\mathtt{GeLLM^3O}$s as foundational models for molecule optimization, thereby tackling novel optimization tasks without resource-intensive retraining. $\mathtt{MuMOInstruct}$ and code are accessible through https://github.com/ninglab/GeLLMO.</v>
      </c>
      <c r="D2872" s="7" t="str">
        <f>IFERROR(__xludf.DUMMYFUNCTION("""COMPUTED_VALUE"""),"Vishal Dey")</f>
        <v>Vishal Dey</v>
      </c>
      <c r="E2872" s="7" t="str">
        <f>IFERROR(__xludf.DUMMYFUNCTION("""COMPUTED_VALUE"""),"Yes")</f>
        <v>Yes</v>
      </c>
      <c r="F2872" s="7" t="str">
        <f>IFERROR(__xludf.DUMMYFUNCTION("""COMPUTED_VALUE"""),"V-Presentation")</f>
        <v>V-Presentation</v>
      </c>
      <c r="G2872" s="7" t="str">
        <f>IFERROR(__xludf.DUMMYFUNCTION("""COMPUTED_VALUE"""),"Virtual/Gather")</f>
        <v>Virtual/Gather</v>
      </c>
      <c r="H2872" s="7" t="str">
        <f>IFERROR(__xludf.DUMMYFUNCTION("""COMPUTED_VALUE"""),"Zoom")</f>
        <v>Zoom</v>
      </c>
      <c r="I2872" s="7" t="str">
        <f>IFERROR(__xludf.DUMMYFUNCTION("""COMPUTED_VALUE"""),"Session 10: V-Presenations")</f>
        <v>Session 10: V-Presenations</v>
      </c>
      <c r="J2872" s="7" t="str">
        <f>IFERROR(__xludf.DUMMYFUNCTION("""COMPUTED_VALUE"""),"Virtual Presentations 3")</f>
        <v>Virtual Presentations 3</v>
      </c>
      <c r="K2872" s="7"/>
      <c r="L2872" s="8">
        <f>IFERROR(__xludf.DUMMYFUNCTION("""COMPUTED_VALUE"""),45867.0)</f>
        <v>45867</v>
      </c>
      <c r="M2872" s="7" t="str">
        <f>IFERROR(__xludf.DUMMYFUNCTION("""COMPUTED_VALUE"""),"16:00-17:30")</f>
        <v>16:00-17:30</v>
      </c>
      <c r="N2872" s="7"/>
    </row>
    <row r="2873">
      <c r="A2873" s="7" t="str">
        <f>IFERROR(__xludf.DUMMYFUNCTION("""COMPUTED_VALUE"""),"3523-MAIN")</f>
        <v>3523-MAIN</v>
      </c>
      <c r="B2873" s="7" t="str">
        <f>IFERROR(__xludf.DUMMYFUNCTION("""COMPUTED_VALUE"""),"Diffusion Directed Acyclic Transformer for Non-Autoregressive Machine Translation")</f>
        <v>Diffusion Directed Acyclic Transformer for Non-Autoregressive Machine Translation</v>
      </c>
      <c r="C2873" s="7" t="str">
        <f>IFERROR(__xludf.DUMMYFUNCTION("""COMPUTED_VALUE"""),"Non-autoregressive transformers (NATs) predict entire sequences in parallel to reduce decoding latency, but they often encounter performance challenges due to the multi-modality problem. A recent advancement, the Directed Acyclic Transformer (DAT), addres"&amp;"ses this issue by capturing multiple translation modalities to paths in a Directed Acyclic Graph (DAG). However, the collaboration with the latent variable introduced through the Glancing training (GLAT) is crucial for DAT to attain state-of-the-art perfo"&amp;"rmance. In this paper, we introduce Diffusion Directed Acyclic Transformer (Diff-DAT), which serves as an alternative to GLAT as a latent variable introduction for DAT. Diff-DAT offers two significant benefits over the previous approach. Firstly, it estab"&amp;"lishes a stronger alignment between training and inference. Secondly, it facilitates a more flexible tradeoff between quality and latency.")</f>
        <v>Non-autoregressive transformers (NATs) predict entire sequences in parallel to reduce decoding latency, but they often encounter performance challenges due to the multi-modality problem. A recent advancement, the Directed Acyclic Transformer (DAT), addresses this issue by capturing multiple translation modalities to paths in a Directed Acyclic Graph (DAG). However, the collaboration with the latent variable introduced through the Glancing training (GLAT) is crucial for DAT to attain state-of-the-art performance. In this paper, we introduce Diffusion Directed Acyclic Transformer (Diff-DAT), which serves as an alternative to GLAT as a latent variable introduction for DAT. Diff-DAT offers two significant benefits over the previous approach. Firstly, it establishes a stronger alignment between training and inference. Secondly, it facilitates a more flexible tradeoff between quality and latency.</v>
      </c>
      <c r="D2873" s="7" t="str">
        <f>IFERROR(__xludf.DUMMYFUNCTION("""COMPUTED_VALUE"""),"Quan Nguyen-Tri")</f>
        <v>Quan Nguyen-Tri</v>
      </c>
      <c r="E2873" s="7" t="str">
        <f>IFERROR(__xludf.DUMMYFUNCTION("""COMPUTED_VALUE"""),"Yes")</f>
        <v>Yes</v>
      </c>
      <c r="F2873" s="7" t="str">
        <f>IFERROR(__xludf.DUMMYFUNCTION("""COMPUTED_VALUE"""),"V-Presentation")</f>
        <v>V-Presentation</v>
      </c>
      <c r="G2873" s="7" t="str">
        <f>IFERROR(__xludf.DUMMYFUNCTION("""COMPUTED_VALUE"""),"Virtual/Gather")</f>
        <v>Virtual/Gather</v>
      </c>
      <c r="H2873" s="7" t="str">
        <f>IFERROR(__xludf.DUMMYFUNCTION("""COMPUTED_VALUE"""),"Zoom")</f>
        <v>Zoom</v>
      </c>
      <c r="I2873" s="7" t="str">
        <f>IFERROR(__xludf.DUMMYFUNCTION("""COMPUTED_VALUE"""),"Session 2: V-Presentations")</f>
        <v>Session 2: V-Presentations</v>
      </c>
      <c r="J2873" s="7" t="str">
        <f>IFERROR(__xludf.DUMMYFUNCTION("""COMPUTED_VALUE"""),"Virtual Presentations 1")</f>
        <v>Virtual Presentations 1</v>
      </c>
      <c r="K2873" s="7"/>
      <c r="L2873" s="8">
        <f>IFERROR(__xludf.DUMMYFUNCTION("""COMPUTED_VALUE"""),45866.0)</f>
        <v>45866</v>
      </c>
      <c r="M2873" s="7" t="str">
        <f>IFERROR(__xludf.DUMMYFUNCTION("""COMPUTED_VALUE"""),"11:00-12:30")</f>
        <v>11:00-12:30</v>
      </c>
      <c r="N2873" s="7"/>
    </row>
    <row r="2874">
      <c r="A2874" s="7" t="str">
        <f>IFERROR(__xludf.DUMMYFUNCTION("""COMPUTED_VALUE"""),"3524-MAIN")</f>
        <v>3524-MAIN</v>
      </c>
      <c r="B2874" s="7" t="str">
        <f>IFERROR(__xludf.DUMMYFUNCTION("""COMPUTED_VALUE"""),"Follow-up Question Generation For Enhanced Patient-Provider Conversations")</f>
        <v>Follow-up Question Generation For Enhanced Patient-Provider Conversations</v>
      </c>
      <c r="C2874" s="7" t="str">
        <f>IFERROR(__xludf.DUMMYFUNCTION("""COMPUTED_VALUE"""),"Follow-up question generation is an essential feature of dialogue systems as it can reduce conversational ambiguity and enhance modeling complex interactions. Conversational contexts often pose core NLP challenges such as (i) extracting relevant informati"&amp;"on buried in fragmented data sources, and (ii) modeling parallel thought processes. These two challenges occur frequently in medical dialogue as a doctor asks questions based not only on patient utterances but also their prior EHR data and current diagnos"&amp;"tic hypotheses. Asking medical questions in asynchronous conversations compounds these issues as doctors can only rely on static EHR information to motivate follow-up questions. 
To address these challenges, we introduce FollowupQ, a novel framework for "&amp;"enhancing asynchronous medical conversation.
FollowupQ is a multi-agent framework that processes patient messages and EHR data to generate personalized follow-up questions, clarifying patient-reported medical conditions. FollowupQ reduces requisite provid"&amp;"er follow-up communications by 34%. It also improves performance by 17% and 5% on real and synthetic data, respectively. We also release the first public dataset of asynchronous medical messages with linked EHR data alongside 2,300 follow-up questions wri"&amp;"tten by clinical experts for the wider NLP research community.")</f>
        <v>Follow-up question generation is an essential feature of dialogue systems as it can reduce conversational ambiguity and enhance modeling complex interactions. Conversational contexts often pose core NLP challenges such as (i) extracting relevant information buried in fragmented data sources, and (ii) modeling parallel thought processes. These two challenges occur frequently in medical dialogue as a doctor asks questions based not only on patient utterances but also their prior EHR data and current diagnostic hypotheses. Asking medical questions in asynchronous conversations compounds these issues as doctors can only rely on static EHR information to motivate follow-up questions. 
To address these challenges, we introduce FollowupQ, a novel framework for enhancing asynchronous medical conversation.
FollowupQ is a multi-agent framework that processes patient messages and EHR data to generate personalized follow-up questions, clarifying patient-reported medical conditions. FollowupQ reduces requisite provider follow-up communications by 34%. It also improves performance by 17% and 5% on real and synthetic data, respectively. We also release the first public dataset of asynchronous medical messages with linked EHR data alongside 2,300 follow-up questions written by clinical experts for the wider NLP research community.</v>
      </c>
      <c r="D2874" s="7" t="str">
        <f>IFERROR(__xludf.DUMMYFUNCTION("""COMPUTED_VALUE"""),"Joseph Gatto")</f>
        <v>Joseph Gatto</v>
      </c>
      <c r="E2874" s="7" t="str">
        <f>IFERROR(__xludf.DUMMYFUNCTION("""COMPUTED_VALUE"""),"Yes")</f>
        <v>Yes</v>
      </c>
      <c r="F2874" s="7" t="str">
        <f>IFERROR(__xludf.DUMMYFUNCTION("""COMPUTED_VALUE"""),"V-Presentation")</f>
        <v>V-Presentation</v>
      </c>
      <c r="G2874" s="7" t="str">
        <f>IFERROR(__xludf.DUMMYFUNCTION("""COMPUTED_VALUE"""),"Virtual/Gather")</f>
        <v>Virtual/Gather</v>
      </c>
      <c r="H2874" s="7" t="str">
        <f>IFERROR(__xludf.DUMMYFUNCTION("""COMPUTED_VALUE"""),"Zoom")</f>
        <v>Zoom</v>
      </c>
      <c r="I2874" s="7" t="str">
        <f>IFERROR(__xludf.DUMMYFUNCTION("""COMPUTED_VALUE"""),"Session 10: V-Presenations")</f>
        <v>Session 10: V-Presenations</v>
      </c>
      <c r="J2874" s="7" t="str">
        <f>IFERROR(__xludf.DUMMYFUNCTION("""COMPUTED_VALUE"""),"Virtual Presentations 3")</f>
        <v>Virtual Presentations 3</v>
      </c>
      <c r="K2874" s="7"/>
      <c r="L2874" s="8">
        <f>IFERROR(__xludf.DUMMYFUNCTION("""COMPUTED_VALUE"""),45867.0)</f>
        <v>45867</v>
      </c>
      <c r="M2874" s="7" t="str">
        <f>IFERROR(__xludf.DUMMYFUNCTION("""COMPUTED_VALUE"""),"16:00-17:30")</f>
        <v>16:00-17:30</v>
      </c>
      <c r="N2874" s="7"/>
    </row>
    <row r="2875">
      <c r="A2875" s="7" t="str">
        <f>IFERROR(__xludf.DUMMYFUNCTION("""COMPUTED_VALUE"""),"3530-MAIN")</f>
        <v>3530-MAIN</v>
      </c>
      <c r="B2875" s="7" t="str">
        <f>IFERROR(__xludf.DUMMYFUNCTION("""COMPUTED_VALUE"""),"Unveiling Privacy Risks in LLM Agent Memory")</f>
        <v>Unveiling Privacy Risks in LLM Agent Memory</v>
      </c>
      <c r="C2875" s="7" t="str">
        <f>IFERROR(__xludf.DUMMYFUNCTION("""COMPUTED_VALUE"""),"Large Language Model (LLM) agents have become increasingly prevalent across various real-world applications. They enhance decision-making by storing private user-agent interactions in the memory module for demonstrations, introducing new privacy risks for"&amp;" LLM agents. In this work, we systematically investigate the vulnerability of LLM agents to our proposed Memory EXTRaction Attack (MEXTRA) under a black-box setting. To extract private information from memory, we propose an effective attacking prompt desi"&amp;"gn and an automated prompt generation method based on different levels of knowledge about the LLM agent. Experiments on two representative agents demonstrate the effectiveness of MEXTRA. Moreover, we explore key factors influencing memory leakage from bot"&amp;"h the agent designer's and the attacker's perspectives. Our findings highlight the urgent need for effective memory safeguards in LLM agent design and deployment.")</f>
        <v>Large Language Model (LLM) agents have become increasingly prevalent across various real-world applications. They enhance decision-making by storing private user-agent interactions in the memory module for demonstrations, introducing new privacy risks for LLM agents. In this work, we systematically investigate the vulnerability of LLM agents to our proposed Memory EXTRaction Attack (MEXTRA) under a black-box setting. To extract private information from memory, we propose an effective attacking prompt design and an automated prompt generation method based on different levels of knowledge about the LLM agent. Experiments on two representative agents demonstrate the effectiveness of MEXTRA. Moreover, we explore key factors influencing memory leakage from both the agent designer's and the attacker's perspectives. Our findings highlight the urgent need for effective memory safeguards in LLM agent design and deployment.</v>
      </c>
      <c r="D2875" s="7" t="str">
        <f>IFERROR(__xludf.DUMMYFUNCTION("""COMPUTED_VALUE"""),"Bo Wang")</f>
        <v>Bo Wang</v>
      </c>
      <c r="E2875" s="7" t="str">
        <f>IFERROR(__xludf.DUMMYFUNCTION("""COMPUTED_VALUE"""),"Yes")</f>
        <v>Yes</v>
      </c>
      <c r="F2875" s="7" t="str">
        <f>IFERROR(__xludf.DUMMYFUNCTION("""COMPUTED_VALUE"""),"V-Presentation")</f>
        <v>V-Presentation</v>
      </c>
      <c r="G2875" s="7" t="str">
        <f>IFERROR(__xludf.DUMMYFUNCTION("""COMPUTED_VALUE"""),"Virtual/Gather")</f>
        <v>Virtual/Gather</v>
      </c>
      <c r="H2875" s="7" t="str">
        <f>IFERROR(__xludf.DUMMYFUNCTION("""COMPUTED_VALUE"""),"Zoom")</f>
        <v>Zoom</v>
      </c>
      <c r="I2875" s="7" t="str">
        <f>IFERROR(__xludf.DUMMYFUNCTION("""COMPUTED_VALUE"""),"Session 2: V-Presentations")</f>
        <v>Session 2: V-Presentations</v>
      </c>
      <c r="J2875" s="7" t="str">
        <f>IFERROR(__xludf.DUMMYFUNCTION("""COMPUTED_VALUE"""),"Virtual Presentations 1")</f>
        <v>Virtual Presentations 1</v>
      </c>
      <c r="K2875" s="7"/>
      <c r="L2875" s="8">
        <f>IFERROR(__xludf.DUMMYFUNCTION("""COMPUTED_VALUE"""),45866.0)</f>
        <v>45866</v>
      </c>
      <c r="M2875" s="7" t="str">
        <f>IFERROR(__xludf.DUMMYFUNCTION("""COMPUTED_VALUE"""),"11:00-12:30")</f>
        <v>11:00-12:30</v>
      </c>
      <c r="N2875" s="7"/>
    </row>
    <row r="2876">
      <c r="A2876" s="7" t="str">
        <f>IFERROR(__xludf.DUMMYFUNCTION("""COMPUTED_VALUE"""),"3531-MAIN")</f>
        <v>3531-MAIN</v>
      </c>
      <c r="B2876" s="7" t="str">
        <f>IFERROR(__xludf.DUMMYFUNCTION("""COMPUTED_VALUE"""),"Watching the Watchers: Exposing Gender Disparities in Machine Translation Quality Estimation")</f>
        <v>Watching the Watchers: Exposing Gender Disparities in Machine Translation Quality Estimation</v>
      </c>
      <c r="C2876" s="7" t="str">
        <f>IFERROR(__xludf.DUMMYFUNCTION("""COMPUTED_VALUE"""),"Quality estimation (QE)---the automatic assessment of translation quality---has recently become crucial across several stages of the translation pipeline, from data curation to training and decoding. While QE metrics have been optimized to align with huma"&amp;"n judgments, whether they encode social biases has been largely overlooked. Biased QE risks favoring certain demographic groups over others, e.g., by exacerbating gaps in visibility and usability. This paper defines and investigates gender bias of QE metr"&amp;"ics and discusses its downstream implications for machine translation (MT). Experiments with state-of-the-art QE metrics across multiple domains, datasets, and languages reveal significant bias. When a human entity's gender in the source is undisclosed, m"&amp;"asculine-inflected translations score higher than feminine-inflected ones, and gender-neutral translations are penalized. Even when contextual cues disambiguate gender, using context-aware QE metrics leads to more errors in selecting the correct translati"&amp;"on inflection for feminine referents than for masculine ones. Moreover, a biased QE metric affects data filtering and quality-aware decoding. Our findings underscore the need for a renewed focus on developing and evaluating QE metrics centered on gender.")</f>
        <v>Quality estimation (QE)---the automatic assessment of translation quality---has recently become crucial across several stages of the translation pipeline, from data curation to training and decoding. While QE metrics have been optimized to align with human judgments, whether they encode social biases has been largely overlooked. Biased QE risks favoring certain demographic groups over others, e.g., by exacerbating gaps in visibility and usability. This paper defines and investigates gender bias of QE metrics and discusses its downstream implications for machine translation (MT). Experiments with state-of-the-art QE metrics across multiple domains, datasets, and languages reveal significant bias. When a human entity's gender in the source is undisclosed, masculine-inflected translations score higher than feminine-inflected ones, and gender-neutral translations are penalized. Even when contextual cues disambiguate gender, using context-aware QE metrics leads to more errors in selecting the correct translation inflection for feminine referents than for masculine ones. Moreover, a biased QE metric affects data filtering and quality-aware decoding. Our findings underscore the need for a renewed focus on developing and evaluating QE metrics centered on gender.</v>
      </c>
      <c r="D2876" s="7" t="str">
        <f>IFERROR(__xludf.DUMMYFUNCTION("""COMPUTED_VALUE"""),"Emmanouil Zaranis")</f>
        <v>Emmanouil Zaranis</v>
      </c>
      <c r="E2876" s="7" t="str">
        <f>IFERROR(__xludf.DUMMYFUNCTION("""COMPUTED_VALUE"""),"Yes")</f>
        <v>Yes</v>
      </c>
      <c r="F2876" s="7" t="str">
        <f>IFERROR(__xludf.DUMMYFUNCTION("""COMPUTED_VALUE"""),"IP-Poster")</f>
        <v>IP-Poster</v>
      </c>
      <c r="G2876" s="7" t="str">
        <f>IFERROR(__xludf.DUMMYFUNCTION("""COMPUTED_VALUE"""),"In-Person")</f>
        <v>In-Person</v>
      </c>
      <c r="H2876" s="7" t="str">
        <f>IFERROR(__xludf.DUMMYFUNCTION("""COMPUTED_VALUE"""),"Hall 4/5")</f>
        <v>Hall 4/5</v>
      </c>
      <c r="I2876" s="7" t="str">
        <f>IFERROR(__xludf.DUMMYFUNCTION("""COMPUTED_VALUE"""),"Session 10: IP-Posters")</f>
        <v>Session 10: IP-Posters</v>
      </c>
      <c r="J2876" s="7" t="str">
        <f>IFERROR(__xludf.DUMMYFUNCTION("""COMPUTED_VALUE"""),"Poster Session 3")</f>
        <v>Poster Session 3</v>
      </c>
      <c r="K2876" s="7"/>
      <c r="L2876" s="8">
        <f>IFERROR(__xludf.DUMMYFUNCTION("""COMPUTED_VALUE"""),45867.0)</f>
        <v>45867</v>
      </c>
      <c r="M2876" s="7" t="str">
        <f>IFERROR(__xludf.DUMMYFUNCTION("""COMPUTED_VALUE"""),"16:00-17:30")</f>
        <v>16:00-17:30</v>
      </c>
      <c r="N2876" s="7"/>
    </row>
    <row r="2877">
      <c r="A2877" s="7" t="str">
        <f>IFERROR(__xludf.DUMMYFUNCTION("""COMPUTED_VALUE"""),"3532-MAIN")</f>
        <v>3532-MAIN</v>
      </c>
      <c r="B2877" s="7" t="str">
        <f>IFERROR(__xludf.DUMMYFUNCTION("""COMPUTED_VALUE"""),"Language Constrained Multimodal Hyper Adapter For Many-to-Many Multimodal Summarization")</f>
        <v>Language Constrained Multimodal Hyper Adapter For Many-to-Many Multimodal Summarization</v>
      </c>
      <c r="C2877" s="7" t="str">
        <f>IFERROR(__xludf.DUMMYFUNCTION("""COMPUTED_VALUE"""),"Multimodal summarization (MS) combines text and visuals to generate summaries. Recently, many-to-many multimodal summarization (M3S) garnered interest as it enables a unified model for multilingual and cross-lingual MS. Existing methods have made progress"&amp;" by facilitating the transfer of common multimodal summarization knowledge. While, prior M3S models that fully share parameters neglect the language-specific knowledge learning, where potential interference between languages may limit the flexible adaptat"&amp;"ion of MS modes across different language combinations and hinder further collaborative improvements in joint M3S training. Based on this observation, we propose Language Constrained Multimodal Hyper Adapter (LCMHA) for M3S. LCMHA integrates language-spec"&amp;"ific multimodal adapters into multilingual pre-trained backbones  via a language constrained hypernetwork, enabling relaxed parameter sharing that enhances language-specific learning while preserving shared MS knowledge learning. In addition, a language-r"&amp;"egularized hypernetwork is designed to balance intra- and inter-language learning, generating language-specific adaptation weights and enhancing the retention of distinct language features through the regularization of generated parameters. Experimental r"&amp;"esults on the M3Sum benchmark show LCMHA's effectiveness and scalability across multiple multilingual pre-trained backbones.")</f>
        <v>Multimodal summarization (MS) combines text and visuals to generate summaries. Recently, many-to-many multimodal summarization (M3S) garnered interest as it enables a unified model for multilingual and cross-lingual MS. Existing methods have made progress by facilitating the transfer of common multimodal summarization knowledge. While, prior M3S models that fully share parameters neglect the language-specific knowledge learning, where potential interference between languages may limit the flexible adaptation of MS modes across different language combinations and hinder further collaborative improvements in joint M3S training. Based on this observation, we propose Language Constrained Multimodal Hyper Adapter (LCMHA) for M3S. LCMHA integrates language-specific multimodal adapters into multilingual pre-trained backbones  via a language constrained hypernetwork, enabling relaxed parameter sharing that enhances language-specific learning while preserving shared MS knowledge learning. In addition, a language-regularized hypernetwork is designed to balance intra- and inter-language learning, generating language-specific adaptation weights and enhancing the retention of distinct language features through the regularization of generated parameters. Experimental results on the M3Sum benchmark show LCMHA's effectiveness and scalability across multiple multilingual pre-trained backbones.</v>
      </c>
      <c r="D2877" s="7" t="str">
        <f>IFERROR(__xludf.DUMMYFUNCTION("""COMPUTED_VALUE"""),"Nayu Liu")</f>
        <v>Nayu Liu</v>
      </c>
      <c r="E2877" s="7" t="str">
        <f>IFERROR(__xludf.DUMMYFUNCTION("""COMPUTED_VALUE"""),"Yes")</f>
        <v>Yes</v>
      </c>
      <c r="F2877" s="7" t="str">
        <f>IFERROR(__xludf.DUMMYFUNCTION("""COMPUTED_VALUE"""),"V-Presentation")</f>
        <v>V-Presentation</v>
      </c>
      <c r="G2877" s="7" t="str">
        <f>IFERROR(__xludf.DUMMYFUNCTION("""COMPUTED_VALUE"""),"Virtual/Gather")</f>
        <v>Virtual/Gather</v>
      </c>
      <c r="H2877" s="7" t="str">
        <f>IFERROR(__xludf.DUMMYFUNCTION("""COMPUTED_VALUE"""),"Zoom")</f>
        <v>Zoom</v>
      </c>
      <c r="I2877" s="7" t="str">
        <f>IFERROR(__xludf.DUMMYFUNCTION("""COMPUTED_VALUE"""),"Session 7: V--Presentations ")</f>
        <v>Session 7: V--Presentations </v>
      </c>
      <c r="J2877" s="7" t="str">
        <f>IFERROR(__xludf.DUMMYFUNCTION("""COMPUTED_VALUE"""),"Virtual Presentations 2")</f>
        <v>Virtual Presentations 2</v>
      </c>
      <c r="K2877" s="7"/>
      <c r="L2877" s="8"/>
      <c r="M2877" s="7" t="str">
        <f>IFERROR(__xludf.DUMMYFUNCTION("""COMPUTED_VALUE"""),"10:30-12:00")</f>
        <v>10:30-12:00</v>
      </c>
      <c r="N2877" s="7"/>
    </row>
    <row r="2878">
      <c r="A2878" s="7" t="str">
        <f>IFERROR(__xludf.DUMMYFUNCTION("""COMPUTED_VALUE"""),"3533-MAIN")</f>
        <v>3533-MAIN</v>
      </c>
      <c r="B2878" s="7" t="str">
        <f>IFERROR(__xludf.DUMMYFUNCTION("""COMPUTED_VALUE"""),"PRMBench: A Fine-grained and Challenging Benchmark for Process-Level Reward Models")</f>
        <v>PRMBench: A Fine-grained and Challenging Benchmark for Process-Level Reward Models</v>
      </c>
      <c r="C2878" s="7" t="str">
        <f>IFERROR(__xludf.DUMMYFUNCTION("""COMPUTED_VALUE"""),"Process-level Reward Models (PRMs) are crucial for complex reasoning and decision-making tasks, where each intermediate step plays an important role in the reasoning process. Since language models are prone to various types of errors during the reasoning "&amp;"process, PRMs are required to possess nuanced capabilities for detecting various implicit error types in real-world scenarios. However, current benchmarks primarily focus on step correctness, failing to evaluate PRMs' performance systematically. To addres"&amp;"s this gap, we introduce PRMBench, a process-level benchmark specifically designed to assess the fine-grained error detection capabilities of PRMs. PRMBench comprises 6,216 carefully designed problems and 83,456 step-level labels, evaluating models across"&amp;" multiple dimensions, including $\textit{simplicity}$, $\textit{soundness}$, and $\textit{sensitivity}$. In our experiments on 25 models, spanning both open-source PRMs and closed-source large language models prompted as critic models, we uncover signific"&amp;"ant weaknesses in current PRMs. These findings underscore the challenges inherent in process-level evaluation and highlight key directions for future research, establishing PRMBench as a robust testbed for advancing research on PRM evaluation and developm"&amp;"ent.")</f>
        <v>Process-level Reward Models (PRMs) are crucial for complex reasoning and decision-making tasks, where each intermediate step plays an important role in the reasoning process. Since language models are prone to various types of errors during the reasoning process, PRMs are required to possess nuanced capabilities for detecting various implicit error types in real-world scenarios. However, current benchmarks primarily focus on step correctness, failing to evaluate PRMs' performance systematically. To address this gap, we introduce PRMBench, a process-level benchmark specifically designed to assess the fine-grained error detection capabilities of PRMs. PRMBench comprises 6,216 carefully designed problems and 83,456 step-level labels, evaluating models across multiple dimensions, including $\textit{simplicity}$, $\textit{soundness}$, and $\textit{sensitivity}$. In our experiments on 25 models, spanning both open-source PRMs and closed-source large language models prompted as critic models, we uncover significant weaknesses in current PRMs. These findings underscore the challenges inherent in process-level evaluation and highlight key directions for future research, establishing PRMBench as a robust testbed for advancing research on PRM evaluation and development.</v>
      </c>
      <c r="D2878" s="7" t="str">
        <f>IFERROR(__xludf.DUMMYFUNCTION("""COMPUTED_VALUE"""),"Mingyang Song")</f>
        <v>Mingyang Song</v>
      </c>
      <c r="E2878" s="7" t="str">
        <f>IFERROR(__xludf.DUMMYFUNCTION("""COMPUTED_VALUE"""),"Yes")</f>
        <v>Yes</v>
      </c>
      <c r="F2878" s="7" t="str">
        <f>IFERROR(__xludf.DUMMYFUNCTION("""COMPUTED_VALUE"""),"IP-Poster")</f>
        <v>IP-Poster</v>
      </c>
      <c r="G2878" s="7" t="str">
        <f>IFERROR(__xludf.DUMMYFUNCTION("""COMPUTED_VALUE"""),"In-Person")</f>
        <v>In-Person</v>
      </c>
      <c r="H2878" s="7" t="str">
        <f>IFERROR(__xludf.DUMMYFUNCTION("""COMPUTED_VALUE"""),"Hall 4/5")</f>
        <v>Hall 4/5</v>
      </c>
      <c r="I2878" s="7" t="str">
        <f>IFERROR(__xludf.DUMMYFUNCTION("""COMPUTED_VALUE"""),"Session 2: IP-Posters ")</f>
        <v>Session 2: IP-Posters </v>
      </c>
      <c r="J2878" s="7" t="str">
        <f>IFERROR(__xludf.DUMMYFUNCTION("""COMPUTED_VALUE"""),"Poster Session 1")</f>
        <v>Poster Session 1</v>
      </c>
      <c r="K2878" s="7"/>
      <c r="L2878" s="8">
        <f>IFERROR(__xludf.DUMMYFUNCTION("""COMPUTED_VALUE"""),45866.0)</f>
        <v>45866</v>
      </c>
      <c r="M2878" s="7" t="str">
        <f>IFERROR(__xludf.DUMMYFUNCTION("""COMPUTED_VALUE"""),"11:00-12:30")</f>
        <v>11:00-12:30</v>
      </c>
      <c r="N2878" s="7"/>
    </row>
    <row r="2879">
      <c r="A2879" s="7" t="str">
        <f>IFERROR(__xludf.DUMMYFUNCTION("""COMPUTED_VALUE"""),"3535-MAIN")</f>
        <v>3535-MAIN</v>
      </c>
      <c r="B2879" s="7" t="str">
        <f>IFERROR(__xludf.DUMMYFUNCTION("""COMPUTED_VALUE"""),"Efficient Ensemble for Fine-tuning Language Models on Multiple Datasets")</f>
        <v>Efficient Ensemble for Fine-tuning Language Models on Multiple Datasets</v>
      </c>
      <c r="C2879" s="7" t="str">
        <f>IFERROR(__xludf.DUMMYFUNCTION("""COMPUTED_VALUE"""),"This paper develops an ensemble method for fine-tuning a language model to multiple datasets. Existing methods, such as quantized LoRA (QLoRA), are efficient when adapting to a single dataset. When training on multiple datasets of different tasks, a commo"&amp;"n setup in practice, it remains unclear how to design an efficient adaptation for fine-tuning language models. We propose to use an ensemble of multiple smaller adapters instead of a single adapter per task. We design an efficient algorithm that partition"&amp;"s $n$ datasets into $m$ groups, where $m$ is typically much smaller than $n$ in practice, and train one adapter for each group before taking a weighted combination to form the ensemble. The algorithm leverages a first-order approximation property of low-r"&amp;"ank adaptation to quickly obtain the fine-tuning performances of dataset combinations since methods like LoRA stay close to the base model. Hence, we use the gradients of the base model to estimate its behavior during fine-tuning. Empirically, this approx"&amp;"imation holds with less than $1$% error on models with up to $34$ billion parameters, leading to an estimation of true fine-tuning performances under $5$% error while speeding up computation compared to base fine-tuning by $105$ times. When applied to fin"&amp;"e-tune Llama and GPT models on ten text classification tasks, our approach provides up to $10$% higher average test accuracy over QLoRA, with only $9$% more FLOPs. On a Llama model with $34$ billion parameters, an ensemble of QLoRA increases test accuracy"&amp;" by $3$% compared to QLoRA, with only $8$% more FLOPs.")</f>
        <v>This paper develops an ensemble method for fine-tuning a language model to multiple datasets. Existing methods, such as quantized LoRA (QLoRA), are efficient when adapting to a single dataset. When training on multiple datasets of different tasks, a common setup in practice, it remains unclear how to design an efficient adaptation for fine-tuning language models. We propose to use an ensemble of multiple smaller adapters instead of a single adapter per task. We design an efficient algorithm that partitions $n$ datasets into $m$ groups, where $m$ is typically much smaller than $n$ in practice, and train one adapter for each group before taking a weighted combination to form the ensemble. The algorithm leverages a first-order approximation property of low-rank adaptation to quickly obtain the fine-tuning performances of dataset combinations since methods like LoRA stay close to the base model. Hence, we use the gradients of the base model to estimate its behavior during fine-tuning. Empirically, this approximation holds with less than $1$% error on models with up to $34$ billion parameters, leading to an estimation of true fine-tuning performances under $5$% error while speeding up computation compared to base fine-tuning by $105$ times. When applied to fine-tune Llama and GPT models on ten text classification tasks, our approach provides up to $10$% higher average test accuracy over QLoRA, with only $9$% more FLOPs. On a Llama model with $34$ billion parameters, an ensemble of QLoRA increases test accuracy by $3$% compared to QLoRA, with only $8$% more FLOPs.</v>
      </c>
      <c r="D2879" s="7" t="str">
        <f>IFERROR(__xludf.DUMMYFUNCTION("""COMPUTED_VALUE"""),"Ziniu Zhang")</f>
        <v>Ziniu Zhang</v>
      </c>
      <c r="E2879" s="7" t="str">
        <f>IFERROR(__xludf.DUMMYFUNCTION("""COMPUTED_VALUE"""),"Yes")</f>
        <v>Yes</v>
      </c>
      <c r="F2879" s="7" t="str">
        <f>IFERROR(__xludf.DUMMYFUNCTION("""COMPUTED_VALUE"""),"V-Presentation")</f>
        <v>V-Presentation</v>
      </c>
      <c r="G2879" s="7" t="str">
        <f>IFERROR(__xludf.DUMMYFUNCTION("""COMPUTED_VALUE"""),"Virtual/Gather")</f>
        <v>Virtual/Gather</v>
      </c>
      <c r="H2879" s="7" t="str">
        <f>IFERROR(__xludf.DUMMYFUNCTION("""COMPUTED_VALUE"""),"Zoom")</f>
        <v>Zoom</v>
      </c>
      <c r="I2879" s="7" t="str">
        <f>IFERROR(__xludf.DUMMYFUNCTION("""COMPUTED_VALUE"""),"Session 10: V-Presenations")</f>
        <v>Session 10: V-Presenations</v>
      </c>
      <c r="J2879" s="7" t="str">
        <f>IFERROR(__xludf.DUMMYFUNCTION("""COMPUTED_VALUE"""),"Virtual Presentations 3")</f>
        <v>Virtual Presentations 3</v>
      </c>
      <c r="K2879" s="7"/>
      <c r="L2879" s="8">
        <f>IFERROR(__xludf.DUMMYFUNCTION("""COMPUTED_VALUE"""),45867.0)</f>
        <v>45867</v>
      </c>
      <c r="M2879" s="7" t="str">
        <f>IFERROR(__xludf.DUMMYFUNCTION("""COMPUTED_VALUE"""),"16:00-17:30")</f>
        <v>16:00-17:30</v>
      </c>
      <c r="N2879" s="7"/>
    </row>
    <row r="2880">
      <c r="A2880" s="7" t="str">
        <f>IFERROR(__xludf.DUMMYFUNCTION("""COMPUTED_VALUE"""),"3537-MAIN")</f>
        <v>3537-MAIN</v>
      </c>
      <c r="B2880" s="7" t="str">
        <f>IFERROR(__xludf.DUMMYFUNCTION("""COMPUTED_VALUE"""),"Library-Like Behavior In Language Models is Enhanced by Self-Referencing Causal Cycles")</f>
        <v>Library-Like Behavior In Language Models is Enhanced by Self-Referencing Causal Cycles</v>
      </c>
      <c r="C2880" s="7" t="str">
        <f>IFERROR(__xludf.DUMMYFUNCTION("""COMPUTED_VALUE"""),"We introduce the concept of the $\textit{self-referencing causal cycle}$ (abbreviated $\textit{ReCall}$ )—a mechanism that enables large language models (LLMs) to bypass the limitations of unidirectional causality, which underlies a phenomenon known as th"&amp;"e $\textit{reversal curse}$. When an LLM is prompted with sequential data, it often fails to recall preceding context. For example, when we ask an LLM to recall the line preceding ""O say does that star-spangled banner yet wave"" in the U.S. National Anth"&amp;"em, it often fails to correctly return ""Gave proof through the night that our flag was still there""—this is due to the reversal curse. It occurs because language models such as ChatGPT and Llama generate text based on preceding tokens, requiring facts t"&amp;"o be learned and reproduced in a consistent token order. While the reversal curse is often viewed as a limitation, we offer evidence of an alternative view: it is not always an obstacle in practice. We find that $\textit{ReCall}$ is driven by what we desi"&amp;"gnate as $\textit{cycle tokens}$—sequences that connect different parts of the training data, enabling recall of preceding tokens from succeeding ones. Through rigorous probabilistic formalization and controlled experiments, we demonstrate how the cycles "&amp;"they induce influence a model's ability to reproduce information. To facilitate reproducibility, we provide our code and experimental details at https://anonymous.4open.science/r/remember-B0B8/.")</f>
        <v>We introduce the concept of the $\textit{self-referencing causal cycle}$ (abbreviated $\textit{ReCall}$ )—a mechanism that enables large language models (LLMs) to bypass the limitations of unidirectional causality, which underlies a phenomenon known as the $\textit{reversal curse}$. When an LLM is prompted with sequential data, it often fails to recall preceding context. For example, when we ask an LLM to recall the line preceding "O say does that star-spangled banner yet wave" in the U.S. National Anthem, it often fails to correctly return "Gave proof through the night that our flag was still there"—this is due to the reversal curse. It occurs because language models such as ChatGPT and Llama generate text based on preceding tokens, requiring facts to be learned and reproduced in a consistent token order. While the reversal curse is often viewed as a limitation, we offer evidence of an alternative view: it is not always an obstacle in practice. We find that $\textit{ReCall}$ is driven by what we designate as $\textit{cycle tokens}$—sequences that connect different parts of the training data, enabling recall of preceding tokens from succeeding ones. Through rigorous probabilistic formalization and controlled experiments, we demonstrate how the cycles they induce influence a model's ability to reproduce information. To facilitate reproducibility, we provide our code and experimental details at https://anonymous.4open.science/r/remember-B0B8/.</v>
      </c>
      <c r="D2880" s="7" t="str">
        <f>IFERROR(__xludf.DUMMYFUNCTION("""COMPUTED_VALUE"""),"Zangir Iklassov")</f>
        <v>Zangir Iklassov</v>
      </c>
      <c r="E2880" s="7" t="str">
        <f>IFERROR(__xludf.DUMMYFUNCTION("""COMPUTED_VALUE"""),"Yes")</f>
        <v>Yes</v>
      </c>
      <c r="F2880" s="7" t="str">
        <f>IFERROR(__xludf.DUMMYFUNCTION("""COMPUTED_VALUE"""),"IP-Poster")</f>
        <v>IP-Poster</v>
      </c>
      <c r="G2880" s="7" t="str">
        <f>IFERROR(__xludf.DUMMYFUNCTION("""COMPUTED_VALUE"""),"In-Person")</f>
        <v>In-Person</v>
      </c>
      <c r="H2880" s="7" t="str">
        <f>IFERROR(__xludf.DUMMYFUNCTION("""COMPUTED_VALUE"""),"Hall 4/5")</f>
        <v>Hall 4/5</v>
      </c>
      <c r="I2880" s="7" t="str">
        <f>IFERROR(__xludf.DUMMYFUNCTION("""COMPUTED_VALUE"""),"Session 12: IP-Posters")</f>
        <v>Session 12: IP-Posters</v>
      </c>
      <c r="J2880" s="7" t="str">
        <f>IFERROR(__xludf.DUMMYFUNCTION("""COMPUTED_VALUE"""),"Poster Session 4")</f>
        <v>Poster Session 4</v>
      </c>
      <c r="K2880" s="7"/>
      <c r="L2880" s="8">
        <f>IFERROR(__xludf.DUMMYFUNCTION("""COMPUTED_VALUE"""),45868.0)</f>
        <v>45868</v>
      </c>
      <c r="M2880" s="7" t="str">
        <f>IFERROR(__xludf.DUMMYFUNCTION("""COMPUTED_VALUE"""),"11:00-12:30")</f>
        <v>11:00-12:30</v>
      </c>
      <c r="N2880" s="7"/>
    </row>
    <row r="2881">
      <c r="A2881" s="7" t="str">
        <f>IFERROR(__xludf.DUMMYFUNCTION("""COMPUTED_VALUE"""),"3541-MAIN")</f>
        <v>3541-MAIN</v>
      </c>
      <c r="B2881" s="7" t="str">
        <f>IFERROR(__xludf.DUMMYFUNCTION("""COMPUTED_VALUE"""),"Shaping the Safety Boundaries: Understanding and Defending Against Jailbreaks in Large Language Models")</f>
        <v>Shaping the Safety Boundaries: Understanding and Defending Against Jailbreaks in Large Language Models</v>
      </c>
      <c r="C2881" s="7" t="str">
        <f>IFERROR(__xludf.DUMMYFUNCTION("""COMPUTED_VALUE"""),"Jailbreaking in Large Language Models (LLMs) is a major security concern as it can deceive LLMs into generating harmful text. However, understanding of how jailbreaking works remains limited, hindering the development of effective defense strategies. To a"&amp;"ddress this issue, we conduct a large-scale analysis of seven different jailbreak methods and identify that disagreements among methods stem from insufficient observation samples.
We introduce the concept of a safety boundary and discover that jailbreaks"&amp;" shift harmful activations outside this boundary, where LLMs become less sensitive to harmful information. Our analysis reveals that low and middle layers play a critical role in these shifts, while deeper layers have a lesser impact.
Building on these i"&amp;"nsights, we propose a novel defense mechanism called Activation Boundary Defense (ABD), which adaptively constrains activations within the safety boundary. To enhance its effectiveness, we use Bayesian optimization to selectively apply the defense to the "&amp;"low and middle layers.
Experiments on several benchmark datasets demonstrate that ABD achieves an average Defense Success Rate (DSR) of over 98% against various jailbreak attacks, with less than a 2% impact on the model’s general capabilities.")</f>
        <v>Jailbreaking in Large Language Models (LLMs) is a major security concern as it can deceive LLMs into generating harmful text. However, understanding of how jailbreaking works remains limited, hindering the development of effective defense strategies. To address this issue, we conduct a large-scale analysis of seven different jailbreak methods and identify that disagreements among methods stem from insufficient observation samples.
We introduce the concept of a safety boundary and discover that jailbreaks shift harmful activations outside this boundary, where LLMs become less sensitive to harmful information. Our analysis reveals that low and middle layers play a critical role in these shifts, while deeper layers have a lesser impact.
Building on these insights, we propose a novel defense mechanism called Activation Boundary Defense (ABD), which adaptively constrains activations within the safety boundary. To enhance its effectiveness, we use Bayesian optimization to selectively apply the defense to the low and middle layers.
Experiments on several benchmark datasets demonstrate that ABD achieves an average Defense Success Rate (DSR) of over 98% against various jailbreak attacks, with less than a 2% impact on the model’s general capabilities.</v>
      </c>
      <c r="D2881" s="7" t="str">
        <f>IFERROR(__xludf.DUMMYFUNCTION("""COMPUTED_VALUE"""),"Lang Gao")</f>
        <v>Lang Gao</v>
      </c>
      <c r="E2881" s="7" t="str">
        <f>IFERROR(__xludf.DUMMYFUNCTION("""COMPUTED_VALUE"""),"Yes")</f>
        <v>Yes</v>
      </c>
      <c r="F2881" s="7" t="str">
        <f>IFERROR(__xludf.DUMMYFUNCTION("""COMPUTED_VALUE"""),"IP-Poster")</f>
        <v>IP-Poster</v>
      </c>
      <c r="G2881" s="7" t="str">
        <f>IFERROR(__xludf.DUMMYFUNCTION("""COMPUTED_VALUE"""),"In-Person")</f>
        <v>In-Person</v>
      </c>
      <c r="H2881" s="7" t="str">
        <f>IFERROR(__xludf.DUMMYFUNCTION("""COMPUTED_VALUE"""),"Hall 4/5")</f>
        <v>Hall 4/5</v>
      </c>
      <c r="I2881" s="7" t="str">
        <f>IFERROR(__xludf.DUMMYFUNCTION("""COMPUTED_VALUE"""),"Session 12: IP-Posters")</f>
        <v>Session 12: IP-Posters</v>
      </c>
      <c r="J2881" s="7" t="str">
        <f>IFERROR(__xludf.DUMMYFUNCTION("""COMPUTED_VALUE"""),"Poster Session 4")</f>
        <v>Poster Session 4</v>
      </c>
      <c r="K2881" s="7"/>
      <c r="L2881" s="8">
        <f>IFERROR(__xludf.DUMMYFUNCTION("""COMPUTED_VALUE"""),45868.0)</f>
        <v>45868</v>
      </c>
      <c r="M2881" s="7" t="str">
        <f>IFERROR(__xludf.DUMMYFUNCTION("""COMPUTED_VALUE"""),"11:00-12:30")</f>
        <v>11:00-12:30</v>
      </c>
      <c r="N2881" s="7"/>
    </row>
    <row r="2882">
      <c r="A2882" s="7" t="str">
        <f>IFERROR(__xludf.DUMMYFUNCTION("""COMPUTED_VALUE"""),"3545-MAIN")</f>
        <v>3545-MAIN</v>
      </c>
      <c r="B2882" s="7" t="str">
        <f>IFERROR(__xludf.DUMMYFUNCTION("""COMPUTED_VALUE"""),"ASPERA: A Simulated Environment to Evaluate Planning for Complex Action Execution")</f>
        <v>ASPERA: A Simulated Environment to Evaluate Planning for Complex Action Execution</v>
      </c>
      <c r="C2882" s="7" t="str">
        <f>IFERROR(__xludf.DUMMYFUNCTION("""COMPUTED_VALUE"""),"This work evaluates the potential of large language models (LLMs) to power digital assistants capable of complex action execution. Such assistants rely on pre-trained programming knowledge to execute multi-step goals by composing objects and functions def"&amp;"ined in assistant libraries into action execution programs. To achieve this, we develop ASPERA, a framework comprising an assistant library simulation and a human-assisted LLM data generation engine. Our engine allows developers to guide LLM generation of"&amp;" high-quality tasks consisting of complex user queries, simulation state and corresponding validation programs, tackling data availability and evaluation robustness challenges. Alongside the framework we release Asper-Bench, an evaluation dataset of $250$"&amp;" challenging tasks generated using ASPERA, which we use to show that program generation grounded in custom assistant libraries is a significant challenge to LLMs compared to dependency-free code generation.")</f>
        <v>This work evaluates the potential of large language models (LLMs) to power digital assistants capable of complex action execution. Such assistants rely on pre-trained programming knowledge to execute multi-step goals by composing objects and functions defined in assistant libraries into action execution programs. To achieve this, we develop ASPERA, a framework comprising an assistant library simulation and a human-assisted LLM data generation engine. Our engine allows developers to guide LLM generation of high-quality tasks consisting of complex user queries, simulation state and corresponding validation programs, tackling data availability and evaluation robustness challenges. Alongside the framework we release Asper-Bench, an evaluation dataset of $250$ challenging tasks generated using ASPERA, which we use to show that program generation grounded in custom assistant libraries is a significant challenge to LLMs compared to dependency-free code generation.</v>
      </c>
      <c r="D2882" s="7" t="str">
        <f>IFERROR(__xludf.DUMMYFUNCTION("""COMPUTED_VALUE"""),"Mark Gaynor")</f>
        <v>Mark Gaynor</v>
      </c>
      <c r="E2882" s="7" t="str">
        <f>IFERROR(__xludf.DUMMYFUNCTION("""COMPUTED_VALUE"""),"Yes")</f>
        <v>Yes</v>
      </c>
      <c r="F2882" s="7" t="str">
        <f>IFERROR(__xludf.DUMMYFUNCTION("""COMPUTED_VALUE"""),"IP-Poster")</f>
        <v>IP-Poster</v>
      </c>
      <c r="G2882" s="7" t="str">
        <f>IFERROR(__xludf.DUMMYFUNCTION("""COMPUTED_VALUE"""),"In-Person")</f>
        <v>In-Person</v>
      </c>
      <c r="H2882" s="7" t="str">
        <f>IFERROR(__xludf.DUMMYFUNCTION("""COMPUTED_VALUE"""),"Hall 4/5")</f>
        <v>Hall 4/5</v>
      </c>
      <c r="I2882" s="7" t="str">
        <f>IFERROR(__xludf.DUMMYFUNCTION("""COMPUTED_VALUE"""),"Session 12: IP-Posters")</f>
        <v>Session 12: IP-Posters</v>
      </c>
      <c r="J2882" s="7" t="str">
        <f>IFERROR(__xludf.DUMMYFUNCTION("""COMPUTED_VALUE"""),"Poster Session 4")</f>
        <v>Poster Session 4</v>
      </c>
      <c r="K2882" s="7"/>
      <c r="L2882" s="8">
        <f>IFERROR(__xludf.DUMMYFUNCTION("""COMPUTED_VALUE"""),45868.0)</f>
        <v>45868</v>
      </c>
      <c r="M2882" s="7" t="str">
        <f>IFERROR(__xludf.DUMMYFUNCTION("""COMPUTED_VALUE"""),"11:00-12:30")</f>
        <v>11:00-12:30</v>
      </c>
      <c r="N2882" s="7"/>
    </row>
    <row r="2883">
      <c r="A2883" s="7" t="str">
        <f>IFERROR(__xludf.DUMMYFUNCTION("""COMPUTED_VALUE"""),"3546-MAIN")</f>
        <v>3546-MAIN</v>
      </c>
      <c r="B2883" s="7" t="str">
        <f>IFERROR(__xludf.DUMMYFUNCTION("""COMPUTED_VALUE"""),"ReflectDiffu: Reflect between Emotion-intent Contagion and Mimicry for Empathetic Response Generation via a RL-Diffusion Framework")</f>
        <v>ReflectDiffu: Reflect between Emotion-intent Contagion and Mimicry for Empathetic Response Generation via a RL-Diffusion Framework</v>
      </c>
      <c r="C2883" s="7" t="str">
        <f>IFERROR(__xludf.DUMMYFUNCTION("""COMPUTED_VALUE"""),"Empathetic response generation necessitates the integration of emotional and intentional dynamics to foster meaningful interactions. Existing research either neglects the intricate interplay between emotion and intent, leading to suboptimal controllabilit"&amp;"y of empathy, or resorts to large language models (LLMs), which incur significant computational overhead. In this paper, we introduce ReflectDiffu, a lightweight and comprehensive framework for empathetic response generation. This framework incorporates e"&amp;"motion contagion to augment emotional expressiveness and employs an emotion-reasoning mask to pinpoint critical emotional elements. Additionally, it integrates intent mimicry within reinforcement learning for refinement during diffusion. By harnessing an "&amp;"intent twice reflect mechanism of Exploring-Sampling-Correcting, ReflectDiffu adeptly translates emotional decision-making into precise intent actions, thereby addressing empathetic response misalignments stemming from emotional misrecognition. Through re"&amp;"flection, the framework maps emotional states to intents, markedly enhancing both response empathy and flexibility. Comprehensive experiments reveal that ReflectDiffu outperforms existing models regarding relevance, controllability, and informativeness, a"&amp;"chieving state-of-the-art results in both automatic and human evaluations.")</f>
        <v>Empathetic response generation necessitates the integration of emotional and intentional dynamics to foster meaningful interactions. Existing research either neglects the intricate interplay between emotion and intent, leading to suboptimal controllability of empathy, or resorts to large language models (LLMs), which incur significant computational overhead. In this paper, we introduce ReflectDiffu, a lightweight and comprehensive framework for empathetic response generation. This framework incorporates emotion contagion to augment emotional expressiveness and employs an emotion-reasoning mask to pinpoint critical emotional elements. Additionally, it integrates intent mimicry within reinforcement learning for refinement during diffusion. By harnessing an intent twice reflect mechanism of Exploring-Sampling-Correcting, ReflectDiffu adeptly translates emotional decision-making into precise intent actions, thereby addressing empathetic response misalignments stemming from emotional misrecognition. Through reflection, the framework maps emotional states to intents, markedly enhancing both response empathy and flexibility. Comprehensive experiments reveal that ReflectDiffu outperforms existing models regarding relevance, controllability, and informativeness, achieving state-of-the-art results in both automatic and human evaluations.</v>
      </c>
      <c r="D2883" s="7" t="str">
        <f>IFERROR(__xludf.DUMMYFUNCTION("""COMPUTED_VALUE"""),"Jiahao Yuan")</f>
        <v>Jiahao Yuan</v>
      </c>
      <c r="E2883" s="7" t="str">
        <f>IFERROR(__xludf.DUMMYFUNCTION("""COMPUTED_VALUE"""),"Yes")</f>
        <v>Yes</v>
      </c>
      <c r="F2883" s="7" t="str">
        <f>IFERROR(__xludf.DUMMYFUNCTION("""COMPUTED_VALUE"""),"V-Presentation")</f>
        <v>V-Presentation</v>
      </c>
      <c r="G2883" s="7" t="str">
        <f>IFERROR(__xludf.DUMMYFUNCTION("""COMPUTED_VALUE"""),"Virtual/Gather")</f>
        <v>Virtual/Gather</v>
      </c>
      <c r="H2883" s="7" t="str">
        <f>IFERROR(__xludf.DUMMYFUNCTION("""COMPUTED_VALUE"""),"Zoom")</f>
        <v>Zoom</v>
      </c>
      <c r="I2883" s="7" t="str">
        <f>IFERROR(__xludf.DUMMYFUNCTION("""COMPUTED_VALUE"""),"Session 12: V-Presentations")</f>
        <v>Session 12: V-Presentations</v>
      </c>
      <c r="J2883" s="7" t="str">
        <f>IFERROR(__xludf.DUMMYFUNCTION("""COMPUTED_VALUE"""),"Virtual Presentations 4")</f>
        <v>Virtual Presentations 4</v>
      </c>
      <c r="K2883" s="7"/>
      <c r="L2883" s="8">
        <f>IFERROR(__xludf.DUMMYFUNCTION("""COMPUTED_VALUE"""),45868.0)</f>
        <v>45868</v>
      </c>
      <c r="M2883" s="7" t="str">
        <f>IFERROR(__xludf.DUMMYFUNCTION("""COMPUTED_VALUE"""),"11:00-12:30")</f>
        <v>11:00-12:30</v>
      </c>
      <c r="N2883" s="7"/>
    </row>
    <row r="2884">
      <c r="A2884" s="7" t="str">
        <f>IFERROR(__xludf.DUMMYFUNCTION("""COMPUTED_VALUE"""),"3551-MAIN")</f>
        <v>3551-MAIN</v>
      </c>
      <c r="B2884" s="7" t="str">
        <f>IFERROR(__xludf.DUMMYFUNCTION("""COMPUTED_VALUE"""),"SARA: Salience-Aware Reinforced Adaptive Decoding for Large Language Models in Abstractive Summarization")</f>
        <v>SARA: Salience-Aware Reinforced Adaptive Decoding for Large Language Models in Abstractive Summarization</v>
      </c>
      <c r="C2884" s="7" t="str">
        <f>IFERROR(__xludf.DUMMYFUNCTION("""COMPUTED_VALUE"""),"LLMs have improved the fluency and informativeness of abstractive summarization but remain prone to hallucinations, where generated content deviates from the source document. Recent PMI decoding strategies mitigate over-reliance on prior knowledge by comp"&amp;"aring output probabilities with and without source documents, effectively enhancing contextual utilization and improving faithfulness. However, existing strategies often neglect the explicit use of salient contextual information and rely on static hyperpa"&amp;"rameters to fix the balance between contextual and prior knowledge, limiting their flexibility. In this work, we propose Salience-Aware Reinforced Adaptive decoding (SARA), which incorporates salient information and allows the model to adaptively determin"&amp;"e reliance on the source document's context, salient context, and the model's prior knowledge based on pointwise mutual information. Moreover, a tokenwise adaptive decoding mechanism via reinforcement learning is proposed in SARA to dynamically adjust the"&amp;" contributions of context and prior knowledge at each decoding timestep. Experiments on CNN/DM, WikiHow, and NYT50 datasets show that SARA consistently improves the quality and faithfulness of summaries across various LLM backbones without modifying their"&amp;" weights.")</f>
        <v>LLMs have improved the fluency and informativeness of abstractive summarization but remain prone to hallucinations, where generated content deviates from the source document. Recent PMI decoding strategies mitigate over-reliance on prior knowledge by comparing output probabilities with and without source documents, effectively enhancing contextual utilization and improving faithfulness. However, existing strategies often neglect the explicit use of salient contextual information and rely on static hyperparameters to fix the balance between contextual and prior knowledge, limiting their flexibility. In this work, we propose Salience-Aware Reinforced Adaptive decoding (SARA), which incorporates salient information and allows the model to adaptively determine reliance on the source document's context, salient context, and the model's prior knowledge based on pointwise mutual information. Moreover, a tokenwise adaptive decoding mechanism via reinforcement learning is proposed in SARA to dynamically adjust the contributions of context and prior knowledge at each decoding timestep. Experiments on CNN/DM, WikiHow, and NYT50 datasets show that SARA consistently improves the quality and faithfulness of summaries across various LLM backbones without modifying their weights.</v>
      </c>
      <c r="D2884" s="7" t="str">
        <f>IFERROR(__xludf.DUMMYFUNCTION("""COMPUTED_VALUE"""),"Nayu Liu")</f>
        <v>Nayu Liu</v>
      </c>
      <c r="E2884" s="7" t="str">
        <f>IFERROR(__xludf.DUMMYFUNCTION("""COMPUTED_VALUE"""),"Yes")</f>
        <v>Yes</v>
      </c>
      <c r="F2884" s="7" t="str">
        <f>IFERROR(__xludf.DUMMYFUNCTION("""COMPUTED_VALUE"""),"V-Presentation")</f>
        <v>V-Presentation</v>
      </c>
      <c r="G2884" s="7" t="str">
        <f>IFERROR(__xludf.DUMMYFUNCTION("""COMPUTED_VALUE"""),"Virtual/Gather")</f>
        <v>Virtual/Gather</v>
      </c>
      <c r="H2884" s="7" t="str">
        <f>IFERROR(__xludf.DUMMYFUNCTION("""COMPUTED_VALUE"""),"Zoom")</f>
        <v>Zoom</v>
      </c>
      <c r="I2884" s="7" t="str">
        <f>IFERROR(__xludf.DUMMYFUNCTION("""COMPUTED_VALUE"""),"Session 7: V--Presentations ")</f>
        <v>Session 7: V--Presentations </v>
      </c>
      <c r="J2884" s="7" t="str">
        <f>IFERROR(__xludf.DUMMYFUNCTION("""COMPUTED_VALUE"""),"Virtual Presentations 2")</f>
        <v>Virtual Presentations 2</v>
      </c>
      <c r="K2884" s="7"/>
      <c r="L2884" s="8"/>
      <c r="M2884" s="7" t="str">
        <f>IFERROR(__xludf.DUMMYFUNCTION("""COMPUTED_VALUE"""),"10:30-12:00")</f>
        <v>10:30-12:00</v>
      </c>
      <c r="N2884" s="7"/>
    </row>
    <row r="2885">
      <c r="A2885" s="7" t="str">
        <f>IFERROR(__xludf.DUMMYFUNCTION("""COMPUTED_VALUE"""),"3553-MAIN")</f>
        <v>3553-MAIN</v>
      </c>
      <c r="B2885" s="7" t="str">
        <f>IFERROR(__xludf.DUMMYFUNCTION("""COMPUTED_VALUE"""),"Embedding-Converter: A Unified Framework for Cross-Model Embedding Transformation")</f>
        <v>Embedding-Converter: A Unified Framework for Cross-Model Embedding Transformation</v>
      </c>
      <c r="C2885" s="7" t="str">
        <f>IFERROR(__xludf.DUMMYFUNCTION("""COMPUTED_VALUE"""),"Embedding models play a crucial role in machine learning. However, the continuous development of new models presents a major challenge: migrating to a potentially superior model often requires the computationally expensive process of re-embedding entire d"&amp;"atasets—without any guarantee of performance improvement. This paper presents Embedding-Converter, a novel framework for efficiently transforming embeddings between different models, thus avoiding costly `re-embedding'. The proposed approach achieves 100 "&amp;"times faster and cheaper computations in real-world applications. Experiments show that Embedding-Converter not only streamlines transitions to new models, but can also improve upon the source model's performance, approaching that of the target model. Thi"&amp;"s facilitates efficient evaluation and broader adoption of new embedding models by significantly reducing the overhead of model switching. Furthermore, Embedding-Converter addresses latency limitations by enabling the use of smaller models for online task"&amp;"s while still benefiting from the performance of larger models offline. By promoting the release of converters alongside new embedding models, Embedding-Converter fosters a more dynamic and accessible ecosystem for embedding model development and deployme"&amp;"nt.")</f>
        <v>Embedding models play a crucial role in machine learning. However, the continuous development of new models presents a major challenge: migrating to a potentially superior model often requires the computationally expensive process of re-embedding entire datasets—without any guarantee of performance improvement. This paper presents Embedding-Converter, a novel framework for efficiently transforming embeddings between different models, thus avoiding costly `re-embedding'. The proposed approach achieves 100 times faster and cheaper computations in real-world applications. Experiments show that Embedding-Converter not only streamlines transitions to new models, but can also improve upon the source model's performance, approaching that of the target model. This facilitates efficient evaluation and broader adoption of new embedding models by significantly reducing the overhead of model switching. Furthermore, Embedding-Converter addresses latency limitations by enabling the use of smaller models for online tasks while still benefiting from the performance of larger models offline. By promoting the release of converters alongside new embedding models, Embedding-Converter fosters a more dynamic and accessible ecosystem for embedding model development and deployment.</v>
      </c>
      <c r="D2885" s="7" t="str">
        <f>IFERROR(__xludf.DUMMYFUNCTION("""COMPUTED_VALUE"""),"Jinsung Yoon")</f>
        <v>Jinsung Yoon</v>
      </c>
      <c r="E2885" s="7" t="str">
        <f>IFERROR(__xludf.DUMMYFUNCTION("""COMPUTED_VALUE"""),"Yes")</f>
        <v>Yes</v>
      </c>
      <c r="F2885" s="7" t="str">
        <f>IFERROR(__xludf.DUMMYFUNCTION("""COMPUTED_VALUE"""),"V-Presentation")</f>
        <v>V-Presentation</v>
      </c>
      <c r="G2885" s="7" t="str">
        <f>IFERROR(__xludf.DUMMYFUNCTION("""COMPUTED_VALUE"""),"Virtual/Gather")</f>
        <v>Virtual/Gather</v>
      </c>
      <c r="H2885" s="7" t="str">
        <f>IFERROR(__xludf.DUMMYFUNCTION("""COMPUTED_VALUE"""),"Zoom")</f>
        <v>Zoom</v>
      </c>
      <c r="I2885" s="7" t="str">
        <f>IFERROR(__xludf.DUMMYFUNCTION("""COMPUTED_VALUE"""),"Session 10: V-Presenations")</f>
        <v>Session 10: V-Presenations</v>
      </c>
      <c r="J2885" s="7" t="str">
        <f>IFERROR(__xludf.DUMMYFUNCTION("""COMPUTED_VALUE"""),"Virtual Presentations 3")</f>
        <v>Virtual Presentations 3</v>
      </c>
      <c r="K2885" s="7"/>
      <c r="L2885" s="8">
        <f>IFERROR(__xludf.DUMMYFUNCTION("""COMPUTED_VALUE"""),45867.0)</f>
        <v>45867</v>
      </c>
      <c r="M2885" s="7" t="str">
        <f>IFERROR(__xludf.DUMMYFUNCTION("""COMPUTED_VALUE"""),"16:00-17:30")</f>
        <v>16:00-17:30</v>
      </c>
      <c r="N2885" s="7"/>
    </row>
    <row r="2886">
      <c r="A2886" s="7" t="str">
        <f>IFERROR(__xludf.DUMMYFUNCTION("""COMPUTED_VALUE"""),"3555-MAIN")</f>
        <v>3555-MAIN</v>
      </c>
      <c r="B2886" s="7" t="str">
        <f>IFERROR(__xludf.DUMMYFUNCTION("""COMPUTED_VALUE"""),"Improving Automatic Evaluation of Large Language Models (LLMs) in Biomedical Relation Extraction via LLMs-as-the-Judge")</f>
        <v>Improving Automatic Evaluation of Large Language Models (LLMs) in Biomedical Relation Extraction via LLMs-as-the-Judge</v>
      </c>
      <c r="C2886" s="7" t="str">
        <f>IFERROR(__xludf.DUMMYFUNCTION("""COMPUTED_VALUE"""),"Large Language Models (LLMs) have demonstrated impressive performance in biomedical relation extraction, even in zero-shot scenarios. However, evaluating LLMs in this task remains challenging due to their ability to generate human-like text, often produci"&amp;"ng synonyms or abbreviations of gold-standard answers, making traditional automatic evaluation metrics unreliable. On the other hand, while human evaluation is more reliable, it is costly and time-consuming, making it impractical for real-world applicatio"&amp;"ns. This paper investigates the use of LLMs-as-the-Judge as an alternative evaluation method for biomedical relation extraction. We benchmark 8 LLMs as judges to evaluate the responses generated by 5 other LLMs across 3 biomedical relation extraction data"&amp;"sets. Unlike other text-generation tasks, we observe that LLM-based judges perform quite poorly (usually below 50% accuracy) in the biomedical relation extraction task. Our findings reveal that it happens mainly because relations extracted by LLMs do not "&amp;"adhere to any standard format. To address this, we propose structured output formatting for LLM-generated responses that helps LLM-Judges to improve their performance by about 15% (on average). We also introduce a domain adaptation technique to further en"&amp;"hance LLM-Judge performance by effectively transferring knowledge between datasets. We release both our human-annotated and LLM-annotated judgment data (36k samples in total) for public use here: https://github.com/tahmedge/llm_judge_biomedical_re.")</f>
        <v>Large Language Models (LLMs) have demonstrated impressive performance in biomedical relation extraction, even in zero-shot scenarios. However, evaluating LLMs in this task remains challenging due to their ability to generate human-like text, often producing synonyms or abbreviations of gold-standard answers, making traditional automatic evaluation metrics unreliable. On the other hand, while human evaluation is more reliable, it is costly and time-consuming, making it impractical for real-world applications. This paper investigates the use of LLMs-as-the-Judge as an alternative evaluation method for biomedical relation extraction. We benchmark 8 LLMs as judges to evaluate the responses generated by 5 other LLMs across 3 biomedical relation extraction datasets. Unlike other text-generation tasks, we observe that LLM-based judges perform quite poorly (usually below 50% accuracy) in the biomedical relation extraction task. Our findings reveal that it happens mainly because relations extracted by LLMs do not adhere to any standard format. To address this, we propose structured output formatting for LLM-generated responses that helps LLM-Judges to improve their performance by about 15% (on average). We also introduce a domain adaptation technique to further enhance LLM-Judge performance by effectively transferring knowledge between datasets. We release both our human-annotated and LLM-annotated judgment data (36k samples in total) for public use here: https://github.com/tahmedge/llm_judge_biomedical_re.</v>
      </c>
      <c r="D2886" s="7" t="str">
        <f>IFERROR(__xludf.DUMMYFUNCTION("""COMPUTED_VALUE"""),"Md Tahmid Rahman Laskar")</f>
        <v>Md Tahmid Rahman Laskar</v>
      </c>
      <c r="E2886" s="7" t="str">
        <f>IFERROR(__xludf.DUMMYFUNCTION("""COMPUTED_VALUE"""),"Yes")</f>
        <v>Yes</v>
      </c>
      <c r="F2886" s="7" t="str">
        <f>IFERROR(__xludf.DUMMYFUNCTION("""COMPUTED_VALUE"""),"IP-Poster")</f>
        <v>IP-Poster</v>
      </c>
      <c r="G2886" s="7" t="str">
        <f>IFERROR(__xludf.DUMMYFUNCTION("""COMPUTED_VALUE"""),"In-Person")</f>
        <v>In-Person</v>
      </c>
      <c r="H2886" s="7" t="str">
        <f>IFERROR(__xludf.DUMMYFUNCTION("""COMPUTED_VALUE"""),"Hall 4/5")</f>
        <v>Hall 4/5</v>
      </c>
      <c r="I2886" s="7" t="str">
        <f>IFERROR(__xludf.DUMMYFUNCTION("""COMPUTED_VALUE"""),"Session 12: IP-Posters")</f>
        <v>Session 12: IP-Posters</v>
      </c>
      <c r="J2886" s="7" t="str">
        <f>IFERROR(__xludf.DUMMYFUNCTION("""COMPUTED_VALUE"""),"Poster Session 4")</f>
        <v>Poster Session 4</v>
      </c>
      <c r="K2886" s="7"/>
      <c r="L2886" s="8">
        <f>IFERROR(__xludf.DUMMYFUNCTION("""COMPUTED_VALUE"""),45868.0)</f>
        <v>45868</v>
      </c>
      <c r="M2886" s="7" t="str">
        <f>IFERROR(__xludf.DUMMYFUNCTION("""COMPUTED_VALUE"""),"11:00-12:30")</f>
        <v>11:00-12:30</v>
      </c>
      <c r="N2886" s="7"/>
    </row>
    <row r="2887">
      <c r="A2887" s="7" t="str">
        <f>IFERROR(__xludf.DUMMYFUNCTION("""COMPUTED_VALUE"""),"3557-MAIN")</f>
        <v>3557-MAIN</v>
      </c>
      <c r="B2887" s="7" t="str">
        <f>IFERROR(__xludf.DUMMYFUNCTION("""COMPUTED_VALUE"""),"Answering Complex Geographic Questions by Adaptive Reasoning with Visual Context and External Commonsense Knowledge")</f>
        <v>Answering Complex Geographic Questions by Adaptive Reasoning with Visual Context and External Commonsense Knowledge</v>
      </c>
      <c r="C2887" s="7" t="str">
        <f>IFERROR(__xludf.DUMMYFUNCTION("""COMPUTED_VALUE"""),"This paper focuses on a new task of answering geographic reasoning questions based on the given image (called GeoVQA). Unlike traditional VQA tasks, GeoVQA asks for details about the image-related culture, landscape, etc. This requires not only the identi"&amp;"fication of the objects in the image, their properties and relations, but also the understanding of the geographic knowledge of the objects, such as location, transportation, landmark, cuisine, etc. This background knowledge does not explicitly appear in "&amp;"the image, nor is there an extra-textual description. Without this missing but necessary knowledge, it is difficult for existing matching-based methods to infer the correct answer. To tackle these challenges, we propose a new geographic reasoning framewor"&amp;"k for our task. We first analyze the image and describe its fine-grained content by text and keywords using a multi-modal retrieval augmented technique, so as to deduce an answer in a unified textual modality. Next, we retrieve the crucial geographic comm"&amp;"onsense knowledge. To reduce the retrieval complexity, we design a dynamic method that can adaptively collect the relevant clues for each reasoning step. The step in the incorrect direction will be pruned according to some judgment criteria. The remaining"&amp;" steps can help us form a reasoning chain to derive a correct answer. Moreover, we create a large-scale dataset GVQA with 41,329 samples to conduct the evaluation. The results demonstrate the effectiveness of our approach.")</f>
        <v>This paper focuses on a new task of answering geographic reasoning questions based on the given image (called GeoVQA). Unlike traditional VQA tasks, GeoVQA asks for details about the image-related culture, landscape, etc. This requires not only the identification of the objects in the image, their properties and relations, but also the understanding of the geographic knowledge of the objects, such as location, transportation, landmark, cuisine, etc. This background knowledge does not explicitly appear in the image, nor is there an extra-textual description. Without this missing but necessary knowledge, it is difficult for existing matching-based methods to infer the correct answer. To tackle these challenges, we propose a new geographic reasoning framework for our task. We first analyze the image and describe its fine-grained content by text and keywords using a multi-modal retrieval augmented technique, so as to deduce an answer in a unified textual modality. Next, we retrieve the crucial geographic commonsense knowledge. To reduce the retrieval complexity, we design a dynamic method that can adaptively collect the relevant clues for each reasoning step. The step in the incorrect direction will be pruned according to some judgment criteria. The remaining steps can help us form a reasoning chain to derive a correct answer. Moreover, we create a large-scale dataset GVQA with 41,329 samples to conduct the evaluation. The results demonstrate the effectiveness of our approach.</v>
      </c>
      <c r="D2887" s="7" t="str">
        <f>IFERROR(__xludf.DUMMYFUNCTION("""COMPUTED_VALUE"""),"Fan Li")</f>
        <v>Fan Li</v>
      </c>
      <c r="E2887" s="7" t="str">
        <f>IFERROR(__xludf.DUMMYFUNCTION("""COMPUTED_VALUE"""),"Yes")</f>
        <v>Yes</v>
      </c>
      <c r="F2887" s="7" t="str">
        <f>IFERROR(__xludf.DUMMYFUNCTION("""COMPUTED_VALUE"""),"IP-Poster")</f>
        <v>IP-Poster</v>
      </c>
      <c r="G2887" s="7" t="str">
        <f>IFERROR(__xludf.DUMMYFUNCTION("""COMPUTED_VALUE"""),"In-Person")</f>
        <v>In-Person</v>
      </c>
      <c r="H2887" s="7" t="str">
        <f>IFERROR(__xludf.DUMMYFUNCTION("""COMPUTED_VALUE"""),"Hall 4/5")</f>
        <v>Hall 4/5</v>
      </c>
      <c r="I2887" s="7" t="str">
        <f>IFERROR(__xludf.DUMMYFUNCTION("""COMPUTED_VALUE"""),"Session 12: IP-Posters")</f>
        <v>Session 12: IP-Posters</v>
      </c>
      <c r="J2887" s="7" t="str">
        <f>IFERROR(__xludf.DUMMYFUNCTION("""COMPUTED_VALUE"""),"Poster Session 4")</f>
        <v>Poster Session 4</v>
      </c>
      <c r="K2887" s="7"/>
      <c r="L2887" s="8">
        <f>IFERROR(__xludf.DUMMYFUNCTION("""COMPUTED_VALUE"""),45868.0)</f>
        <v>45868</v>
      </c>
      <c r="M2887" s="7" t="str">
        <f>IFERROR(__xludf.DUMMYFUNCTION("""COMPUTED_VALUE"""),"11:00-12:30")</f>
        <v>11:00-12:30</v>
      </c>
      <c r="N2887" s="7"/>
    </row>
    <row r="2888">
      <c r="A2888" s="7" t="str">
        <f>IFERROR(__xludf.DUMMYFUNCTION("""COMPUTED_VALUE"""),"3558-MAIN")</f>
        <v>3558-MAIN</v>
      </c>
      <c r="B2888" s="7" t="str">
        <f>IFERROR(__xludf.DUMMYFUNCTION("""COMPUTED_VALUE"""),"Efficient Knowledge Editing via Minimal Precomputation")</f>
        <v>Efficient Knowledge Editing via Minimal Precomputation</v>
      </c>
      <c r="C2888" s="7" t="str">
        <f>IFERROR(__xludf.DUMMYFUNCTION("""COMPUTED_VALUE"""),"Knowledge editing methods like MEMIT are able to make data and compute efficient updates of factual knowledge by using a single sentence to update facts and their consequences. However, what is often overlooked is a ``precomputation step'', which requires"&amp;" a one-time but significant computational cost. The authors of MEMIT \cite{MEMIT} originally precompute approximately 44 million hidden vectors per edited layer, which requires a forward pass over 44 million tokens. For GPT-J (6B), this precomputation ste"&amp;"p takes 36 hours on a single GPU, while it takes approximately 40 hours for Llama2-7B. Additionally, this precomputation time grows with model size. In this paper, we show that this excessive computational cost is unnecessary. Knowledge editing using MEMI"&amp;"T and related methods, such as ROME and EMMET, can be performed by pre-computing a very small portion of the 44 million hidden vectors. We first present the theoretical minimum number of hidden vector precomputation required for solutions of these editing"&amp;" methods to exist. We then empirically show that knowledge editing using these methods can be done by pre-computing significantly fewer hidden vectors. Specifically, we show that the precomputation step can be done with less than 0.3% of the originally st"&amp;"ipulated number of hidden vectors. This saves a significant amount of precomputation time and allows users to begin editing new models within a few minutes.")</f>
        <v>Knowledge editing methods like MEMIT are able to make data and compute efficient updates of factual knowledge by using a single sentence to update facts and their consequences. However, what is often overlooked is a ``precomputation step'', which requires a one-time but significant computational cost. The authors of MEMIT \cite{MEMIT} originally precompute approximately 44 million hidden vectors per edited layer, which requires a forward pass over 44 million tokens. For GPT-J (6B), this precomputation step takes 36 hours on a single GPU, while it takes approximately 40 hours for Llama2-7B. Additionally, this precomputation time grows with model size. In this paper, we show that this excessive computational cost is unnecessary. Knowledge editing using MEMIT and related methods, such as ROME and EMMET, can be performed by pre-computing a very small portion of the 44 million hidden vectors. We first present the theoretical minimum number of hidden vector precomputation required for solutions of these editing methods to exist. We then empirically show that knowledge editing using these methods can be done by pre-computing significantly fewer hidden vectors. Specifically, we show that the precomputation step can be done with less than 0.3% of the originally stipulated number of hidden vectors. This saves a significant amount of precomputation time and allows users to begin editing new models within a few minutes.</v>
      </c>
      <c r="D2888" s="7" t="str">
        <f>IFERROR(__xludf.DUMMYFUNCTION("""COMPUTED_VALUE"""),"Akshat Gupta")</f>
        <v>Akshat Gupta</v>
      </c>
      <c r="E2888" s="7" t="str">
        <f>IFERROR(__xludf.DUMMYFUNCTION("""COMPUTED_VALUE"""),"Yes")</f>
        <v>Yes</v>
      </c>
      <c r="F2888" s="7" t="str">
        <f>IFERROR(__xludf.DUMMYFUNCTION("""COMPUTED_VALUE"""),"V-Presentation")</f>
        <v>V-Presentation</v>
      </c>
      <c r="G2888" s="7" t="str">
        <f>IFERROR(__xludf.DUMMYFUNCTION("""COMPUTED_VALUE"""),"Virtual/Gather")</f>
        <v>Virtual/Gather</v>
      </c>
      <c r="H2888" s="7" t="str">
        <f>IFERROR(__xludf.DUMMYFUNCTION("""COMPUTED_VALUE"""),"Zoom")</f>
        <v>Zoom</v>
      </c>
      <c r="I2888" s="7" t="str">
        <f>IFERROR(__xludf.DUMMYFUNCTION("""COMPUTED_VALUE"""),"Session 10: V-Presenations")</f>
        <v>Session 10: V-Presenations</v>
      </c>
      <c r="J2888" s="7" t="str">
        <f>IFERROR(__xludf.DUMMYFUNCTION("""COMPUTED_VALUE"""),"Virtual Presentations 3")</f>
        <v>Virtual Presentations 3</v>
      </c>
      <c r="K2888" s="7"/>
      <c r="L2888" s="8">
        <f>IFERROR(__xludf.DUMMYFUNCTION("""COMPUTED_VALUE"""),45867.0)</f>
        <v>45867</v>
      </c>
      <c r="M2888" s="7" t="str">
        <f>IFERROR(__xludf.DUMMYFUNCTION("""COMPUTED_VALUE"""),"16:00-17:30")</f>
        <v>16:00-17:30</v>
      </c>
      <c r="N2888" s="7"/>
    </row>
    <row r="2889">
      <c r="A2889" s="7" t="str">
        <f>IFERROR(__xludf.DUMMYFUNCTION("""COMPUTED_VALUE"""),"3560-MAIN")</f>
        <v>3560-MAIN</v>
      </c>
      <c r="B2889" s="7" t="str">
        <f>IFERROR(__xludf.DUMMYFUNCTION("""COMPUTED_VALUE"""),"Safety Alignment via Constrained Knowledge Unlearning")</f>
        <v>Safety Alignment via Constrained Knowledge Unlearning</v>
      </c>
      <c r="C2889" s="7" t="str">
        <f>IFERROR(__xludf.DUMMYFUNCTION("""COMPUTED_VALUE"""),"Despite significant progress in safety alignment, large language models (LLMs) remain susceptible to jailbreak attacks. 
Existing defense mechanisms have not fully deleted harmful knowledge in LLMs, which allows such attacks to bypass safeguards and produ"&amp;"ce harmful outputs. 
To address this challenge, we propose a novel safety alignment strategy, Constrained Knowledge Unlearning (CKU), which focuses on two primary objectives: knowledge localization and retention, and unlearning harmful knowledge. 
CKU wor"&amp;"ks by scoring neurons in specific multilayer perceptron (MLP) layers to identify a subset U of neurons associated with useful knowledge. 
During the unlearning process, CKU prunes the gradients of neurons in U to preserve valuable knowledge while effectiv"&amp;"ely mitigating harmful content. 
Experimental results demonstrate that CKU significantly enhances model safety without compromising overall performance, offering a superior balance between safety and utility compared to existing methods. 
Additionally, ou"&amp;"r analysis of neuron knowledge sensitivity across various MLP layers provides valuable insights into the mechanics of safety alignment and model knowledge editing.")</f>
        <v>Despite significant progress in safety alignment, large language models (LLMs) remain susceptible to jailbreak attacks. 
Existing defense mechanisms have not fully deleted harmful knowledge in LLMs, which allows such attacks to bypass safeguards and produce harmful outputs. 
To address this challenge, we propose a novel safety alignment strategy, Constrained Knowledge Unlearning (CKU), which focuses on two primary objectives: knowledge localization and retention, and unlearning harmful knowledge. 
CKU works by scoring neurons in specific multilayer perceptron (MLP) layers to identify a subset U of neurons associated with useful knowledge. 
During the unlearning process, CKU prunes the gradients of neurons in U to preserve valuable knowledge while effectively mitigating harmful content. 
Experimental results demonstrate that CKU significantly enhances model safety without compromising overall performance, offering a superior balance between safety and utility compared to existing methods. 
Additionally, our analysis of neuron knowledge sensitivity across various MLP layers provides valuable insights into the mechanics of safety alignment and model knowledge editing.</v>
      </c>
      <c r="D2889" s="7" t="str">
        <f>IFERROR(__xludf.DUMMYFUNCTION("""COMPUTED_VALUE"""),"Zesheng Shi")</f>
        <v>Zesheng Shi</v>
      </c>
      <c r="E2889" s="7" t="str">
        <f>IFERROR(__xludf.DUMMYFUNCTION("""COMPUTED_VALUE"""),"Yes")</f>
        <v>Yes</v>
      </c>
      <c r="F2889" s="7" t="str">
        <f>IFERROR(__xludf.DUMMYFUNCTION("""COMPUTED_VALUE"""),"IP-Poster")</f>
        <v>IP-Poster</v>
      </c>
      <c r="G2889" s="7" t="str">
        <f>IFERROR(__xludf.DUMMYFUNCTION("""COMPUTED_VALUE"""),"In-Person")</f>
        <v>In-Person</v>
      </c>
      <c r="H2889" s="7" t="str">
        <f>IFERROR(__xludf.DUMMYFUNCTION("""COMPUTED_VALUE"""),"Hall 4/5")</f>
        <v>Hall 4/5</v>
      </c>
      <c r="I2889" s="7" t="str">
        <f>IFERROR(__xludf.DUMMYFUNCTION("""COMPUTED_VALUE"""),"Session 2: IP-Posters ")</f>
        <v>Session 2: IP-Posters </v>
      </c>
      <c r="J2889" s="7" t="str">
        <f>IFERROR(__xludf.DUMMYFUNCTION("""COMPUTED_VALUE"""),"Poster Session 1")</f>
        <v>Poster Session 1</v>
      </c>
      <c r="K2889" s="7"/>
      <c r="L2889" s="8">
        <f>IFERROR(__xludf.DUMMYFUNCTION("""COMPUTED_VALUE"""),45866.0)</f>
        <v>45866</v>
      </c>
      <c r="M2889" s="7" t="str">
        <f>IFERROR(__xludf.DUMMYFUNCTION("""COMPUTED_VALUE"""),"11:00-12:30")</f>
        <v>11:00-12:30</v>
      </c>
      <c r="N2889" s="7"/>
    </row>
    <row r="2890">
      <c r="A2890" s="7" t="str">
        <f>IFERROR(__xludf.DUMMYFUNCTION("""COMPUTED_VALUE"""),"3562-MAIN")</f>
        <v>3562-MAIN</v>
      </c>
      <c r="B2890" s="7" t="str">
        <f>IFERROR(__xludf.DUMMYFUNCTION("""COMPUTED_VALUE"""),"Response Wide Shut:Surprising Observations in Basic Vision Language Model Capabilities")</f>
        <v>Response Wide Shut:Surprising Observations in Basic Vision Language Model Capabilities</v>
      </c>
      <c r="C2890" s="7" t="str">
        <f>IFERROR(__xludf.DUMMYFUNCTION("""COMPUTED_VALUE"""),"Vision-language Models (VLMs) have emerged as general-purpose tools for addressing a variety of complex computer vision problems. Such models have been shown to be highly capable, but, at the same time, lacking some basic visual understanding skills. In t"&amp;"his paper, we set out to understand the limitations of SoTA VLMs on fundamental visual tasks (object classification, spatial understanding, and ability to delineate individual object instances through counting), by constructing a series of tests that prob"&amp;"e which components of design, specifically, may be lacking. Importantly, we go significantly beyond the current benchmarks, which simply measure the final performance of VLM response, by also comparing and contrasting it to the performance of probes train"&amp;"ed directly on features obtained from the visual encoder, intermediate vision-language projection and LLM-decoder output. In doing so, we uncover shortcomings in VLMs and make a number of important observations about their capabilities, robustness and how"&amp;" they process visual information. We hope our insights will guide progress in further improving VLMs.")</f>
        <v>Vision-language Models (VLMs) have emerged as general-purpose tools for addressing a variety of complex computer vision problems. Such models have been shown to be highly capable, but, at the same time, lacking some basic visual understanding skills. In this paper, we set out to understand the limitations of SoTA VLMs on fundamental visual tasks (object classification, spatial understanding, and ability to delineate individual object instances through counting), by constructing a series of tests that probe which components of design, specifically, may be lacking. Importantly, we go significantly beyond the current benchmarks, which simply measure the final performance of VLM response, by also comparing and contrasting it to the performance of probes trained directly on features obtained from the visual encoder, intermediate vision-language projection and LLM-decoder output. In doing so, we uncover shortcomings in VLMs and make a number of important observations about their capabilities, robustness and how they process visual information. We hope our insights will guide progress in further improving VLMs.</v>
      </c>
      <c r="D2890" s="7" t="str">
        <f>IFERROR(__xludf.DUMMYFUNCTION("""COMPUTED_VALUE"""),"Shivam Chandhok")</f>
        <v>Shivam Chandhok</v>
      </c>
      <c r="E2890" s="7" t="str">
        <f>IFERROR(__xludf.DUMMYFUNCTION("""COMPUTED_VALUE"""),"Yes")</f>
        <v>Yes</v>
      </c>
      <c r="F2890" s="7" t="str">
        <f>IFERROR(__xludf.DUMMYFUNCTION("""COMPUTED_VALUE"""),"V-Presentation")</f>
        <v>V-Presentation</v>
      </c>
      <c r="G2890" s="7" t="str">
        <f>IFERROR(__xludf.DUMMYFUNCTION("""COMPUTED_VALUE"""),"Virtual/Gather")</f>
        <v>Virtual/Gather</v>
      </c>
      <c r="H2890" s="7" t="str">
        <f>IFERROR(__xludf.DUMMYFUNCTION("""COMPUTED_VALUE"""),"Zoom")</f>
        <v>Zoom</v>
      </c>
      <c r="I2890" s="7" t="str">
        <f>IFERROR(__xludf.DUMMYFUNCTION("""COMPUTED_VALUE"""),"Session 10: V-Presenations")</f>
        <v>Session 10: V-Presenations</v>
      </c>
      <c r="J2890" s="7" t="str">
        <f>IFERROR(__xludf.DUMMYFUNCTION("""COMPUTED_VALUE"""),"Virtual Presentations 3")</f>
        <v>Virtual Presentations 3</v>
      </c>
      <c r="K2890" s="7"/>
      <c r="L2890" s="8">
        <f>IFERROR(__xludf.DUMMYFUNCTION("""COMPUTED_VALUE"""),45867.0)</f>
        <v>45867</v>
      </c>
      <c r="M2890" s="7" t="str">
        <f>IFERROR(__xludf.DUMMYFUNCTION("""COMPUTED_VALUE"""),"16:00-17:30")</f>
        <v>16:00-17:30</v>
      </c>
      <c r="N2890" s="7"/>
    </row>
    <row r="2891">
      <c r="A2891" s="7" t="str">
        <f>IFERROR(__xludf.DUMMYFUNCTION("""COMPUTED_VALUE"""),"3566-MAIN")</f>
        <v>3566-MAIN</v>
      </c>
      <c r="B2891" s="7" t="str">
        <f>IFERROR(__xludf.DUMMYFUNCTION("""COMPUTED_VALUE"""),"EffiVLM-Bench: A Comprehensive Benchmark for Evaluating Training-Free Acceleration in Large Visual-Languge Models")</f>
        <v>EffiVLM-Bench: A Comprehensive Benchmark for Evaluating Training-Free Acceleration in Large Visual-Languge Models</v>
      </c>
      <c r="C2891" s="7" t="str">
        <f>IFERROR(__xludf.DUMMYFUNCTION("""COMPUTED_VALUE"""),"Large Vision-Language Models (LVLMs) have achieved remarkable success, yet their significant computational demands hinder practical
deployment. While efforts to improve LVLM efficiency are growing, existing methods lack comprehensive evaluation across div"&amp;"erse backbones, benchmarks, and metrics. In this work, we systematically evaluate mainstream acceleration techniques for LVLMs, categorized into token and parameter compression. We introduce EffiVLM-BENCH, a unified framework for assessing not only absolu"&amp;"te performance but also generalization and loyalty, while exploring Pareto-optimal trade-offs. Our extensive experiments and in-depth analyses offer insights into optimal strategies for accelerating LVLMs. We open-source code and recipes for EffiVLM-BENCH"&amp;" to foster future research.")</f>
        <v>Large Vision-Language Models (LVLMs) have achieved remarkable success, yet their significant computational demands hinder practical
deployment. While efforts to improve LVLM efficiency are growing, existing methods lack comprehensive evaluation across diverse backbones, benchmarks, and metrics. In this work, we systematically evaluate mainstream acceleration techniques for LVLMs, categorized into token and parameter compression. We introduce EffiVLM-BENCH, a unified framework for assessing not only absolute performance but also generalization and loyalty, while exploring Pareto-optimal trade-offs. Our extensive experiments and in-depth analyses offer insights into optimal strategies for accelerating LVLMs. We open-source code and recipes for EffiVLM-BENCH to foster future research.</v>
      </c>
      <c r="D2891" s="7" t="str">
        <f>IFERROR(__xludf.DUMMYFUNCTION("""COMPUTED_VALUE"""),"Zekun Wang")</f>
        <v>Zekun Wang</v>
      </c>
      <c r="E2891" s="7" t="str">
        <f>IFERROR(__xludf.DUMMYFUNCTION("""COMPUTED_VALUE"""),"Yes")</f>
        <v>Yes</v>
      </c>
      <c r="F2891" s="7" t="str">
        <f>IFERROR(__xludf.DUMMYFUNCTION("""COMPUTED_VALUE"""),"IP-Poster")</f>
        <v>IP-Poster</v>
      </c>
      <c r="G2891" s="7" t="str">
        <f>IFERROR(__xludf.DUMMYFUNCTION("""COMPUTED_VALUE"""),"In-Person")</f>
        <v>In-Person</v>
      </c>
      <c r="H2891" s="7" t="str">
        <f>IFERROR(__xludf.DUMMYFUNCTION("""COMPUTED_VALUE"""),"Hall 4/5")</f>
        <v>Hall 4/5</v>
      </c>
      <c r="I2891" s="7" t="str">
        <f>IFERROR(__xludf.DUMMYFUNCTION("""COMPUTED_VALUE"""),"Session 2: IP-Posters ")</f>
        <v>Session 2: IP-Posters </v>
      </c>
      <c r="J2891" s="7" t="str">
        <f>IFERROR(__xludf.DUMMYFUNCTION("""COMPUTED_VALUE"""),"Poster Session 1")</f>
        <v>Poster Session 1</v>
      </c>
      <c r="K2891" s="7"/>
      <c r="L2891" s="8">
        <f>IFERROR(__xludf.DUMMYFUNCTION("""COMPUTED_VALUE"""),45866.0)</f>
        <v>45866</v>
      </c>
      <c r="M2891" s="7" t="str">
        <f>IFERROR(__xludf.DUMMYFUNCTION("""COMPUTED_VALUE"""),"11:00-12:30")</f>
        <v>11:00-12:30</v>
      </c>
      <c r="N2891" s="7"/>
    </row>
    <row r="2892">
      <c r="A2892" s="7" t="str">
        <f>IFERROR(__xludf.DUMMYFUNCTION("""COMPUTED_VALUE"""),"3568-MAIN")</f>
        <v>3568-MAIN</v>
      </c>
      <c r="B2892" s="7" t="str">
        <f>IFERROR(__xludf.DUMMYFUNCTION("""COMPUTED_VALUE"""),"Pre-Training Curriculum for Multi-Token Prediction in Language Models")</f>
        <v>Pre-Training Curriculum for Multi-Token Prediction in Language Models</v>
      </c>
      <c r="C2892" s="7" t="str">
        <f>IFERROR(__xludf.DUMMYFUNCTION("""COMPUTED_VALUE"""),"Multi-token prediction (MTP) is a recently proposed pre-training objective for language models. Rather than predicting only the next token (NTP), MTP predicts the next *k* tokens at each prediction step, using multiple prediction heads. MTP has shown prom"&amp;"ise in improving downstream performance, inference speed, and training efficiency, particularly for large models. However, prior work has shown that smaller language models (SLMs) struggle with the MTP objective. To address this, we propose a curriculum l"&amp;"earning strategy for MTP training, exploring two variants: a forward curriculum, which gradually increases the complexity of the pre-training objective from NTP to MTP, and a reverse curriculum, which does the opposite. Our experiments show that the forwa"&amp;"rd curriculum enables SLMs to better leverage the MTP objective during pre-training, improving downstream NTP performance and generative output quality, while retaining the benefits of self-speculative decoding. The reverse curriculum achieves stronger NT"&amp;"P performance and output quality, but fails to provide any self-speculative decoding benefits.")</f>
        <v>Multi-token prediction (MTP) is a recently proposed pre-training objective for language models. Rather than predicting only the next token (NTP), MTP predicts the next *k* tokens at each prediction step, using multiple prediction heads. MTP has shown promise in improving downstream performance, inference speed, and training efficiency, particularly for large models. However, prior work has shown that smaller language models (SLMs) struggle with the MTP objective. To address this, we propose a curriculum learning strategy for MTP training, exploring two variants: a forward curriculum, which gradually increases the complexity of the pre-training objective from NTP to MTP, and a reverse curriculum, which does the opposite. Our experiments show that the forward curriculum enables SLMs to better leverage the MTP objective during pre-training, improving downstream NTP performance and generative output quality, while retaining the benefits of self-speculative decoding. The reverse curriculum achieves stronger NTP performance and output quality, but fails to provide any self-speculative decoding benefits.</v>
      </c>
      <c r="D2892" s="7" t="str">
        <f>IFERROR(__xludf.DUMMYFUNCTION("""COMPUTED_VALUE"""),"Ansar Aynetdinov")</f>
        <v>Ansar Aynetdinov</v>
      </c>
      <c r="E2892" s="7" t="str">
        <f>IFERROR(__xludf.DUMMYFUNCTION("""COMPUTED_VALUE"""),"Yes")</f>
        <v>Yes</v>
      </c>
      <c r="F2892" s="7" t="str">
        <f>IFERROR(__xludf.DUMMYFUNCTION("""COMPUTED_VALUE"""),"IP-Poster")</f>
        <v>IP-Poster</v>
      </c>
      <c r="G2892" s="7" t="str">
        <f>IFERROR(__xludf.DUMMYFUNCTION("""COMPUTED_VALUE"""),"In-Person")</f>
        <v>In-Person</v>
      </c>
      <c r="H2892" s="7" t="str">
        <f>IFERROR(__xludf.DUMMYFUNCTION("""COMPUTED_VALUE"""),"Hall 4/5")</f>
        <v>Hall 4/5</v>
      </c>
      <c r="I2892" s="7" t="str">
        <f>IFERROR(__xludf.DUMMYFUNCTION("""COMPUTED_VALUE"""),"Session 12: IP-Posters")</f>
        <v>Session 12: IP-Posters</v>
      </c>
      <c r="J2892" s="7" t="str">
        <f>IFERROR(__xludf.DUMMYFUNCTION("""COMPUTED_VALUE"""),"Poster Session 4")</f>
        <v>Poster Session 4</v>
      </c>
      <c r="K2892" s="7"/>
      <c r="L2892" s="8">
        <f>IFERROR(__xludf.DUMMYFUNCTION("""COMPUTED_VALUE"""),45868.0)</f>
        <v>45868</v>
      </c>
      <c r="M2892" s="7" t="str">
        <f>IFERROR(__xludf.DUMMYFUNCTION("""COMPUTED_VALUE"""),"11:00-12:30")</f>
        <v>11:00-12:30</v>
      </c>
      <c r="N2892" s="7"/>
    </row>
    <row r="2893">
      <c r="A2893" s="7" t="str">
        <f>IFERROR(__xludf.DUMMYFUNCTION("""COMPUTED_VALUE"""),"3573-MAIN")</f>
        <v>3573-MAIN</v>
      </c>
      <c r="B2893" s="7" t="str">
        <f>IFERROR(__xludf.DUMMYFUNCTION("""COMPUTED_VALUE"""),"Can We Further Elicit Reasoning in LLMs? Critic-Guided Planning with Retrieval-Augmentation for Solving Challenging Tasks")</f>
        <v>Can We Further Elicit Reasoning in LLMs? Critic-Guided Planning with Retrieval-Augmentation for Solving Challenging Tasks</v>
      </c>
      <c r="C2893" s="7" t="str">
        <f>IFERROR(__xludf.DUMMYFUNCTION("""COMPUTED_VALUE"""),"Large language models excel at problem-solving but often struggle with complex reasoning and factual accuracy. While chain-of-thought and retrieval-augmented generation help break down problems and retrieve knowledge, they still falter on challenging task"&amp;"s like competitive programming due to frequent reasoning errors and irrelevant retrieval. To address this, we introduce Critic-guided planning with Retrieval-augmentation, CR-Planner, a novel framework that leverages fine-tuned critic models to guide both"&amp;" reasoning and retrieval processes through planning. CR-Planner iteratively selects and executes sub-goals, guided by critic models. A sub-goal critic identifies promising sub-goals from reasoning, query generation, and retrieval, while an execution criti"&amp;"c evaluates outputs of sub-goal executions. We employ Monte Carlo Tree Search to collect data for critic training, allowing systematic exploration of action sequences and effective navigation toward the final answer. We evaluate CR-Planner on challenging "&amp;"domain-knowledge-intensive and reasoning-heavy tasks, including competitive programming, theorem-driven math reasoning, and complex domain retrieval problems. It significantly outperforms baselines, demonstrating effectiveness in both reasoning and retrie"&amp;"val.")</f>
        <v>Large language models excel at problem-solving but often struggle with complex reasoning and factual accuracy. While chain-of-thought and retrieval-augmented generation help break down problems and retrieve knowledge, they still falter on challenging tasks like competitive programming due to frequent reasoning errors and irrelevant retrieval. To address this, we introduce Critic-guided planning with Retrieval-augmentation, CR-Planner, a novel framework that leverages fine-tuned critic models to guide both reasoning and retrieval processes through planning. CR-Planner iteratively selects and executes sub-goals, guided by critic models. A sub-goal critic identifies promising sub-goals from reasoning, query generation, and retrieval, while an execution critic evaluates outputs of sub-goal executions. We employ Monte Carlo Tree Search to collect data for critic training, allowing systematic exploration of action sequences and effective navigation toward the final answer. We evaluate CR-Planner on challenging domain-knowledge-intensive and reasoning-heavy tasks, including competitive programming, theorem-driven math reasoning, and complex domain retrieval problems. It significantly outperforms baselines, demonstrating effectiveness in both reasoning and retrieval.</v>
      </c>
      <c r="D2893" s="7" t="str">
        <f>IFERROR(__xludf.DUMMYFUNCTION("""COMPUTED_VALUE"""),"Xingxuan Li")</f>
        <v>Xingxuan Li</v>
      </c>
      <c r="E2893" s="7" t="str">
        <f>IFERROR(__xludf.DUMMYFUNCTION("""COMPUTED_VALUE"""),"Yes")</f>
        <v>Yes</v>
      </c>
      <c r="F2893" s="7" t="str">
        <f>IFERROR(__xludf.DUMMYFUNCTION("""COMPUTED_VALUE"""),"IP-Poster")</f>
        <v>IP-Poster</v>
      </c>
      <c r="G2893" s="7" t="str">
        <f>IFERROR(__xludf.DUMMYFUNCTION("""COMPUTED_VALUE"""),"In-Person")</f>
        <v>In-Person</v>
      </c>
      <c r="H2893" s="7" t="str">
        <f>IFERROR(__xludf.DUMMYFUNCTION("""COMPUTED_VALUE"""),"Hall 4/5")</f>
        <v>Hall 4/5</v>
      </c>
      <c r="I2893" s="7" t="str">
        <f>IFERROR(__xludf.DUMMYFUNCTION("""COMPUTED_VALUE"""),"Session 12: IP-Posters")</f>
        <v>Session 12: IP-Posters</v>
      </c>
      <c r="J2893" s="7" t="str">
        <f>IFERROR(__xludf.DUMMYFUNCTION("""COMPUTED_VALUE"""),"Poster Session 4")</f>
        <v>Poster Session 4</v>
      </c>
      <c r="K2893" s="7"/>
      <c r="L2893" s="8">
        <f>IFERROR(__xludf.DUMMYFUNCTION("""COMPUTED_VALUE"""),45868.0)</f>
        <v>45868</v>
      </c>
      <c r="M2893" s="7" t="str">
        <f>IFERROR(__xludf.DUMMYFUNCTION("""COMPUTED_VALUE"""),"11:00-12:30")</f>
        <v>11:00-12:30</v>
      </c>
      <c r="N2893" s="7"/>
    </row>
    <row r="2894">
      <c r="A2894" s="7" t="str">
        <f>IFERROR(__xludf.DUMMYFUNCTION("""COMPUTED_VALUE"""),"3584-MAIN")</f>
        <v>3584-MAIN</v>
      </c>
      <c r="B2894" s="7" t="str">
        <f>IFERROR(__xludf.DUMMYFUNCTION("""COMPUTED_VALUE"""),"On Many-Shot In-Context Learning for Long-Context Evaluation")</f>
        <v>On Many-Shot In-Context Learning for Long-Context Evaluation</v>
      </c>
      <c r="C2894" s="7" t="str">
        <f>IFERROR(__xludf.DUMMYFUNCTION("""COMPUTED_VALUE"""),"Many-shot in-context learning (ICL) has emerged as a unique setup to both utilize and test the ability of large language models to handle long context. This paper delves into long-context language model (LCLM) evaluation through many-shot ICL. We first as"&amp;"k: what types of ICL tasks benefit from additional demonstrations, and how effective are they in evaluating LCLMs? We find that classification and summarization tasks show performance improvements with additional demonstrations, while translation and reas"&amp;"oning tasks do not exhibit clear trends. Next, we investigate the extent to which different tasks necessitate retrieval versus global context understanding. We develop metrics to categorize ICL tasks into two groups: (i) similar-sample learning (SSL): tas"&amp;"ks where retrieval of the most similar examples is sufficient for good performance, and (ii) all-sample learning (ASL): tasks that necessitate a deeper comprehension of all examples in the prompt. Lastly, we introduce a new many-shot ICL benchmark built o"&amp;"n existing ICL tasks, MANYICLBENCH, to characterize model's ability on both fronts and benchmark 12 LCLMs using MANYICLBENCH. We find that while state-of-the-art models demonstrate good performance up to 64k tokens in SSL tasks, many models experience sig"&amp;"nificant performance drops at only 16k tokens in ASL tasks.")</f>
        <v>Many-shot in-context learning (ICL) has emerged as a unique setup to both utilize and test the ability of large language models to handle long context. This paper delves into long-context language model (LCLM) evaluation through many-shot ICL. We first ask: what types of ICL tasks benefit from additional demonstrations, and how effective are they in evaluating LCLMs? We find that classification and summarization tasks show performance improvements with additional demonstrations, while translation and reasoning tasks do not exhibit clear trends. Next, we investigate the extent to which different tasks necessitate retrieval versus global context understanding. We develop metrics to categorize ICL tasks into two groups: (i) similar-sample learning (SSL): tasks where retrieval of the most similar examples is sufficient for good performance, and (ii) all-sample learning (ASL): tasks that necessitate a deeper comprehension of all examples in the prompt. Lastly, we introduce a new many-shot ICL benchmark built on existing ICL tasks, MANYICLBENCH, to characterize model's ability on both fronts and benchmark 12 LCLMs using MANYICLBENCH. We find that while state-of-the-art models demonstrate good performance up to 64k tokens in SSL tasks, many models experience significant performance drops at only 16k tokens in ASL tasks.</v>
      </c>
      <c r="D2894" s="7" t="str">
        <f>IFERROR(__xludf.DUMMYFUNCTION("""COMPUTED_VALUE"""),"Kaijian Zou")</f>
        <v>Kaijian Zou</v>
      </c>
      <c r="E2894" s="7" t="str">
        <f>IFERROR(__xludf.DUMMYFUNCTION("""COMPUTED_VALUE"""),"Yes")</f>
        <v>Yes</v>
      </c>
      <c r="F2894" s="7" t="str">
        <f>IFERROR(__xludf.DUMMYFUNCTION("""COMPUTED_VALUE"""),"IP-Poster")</f>
        <v>IP-Poster</v>
      </c>
      <c r="G2894" s="7" t="str">
        <f>IFERROR(__xludf.DUMMYFUNCTION("""COMPUTED_VALUE"""),"In-Person")</f>
        <v>In-Person</v>
      </c>
      <c r="H2894" s="7" t="str">
        <f>IFERROR(__xludf.DUMMYFUNCTION("""COMPUTED_VALUE"""),"Hall 4/5")</f>
        <v>Hall 4/5</v>
      </c>
      <c r="I2894" s="7" t="str">
        <f>IFERROR(__xludf.DUMMYFUNCTION("""COMPUTED_VALUE"""),"Session 2: IP-Posters ")</f>
        <v>Session 2: IP-Posters </v>
      </c>
      <c r="J2894" s="7" t="str">
        <f>IFERROR(__xludf.DUMMYFUNCTION("""COMPUTED_VALUE"""),"Poster Session 1")</f>
        <v>Poster Session 1</v>
      </c>
      <c r="K2894" s="7"/>
      <c r="L2894" s="8">
        <f>IFERROR(__xludf.DUMMYFUNCTION("""COMPUTED_VALUE"""),45866.0)</f>
        <v>45866</v>
      </c>
      <c r="M2894" s="7" t="str">
        <f>IFERROR(__xludf.DUMMYFUNCTION("""COMPUTED_VALUE"""),"11:00-12:30")</f>
        <v>11:00-12:30</v>
      </c>
      <c r="N2894" s="7"/>
    </row>
    <row r="2895">
      <c r="A2895" s="7" t="str">
        <f>IFERROR(__xludf.DUMMYFUNCTION("""COMPUTED_VALUE"""),"3592-MAIN")</f>
        <v>3592-MAIN</v>
      </c>
      <c r="B2895" s="7" t="str">
        <f>IFERROR(__xludf.DUMMYFUNCTION("""COMPUTED_VALUE"""),"Meaning Variation and Data Quality in the Corpus of Founding Era American English")</f>
        <v>Meaning Variation and Data Quality in the Corpus of Founding Era American English</v>
      </c>
      <c r="C2895" s="7" t="str">
        <f>IFERROR(__xludf.DUMMYFUNCTION("""COMPUTED_VALUE"""),"Legal scholars are increasingly using corpus based methods for assessing historical meaning. Among work focused on the so-called founding era (mid to late 18th century), the majority of such studies use the Corpus of Founding Era American English (COFEA) "&amp;"and rely on methods such as word counting and manual coding. Here, we demonstrate what can be inferred about meaning change and variation using more advanced NLP methods, focusing on terms in the U.S. Constitution. We also carry out a data quality assessm"&amp;"ent of COFEA, pointing out issues with OCR quality and metadata, compare diachronic change to synchronic variation, and discuss limitations when using NLP methods for studying historical meaning.")</f>
        <v>Legal scholars are increasingly using corpus based methods for assessing historical meaning. Among work focused on the so-called founding era (mid to late 18th century), the majority of such studies use the Corpus of Founding Era American English (COFEA) and rely on methods such as word counting and manual coding. Here, we demonstrate what can be inferred about meaning change and variation using more advanced NLP methods, focusing on terms in the U.S. Constitution. We also carry out a data quality assessment of COFEA, pointing out issues with OCR quality and metadata, compare diachronic change to synchronic variation, and discuss limitations when using NLP methods for studying historical meaning.</v>
      </c>
      <c r="D2895" s="7" t="str">
        <f>IFERROR(__xludf.DUMMYFUNCTION("""COMPUTED_VALUE"""),"Dallas Card")</f>
        <v>Dallas Card</v>
      </c>
      <c r="E2895" s="7" t="str">
        <f>IFERROR(__xludf.DUMMYFUNCTION("""COMPUTED_VALUE"""),"Yes")</f>
        <v>Yes</v>
      </c>
      <c r="F2895" s="7" t="str">
        <f>IFERROR(__xludf.DUMMYFUNCTION("""COMPUTED_VALUE"""),"IP-Poster")</f>
        <v>IP-Poster</v>
      </c>
      <c r="G2895" s="7" t="str">
        <f>IFERROR(__xludf.DUMMYFUNCTION("""COMPUTED_VALUE"""),"In-Person")</f>
        <v>In-Person</v>
      </c>
      <c r="H2895" s="7" t="str">
        <f>IFERROR(__xludf.DUMMYFUNCTION("""COMPUTED_VALUE"""),"Hall 4/5")</f>
        <v>Hall 4/5</v>
      </c>
      <c r="I2895" s="7" t="str">
        <f>IFERROR(__xludf.DUMMYFUNCTION("""COMPUTED_VALUE"""),"Session 12: IP-Posters")</f>
        <v>Session 12: IP-Posters</v>
      </c>
      <c r="J2895" s="7" t="str">
        <f>IFERROR(__xludf.DUMMYFUNCTION("""COMPUTED_VALUE"""),"Poster Session 4")</f>
        <v>Poster Session 4</v>
      </c>
      <c r="K2895" s="7"/>
      <c r="L2895" s="8">
        <f>IFERROR(__xludf.DUMMYFUNCTION("""COMPUTED_VALUE"""),45868.0)</f>
        <v>45868</v>
      </c>
      <c r="M2895" s="7" t="str">
        <f>IFERROR(__xludf.DUMMYFUNCTION("""COMPUTED_VALUE"""),"11:00-12:30")</f>
        <v>11:00-12:30</v>
      </c>
      <c r="N2895" s="7"/>
    </row>
    <row r="2896">
      <c r="A2896" s="7" t="str">
        <f>IFERROR(__xludf.DUMMYFUNCTION("""COMPUTED_VALUE"""),"3596-MAIN")</f>
        <v>3596-MAIN</v>
      </c>
      <c r="B2896" s="7" t="str">
        <f>IFERROR(__xludf.DUMMYFUNCTION("""COMPUTED_VALUE"""),"Dedicated Feedback and Edit Models Empower Inference-Time Scaling for Open-Ended General-Domain Tasks")</f>
        <v>Dedicated Feedback and Edit Models Empower Inference-Time Scaling for Open-Ended General-Domain Tasks</v>
      </c>
      <c r="C2896" s="7" t="str">
        <f>IFERROR(__xludf.DUMMYFUNCTION("""COMPUTED_VALUE"""),"Inference-Time Scaling has been critical to the success of recent models such as OpenAI o1 and DeepSeek R1. However, many techniques used to train models for inference-time scaling require tasks to have answers that can be verified, limiting their applica"&amp;"tion to domains such as math, coding and logical reasoning. We take inspiration from how humans make first attempts, ask for detailed feedback from others and make improvements based on such feedback across a wide spectrum of open-ended endeavors. To this"&amp;" end, we collect HelpSteer3 data to train dedicated Feedback and Edit Models that are capable of performing inference-time scaling for open-ended general-domain tasks. In our setup, one model generates an initial response, which are given feedback by a se"&amp;"cond model, that are then used by a third model to edit the response. We show that performance on Arena Hard, a benchmark strongly predictive of Chatbot Arena Elo can be boosted by scaling the number of initial response drafts, effective feedback and edit"&amp;"ed responses. When scaled optimally, our setup based on 70B models from the Llama 3 family can reach SoTA performance on Arena Hard at 92.7 as of 5 Mar 2025, surpassing OpenAI o1-preview-2024-09-12 with 90.4 and DeepSeek R1 with 92.3.")</f>
        <v>Inference-Time Scaling has been critical to the success of recent models such as OpenAI o1 and DeepSeek R1. However, many techniques used to train models for inference-time scaling require tasks to have answers that can be verified, limiting their application to domains such as math, coding and logical reasoning. We take inspiration from how humans make first attempts, ask for detailed feedback from others and make improvements based on such feedback across a wide spectrum of open-ended endeavors. To this end, we collect HelpSteer3 data to train dedicated Feedback and Edit Models that are capable of performing inference-time scaling for open-ended general-domain tasks. In our setup, one model generates an initial response, which are given feedback by a second model, that are then used by a third model to edit the response. We show that performance on Arena Hard, a benchmark strongly predictive of Chatbot Arena Elo can be boosted by scaling the number of initial response drafts, effective feedback and edited responses. When scaled optimally, our setup based on 70B models from the Llama 3 family can reach SoTA performance on Arena Hard at 92.7 as of 5 Mar 2025, surpassing OpenAI o1-preview-2024-09-12 with 90.4 and DeepSeek R1 with 92.3.</v>
      </c>
      <c r="D2896" s="7" t="str">
        <f>IFERROR(__xludf.DUMMYFUNCTION("""COMPUTED_VALUE"""),"Zhilin Wang")</f>
        <v>Zhilin Wang</v>
      </c>
      <c r="E2896" s="7" t="str">
        <f>IFERROR(__xludf.DUMMYFUNCTION("""COMPUTED_VALUE"""),"Yes")</f>
        <v>Yes</v>
      </c>
      <c r="F2896" s="7" t="str">
        <f>IFERROR(__xludf.DUMMYFUNCTION("""COMPUTED_VALUE"""),"IP-Poster")</f>
        <v>IP-Poster</v>
      </c>
      <c r="G2896" s="7" t="str">
        <f>IFERROR(__xludf.DUMMYFUNCTION("""COMPUTED_VALUE"""),"In-Person")</f>
        <v>In-Person</v>
      </c>
      <c r="H2896" s="7" t="str">
        <f>IFERROR(__xludf.DUMMYFUNCTION("""COMPUTED_VALUE"""),"Hall 4/5")</f>
        <v>Hall 4/5</v>
      </c>
      <c r="I2896" s="7" t="str">
        <f>IFERROR(__xludf.DUMMYFUNCTION("""COMPUTED_VALUE"""),"Session 10: IP-Posters")</f>
        <v>Session 10: IP-Posters</v>
      </c>
      <c r="J2896" s="7" t="str">
        <f>IFERROR(__xludf.DUMMYFUNCTION("""COMPUTED_VALUE"""),"Poster Session 3")</f>
        <v>Poster Session 3</v>
      </c>
      <c r="K2896" s="7"/>
      <c r="L2896" s="8">
        <f>IFERROR(__xludf.DUMMYFUNCTION("""COMPUTED_VALUE"""),45867.0)</f>
        <v>45867</v>
      </c>
      <c r="M2896" s="7" t="str">
        <f>IFERROR(__xludf.DUMMYFUNCTION("""COMPUTED_VALUE"""),"16:00-17:30")</f>
        <v>16:00-17:30</v>
      </c>
      <c r="N2896" s="7"/>
    </row>
    <row r="2897">
      <c r="A2897" s="7" t="str">
        <f>IFERROR(__xludf.DUMMYFUNCTION("""COMPUTED_VALUE"""),"3597-MAIN")</f>
        <v>3597-MAIN</v>
      </c>
      <c r="B2897" s="7" t="str">
        <f>IFERROR(__xludf.DUMMYFUNCTION("""COMPUTED_VALUE"""),"CulturalBench: A Robust, Diverse and Challenging Benchmark for Measuring LMs' Cultural Knowledge Through Human-AI Red-Teaming")</f>
        <v>CulturalBench: A Robust, Diverse and Challenging Benchmark for Measuring LMs' Cultural Knowledge Through Human-AI Red-Teaming</v>
      </c>
      <c r="C2897" s="7" t="str">
        <f>IFERROR(__xludf.DUMMYFUNCTION("""COMPUTED_VALUE"""),"Robust, diverse, and challenging cultural knowledge benchmarks are essential for measuring our progress towards making LMs that are helpful across diverse cultures. We introduce CulturalBench: a set of 1,696 human-written and human-verified questions to a"&amp;"ssess LMs’ cultural knowledge, covering 45 global regions including underrepresented ones like Bangladesh, Zimbabwe, and Peru. Questions are each verified by five independent annotators and span 17 diverse topics ranging from food preferences to greeting "&amp;"etiquette. We construct CulturalBench using methods inspired by Human-AI Red-Teaming. Compared to human performance (92.4% accuracy), the hard version of CulturalBench is challenging even for the best-performing frontier LMs, ranging from 28.7% to 61.5% i"&amp;"n accuracy. We find that LMs often struggle with tricky questions that have multiple correct answers (e.g., What utensils do the Chinese usually use?), revealing a tendency to overfit to a single answer. Our results indicate that GPT-4o substantially outp"&amp;"erform other models across cultures, besting local providers (e.g., Mistral on European culture and DeepSeek on Chinese culture). Across the board, models under-perform on questions related to North Africa, South America and Middle East.")</f>
        <v>Robust, diverse, and challenging cultural knowledge benchmarks are essential for measuring our progress towards making LMs that are helpful across diverse cultures. We introduce CulturalBench: a set of 1,696 human-written and human-verified questions to assess LMs’ cultural knowledge, covering 45 global regions including underrepresented ones like Bangladesh, Zimbabwe, and Peru. Questions are each verified by five independent annotators and span 17 diverse topics ranging from food preferences to greeting etiquette. We construct CulturalBench using methods inspired by Human-AI Red-Teaming. Compared to human performance (92.4% accuracy), the hard version of CulturalBench is challenging even for the best-performing frontier LMs, ranging from 28.7% to 61.5% in accuracy. We find that LMs often struggle with tricky questions that have multiple correct answers (e.g., What utensils do the Chinese usually use?), revealing a tendency to overfit to a single answer. Our results indicate that GPT-4o substantially outperform other models across cultures, besting local providers (e.g., Mistral on European culture and DeepSeek on Chinese culture). Across the board, models under-perform on questions related to North Africa, South America and Middle East.</v>
      </c>
      <c r="D2897" s="7" t="str">
        <f>IFERROR(__xludf.DUMMYFUNCTION("""COMPUTED_VALUE"""),"Yu Ying Chiu")</f>
        <v>Yu Ying Chiu</v>
      </c>
      <c r="E2897" s="7" t="str">
        <f>IFERROR(__xludf.DUMMYFUNCTION("""COMPUTED_VALUE"""),"Yes")</f>
        <v>Yes</v>
      </c>
      <c r="F2897" s="7" t="str">
        <f>IFERROR(__xludf.DUMMYFUNCTION("""COMPUTED_VALUE"""),"IP-Poster")</f>
        <v>IP-Poster</v>
      </c>
      <c r="G2897" s="7" t="str">
        <f>IFERROR(__xludf.DUMMYFUNCTION("""COMPUTED_VALUE"""),"In-Person")</f>
        <v>In-Person</v>
      </c>
      <c r="H2897" s="7" t="str">
        <f>IFERROR(__xludf.DUMMYFUNCTION("""COMPUTED_VALUE"""),"Hall 4/5")</f>
        <v>Hall 4/5</v>
      </c>
      <c r="I2897" s="7" t="str">
        <f>IFERROR(__xludf.DUMMYFUNCTION("""COMPUTED_VALUE"""),"Session 2: IP-Posters ")</f>
        <v>Session 2: IP-Posters </v>
      </c>
      <c r="J2897" s="7" t="str">
        <f>IFERROR(__xludf.DUMMYFUNCTION("""COMPUTED_VALUE"""),"Poster Session 1")</f>
        <v>Poster Session 1</v>
      </c>
      <c r="K2897" s="7"/>
      <c r="L2897" s="8">
        <f>IFERROR(__xludf.DUMMYFUNCTION("""COMPUTED_VALUE"""),45866.0)</f>
        <v>45866</v>
      </c>
      <c r="M2897" s="7" t="str">
        <f>IFERROR(__xludf.DUMMYFUNCTION("""COMPUTED_VALUE"""),"11:00-12:30")</f>
        <v>11:00-12:30</v>
      </c>
      <c r="N2897" s="7"/>
    </row>
    <row r="2898">
      <c r="A2898" s="7" t="str">
        <f>IFERROR(__xludf.DUMMYFUNCTION("""COMPUTED_VALUE"""),"3599-MAIN")</f>
        <v>3599-MAIN</v>
      </c>
      <c r="B2898" s="7" t="str">
        <f>IFERROR(__xludf.DUMMYFUNCTION("""COMPUTED_VALUE"""),"Balancing the Budget: Understanding Trade-offs Between Supervised and Preference-Based Finetuning")</f>
        <v>Balancing the Budget: Understanding Trade-offs Between Supervised and Preference-Based Finetuning</v>
      </c>
      <c r="C2898" s="7" t="str">
        <f>IFERROR(__xludf.DUMMYFUNCTION("""COMPUTED_VALUE"""),"Post-training of Large Language Models often involves a pipeline of Supervised Finetuning (SFT) followed by Preference Finetuning (PFT) using methods like Direct Preference Optimization. Both stages require annotated data that are very different in struct"&amp;"ure and costs.  We study how to optimally allocate a fixed training data budget between the two stages, through extensive experiments spanning four diverse tasks, multiple model sizes and various data annotation costs. Our findings reveal that just SFT on"&amp;" the base model dominates performance in low-data regimes ($&lt;1,000$ annotated examples). With larger data-budgets, we observe that a combination of SFT and PFT, often with increasing portions allocated towards preference data yields optimal performance. H"&amp;"owever, completely eliminating SFT and running PFT directly on the base model yields suboptimal performance, described as the cold start problem on tasks like mathematics. We observe that this is due to the distribution shift arising from using DPO direct"&amp;"ly on the base model to elicit step-by-step reasoning. This limitation can be effectively addressed by allocating even a small portion ($&lt;10$\%) of the budget to SFT first, resulting in performance improvements of $15-20$\% on analytical benchmarks like G"&amp;"SM8k. These results provide actionable insights for researchers and practitioners optimizing model development under budget constraints, where high-quality data curation often represents a significant portion of the total costs of model development.")</f>
        <v>Post-training of Large Language Models often involves a pipeline of Supervised Finetuning (SFT) followed by Preference Finetuning (PFT) using methods like Direct Preference Optimization. Both stages require annotated data that are very different in structure and costs.  We study how to optimally allocate a fixed training data budget between the two stages, through extensive experiments spanning four diverse tasks, multiple model sizes and various data annotation costs. Our findings reveal that just SFT on the base model dominates performance in low-data regimes ($&lt;1,000$ annotated examples). With larger data-budgets, we observe that a combination of SFT and PFT, often with increasing portions allocated towards preference data yields optimal performance. However, completely eliminating SFT and running PFT directly on the base model yields suboptimal performance, described as the cold start problem on tasks like mathematics. We observe that this is due to the distribution shift arising from using DPO directly on the base model to elicit step-by-step reasoning. This limitation can be effectively addressed by allocating even a small portion ($&lt;10$\%) of the budget to SFT first, resulting in performance improvements of $15-20$\% on analytical benchmarks like GSM8k. These results provide actionable insights for researchers and practitioners optimizing model development under budget constraints, where high-quality data curation often represents a significant portion of the total costs of model development.</v>
      </c>
      <c r="D2898" s="7" t="str">
        <f>IFERROR(__xludf.DUMMYFUNCTION("""COMPUTED_VALUE"""),"Mohit Raghavendra")</f>
        <v>Mohit Raghavendra</v>
      </c>
      <c r="E2898" s="7" t="str">
        <f>IFERROR(__xludf.DUMMYFUNCTION("""COMPUTED_VALUE"""),"Yes")</f>
        <v>Yes</v>
      </c>
      <c r="F2898" s="7" t="str">
        <f>IFERROR(__xludf.DUMMYFUNCTION("""COMPUTED_VALUE"""),"V-Presentation")</f>
        <v>V-Presentation</v>
      </c>
      <c r="G2898" s="7" t="str">
        <f>IFERROR(__xludf.DUMMYFUNCTION("""COMPUTED_VALUE"""),"Virtual/Gather")</f>
        <v>Virtual/Gather</v>
      </c>
      <c r="H2898" s="7" t="str">
        <f>IFERROR(__xludf.DUMMYFUNCTION("""COMPUTED_VALUE"""),"Zoom")</f>
        <v>Zoom</v>
      </c>
      <c r="I2898" s="7" t="str">
        <f>IFERROR(__xludf.DUMMYFUNCTION("""COMPUTED_VALUE"""),"Session 10: V-Presenations")</f>
        <v>Session 10: V-Presenations</v>
      </c>
      <c r="J2898" s="7" t="str">
        <f>IFERROR(__xludf.DUMMYFUNCTION("""COMPUTED_VALUE"""),"Virtual Presentations 3")</f>
        <v>Virtual Presentations 3</v>
      </c>
      <c r="K2898" s="7"/>
      <c r="L2898" s="8">
        <f>IFERROR(__xludf.DUMMYFUNCTION("""COMPUTED_VALUE"""),45867.0)</f>
        <v>45867</v>
      </c>
      <c r="M2898" s="7" t="str">
        <f>IFERROR(__xludf.DUMMYFUNCTION("""COMPUTED_VALUE"""),"16:00-17:30")</f>
        <v>16:00-17:30</v>
      </c>
      <c r="N2898" s="7"/>
    </row>
    <row r="2899">
      <c r="A2899" s="7" t="str">
        <f>IFERROR(__xludf.DUMMYFUNCTION("""COMPUTED_VALUE"""),"3603-MAIN")</f>
        <v>3603-MAIN</v>
      </c>
      <c r="B2899" s="7" t="str">
        <f>IFERROR(__xludf.DUMMYFUNCTION("""COMPUTED_VALUE"""),"All That Glitters is Not Novel: Plagiarism in AI Generated Research")</f>
        <v>All That Glitters is Not Novel: Plagiarism in AI Generated Research</v>
      </c>
      <c r="C2899" s="7" t="str">
        <f>IFERROR(__xludf.DUMMYFUNCTION("""COMPUTED_VALUE"""),"Automating scientific research is considered the final frontier of science. Recently, several papers claim autonomous research agents can generate novel research ideas. Amidst the prevailing optimism, we document a critical concern: a considerable fractio"&amp;"n of such research documents are smartly plagiarized. Unlike past efforts where experts evaluate the novelty and feasibility of research ideas, we request $13$ experts to operate under a different situational logic: to identify similarities between LLM-ge"&amp;"nerated research documents and existing work. Concerningly, the experts identify $24$% of the $50$ evaluated research documents to be either paraphrased (with one-to-one methodological mapping), or significantly borrowed from existing work. These reported"&amp;" instances are cross-verified by authors of the source papers. Experts find an additional $32$% ideas to partially overlap with prior work, and a small fraction to be completely original. Problematically, these LLM-generated research documents do not ackn"&amp;"owledge original sources, and bypass inbuilt plagiarism detectors. Lastly, through controlled experiments we show that automated plagiarism detectors are inadequate at catching plagiarized ideas from such systems. We recommend a careful assessment of LLM-"&amp;"generated research, and discuss the implications of our findings on academic publishing.")</f>
        <v>Automating scientific research is considered the final frontier of science. Recently, several papers claim autonomous research agents can generate novel research ideas. Amidst the prevailing optimism, we document a critical concern: a considerable fraction of such research documents are smartly plagiarized. Unlike past efforts where experts evaluate the novelty and feasibility of research ideas, we request $13$ experts to operate under a different situational logic: to identify similarities between LLM-generated research documents and existing work. Concerningly, the experts identify $24$% of the $50$ evaluated research documents to be either paraphrased (with one-to-one methodological mapping), or significantly borrowed from existing work. These reported instances are cross-verified by authors of the source papers. Experts find an additional $32$% ideas to partially overlap with prior work, and a small fraction to be completely original. Problematically, these LLM-generated research documents do not acknowledge original sources, and bypass inbuilt plagiarism detectors. Lastly, through controlled experiments we show that automated plagiarism detectors are inadequate at catching plagiarized ideas from such systems. We recommend a careful assessment of LLM-generated research, and discuss the implications of our findings on academic publishing.</v>
      </c>
      <c r="D2899" s="7" t="str">
        <f>IFERROR(__xludf.DUMMYFUNCTION("""COMPUTED_VALUE"""),"Danish Pruthi")</f>
        <v>Danish Pruthi</v>
      </c>
      <c r="E2899" s="7" t="str">
        <f>IFERROR(__xludf.DUMMYFUNCTION("""COMPUTED_VALUE"""),"Yes")</f>
        <v>Yes</v>
      </c>
      <c r="F2899" s="7" t="str">
        <f>IFERROR(__xludf.DUMMYFUNCTION("""COMPUTED_VALUE"""),"IP-Poster")</f>
        <v>IP-Poster</v>
      </c>
      <c r="G2899" s="7" t="str">
        <f>IFERROR(__xludf.DUMMYFUNCTION("""COMPUTED_VALUE"""),"In-Person")</f>
        <v>In-Person</v>
      </c>
      <c r="H2899" s="7" t="str">
        <f>IFERROR(__xludf.DUMMYFUNCTION("""COMPUTED_VALUE"""),"Hall 4/5")</f>
        <v>Hall 4/5</v>
      </c>
      <c r="I2899" s="7" t="str">
        <f>IFERROR(__xludf.DUMMYFUNCTION("""COMPUTED_VALUE"""),"Session 10: IP-Posters")</f>
        <v>Session 10: IP-Posters</v>
      </c>
      <c r="J2899" s="7" t="str">
        <f>IFERROR(__xludf.DUMMYFUNCTION("""COMPUTED_VALUE"""),"Poster Session 3")</f>
        <v>Poster Session 3</v>
      </c>
      <c r="K2899" s="7"/>
      <c r="L2899" s="8">
        <f>IFERROR(__xludf.DUMMYFUNCTION("""COMPUTED_VALUE"""),45867.0)</f>
        <v>45867</v>
      </c>
      <c r="M2899" s="7" t="str">
        <f>IFERROR(__xludf.DUMMYFUNCTION("""COMPUTED_VALUE"""),"16:00-17:30")</f>
        <v>16:00-17:30</v>
      </c>
      <c r="N2899" s="7"/>
    </row>
    <row r="2900">
      <c r="A2900" s="7" t="str">
        <f>IFERROR(__xludf.DUMMYFUNCTION("""COMPUTED_VALUE"""),"3607-MAIN")</f>
        <v>3607-MAIN</v>
      </c>
      <c r="B2900" s="7" t="str">
        <f>IFERROR(__xludf.DUMMYFUNCTION("""COMPUTED_VALUE"""),"Writing Like the Best: Exemplar-Based Expository Text Generation")</f>
        <v>Writing Like the Best: Exemplar-Based Expository Text Generation</v>
      </c>
      <c r="C2900" s="7" t="str">
        <f>IFERROR(__xludf.DUMMYFUNCTION("""COMPUTED_VALUE"""),"We introduce the Exemplar-Based Expository Text Generation task, aiming to generate an expository text on a new topic using an exemplar on a similar topic. Current methods fall short due to their reliance on extensive exemplar data, difficulty in adapting"&amp;" topic-specific content, and issues with long-text coherence. To address these challenges, we propose the concept of Adaptive Imitation and present a novel Recurrent Plan-then-Adapt (RePA) framework. RePA leverages large language models (LLMs) for effecti"&amp;"ve adaptive imitation through a fine-grained plan-then-adapt process. RePA also enables recurrent segment-by-segment imitation, supported by two memory structures that enhance input clarity and output coherence. We also develop task-specific evaluation me"&amp;"trics--imitativeness, adaptiveness, and adaptive-imitativeness--using LLMs as evaluators. Experimental results across our collected three diverse datasets demonstrate that RePA surpasses existing baselines in producing factual, consistent, and relevant te"&amp;"xts for this task.")</f>
        <v>We introduce the Exemplar-Based Expository Text Generation task, aiming to generate an expository text on a new topic using an exemplar on a similar topic. Current methods fall short due to their reliance on extensive exemplar data, difficulty in adapting topic-specific content, and issues with long-text coherence. To address these challenges, we propose the concept of Adaptive Imitation and present a novel Recurrent Plan-then-Adapt (RePA) framework. RePA leverages large language models (LLMs) for effective adaptive imitation through a fine-grained plan-then-adapt process. RePA also enables recurrent segment-by-segment imitation, supported by two memory structures that enhance input clarity and output coherence. We also develop task-specific evaluation metrics--imitativeness, adaptiveness, and adaptive-imitativeness--using LLMs as evaluators. Experimental results across our collected three diverse datasets demonstrate that RePA surpasses existing baselines in producing factual, consistent, and relevant texts for this task.</v>
      </c>
      <c r="D2900" s="7" t="str">
        <f>IFERROR(__xludf.DUMMYFUNCTION("""COMPUTED_VALUE"""),"Yuxiang Liu")</f>
        <v>Yuxiang Liu</v>
      </c>
      <c r="E2900" s="7" t="str">
        <f>IFERROR(__xludf.DUMMYFUNCTION("""COMPUTED_VALUE"""),"Yes")</f>
        <v>Yes</v>
      </c>
      <c r="F2900" s="7" t="str">
        <f>IFERROR(__xludf.DUMMYFUNCTION("""COMPUTED_VALUE"""),"IP-Poster")</f>
        <v>IP-Poster</v>
      </c>
      <c r="G2900" s="7" t="str">
        <f>IFERROR(__xludf.DUMMYFUNCTION("""COMPUTED_VALUE"""),"In-Person")</f>
        <v>In-Person</v>
      </c>
      <c r="H2900" s="7" t="str">
        <f>IFERROR(__xludf.DUMMYFUNCTION("""COMPUTED_VALUE"""),"Hall 4/5")</f>
        <v>Hall 4/5</v>
      </c>
      <c r="I2900" s="7" t="str">
        <f>IFERROR(__xludf.DUMMYFUNCTION("""COMPUTED_VALUE"""),"Session 2: IP-Posters ")</f>
        <v>Session 2: IP-Posters </v>
      </c>
      <c r="J2900" s="7" t="str">
        <f>IFERROR(__xludf.DUMMYFUNCTION("""COMPUTED_VALUE"""),"Poster Session 1")</f>
        <v>Poster Session 1</v>
      </c>
      <c r="K2900" s="7"/>
      <c r="L2900" s="8">
        <f>IFERROR(__xludf.DUMMYFUNCTION("""COMPUTED_VALUE"""),45866.0)</f>
        <v>45866</v>
      </c>
      <c r="M2900" s="7" t="str">
        <f>IFERROR(__xludf.DUMMYFUNCTION("""COMPUTED_VALUE"""),"11:00-12:30")</f>
        <v>11:00-12:30</v>
      </c>
      <c r="N2900" s="7"/>
    </row>
    <row r="2901">
      <c r="A2901" s="7" t="str">
        <f>IFERROR(__xludf.DUMMYFUNCTION("""COMPUTED_VALUE"""),"3615-MAIN")</f>
        <v>3615-MAIN</v>
      </c>
      <c r="B2901" s="7" t="str">
        <f>IFERROR(__xludf.DUMMYFUNCTION("""COMPUTED_VALUE"""),"Temporal Relation Extraction in Clinical Texts: A Span-based Graph Transformer Approach")</f>
        <v>Temporal Relation Extraction in Clinical Texts: A Span-based Graph Transformer Approach</v>
      </c>
      <c r="C2901" s="7" t="str">
        <f>IFERROR(__xludf.DUMMYFUNCTION("""COMPUTED_VALUE"""),"Temporal information extraction from unstructured text is essential for contextualizing events and deriving actionable insights, particularly in the medical domain. We address the task of extracting clinical events and their temporal relations using the w"&amp;"ell-studied I2B2 2012 Temporal Relations Challenge corpus. This task is inherently challenging due to complex clinical language, long documents, and sparse annotations. We introduce GraphTREx, a novel method integrating span-based entity-relation extracti"&amp;"on, clinical large pre-trained language models (LPLMs), and Heterogeneous Graph Transformers (HGT) to capture local and global dependencies. Our HGT component facilitates information propagation across the document through innovative global landmarks that"&amp;" bridge distant entities and improves the state-of-the-art with 5.5% improvement in the tempeval F1 score over the previous best and up to 8.9% improvement on long-range relations, which presents a formidable challenge. We further demonstrate generalizabi"&amp;"lity by establishing a strong baseline on the E3C corpus. Not only does this work advance temporal information extraction, but also lays the groundwork for improved diagnostic and prognostic models through enhanced temporal reasoning.")</f>
        <v>Temporal information extraction from unstructured text is essential for contextualizing events and deriving actionable insights, particularly in the medical domain. We address the task of extracting clinical events and their temporal relations using the well-studied I2B2 2012 Temporal Relations Challenge corpus. This task is inherently challenging due to complex clinical language, long documents, and sparse annotations. We introduce GraphTREx, a novel method integrating span-based entity-relation extraction, clinical large pre-trained language models (LPLMs), and Heterogeneous Graph Transformers (HGT) to capture local and global dependencies. Our HGT component facilitates information propagation across the document through innovative global landmarks that bridge distant entities and improves the state-of-the-art with 5.5% improvement in the tempeval F1 score over the previous best and up to 8.9% improvement on long-range relations, which presents a formidable challenge. We further demonstrate generalizability by establishing a strong baseline on the E3C corpus. Not only does this work advance temporal information extraction, but also lays the groundwork for improved diagnostic and prognostic models through enhanced temporal reasoning.</v>
      </c>
      <c r="D2901" s="7" t="str">
        <f>IFERROR(__xludf.DUMMYFUNCTION("""COMPUTED_VALUE"""),"Barbara Di Eugenio")</f>
        <v>Barbara Di Eugenio</v>
      </c>
      <c r="E2901" s="7" t="str">
        <f>IFERROR(__xludf.DUMMYFUNCTION("""COMPUTED_VALUE"""),"Yes")</f>
        <v>Yes</v>
      </c>
      <c r="F2901" s="7" t="str">
        <f>IFERROR(__xludf.DUMMYFUNCTION("""COMPUTED_VALUE"""),"IP-Poster")</f>
        <v>IP-Poster</v>
      </c>
      <c r="G2901" s="7" t="str">
        <f>IFERROR(__xludf.DUMMYFUNCTION("""COMPUTED_VALUE"""),"In-Person")</f>
        <v>In-Person</v>
      </c>
      <c r="H2901" s="7" t="str">
        <f>IFERROR(__xludf.DUMMYFUNCTION("""COMPUTED_VALUE"""),"Hall 4/5")</f>
        <v>Hall 4/5</v>
      </c>
      <c r="I2901" s="7" t="str">
        <f>IFERROR(__xludf.DUMMYFUNCTION("""COMPUTED_VALUE"""),"Session 10: IP-Posters")</f>
        <v>Session 10: IP-Posters</v>
      </c>
      <c r="J2901" s="7" t="str">
        <f>IFERROR(__xludf.DUMMYFUNCTION("""COMPUTED_VALUE"""),"Poster Session 3")</f>
        <v>Poster Session 3</v>
      </c>
      <c r="K2901" s="7"/>
      <c r="L2901" s="8">
        <f>IFERROR(__xludf.DUMMYFUNCTION("""COMPUTED_VALUE"""),45867.0)</f>
        <v>45867</v>
      </c>
      <c r="M2901" s="7" t="str">
        <f>IFERROR(__xludf.DUMMYFUNCTION("""COMPUTED_VALUE"""),"16:00-17:30")</f>
        <v>16:00-17:30</v>
      </c>
      <c r="N2901" s="7"/>
    </row>
    <row r="2902">
      <c r="A2902" s="7" t="str">
        <f>IFERROR(__xludf.DUMMYFUNCTION("""COMPUTED_VALUE"""),"3617-MAIN")</f>
        <v>3617-MAIN</v>
      </c>
      <c r="B2902" s="7" t="str">
        <f>IFERROR(__xludf.DUMMYFUNCTION("""COMPUTED_VALUE"""),"Finding A Voice: Exploring the Potential of African American Dialect and Voice Generation for Chatbots")</f>
        <v>Finding A Voice: Exploring the Potential of African American Dialect and Voice Generation for Chatbots</v>
      </c>
      <c r="C2902" s="7" t="str">
        <f>IFERROR(__xludf.DUMMYFUNCTION("""COMPUTED_VALUE"""),"As chatbots become integral to daily life, personalizing systems is key for fostering trust, engagement, and inclusivity. This study examines how linguistic similarity affects chatbot performance, focusing on integrating African American English (AAE) int"&amp;"o virtual agents to better serve the African American community. We develop text-based and spoken chatbots using large language models and text-to-speech technology, then evaluate them with AAE speakers against standard English chatbots. Our results show "&amp;"that while text-based AAE chatbots often underperform, spoken chatbots benefit from an African American voice and AAE elements, improving performance and preference. These findings underscore the complexities of linguistic personalization and the dynamics"&amp;" between text and speech modalities, highlighting technological limitations that affect chatbots' AA speech generation and pointing to promising future research directions.")</f>
        <v>As chatbots become integral to daily life, personalizing systems is key for fostering trust, engagement, and inclusivity. This study examines how linguistic similarity affects chatbot performance, focusing on integrating African American English (AAE) into virtual agents to better serve the African American community. We develop text-based and spoken chatbots using large language models and text-to-speech technology, then evaluate them with AAE speakers against standard English chatbots. Our results show that while text-based AAE chatbots often underperform, spoken chatbots benefit from an African American voice and AAE elements, improving performance and preference. These findings underscore the complexities of linguistic personalization and the dynamics between text and speech modalities, highlighting technological limitations that affect chatbots' AA speech generation and pointing to promising future research directions.</v>
      </c>
      <c r="D2902" s="7" t="str">
        <f>IFERROR(__xludf.DUMMYFUNCTION("""COMPUTED_VALUE"""),"Ellie Paek")</f>
        <v>Ellie Paek</v>
      </c>
      <c r="E2902" s="7" t="str">
        <f>IFERROR(__xludf.DUMMYFUNCTION("""COMPUTED_VALUE"""),"Yes")</f>
        <v>Yes</v>
      </c>
      <c r="F2902" s="7" t="str">
        <f>IFERROR(__xludf.DUMMYFUNCTION("""COMPUTED_VALUE"""),"IP-Poster")</f>
        <v>IP-Poster</v>
      </c>
      <c r="G2902" s="7" t="str">
        <f>IFERROR(__xludf.DUMMYFUNCTION("""COMPUTED_VALUE"""),"In-Person")</f>
        <v>In-Person</v>
      </c>
      <c r="H2902" s="7" t="str">
        <f>IFERROR(__xludf.DUMMYFUNCTION("""COMPUTED_VALUE"""),"Hall 4/5")</f>
        <v>Hall 4/5</v>
      </c>
      <c r="I2902" s="7" t="str">
        <f>IFERROR(__xludf.DUMMYFUNCTION("""COMPUTED_VALUE"""),"Session 10: IP-Posters")</f>
        <v>Session 10: IP-Posters</v>
      </c>
      <c r="J2902" s="7" t="str">
        <f>IFERROR(__xludf.DUMMYFUNCTION("""COMPUTED_VALUE"""),"Poster Session 3")</f>
        <v>Poster Session 3</v>
      </c>
      <c r="K2902" s="7"/>
      <c r="L2902" s="8">
        <f>IFERROR(__xludf.DUMMYFUNCTION("""COMPUTED_VALUE"""),45867.0)</f>
        <v>45867</v>
      </c>
      <c r="M2902" s="7" t="str">
        <f>IFERROR(__xludf.DUMMYFUNCTION("""COMPUTED_VALUE"""),"16:00-17:30")</f>
        <v>16:00-17:30</v>
      </c>
      <c r="N2902" s="7"/>
    </row>
    <row r="2903">
      <c r="A2903" s="7" t="str">
        <f>IFERROR(__xludf.DUMMYFUNCTION("""COMPUTED_VALUE"""),"3619-MAIN")</f>
        <v>3619-MAIN</v>
      </c>
      <c r="B2903" s="7" t="str">
        <f>IFERROR(__xludf.DUMMYFUNCTION("""COMPUTED_VALUE"""),"Delta-KNN: Improving Demonstration Selection in In-Context Learning for Alzheimer's Disease Detection")</f>
        <v>Delta-KNN: Improving Demonstration Selection in In-Context Learning for Alzheimer's Disease Detection</v>
      </c>
      <c r="C2903" s="7" t="str">
        <f>IFERROR(__xludf.DUMMYFUNCTION("""COMPUTED_VALUE"""),"Alzheimer’s Disease (AD) is a progressive neurodegenerative disorder that leads to dementia, and early intervention can greatly benefit from analyzing linguistic abnormalities. In this work, we explore the potential of Large Language Models as health assi"&amp;"stants for AD diagnosis from patient-generated text using in-context learning (ICL), where tasks are defined through a few input-output examples. Empirical results reveal that conventional ICL methods, such as similarity-based selection, perform poorly fo"&amp;"r AD diagnosis, likely due to the inherent complexity of this task. To address this, we introduce Delta-KNN, a novel demonstration selection strategy that enhances ICL performance. Our method leverages a delta score to assess the relative gains of each tr"&amp;"aining example, coupled with a KNN-based retriever that dynamically selects optimal ``representatives'' for a given input.
Experiments on two AD detection datasets across three models demonstrate that Delta-KNN consistently outperforms existing ICL baseli"&amp;"nes. Notably, when using the Llama-3.1 model, our approach achieves new state-of-the-art results, surpassing even supervised classifiers.")</f>
        <v>Alzheimer’s Disease (AD) is a progressive neurodegenerative disorder that leads to dementia, and early intervention can greatly benefit from analyzing linguistic abnormalities. In this work, we explore the potential of Large Language Models as health assistants for AD diagnosis from patient-generated text using in-context learning (ICL), where tasks are defined through a few input-output examples. Empirical results reveal that conventional ICL methods, such as similarity-based selection, perform poorly for AD diagnosis, likely due to the inherent complexity of this task. To address this, we introduce Delta-KNN, a novel demonstration selection strategy that enhances ICL performance. Our method leverages a delta score to assess the relative gains of each training example, coupled with a KNN-based retriever that dynamically selects optimal ``representatives'' for a given input.
Experiments on two AD detection datasets across three models demonstrate that Delta-KNN consistently outperforms existing ICL baselines. Notably, when using the Llama-3.1 model, our approach achieves new state-of-the-art results, surpassing even supervised classifiers.</v>
      </c>
      <c r="D2903" s="7" t="str">
        <f>IFERROR(__xludf.DUMMYFUNCTION("""COMPUTED_VALUE"""),"Chuyuan Li")</f>
        <v>Chuyuan Li</v>
      </c>
      <c r="E2903" s="7" t="str">
        <f>IFERROR(__xludf.DUMMYFUNCTION("""COMPUTED_VALUE"""),"Yes")</f>
        <v>Yes</v>
      </c>
      <c r="F2903" s="7" t="str">
        <f>IFERROR(__xludf.DUMMYFUNCTION("""COMPUTED_VALUE"""),"IP-Poster")</f>
        <v>IP-Poster</v>
      </c>
      <c r="G2903" s="7" t="str">
        <f>IFERROR(__xludf.DUMMYFUNCTION("""COMPUTED_VALUE"""),"In-Person")</f>
        <v>In-Person</v>
      </c>
      <c r="H2903" s="7" t="str">
        <f>IFERROR(__xludf.DUMMYFUNCTION("""COMPUTED_VALUE"""),"Hall 4/5")</f>
        <v>Hall 4/5</v>
      </c>
      <c r="I2903" s="7" t="str">
        <f>IFERROR(__xludf.DUMMYFUNCTION("""COMPUTED_VALUE"""),"Session 7: IP-Posters")</f>
        <v>Session 7: IP-Posters</v>
      </c>
      <c r="J2903" s="7" t="str">
        <f>IFERROR(__xludf.DUMMYFUNCTION("""COMPUTED_VALUE"""),"Poster Session 2")</f>
        <v>Poster Session 2</v>
      </c>
      <c r="K2903" s="7"/>
      <c r="L2903" s="8">
        <f>IFERROR(__xludf.DUMMYFUNCTION("""COMPUTED_VALUE"""),45867.0)</f>
        <v>45867</v>
      </c>
      <c r="M2903" s="7" t="str">
        <f>IFERROR(__xludf.DUMMYFUNCTION("""COMPUTED_VALUE"""),"10:30-12:00")</f>
        <v>10:30-12:00</v>
      </c>
      <c r="N2903" s="7"/>
    </row>
    <row r="2904">
      <c r="A2904" s="7" t="str">
        <f>IFERROR(__xludf.DUMMYFUNCTION("""COMPUTED_VALUE"""),"3621-MAIN")</f>
        <v>3621-MAIN</v>
      </c>
      <c r="B2904" s="7" t="str">
        <f>IFERROR(__xludf.DUMMYFUNCTION("""COMPUTED_VALUE"""),"Help Me Write a Story: Evaluating LLMs’ Ability to Generate Writing Feedback")</f>
        <v>Help Me Write a Story: Evaluating LLMs’ Ability to Generate Writing Feedback</v>
      </c>
      <c r="C2904" s="7" t="str">
        <f>IFERROR(__xludf.DUMMYFUNCTION("""COMPUTED_VALUE"""),"Can LLMs provide support to creative writers by giving meaningful writing feedback? In this paper, we explore the challenges and limitations of model-generated writing feedback by defining a new task, dataset, and evaluation frameworks. To study model per"&amp;"formance in a controlled manner, we present a novel test set of 1,300 stories that we corrupted to intentionally introduce writing issues. We study the performance of commonly used LLMs in this task with both automatic and human evaluation metrics. Our an"&amp;"alysis shows that current models have strong out-of-the-box behavior in many respects—providing specific and mostly accurate writing feedback. However, models often fail to identify the biggest writing issue in the story and to correctly decide when to of"&amp;"fer critical vs. positive feedback.")</f>
        <v>Can LLMs provide support to creative writers by giving meaningful writing feedback? In this paper, we explore the challenges and limitations of model-generated writing feedback by defining a new task, dataset, and evaluation frameworks. To study model performance in a controlled manner, we present a novel test set of 1,300 stories that we corrupted to intentionally introduce writing issues. We study the performance of commonly used LLMs in this task with both automatic and human evaluation metrics. Our analysis shows that current models have strong out-of-the-box behavior in many respects—providing specific and mostly accurate writing feedback. However, models often fail to identify the biggest writing issue in the story and to correctly decide when to offer critical vs. positive feedback.</v>
      </c>
      <c r="D2904" s="7" t="str">
        <f>IFERROR(__xludf.DUMMYFUNCTION("""COMPUTED_VALUE"""),"Hannah Rashkin")</f>
        <v>Hannah Rashkin</v>
      </c>
      <c r="E2904" s="7" t="str">
        <f>IFERROR(__xludf.DUMMYFUNCTION("""COMPUTED_VALUE"""),"Yes")</f>
        <v>Yes</v>
      </c>
      <c r="F2904" s="7" t="str">
        <f>IFERROR(__xludf.DUMMYFUNCTION("""COMPUTED_VALUE"""),"IP-Poster")</f>
        <v>IP-Poster</v>
      </c>
      <c r="G2904" s="7" t="str">
        <f>IFERROR(__xludf.DUMMYFUNCTION("""COMPUTED_VALUE"""),"In-Person")</f>
        <v>In-Person</v>
      </c>
      <c r="H2904" s="7" t="str">
        <f>IFERROR(__xludf.DUMMYFUNCTION("""COMPUTED_VALUE"""),"Hall 4/5")</f>
        <v>Hall 4/5</v>
      </c>
      <c r="I2904" s="7" t="str">
        <f>IFERROR(__xludf.DUMMYFUNCTION("""COMPUTED_VALUE"""),"Session 10: IP-Posters")</f>
        <v>Session 10: IP-Posters</v>
      </c>
      <c r="J2904" s="7" t="str">
        <f>IFERROR(__xludf.DUMMYFUNCTION("""COMPUTED_VALUE"""),"Poster Session 3")</f>
        <v>Poster Session 3</v>
      </c>
      <c r="K2904" s="7"/>
      <c r="L2904" s="8">
        <f>IFERROR(__xludf.DUMMYFUNCTION("""COMPUTED_VALUE"""),45867.0)</f>
        <v>45867</v>
      </c>
      <c r="M2904" s="7" t="str">
        <f>IFERROR(__xludf.DUMMYFUNCTION("""COMPUTED_VALUE"""),"16:00-17:30")</f>
        <v>16:00-17:30</v>
      </c>
      <c r="N2904" s="7"/>
    </row>
    <row r="2905">
      <c r="A2905" s="7" t="str">
        <f>IFERROR(__xludf.DUMMYFUNCTION("""COMPUTED_VALUE"""),"3633-MAIN")</f>
        <v>3633-MAIN</v>
      </c>
      <c r="B2905" s="7" t="str">
        <f>IFERROR(__xludf.DUMMYFUNCTION("""COMPUTED_VALUE"""),"Language Fusion for Parameter-Efficient Cross-lingual Transfer")</f>
        <v>Language Fusion for Parameter-Efficient Cross-lingual Transfer</v>
      </c>
      <c r="C2905" s="7" t="str">
        <f>IFERROR(__xludf.DUMMYFUNCTION("""COMPUTED_VALUE"""),"Limited availability of multilingual text corpora for training language models often leads to poor performance on downstream tasks due to undertrained representation spaces for languages other than English. This 'under-representation' has motivated recent"&amp;" cross-lingual transfer methods to leverage the English representation space by e.g. mixing English and 'non-English' tokens at the input level or extending model parameters to accommodate new languages. However, these approaches often come at the cost of"&amp;" increased computational complexity. We propose Fusion for Language Representations (FLARE) in adapters, a novel method that enhances representation quality and downstream performance for languages other than English while maintaining parameter efficiency"&amp;". FLARE integrates source and target language representations within low-rank (LoRA) adapters using lightweight linear transformations, maintaining parameter efficiency while improving transfer performance. A series of experiments across representative cr"&amp;"oss-lingual natural language understanding tasks, including natural language inference, question-answering and sentiment analysis, demonstrate FLARE's effectiveness. FLARE achieves performance improvements of 4.9% for Llama 3.1 and 2.2% for Gemma 2 compar"&amp;"ed to standard LoRA fine-tuning on question-answering tasks, as measured by the exact match metric.")</f>
        <v>Limited availability of multilingual text corpora for training language models often leads to poor performance on downstream tasks due to undertrained representation spaces for languages other than English. This 'under-representation' has motivated recent cross-lingual transfer methods to leverage the English representation space by e.g. mixing English and 'non-English' tokens at the input level or extending model parameters to accommodate new languages. However, these approaches often come at the cost of increased computational complexity. We propose Fusion for Language Representations (FLARE) in adapters, a novel method that enhances representation quality and downstream performance for languages other than English while maintaining parameter efficiency. FLARE integrates source and target language representations within low-rank (LoRA) adapters using lightweight linear transformations, maintaining parameter efficiency while improving transfer performance. A series of experiments across representative cross-lingual natural language understanding tasks, including natural language inference, question-answering and sentiment analysis, demonstrate FLARE's effectiveness. FLARE achieves performance improvements of 4.9% for Llama 3.1 and 2.2% for Gemma 2 compared to standard LoRA fine-tuning on question-answering tasks, as measured by the exact match metric.</v>
      </c>
      <c r="D2905" s="7" t="str">
        <f>IFERROR(__xludf.DUMMYFUNCTION("""COMPUTED_VALUE"""),"Philipp Borchert")</f>
        <v>Philipp Borchert</v>
      </c>
      <c r="E2905" s="7" t="str">
        <f>IFERROR(__xludf.DUMMYFUNCTION("""COMPUTED_VALUE"""),"Yes")</f>
        <v>Yes</v>
      </c>
      <c r="F2905" s="7" t="str">
        <f>IFERROR(__xludf.DUMMYFUNCTION("""COMPUTED_VALUE"""),"IP-Poster")</f>
        <v>IP-Poster</v>
      </c>
      <c r="G2905" s="7" t="str">
        <f>IFERROR(__xludf.DUMMYFUNCTION("""COMPUTED_VALUE"""),"In-Person")</f>
        <v>In-Person</v>
      </c>
      <c r="H2905" s="7" t="str">
        <f>IFERROR(__xludf.DUMMYFUNCTION("""COMPUTED_VALUE"""),"Hall 4/5")</f>
        <v>Hall 4/5</v>
      </c>
      <c r="I2905" s="7" t="str">
        <f>IFERROR(__xludf.DUMMYFUNCTION("""COMPUTED_VALUE"""),"Session 7: IP-Posters")</f>
        <v>Session 7: IP-Posters</v>
      </c>
      <c r="J2905" s="7" t="str">
        <f>IFERROR(__xludf.DUMMYFUNCTION("""COMPUTED_VALUE"""),"Poster Session 2")</f>
        <v>Poster Session 2</v>
      </c>
      <c r="K2905" s="7"/>
      <c r="L2905" s="8">
        <f>IFERROR(__xludf.DUMMYFUNCTION("""COMPUTED_VALUE"""),45867.0)</f>
        <v>45867</v>
      </c>
      <c r="M2905" s="7" t="str">
        <f>IFERROR(__xludf.DUMMYFUNCTION("""COMPUTED_VALUE"""),"10:30-12:00")</f>
        <v>10:30-12:00</v>
      </c>
      <c r="N2905" s="7"/>
    </row>
    <row r="2906">
      <c r="A2906" s="7" t="str">
        <f>IFERROR(__xludf.DUMMYFUNCTION("""COMPUTED_VALUE"""),"3636-MAIN")</f>
        <v>3636-MAIN</v>
      </c>
      <c r="B2906" s="7" t="str">
        <f>IFERROR(__xludf.DUMMYFUNCTION("""COMPUTED_VALUE"""),"Culture is Not Trivia: Sociocultural Theory for Cultural NLP")</f>
        <v>Culture is Not Trivia: Sociocultural Theory for Cultural NLP</v>
      </c>
      <c r="C2906" s="7" t="str">
        <f>IFERROR(__xludf.DUMMYFUNCTION("""COMPUTED_VALUE"""),"The field of cultural NLP has recently experienced rapid growth, driven by a pressing need to ensure that language technologies are effective and safe across a pluralistic user base. This work has largely progressed without a shared conception of culture,"&amp;" instead choosing to rely on a wide array of cultural proxies. However, this leads to a number of recurring limitations: coarse national boundaries fail to capture nuanced differences that lay within them, limited coverage restricts datasets to only a sub"&amp;"set of usually highly-represented cultures, and a lack of dynamicity results in static cultural benchmarks that do not change as culture evolves. In this position paper, we argue that these methodological limitations are symptomatic of a theoretical gap. "&amp;"We draw on a well-developed theory of culture from sociocultural linguistics to fill this gap by 1) demonstrating in a case study how it can clarify methodological constraints and affordances, 2) offering theoretically-motivated paths forward to achieving"&amp;" cultural competence, and 3) arguing that localization is a more useful framing for the goals of much current work in cultural NLP.")</f>
        <v>The field of cultural NLP has recently experienced rapid growth, driven by a pressing need to ensure that language technologies are effective and safe across a pluralistic user base. This work has largely progressed without a shared conception of culture, instead choosing to rely on a wide array of cultural proxies. However, this leads to a number of recurring limitations: coarse national boundaries fail to capture nuanced differences that lay within them, limited coverage restricts datasets to only a subset of usually highly-represented cultures, and a lack of dynamicity results in static cultural benchmarks that do not change as culture evolves. In this position paper, we argue that these methodological limitations are symptomatic of a theoretical gap. We draw on a well-developed theory of culture from sociocultural linguistics to fill this gap by 1) demonstrating in a case study how it can clarify methodological constraints and affordances, 2) offering theoretically-motivated paths forward to achieving cultural competence, and 3) arguing that localization is a more useful framing for the goals of much current work in cultural NLP.</v>
      </c>
      <c r="D2906" s="7" t="str">
        <f>IFERROR(__xludf.DUMMYFUNCTION("""COMPUTED_VALUE"""),"Naitian Zhou")</f>
        <v>Naitian Zhou</v>
      </c>
      <c r="E2906" s="7" t="str">
        <f>IFERROR(__xludf.DUMMYFUNCTION("""COMPUTED_VALUE"""),"Yes")</f>
        <v>Yes</v>
      </c>
      <c r="F2906" s="7" t="str">
        <f>IFERROR(__xludf.DUMMYFUNCTION("""COMPUTED_VALUE"""),"IP-Oral")</f>
        <v>IP-Oral</v>
      </c>
      <c r="G2906" s="7" t="str">
        <f>IFERROR(__xludf.DUMMYFUNCTION("""COMPUTED_VALUE"""),"In-Person")</f>
        <v>In-Person</v>
      </c>
      <c r="H2906" s="7" t="str">
        <f>IFERROR(__xludf.DUMMYFUNCTION("""COMPUTED_VALUE"""),"Hall C")</f>
        <v>Hall C</v>
      </c>
      <c r="I2906" s="7" t="str">
        <f>IFERROR(__xludf.DUMMYFUNCTION("""COMPUTED_VALUE"""),"Session 11: IP-Orals ")</f>
        <v>Session 11: IP-Orals </v>
      </c>
      <c r="J2906" s="7" t="str">
        <f>IFERROR(__xludf.DUMMYFUNCTION("""COMPUTED_VALUE"""),"Panel 3: Human-centred NLP")</f>
        <v>Panel 3: Human-centred NLP</v>
      </c>
      <c r="K2906" s="7"/>
      <c r="L2906" s="8">
        <f>IFERROR(__xludf.DUMMYFUNCTION("""COMPUTED_VALUE"""),45868.0)</f>
        <v>45868</v>
      </c>
      <c r="M2906" s="7" t="str">
        <f>IFERROR(__xludf.DUMMYFUNCTION("""COMPUTED_VALUE"""),"09:00-10:30")</f>
        <v>09:00-10:30</v>
      </c>
      <c r="N2906" s="7">
        <f>IFERROR(__xludf.DUMMYFUNCTION("""COMPUTED_VALUE"""),4.0)</f>
        <v>4</v>
      </c>
    </row>
    <row r="2907">
      <c r="A2907" s="7" t="str">
        <f>IFERROR(__xludf.DUMMYFUNCTION("""COMPUTED_VALUE"""),"3653-MAIN")</f>
        <v>3653-MAIN</v>
      </c>
      <c r="B2907" s="7" t="str">
        <f>IFERROR(__xludf.DUMMYFUNCTION("""COMPUTED_VALUE"""),"AAD-LLM: Neural Attention-Driven Auditory Scene Understanding")</f>
        <v>AAD-LLM: Neural Attention-Driven Auditory Scene Understanding</v>
      </c>
      <c r="C2907" s="7" t="str">
        <f>IFERROR(__xludf.DUMMYFUNCTION("""COMPUTED_VALUE"""),"Auditory foundation models, including auditory large language models (LLMs), process all sound inputs equally, independent of listener perception. However, human auditory perception is inherently selective: listeners focus on specific speakers while ignor"&amp;"ing others in complex auditory scenes. Existing models do not incorporate this selectivity, limiting their ability to generate perception-aligned responses. To address this, we introduce intention-informed auditory scene understanding (II-ASU) and present"&amp;" Auditory Attention-Driven LLM (AAD-LLM), a prototype system that integrates brain signals to infer listener attention. AAD-LLM extends an auditory LLM by incorporating intracranial electroencephalography (iEEG) recordings to decode which speaker a listen"&amp;"er is attending to and refine responses accordingly. The model first predicts the attended speaker from neural activity, then conditions response generation on this inferred attentional state. We evaluate AAD-LLM on speaker description, speech transcripti"&amp;"on and extraction, and question answering in multitalker scenarios, with both objective and subjective ratings showing improved alignment with listener intention. By taking a first step toward intention-aware auditory AI, this work explores a new paradigm"&amp;" where listener perception informs machine listening, paving the way for future listener-centered auditory systems. Demo available.")</f>
        <v>Auditory foundation models, including auditory large language models (LLMs), process all sound inputs equally, independent of listener perception. However, human auditory perception is inherently selective: listeners focus on specific speakers while ignoring others in complex auditory scenes. Existing models do not incorporate this selectivity, limiting their ability to generate perception-aligned responses. To address this, we introduce intention-informed auditory scene understanding (II-ASU) and present Auditory Attention-Driven LLM (AAD-LLM), a prototype system that integrates brain signals to infer listener attention. AAD-LLM extends an auditory LLM by incorporating intracranial electroencephalography (iEEG) recordings to decode which speaker a listener is attending to and refine responses accordingly. The model first predicts the attended speaker from neural activity, then conditions response generation on this inferred attentional state. We evaluate AAD-LLM on speaker description, speech transcription and extraction, and question answering in multitalker scenarios, with both objective and subjective ratings showing improved alignment with listener intention. By taking a first step toward intention-aware auditory AI, this work explores a new paradigm where listener perception informs machine listening, paving the way for future listener-centered auditory systems. Demo available.</v>
      </c>
      <c r="D2907" s="7" t="str">
        <f>IFERROR(__xludf.DUMMYFUNCTION("""COMPUTED_VALUE"""),"Xilin Jiang")</f>
        <v>Xilin Jiang</v>
      </c>
      <c r="E2907" s="7" t="str">
        <f>IFERROR(__xludf.DUMMYFUNCTION("""COMPUTED_VALUE"""),"Yes")</f>
        <v>Yes</v>
      </c>
      <c r="F2907" s="7" t="str">
        <f>IFERROR(__xludf.DUMMYFUNCTION("""COMPUTED_VALUE"""),"V-Presentation")</f>
        <v>V-Presentation</v>
      </c>
      <c r="G2907" s="7" t="str">
        <f>IFERROR(__xludf.DUMMYFUNCTION("""COMPUTED_VALUE"""),"Virtual/Gather")</f>
        <v>Virtual/Gather</v>
      </c>
      <c r="H2907" s="7" t="str">
        <f>IFERROR(__xludf.DUMMYFUNCTION("""COMPUTED_VALUE"""),"Zoom")</f>
        <v>Zoom</v>
      </c>
      <c r="I2907" s="7" t="str">
        <f>IFERROR(__xludf.DUMMYFUNCTION("""COMPUTED_VALUE"""),"Session 7: V--Presentations ")</f>
        <v>Session 7: V--Presentations </v>
      </c>
      <c r="J2907" s="7" t="str">
        <f>IFERROR(__xludf.DUMMYFUNCTION("""COMPUTED_VALUE"""),"Virtual Presentations 2")</f>
        <v>Virtual Presentations 2</v>
      </c>
      <c r="K2907" s="7"/>
      <c r="L2907" s="8"/>
      <c r="M2907" s="7" t="str">
        <f>IFERROR(__xludf.DUMMYFUNCTION("""COMPUTED_VALUE"""),"10:30-12:00")</f>
        <v>10:30-12:00</v>
      </c>
      <c r="N2907" s="7"/>
    </row>
    <row r="2908">
      <c r="A2908" s="7" t="str">
        <f>IFERROR(__xludf.DUMMYFUNCTION("""COMPUTED_VALUE"""),"3654-MAIN")</f>
        <v>3654-MAIN</v>
      </c>
      <c r="B2908" s="7" t="str">
        <f>IFERROR(__xludf.DUMMYFUNCTION("""COMPUTED_VALUE"""),"MindRef: Mimicking Human Memory for Hierarchical Reference Retrieval with Fine-Grained Location Awareness")</f>
        <v>MindRef: Mimicking Human Memory for Hierarchical Reference Retrieval with Fine-Grained Location Awareness</v>
      </c>
      <c r="C2908" s="7" t="str">
        <f>IFERROR(__xludf.DUMMYFUNCTION("""COMPUTED_VALUE"""),"When completing knowledge-intensive tasks, humans sometimes need an answer and a corresponding reference passage for auxiliary reading. Previous methods required obtaining pre-segmented article chunks through additional retrieval models. This paper explor"&amp;"es leveraging the parameterized knowledge stored during the pre-training phase of large language models (LLMs) to recall reference passage from any starting position independently. We propose a two-stage framework that simulates the scenario of humans rec"&amp;"alling easily forgotten references. Initially, the LLM is prompted to recall document title identifiers to obtain a coarse-grained document set. Then, based on the acquired coarse-grained document set, it recalls fine-grained passage. In the two-stage rec"&amp;"all process, we use constrained decoding to ensure that content outside of the stored documents is not generated. To increase speed, we only recall a short prefix in the second stage, and then locate its position to retrieve a complete passage. Experiment"&amp;"s on KILT knowledge-sensitive tasks have verified that LLMs can independently recall reference passage locations in various task forms, and the obtained reference significantly assists downstream tasks.")</f>
        <v>When completing knowledge-intensive tasks, humans sometimes need an answer and a corresponding reference passage for auxiliary reading. Previous methods required obtaining pre-segmented article chunks through additional retrieval models. This paper explores leveraging the parameterized knowledge stored during the pre-training phase of large language models (LLMs) to recall reference passage from any starting position independently. We propose a two-stage framework that simulates the scenario of humans recalling easily forgotten references. Initially, the LLM is prompted to recall document title identifiers to obtain a coarse-grained document set. Then, based on the acquired coarse-grained document set, it recalls fine-grained passage. In the two-stage recall process, we use constrained decoding to ensure that content outside of the stored documents is not generated. To increase speed, we only recall a short prefix in the second stage, and then locate its position to retrieve a complete passage. Experiments on KILT knowledge-sensitive tasks have verified that LLMs can independently recall reference passage locations in various task forms, and the obtained reference significantly assists downstream tasks.</v>
      </c>
      <c r="D2908" s="7" t="str">
        <f>IFERROR(__xludf.DUMMYFUNCTION("""COMPUTED_VALUE"""),"Ye Wang")</f>
        <v>Ye Wang</v>
      </c>
      <c r="E2908" s="7" t="str">
        <f>IFERROR(__xludf.DUMMYFUNCTION("""COMPUTED_VALUE"""),"Yes")</f>
        <v>Yes</v>
      </c>
      <c r="F2908" s="7" t="str">
        <f>IFERROR(__xludf.DUMMYFUNCTION("""COMPUTED_VALUE"""),"V-Presentation")</f>
        <v>V-Presentation</v>
      </c>
      <c r="G2908" s="7" t="str">
        <f>IFERROR(__xludf.DUMMYFUNCTION("""COMPUTED_VALUE"""),"Virtual/Gather")</f>
        <v>Virtual/Gather</v>
      </c>
      <c r="H2908" s="7" t="str">
        <f>IFERROR(__xludf.DUMMYFUNCTION("""COMPUTED_VALUE"""),"Zoom")</f>
        <v>Zoom</v>
      </c>
      <c r="I2908" s="7" t="str">
        <f>IFERROR(__xludf.DUMMYFUNCTION("""COMPUTED_VALUE"""),"Session 10: V-Presenations")</f>
        <v>Session 10: V-Presenations</v>
      </c>
      <c r="J2908" s="7" t="str">
        <f>IFERROR(__xludf.DUMMYFUNCTION("""COMPUTED_VALUE"""),"Virtual Presentations 3")</f>
        <v>Virtual Presentations 3</v>
      </c>
      <c r="K2908" s="7"/>
      <c r="L2908" s="8">
        <f>IFERROR(__xludf.DUMMYFUNCTION("""COMPUTED_VALUE"""),45867.0)</f>
        <v>45867</v>
      </c>
      <c r="M2908" s="7" t="str">
        <f>IFERROR(__xludf.DUMMYFUNCTION("""COMPUTED_VALUE"""),"16:00-17:30")</f>
        <v>16:00-17:30</v>
      </c>
      <c r="N2908" s="7"/>
    </row>
    <row r="2909">
      <c r="A2909" s="7" t="str">
        <f>IFERROR(__xludf.DUMMYFUNCTION("""COMPUTED_VALUE"""),"3657-MAIN")</f>
        <v>3657-MAIN</v>
      </c>
      <c r="B2909" s="7" t="str">
        <f>IFERROR(__xludf.DUMMYFUNCTION("""COMPUTED_VALUE"""),"Do Language Models Have Semantics? On the Five Standard Positions")</f>
        <v>Do Language Models Have Semantics? On the Five Standard Positions</v>
      </c>
      <c r="C2909" s="7" t="str">
        <f>IFERROR(__xludf.DUMMYFUNCTION("""COMPUTED_VALUE"""),"We identify five positions on whether large language models (LLMs) and chatbots can be said to exhibit semantic understanding. These positions differ in whether they attribute semantics to LLMs and/or chatbots trained on feedback, what kind of semantics t"&amp;"hey attribute (inferential or referential), and in virtue of what they attribute referential semantics (internal or external causes). This allows for 
2^^4=16 logically possible positions, but we have only seen people argue for five of these. Based on a p"&amp;"airwise comparison of these five positions, we conclude that the better theory of semantics in large language models is, in fact, a sixth combination: Both large language models and chatbots have inferential and referential semantics, grounded in both int"&amp;"ernal and external causes.")</f>
        <v>We identify five positions on whether large language models (LLMs) and chatbots can be said to exhibit semantic understanding. These positions differ in whether they attribute semantics to LLMs and/or chatbots trained on feedback, what kind of semantics they attribute (inferential or referential), and in virtue of what they attribute referential semantics (internal or external causes). This allows for 
2^^4=16 logically possible positions, but we have only seen people argue for five of these. Based on a pairwise comparison of these five positions, we conclude that the better theory of semantics in large language models is, in fact, a sixth combination: Both large language models and chatbots have inferential and referential semantics, grounded in both internal and external causes.</v>
      </c>
      <c r="D2909" s="7" t="str">
        <f>IFERROR(__xludf.DUMMYFUNCTION("""COMPUTED_VALUE"""),"Anders Søgaard")</f>
        <v>Anders Søgaard</v>
      </c>
      <c r="E2909" s="7" t="str">
        <f>IFERROR(__xludf.DUMMYFUNCTION("""COMPUTED_VALUE"""),"Balance Due $50")</f>
        <v>Balance Due $50</v>
      </c>
      <c r="F2909" s="7" t="str">
        <f>IFERROR(__xludf.DUMMYFUNCTION("""COMPUTED_VALUE"""),"V-Presentation")</f>
        <v>V-Presentation</v>
      </c>
      <c r="G2909" s="7" t="str">
        <f>IFERROR(__xludf.DUMMYFUNCTION("""COMPUTED_VALUE"""),"Virtual/Gather")</f>
        <v>Virtual/Gather</v>
      </c>
      <c r="H2909" s="7" t="str">
        <f>IFERROR(__xludf.DUMMYFUNCTION("""COMPUTED_VALUE"""),"Zoom")</f>
        <v>Zoom</v>
      </c>
      <c r="I2909" s="7" t="str">
        <f>IFERROR(__xludf.DUMMYFUNCTION("""COMPUTED_VALUE"""),"Session 2: V-Presentations")</f>
        <v>Session 2: V-Presentations</v>
      </c>
      <c r="J2909" s="7" t="str">
        <f>IFERROR(__xludf.DUMMYFUNCTION("""COMPUTED_VALUE"""),"Virtual Presentations 1")</f>
        <v>Virtual Presentations 1</v>
      </c>
      <c r="K2909" s="7"/>
      <c r="L2909" s="8">
        <f>IFERROR(__xludf.DUMMYFUNCTION("""COMPUTED_VALUE"""),45866.0)</f>
        <v>45866</v>
      </c>
      <c r="M2909" s="7" t="str">
        <f>IFERROR(__xludf.DUMMYFUNCTION("""COMPUTED_VALUE"""),"11:00-12:30")</f>
        <v>11:00-12:30</v>
      </c>
      <c r="N2909" s="7"/>
    </row>
    <row r="2910">
      <c r="A2910" s="7" t="str">
        <f>IFERROR(__xludf.DUMMYFUNCTION("""COMPUTED_VALUE"""),"3658-MAIN")</f>
        <v>3658-MAIN</v>
      </c>
      <c r="B2910" s="7" t="str">
        <f>IFERROR(__xludf.DUMMYFUNCTION("""COMPUTED_VALUE"""),"Dehumanizing Machines: Mitigating Anthropomorphic Behaviors in Text Generation Systems")</f>
        <v>Dehumanizing Machines: Mitigating Anthropomorphic Behaviors in Text Generation Systems</v>
      </c>
      <c r="C2910" s="7" t="str">
        <f>IFERROR(__xludf.DUMMYFUNCTION("""COMPUTED_VALUE"""),"As text generation systems' outputs are increasingly anthropomorphic—perceived as human-like—scholars have also increasingly raised concerns about how such outputs can lead to harmful outcomes, such as users over-relying or developing emotional dependence"&amp;" on these systems. How to intervene on such system outputs to mitigate anthropomorphic behaviors and their attendant harmful outcomes, however, remains understudied. With this work, we aim to provide empirical and theoretical grounding for developing such"&amp;" interventions. To do so, we compile an inventory of interventions grounded both in prior literature and a crowdsourcing study where participants edited system outputs to make them less human-like. Drawing on this inventory, we also develop a conceptual f"&amp;"ramework to help characterize the landscape of possible interventions, articulate distinctions between different types of interventions, and provide a theoretical basis for evaluating the effectiveness of different interventions.")</f>
        <v>As text generation systems' outputs are increasingly anthropomorphic—perceived as human-like—scholars have also increasingly raised concerns about how such outputs can lead to harmful outcomes, such as users over-relying or developing emotional dependence on these systems. How to intervene on such system outputs to mitigate anthropomorphic behaviors and their attendant harmful outcomes, however, remains understudied. With this work, we aim to provide empirical and theoretical grounding for developing such interventions. To do so, we compile an inventory of interventions grounded both in prior literature and a crowdsourcing study where participants edited system outputs to make them less human-like. Drawing on this inventory, we also develop a conceptual framework to help characterize the landscape of possible interventions, articulate distinctions between different types of interventions, and provide a theoretical basis for evaluating the effectiveness of different interventions.</v>
      </c>
      <c r="D2910" s="7" t="str">
        <f>IFERROR(__xludf.DUMMYFUNCTION("""COMPUTED_VALUE"""),"Alexandra Olteanu")</f>
        <v>Alexandra Olteanu</v>
      </c>
      <c r="E2910" s="7" t="str">
        <f>IFERROR(__xludf.DUMMYFUNCTION("""COMPUTED_VALUE"""),"Yes")</f>
        <v>Yes</v>
      </c>
      <c r="F2910" s="7" t="str">
        <f>IFERROR(__xludf.DUMMYFUNCTION("""COMPUTED_VALUE"""),"IP-Oral")</f>
        <v>IP-Oral</v>
      </c>
      <c r="G2910" s="7" t="str">
        <f>IFERROR(__xludf.DUMMYFUNCTION("""COMPUTED_VALUE"""),"In-Person")</f>
        <v>In-Person</v>
      </c>
      <c r="H2910" s="7" t="str">
        <f>IFERROR(__xludf.DUMMYFUNCTION("""COMPUTED_VALUE"""),"Room 1.62")</f>
        <v>Room 1.62</v>
      </c>
      <c r="I2910" s="7" t="str">
        <f>IFERROR(__xludf.DUMMYFUNCTION("""COMPUTED_VALUE"""),"Session 3: IP-Orals")</f>
        <v>Session 3: IP-Orals</v>
      </c>
      <c r="J2910" s="7" t="str">
        <f>IFERROR(__xludf.DUMMYFUNCTION("""COMPUTED_VALUE"""),"Human-centered NLP")</f>
        <v>Human-centered NLP</v>
      </c>
      <c r="K2910" s="7"/>
      <c r="L2910" s="8">
        <f>IFERROR(__xludf.DUMMYFUNCTION("""COMPUTED_VALUE"""),45866.0)</f>
        <v>45866</v>
      </c>
      <c r="M2910" s="7" t="str">
        <f>IFERROR(__xludf.DUMMYFUNCTION("""COMPUTED_VALUE"""),"14:00-15:30")</f>
        <v>14:00-15:30</v>
      </c>
      <c r="N2910" s="7">
        <f>IFERROR(__xludf.DUMMYFUNCTION("""COMPUTED_VALUE"""),4.0)</f>
        <v>4</v>
      </c>
    </row>
    <row r="2911">
      <c r="A2911" s="7" t="str">
        <f>IFERROR(__xludf.DUMMYFUNCTION("""COMPUTED_VALUE"""),"3662-MAIN")</f>
        <v>3662-MAIN</v>
      </c>
      <c r="B2911" s="7" t="str">
        <f>IFERROR(__xludf.DUMMYFUNCTION("""COMPUTED_VALUE"""),"Evaluating Multimodal Language Models as Visual Assistants for Visually Impaired Users")</f>
        <v>Evaluating Multimodal Language Models as Visual Assistants for Visually Impaired Users</v>
      </c>
      <c r="C2911" s="7" t="str">
        <f>IFERROR(__xludf.DUMMYFUNCTION("""COMPUTED_VALUE"""),"This paper explores the effectiveness of Multimodal Large Language models (MLLMs) as assistive technologies for visually impaired individuals. We conduct a user survey to identify adoption patterns and key challenges users face with such technologies. Des"&amp;"pite a high adoption rate of these models, our findings highlight concerns related to contextual understanding, cultural sensitivity, and complex scene understanding, particularly for individuals who may rely solely on them for visual interpretation. Info"&amp;"rmed by these results, we collate five user-centred tasks with image and video inputs, including a novel task on Optical Braille Recognition. Our systematic evaluation of twelve MLLMs reveals that further advancements are necessary to overcome limitations"&amp;" related to cultural context, multilingual support, Braille reading comprehension, assistive object recognition, and hallucinations. This work provides critical insights into the future direction of multimodal AI for accessibility, underscoring the need f"&amp;"or more inclusive, robust, and trustworthy visual assistance technologies.")</f>
        <v>This paper explores the effectiveness of Multimodal Large Language models (MLLMs) as assistive technologies for visually impaired individuals. We conduct a user survey to identify adoption patterns and key challenges users face with such technologies. Despite a high adoption rate of these models, our findings highlight concerns related to contextual understanding, cultural sensitivity, and complex scene understanding, particularly for individuals who may rely solely on them for visual interpretation. Informed by these results, we collate five user-centred tasks with image and video inputs, including a novel task on Optical Braille Recognition. Our systematic evaluation of twelve MLLMs reveals that further advancements are necessary to overcome limitations related to cultural context, multilingual support, Braille reading comprehension, assistive object recognition, and hallucinations. This work provides critical insights into the future direction of multimodal AI for accessibility, underscoring the need for more inclusive, robust, and trustworthy visual assistance technologies.</v>
      </c>
      <c r="D2911" s="7" t="str">
        <f>IFERROR(__xludf.DUMMYFUNCTION("""COMPUTED_VALUE"""),"Antonia Karamolegkou")</f>
        <v>Antonia Karamolegkou</v>
      </c>
      <c r="E2911" s="7" t="str">
        <f>IFERROR(__xludf.DUMMYFUNCTION("""COMPUTED_VALUE"""),"Yes")</f>
        <v>Yes</v>
      </c>
      <c r="F2911" s="7" t="str">
        <f>IFERROR(__xludf.DUMMYFUNCTION("""COMPUTED_VALUE"""),"IP-Oral")</f>
        <v>IP-Oral</v>
      </c>
      <c r="G2911" s="7" t="str">
        <f>IFERROR(__xludf.DUMMYFUNCTION("""COMPUTED_VALUE"""),"In-Person")</f>
        <v>In-Person</v>
      </c>
      <c r="H2911" s="7" t="str">
        <f>IFERROR(__xludf.DUMMYFUNCTION("""COMPUTED_VALUE"""),"Room 1.62")</f>
        <v>Room 1.62</v>
      </c>
      <c r="I2911" s="7" t="str">
        <f>IFERROR(__xludf.DUMMYFUNCTION("""COMPUTED_VALUE"""),"Session 3: IP-Orals")</f>
        <v>Session 3: IP-Orals</v>
      </c>
      <c r="J2911" s="7" t="str">
        <f>IFERROR(__xludf.DUMMYFUNCTION("""COMPUTED_VALUE"""),"Human-centered NLP")</f>
        <v>Human-centered NLP</v>
      </c>
      <c r="K2911" s="7"/>
      <c r="L2911" s="8">
        <f>IFERROR(__xludf.DUMMYFUNCTION("""COMPUTED_VALUE"""),45866.0)</f>
        <v>45866</v>
      </c>
      <c r="M2911" s="7" t="str">
        <f>IFERROR(__xludf.DUMMYFUNCTION("""COMPUTED_VALUE"""),"14:00-15:30")</f>
        <v>14:00-15:30</v>
      </c>
      <c r="N2911" s="7">
        <f>IFERROR(__xludf.DUMMYFUNCTION("""COMPUTED_VALUE"""),5.0)</f>
        <v>5</v>
      </c>
    </row>
    <row r="2912">
      <c r="A2912" s="7" t="str">
        <f>IFERROR(__xludf.DUMMYFUNCTION("""COMPUTED_VALUE"""),"3664-MAIN")</f>
        <v>3664-MAIN</v>
      </c>
      <c r="B2912" s="7" t="str">
        <f>IFERROR(__xludf.DUMMYFUNCTION("""COMPUTED_VALUE"""),"HumT DumT: Measuring and controlling human-like language in LLMs")</f>
        <v>HumT DumT: Measuring and controlling human-like language in LLMs</v>
      </c>
      <c r="C2912" s="7" t="str">
        <f>IFERROR(__xludf.DUMMYFUNCTION("""COMPUTED_VALUE"""),"Should LLMs generate language that makes them seem human? Human-like language might improve user experience, but might also lead to deception, overreliance, and stereotyping. Assessing these potential impacts requires a systematic way to measure human-lik"&amp;"e tone in LLM outputs. We introduce HumT and SocioT, metrics for human-like tone and other dimensions of social perceptions in text data based on relative probabilities from an LLM. By measuring HumT across preference and usage datasets, we find that user"&amp;"s prefer less human-like outputs from LLMs in many contexts. HumT also offers insights into the perceptions and impacts of anthropomorphism: human-like LLM outputs are highly correlated with warmth, social closeness, femininity, and low status, which are "&amp;"closely linked to the aforementioned harms. We introduce DumT, a method using HumT to systematically control and reduce the degree of human-like tone while preserving model performance. DumT offers a practical approach for mitigating risks associated with"&amp;" anthropomorphic language generation.")</f>
        <v>Should LLMs generate language that makes them seem human? Human-like language might improve user experience, but might also lead to deception, overreliance, and stereotyping. Assessing these potential impacts requires a systematic way to measure human-like tone in LLM outputs. We introduce HumT and SocioT, metrics for human-like tone and other dimensions of social perceptions in text data based on relative probabilities from an LLM. By measuring HumT across preference and usage datasets, we find that users prefer less human-like outputs from LLMs in many contexts. HumT also offers insights into the perceptions and impacts of anthropomorphism: human-like LLM outputs are highly correlated with warmth, social closeness, femininity, and low status, which are closely linked to the aforementioned harms. We introduce DumT, a method using HumT to systematically control and reduce the degree of human-like tone while preserving model performance. DumT offers a practical approach for mitigating risks associated with anthropomorphic language generation.</v>
      </c>
      <c r="D2912" s="7" t="str">
        <f>IFERROR(__xludf.DUMMYFUNCTION("""COMPUTED_VALUE"""),"Myra M Cheng")</f>
        <v>Myra M Cheng</v>
      </c>
      <c r="E2912" s="7" t="str">
        <f>IFERROR(__xludf.DUMMYFUNCTION("""COMPUTED_VALUE"""),"Yes")</f>
        <v>Yes</v>
      </c>
      <c r="F2912" s="7" t="str">
        <f>IFERROR(__xludf.DUMMYFUNCTION("""COMPUTED_VALUE"""),"IP-Poster")</f>
        <v>IP-Poster</v>
      </c>
      <c r="G2912" s="7" t="str">
        <f>IFERROR(__xludf.DUMMYFUNCTION("""COMPUTED_VALUE"""),"In-Person")</f>
        <v>In-Person</v>
      </c>
      <c r="H2912" s="7" t="str">
        <f>IFERROR(__xludf.DUMMYFUNCTION("""COMPUTED_VALUE"""),"Hall 4/5")</f>
        <v>Hall 4/5</v>
      </c>
      <c r="I2912" s="7" t="str">
        <f>IFERROR(__xludf.DUMMYFUNCTION("""COMPUTED_VALUE"""),"Session 12: IP-Posters")</f>
        <v>Session 12: IP-Posters</v>
      </c>
      <c r="J2912" s="7" t="str">
        <f>IFERROR(__xludf.DUMMYFUNCTION("""COMPUTED_VALUE"""),"Poster Session 4")</f>
        <v>Poster Session 4</v>
      </c>
      <c r="K2912" s="7"/>
      <c r="L2912" s="8">
        <f>IFERROR(__xludf.DUMMYFUNCTION("""COMPUTED_VALUE"""),45868.0)</f>
        <v>45868</v>
      </c>
      <c r="M2912" s="7" t="str">
        <f>IFERROR(__xludf.DUMMYFUNCTION("""COMPUTED_VALUE"""),"11:00-12:30")</f>
        <v>11:00-12:30</v>
      </c>
      <c r="N2912" s="7"/>
    </row>
    <row r="2913">
      <c r="A2913" s="7" t="str">
        <f>IFERROR(__xludf.DUMMYFUNCTION("""COMPUTED_VALUE"""),"3672-MAIN")</f>
        <v>3672-MAIN</v>
      </c>
      <c r="B2913" s="7" t="str">
        <f>IFERROR(__xludf.DUMMYFUNCTION("""COMPUTED_VALUE"""),"ChatBench: From Static Benchmarks to Human-AI Evaluation")</f>
        <v>ChatBench: From Static Benchmarks to Human-AI Evaluation</v>
      </c>
      <c r="C2913" s="7" t="str">
        <f>IFERROR(__xludf.DUMMYFUNCTION("""COMPUTED_VALUE"""),"With the rapid adoption of LLM-based chat-bots, there is a pressing need to evaluate what humans and LLMs can achieve together. However, standard benchmarks, such as MMLU, measure LLM capabilities in isolation (i.e., “AI-alone”). Here, we design and condu"&amp;"ct a user study to convert MMLU questions into user-AI conversations, by seeding the user with the question and having them carry out a conversation with the LLM to answer their question. We release ChatBench, a new dataset with AI-alone, user-alone, and "&amp;"user-AI data for 396 questions and two LLMs, including 144K answers and 7,336 user-AI conversations. We find that AI-alone accuracy fails to predict user-AI accuracy, with significant differences across multiple subjects (math, physics, and moral reasonin"&amp;"g), and we analyze the user-AI conversations to provide insight into how they diverge from AI-alone benchmarks. Finally, we show that fine-tuning a user simulator on a subset of ChatBench improves its ability to estimate user-AI accuracies, increasing cor"&amp;"relation on held-out questions by more than 20 points, creating possibilities for scaling interactive evaluation.")</f>
        <v>With the rapid adoption of LLM-based chat-bots, there is a pressing need to evaluate what humans and LLMs can achieve together. However, standard benchmarks, such as MMLU, measure LLM capabilities in isolation (i.e., “AI-alone”). Here, we design and conduct a user study to convert MMLU questions into user-AI conversations, by seeding the user with the question and having them carry out a conversation with the LLM to answer their question. We release ChatBench, a new dataset with AI-alone, user-alone, and user-AI data for 396 questions and two LLMs, including 144K answers and 7,336 user-AI conversations. We find that AI-alone accuracy fails to predict user-AI accuracy, with significant differences across multiple subjects (math, physics, and moral reasoning), and we analyze the user-AI conversations to provide insight into how they diverge from AI-alone benchmarks. Finally, we show that fine-tuning a user simulator on a subset of ChatBench improves its ability to estimate user-AI accuracies, increasing correlation on held-out questions by more than 20 points, creating possibilities for scaling interactive evaluation.</v>
      </c>
      <c r="D2913" s="7" t="str">
        <f>IFERROR(__xludf.DUMMYFUNCTION("""COMPUTED_VALUE"""),"Serina Chang")</f>
        <v>Serina Chang</v>
      </c>
      <c r="E2913" s="7" t="str">
        <f>IFERROR(__xludf.DUMMYFUNCTION("""COMPUTED_VALUE"""),"Yes")</f>
        <v>Yes</v>
      </c>
      <c r="F2913" s="7" t="str">
        <f>IFERROR(__xludf.DUMMYFUNCTION("""COMPUTED_VALUE"""),"V-Presentation")</f>
        <v>V-Presentation</v>
      </c>
      <c r="G2913" s="7" t="str">
        <f>IFERROR(__xludf.DUMMYFUNCTION("""COMPUTED_VALUE"""),"Virtual/Gather")</f>
        <v>Virtual/Gather</v>
      </c>
      <c r="H2913" s="7" t="str">
        <f>IFERROR(__xludf.DUMMYFUNCTION("""COMPUTED_VALUE"""),"Zoom")</f>
        <v>Zoom</v>
      </c>
      <c r="I2913" s="7" t="str">
        <f>IFERROR(__xludf.DUMMYFUNCTION("""COMPUTED_VALUE"""),"Session 10: V-Presenations")</f>
        <v>Session 10: V-Presenations</v>
      </c>
      <c r="J2913" s="7" t="str">
        <f>IFERROR(__xludf.DUMMYFUNCTION("""COMPUTED_VALUE"""),"Virtual Presentations 3")</f>
        <v>Virtual Presentations 3</v>
      </c>
      <c r="K2913" s="7"/>
      <c r="L2913" s="8">
        <f>IFERROR(__xludf.DUMMYFUNCTION("""COMPUTED_VALUE"""),45867.0)</f>
        <v>45867</v>
      </c>
      <c r="M2913" s="7" t="str">
        <f>IFERROR(__xludf.DUMMYFUNCTION("""COMPUTED_VALUE"""),"16:00-17:30")</f>
        <v>16:00-17:30</v>
      </c>
      <c r="N2913" s="7"/>
    </row>
    <row r="2914">
      <c r="A2914" s="7" t="str">
        <f>IFERROR(__xludf.DUMMYFUNCTION("""COMPUTED_VALUE"""),"3675-MAIN")</f>
        <v>3675-MAIN</v>
      </c>
      <c r="B2914" s="7" t="str">
        <f>IFERROR(__xludf.DUMMYFUNCTION("""COMPUTED_VALUE"""),"LLMs syntactically adapt their language use to their conversational partner")</f>
        <v>LLMs syntactically adapt their language use to their conversational partner</v>
      </c>
      <c r="C2914" s="7" t="str">
        <f>IFERROR(__xludf.DUMMYFUNCTION("""COMPUTED_VALUE"""),"It has been frequently observed that human speakers align their language use with each other during conversations. In this paper, we study empirically whether large language models (LLMs) exhibit the same behavior of conversational adaptation.
We construc"&amp;"t a corpus of conversations between LLMs and find that two LLM agents end up making more similar syntactic choices as conversations go on, confirming that modern LLMs adapt their language use to their conversational partners in at least a rudimentary way.")</f>
        <v>It has been frequently observed that human speakers align their language use with each other during conversations. In this paper, we study empirically whether large language models (LLMs) exhibit the same behavior of conversational adaptation.
We construct a corpus of conversations between LLMs and find that two LLM agents end up making more similar syntactic choices as conversations go on, confirming that modern LLMs adapt their language use to their conversational partners in at least a rudimentary way.</v>
      </c>
      <c r="D2914" s="7" t="str">
        <f>IFERROR(__xludf.DUMMYFUNCTION("""COMPUTED_VALUE"""),"Florian Kandra")</f>
        <v>Florian Kandra</v>
      </c>
      <c r="E2914" s="7" t="str">
        <f>IFERROR(__xludf.DUMMYFUNCTION("""COMPUTED_VALUE"""),"Yes")</f>
        <v>Yes</v>
      </c>
      <c r="F2914" s="7" t="str">
        <f>IFERROR(__xludf.DUMMYFUNCTION("""COMPUTED_VALUE"""),"IP-Poster")</f>
        <v>IP-Poster</v>
      </c>
      <c r="G2914" s="7" t="str">
        <f>IFERROR(__xludf.DUMMYFUNCTION("""COMPUTED_VALUE"""),"In-Person")</f>
        <v>In-Person</v>
      </c>
      <c r="H2914" s="7" t="str">
        <f>IFERROR(__xludf.DUMMYFUNCTION("""COMPUTED_VALUE"""),"Hall 4/5")</f>
        <v>Hall 4/5</v>
      </c>
      <c r="I2914" s="7" t="str">
        <f>IFERROR(__xludf.DUMMYFUNCTION("""COMPUTED_VALUE"""),"Session 12: IP-Posters")</f>
        <v>Session 12: IP-Posters</v>
      </c>
      <c r="J2914" s="7" t="str">
        <f>IFERROR(__xludf.DUMMYFUNCTION("""COMPUTED_VALUE"""),"Poster Session 4")</f>
        <v>Poster Session 4</v>
      </c>
      <c r="K2914" s="7"/>
      <c r="L2914" s="8">
        <f>IFERROR(__xludf.DUMMYFUNCTION("""COMPUTED_VALUE"""),45868.0)</f>
        <v>45868</v>
      </c>
      <c r="M2914" s="7" t="str">
        <f>IFERROR(__xludf.DUMMYFUNCTION("""COMPUTED_VALUE"""),"11:00-12:30")</f>
        <v>11:00-12:30</v>
      </c>
      <c r="N2914" s="7"/>
    </row>
    <row r="2915">
      <c r="A2915" s="7" t="str">
        <f>IFERROR(__xludf.DUMMYFUNCTION("""COMPUTED_VALUE"""),"3678-MAIN")</f>
        <v>3678-MAIN</v>
      </c>
      <c r="B2915" s="7" t="str">
        <f>IFERROR(__xludf.DUMMYFUNCTION("""COMPUTED_VALUE"""),"Teaching an Old LLM Secure Coding: Localized Preference Optimization on Distilled Preferences")</f>
        <v>Teaching an Old LLM Secure Coding: Localized Preference Optimization on Distilled Preferences</v>
      </c>
      <c r="C2915" s="7" t="str">
        <f>IFERROR(__xludf.DUMMYFUNCTION("""COMPUTED_VALUE"""),"LLM generated code often contains security issues. We address two key challenges in improving secure code generation. First, obtaining high quality training data covering a broad set of security issues is critical. To address this, we introduce a method f"&amp;"or distilling a preference dataset of insecure and secure code pairs from frontier LLMs, along with a security reasoning that explains the issues and the fix. The key idea here is to make use of security knowledge sources to devise a systematic prompting "&amp;"strategy that ensures broad coverage. Second, aligning models to secure code requires focusing on localized regions of code. Direct preference optimization methods, like SimPO, are not designed to handle these localized differences and turn out to be inef"&amp;"fective. We address this with a new localized preference optimization algorithm that masks the security related tokens in both the winning (secure) and losing (insecure) responses. To prevent loss in code quality, we also add a regularizer. Evaluations sh"&amp;"ow that both training on our dataset, DiSCo, and the new preference optimization algorithm, LPO, yield substantial reductions in code insecurity while also improving overall code quality. Code and dataset are available at https://github.com/StonyBrookNLP/"&amp;"disco-lpo.")</f>
        <v>LLM generated code often contains security issues. We address two key challenges in improving secure code generation. First, obtaining high quality training data covering a broad set of security issues is critical. To address this, we introduce a method for distilling a preference dataset of insecure and secure code pairs from frontier LLMs, along with a security reasoning that explains the issues and the fix. The key idea here is to make use of security knowledge sources to devise a systematic prompting strategy that ensures broad coverage. Second, aligning models to secure code requires focusing on localized regions of code. Direct preference optimization methods, like SimPO, are not designed to handle these localized differences and turn out to be ineffective. We address this with a new localized preference optimization algorithm that masks the security related tokens in both the winning (secure) and losing (insecure) responses. To prevent loss in code quality, we also add a regularizer. Evaluations show that both training on our dataset, DiSCo, and the new preference optimization algorithm, LPO, yield substantial reductions in code insecurity while also improving overall code quality. Code and dataset are available at https://github.com/StonyBrookNLP/disco-lpo.</v>
      </c>
      <c r="D2915" s="7" t="str">
        <f>IFERROR(__xludf.DUMMYFUNCTION("""COMPUTED_VALUE"""),"Mohammad Saqib Hasan")</f>
        <v>Mohammad Saqib Hasan</v>
      </c>
      <c r="E2915" s="7" t="str">
        <f>IFERROR(__xludf.DUMMYFUNCTION("""COMPUTED_VALUE"""),"Yes")</f>
        <v>Yes</v>
      </c>
      <c r="F2915" s="7" t="str">
        <f>IFERROR(__xludf.DUMMYFUNCTION("""COMPUTED_VALUE"""),"V-Presentation")</f>
        <v>V-Presentation</v>
      </c>
      <c r="G2915" s="7" t="str">
        <f>IFERROR(__xludf.DUMMYFUNCTION("""COMPUTED_VALUE"""),"Virtual/Gather")</f>
        <v>Virtual/Gather</v>
      </c>
      <c r="H2915" s="7" t="str">
        <f>IFERROR(__xludf.DUMMYFUNCTION("""COMPUTED_VALUE"""),"Zoom")</f>
        <v>Zoom</v>
      </c>
      <c r="I2915" s="7" t="str">
        <f>IFERROR(__xludf.DUMMYFUNCTION("""COMPUTED_VALUE"""),"Session 2: V-Presentations")</f>
        <v>Session 2: V-Presentations</v>
      </c>
      <c r="J2915" s="7" t="str">
        <f>IFERROR(__xludf.DUMMYFUNCTION("""COMPUTED_VALUE"""),"Virtual Presentations 1")</f>
        <v>Virtual Presentations 1</v>
      </c>
      <c r="K2915" s="7"/>
      <c r="L2915" s="8">
        <f>IFERROR(__xludf.DUMMYFUNCTION("""COMPUTED_VALUE"""),45866.0)</f>
        <v>45866</v>
      </c>
      <c r="M2915" s="7" t="str">
        <f>IFERROR(__xludf.DUMMYFUNCTION("""COMPUTED_VALUE"""),"11:00-12:30")</f>
        <v>11:00-12:30</v>
      </c>
      <c r="N2915" s="7"/>
    </row>
    <row r="2916">
      <c r="A2916" s="7" t="str">
        <f>IFERROR(__xludf.DUMMYFUNCTION("""COMPUTED_VALUE"""),"3682-MAIN")</f>
        <v>3682-MAIN</v>
      </c>
      <c r="B2916" s="7" t="str">
        <f>IFERROR(__xludf.DUMMYFUNCTION("""COMPUTED_VALUE"""),"Anything Goes? A Crosslinguistic Study of (Im)possible Language Learning in LMs")</f>
        <v>Anything Goes? A Crosslinguistic Study of (Im)possible Language Learning in LMs</v>
      </c>
      <c r="C2916" s="7" t="str">
        <f>IFERROR(__xludf.DUMMYFUNCTION("""COMPUTED_VALUE"""),"Do language models (LMs) offer insights into human language learning? A common argument against this idea is that because their architecture and training paradigm are so vastly different from humans, LMs can learn arbitrary inputs as easily as natural lan"&amp;"guages. 
We test this claim by training LMs to model impossible and typologically unattested languages.
Unlike previous work, which has focused exclusively on English, we conduct experiments on 12 languages from 4 language families with two newly construc"&amp;"ted parallel corpora. Our results show that while GPT-2 small can largely distinguish attested languages from their impossible counterparts, it does not achieve perfect separation between all the attested languages and all the impossible ones. We further "&amp;"test whether GPT-2 small distinguishes typologically attested from unattested languages with different NP orders by manipulating word order based on Greenberg's Universal 20. We find that the model's perplexity scores do not distinguish attested vs. unatt"&amp;"ested word orders, while its performance on the generalization test does. These findings suggest that LMs exhibit some human-like inductive biases, though these biases are weaker than those found in human learners.")</f>
        <v>Do language models (LMs) offer insights into human language learning? A common argument against this idea is that because their architecture and training paradigm are so vastly different from humans, LMs can learn arbitrary inputs as easily as natural languages. 
We test this claim by training LMs to model impossible and typologically unattested languages.
Unlike previous work, which has focused exclusively on English, we conduct experiments on 12 languages from 4 language families with two newly constructed parallel corpora. Our results show that while GPT-2 small can largely distinguish attested languages from their impossible counterparts, it does not achieve perfect separation between all the attested languages and all the impossible ones. We further test whether GPT-2 small distinguishes typologically attested from unattested languages with different NP orders by manipulating word order based on Greenberg's Universal 20. We find that the model's perplexity scores do not distinguish attested vs. unattested word orders, while its performance on the generalization test does. These findings suggest that LMs exhibit some human-like inductive biases, though these biases are weaker than those found in human learners.</v>
      </c>
      <c r="D2916" s="7" t="str">
        <f>IFERROR(__xludf.DUMMYFUNCTION("""COMPUTED_VALUE"""),"Xiulin Yang")</f>
        <v>Xiulin Yang</v>
      </c>
      <c r="E2916" s="7" t="str">
        <f>IFERROR(__xludf.DUMMYFUNCTION("""COMPUTED_VALUE"""),"Yes")</f>
        <v>Yes</v>
      </c>
      <c r="F2916" s="7" t="str">
        <f>IFERROR(__xludf.DUMMYFUNCTION("""COMPUTED_VALUE"""),"IP-Poster")</f>
        <v>IP-Poster</v>
      </c>
      <c r="G2916" s="7" t="str">
        <f>IFERROR(__xludf.DUMMYFUNCTION("""COMPUTED_VALUE"""),"In-Person")</f>
        <v>In-Person</v>
      </c>
      <c r="H2916" s="7" t="str">
        <f>IFERROR(__xludf.DUMMYFUNCTION("""COMPUTED_VALUE"""),"Hall 4/5")</f>
        <v>Hall 4/5</v>
      </c>
      <c r="I2916" s="7" t="str">
        <f>IFERROR(__xludf.DUMMYFUNCTION("""COMPUTED_VALUE"""),"Session 12: IP-Posters")</f>
        <v>Session 12: IP-Posters</v>
      </c>
      <c r="J2916" s="7" t="str">
        <f>IFERROR(__xludf.DUMMYFUNCTION("""COMPUTED_VALUE"""),"Poster Session 4")</f>
        <v>Poster Session 4</v>
      </c>
      <c r="K2916" s="7"/>
      <c r="L2916" s="8">
        <f>IFERROR(__xludf.DUMMYFUNCTION("""COMPUTED_VALUE"""),45868.0)</f>
        <v>45868</v>
      </c>
      <c r="M2916" s="7" t="str">
        <f>IFERROR(__xludf.DUMMYFUNCTION("""COMPUTED_VALUE"""),"11:00-12:30")</f>
        <v>11:00-12:30</v>
      </c>
      <c r="N2916" s="7"/>
    </row>
    <row r="2917">
      <c r="A2917" s="7" t="str">
        <f>IFERROR(__xludf.DUMMYFUNCTION("""COMPUTED_VALUE"""),"3685-MAIN")</f>
        <v>3685-MAIN</v>
      </c>
      <c r="B2917" s="7" t="str">
        <f>IFERROR(__xludf.DUMMYFUNCTION("""COMPUTED_VALUE"""),"Ranking Unraveled: Recipes for LLM Rankings in Head-to-Head AI Combat")</f>
        <v>Ranking Unraveled: Recipes for LLM Rankings in Head-to-Head AI Combat</v>
      </c>
      <c r="C2917" s="7" t="str">
        <f>IFERROR(__xludf.DUMMYFUNCTION("""COMPUTED_VALUE"""),"Evaluating large language model (LLM) is a complex task. Pairwise ranking has emerged as state-of-the-art method to evaluate human preferences by having humans compare pairs of LLM outputs based on predefined criteria, enabling ranking across multiple LLM"&amp;"s by aggregating pairwise results through algorithms like Elo. However, applying these ranking algorithms in the context of LLM evaluation introduces several challenges, such as inconsistent ranking results when using ELO. Currently there is a lack of sys"&amp;"tematic study of those ranking algorithms in evaluating LLMs. In this paper, we explore the effectiveness of ranking systems for head-to-head comparisons of LLMs. We formally define a set of fundamental principles for effective ranking and conduct extensi"&amp;"ve evaluations on the robustness of several ranking algorithms in the context of LLMs. Our analysis uncovers key insights into the factors that affect ranking accuracy and efficiency, offering guidelines for selecting the most appropriate methods based on"&amp;" specific evaluation contexts and resource constraints.")</f>
        <v>Evaluating large language model (LLM) is a complex task. Pairwise ranking has emerged as state-of-the-art method to evaluate human preferences by having humans compare pairs of LLM outputs based on predefined criteria, enabling ranking across multiple LLMs by aggregating pairwise results through algorithms like Elo. However, applying these ranking algorithms in the context of LLM evaluation introduces several challenges, such as inconsistent ranking results when using ELO. Currently there is a lack of systematic study of those ranking algorithms in evaluating LLMs. In this paper, we explore the effectiveness of ranking systems for head-to-head comparisons of LLMs. We formally define a set of fundamental principles for effective ranking and conduct extensive evaluations on the robustness of several ranking algorithms in the context of LLMs. Our analysis uncovers key insights into the factors that affect ranking accuracy and efficiency, offering guidelines for selecting the most appropriate methods based on specific evaluation contexts and resource constraints.</v>
      </c>
      <c r="D2917" s="7" t="str">
        <f>IFERROR(__xludf.DUMMYFUNCTION("""COMPUTED_VALUE"""),"Roland Daynauth")</f>
        <v>Roland Daynauth</v>
      </c>
      <c r="E2917" s="7" t="str">
        <f>IFERROR(__xludf.DUMMYFUNCTION("""COMPUTED_VALUE"""),"Yes")</f>
        <v>Yes</v>
      </c>
      <c r="F2917" s="7" t="str">
        <f>IFERROR(__xludf.DUMMYFUNCTION("""COMPUTED_VALUE"""),"V-Presentation")</f>
        <v>V-Presentation</v>
      </c>
      <c r="G2917" s="7" t="str">
        <f>IFERROR(__xludf.DUMMYFUNCTION("""COMPUTED_VALUE"""),"Virtual/Gather")</f>
        <v>Virtual/Gather</v>
      </c>
      <c r="H2917" s="7" t="str">
        <f>IFERROR(__xludf.DUMMYFUNCTION("""COMPUTED_VALUE"""),"Zoom")</f>
        <v>Zoom</v>
      </c>
      <c r="I2917" s="7" t="str">
        <f>IFERROR(__xludf.DUMMYFUNCTION("""COMPUTED_VALUE"""),"Session 10: V-Presenations")</f>
        <v>Session 10: V-Presenations</v>
      </c>
      <c r="J2917" s="7" t="str">
        <f>IFERROR(__xludf.DUMMYFUNCTION("""COMPUTED_VALUE"""),"Virtual Presentations 3")</f>
        <v>Virtual Presentations 3</v>
      </c>
      <c r="K2917" s="7"/>
      <c r="L2917" s="8">
        <f>IFERROR(__xludf.DUMMYFUNCTION("""COMPUTED_VALUE"""),45867.0)</f>
        <v>45867</v>
      </c>
      <c r="M2917" s="7" t="str">
        <f>IFERROR(__xludf.DUMMYFUNCTION("""COMPUTED_VALUE"""),"16:00-17:30")</f>
        <v>16:00-17:30</v>
      </c>
      <c r="N2917" s="7"/>
    </row>
    <row r="2918">
      <c r="A2918" s="7" t="str">
        <f>IFERROR(__xludf.DUMMYFUNCTION("""COMPUTED_VALUE"""),"3686-MAIN")</f>
        <v>3686-MAIN</v>
      </c>
      <c r="B2918" s="7" t="str">
        <f>IFERROR(__xludf.DUMMYFUNCTION("""COMPUTED_VALUE"""),"LLM Agents Making Agent Tools")</f>
        <v>LLM Agents Making Agent Tools</v>
      </c>
      <c r="C2918" s="7" t="str">
        <f>IFERROR(__xludf.DUMMYFUNCTION("""COMPUTED_VALUE"""),"Tool use has turned large language models (LLMs) into powerful agents that can perform complex multi-step tasks by dynamically utilising external software components. However, these tools must be implemented in advance by human developers, hindering the a"&amp;"pplicability of LLM agents in domains demanding large numbers of highly specialised tools, like in life sciences and medicine. Motivated by the growing trend of scientific studies accompanied by public code repositories, we propose ToolMaker, an agentic f"&amp;"ramework that autonomously transforms papers with code into LLM-compatible tools. Given a GitHub URL and short task description, ToolMaker autonomously installs dependencies and generates code to perform the task, using a closed-loop self-correction mecha"&amp;"nism for debugging. To evaluate our approach, we introduce a benchmark comprising 15 complex computational tasks spanning various domains with over 100 unit tests to assess correctness and robustness. Our method correctly implements 80% of the tasks, subs"&amp;"tantially outperforming current state-of-the-art software engineering agents. ToolMaker therefore is a step towards fully autonomous agent-based scientific workflows.")</f>
        <v>Tool use has turned large language models (LLMs) into powerful agents that can perform complex multi-step tasks by dynamically utilising external software components. However, these tools must be implemented in advance by human developers, hindering the applicability of LLM agents in domains demanding large numbers of highly specialised tools, like in life sciences and medicine. Motivated by the growing trend of scientific studies accompanied by public code repositories, we propose ToolMaker, an agentic framework that autonomously transforms papers with code into LLM-compatible tools. Given a GitHub URL and short task description, ToolMaker autonomously installs dependencies and generates code to perform the task, using a closed-loop self-correction mechanism for debugging. To evaluate our approach, we introduce a benchmark comprising 15 complex computational tasks spanning various domains with over 100 unit tests to assess correctness and robustness. Our method correctly implements 80% of the tasks, substantially outperforming current state-of-the-art software engineering agents. ToolMaker therefore is a step towards fully autonomous agent-based scientific workflows.</v>
      </c>
      <c r="D2918" s="7" t="str">
        <f>IFERROR(__xludf.DUMMYFUNCTION("""COMPUTED_VALUE"""),"Georg Wölflein")</f>
        <v>Georg Wölflein</v>
      </c>
      <c r="E2918" s="7" t="str">
        <f>IFERROR(__xludf.DUMMYFUNCTION("""COMPUTED_VALUE"""),"Yes")</f>
        <v>Yes</v>
      </c>
      <c r="F2918" s="7" t="str">
        <f>IFERROR(__xludf.DUMMYFUNCTION("""COMPUTED_VALUE"""),"V-Presentation")</f>
        <v>V-Presentation</v>
      </c>
      <c r="G2918" s="7" t="str">
        <f>IFERROR(__xludf.DUMMYFUNCTION("""COMPUTED_VALUE"""),"Virtual/Gather")</f>
        <v>Virtual/Gather</v>
      </c>
      <c r="H2918" s="7" t="str">
        <f>IFERROR(__xludf.DUMMYFUNCTION("""COMPUTED_VALUE"""),"Zoom")</f>
        <v>Zoom</v>
      </c>
      <c r="I2918" s="7" t="str">
        <f>IFERROR(__xludf.DUMMYFUNCTION("""COMPUTED_VALUE"""),"Session 2: V-Presentations")</f>
        <v>Session 2: V-Presentations</v>
      </c>
      <c r="J2918" s="7" t="str">
        <f>IFERROR(__xludf.DUMMYFUNCTION("""COMPUTED_VALUE"""),"Virtual Presentations 1")</f>
        <v>Virtual Presentations 1</v>
      </c>
      <c r="K2918" s="7"/>
      <c r="L2918" s="8">
        <f>IFERROR(__xludf.DUMMYFUNCTION("""COMPUTED_VALUE"""),45866.0)</f>
        <v>45866</v>
      </c>
      <c r="M2918" s="7" t="str">
        <f>IFERROR(__xludf.DUMMYFUNCTION("""COMPUTED_VALUE"""),"11:00-12:30")</f>
        <v>11:00-12:30</v>
      </c>
      <c r="N2918" s="7"/>
    </row>
    <row r="2919">
      <c r="A2919" s="7" t="str">
        <f>IFERROR(__xludf.DUMMYFUNCTION("""COMPUTED_VALUE"""),"3687-MAIN")</f>
        <v>3687-MAIN</v>
      </c>
      <c r="B2919" s="7" t="str">
        <f>IFERROR(__xludf.DUMMYFUNCTION("""COMPUTED_VALUE"""),"CrafText Benchmark: Advancing Language Grounding in Complex Multimodal Open-Ended World")</f>
        <v>CrafText Benchmark: Advancing Language Grounding in Complex Multimodal Open-Ended World</v>
      </c>
      <c r="C2919" s="7" t="str">
        <f>IFERROR(__xludf.DUMMYFUNCTION("""COMPUTED_VALUE"""),"Following instructions in real-world conditions requires a capability to adapt to the world's volatility and entanglement: the environment is dynamic and unpredictable, instructions can be linguistically complex with diverse vocabulary, and the number of "&amp;"possible goals an agent may encounter is vast. Despite extensive research in this area, most studies are conducted in static environments with simple instructions and a limited vocabulary, making it difficult to assess agent performance in more diverse an"&amp;"d challenging settings. To address this gap, we introduce CrafText, a benchmark for evaluating instruction following in a multimodal environment with diverse instructions and dynamic interactions. CrafText includes 3,924 instructions with 3,423 unique wor"&amp;"ds, covering Localization, Conditional, Building, and Achievement tasks. Additionally, we propose an evaluation protocol that measures an agent’s ability to generalize to novel instruction formulations and dynamically evolving task configurations, providi"&amp;"ng a rigorous test of both linguistic understanding and adaptive decision-making.")</f>
        <v>Following instructions in real-world conditions requires a capability to adapt to the world's volatility and entanglement: the environment is dynamic and unpredictable, instructions can be linguistically complex with diverse vocabulary, and the number of possible goals an agent may encounter is vast. Despite extensive research in this area, most studies are conducted in static environments with simple instructions and a limited vocabulary, making it difficult to assess agent performance in more diverse and challenging settings. To address this gap, we introduce CrafText, a benchmark for evaluating instruction following in a multimodal environment with diverse instructions and dynamic interactions. CrafText includes 3,924 instructions with 3,423 unique words, covering Localization, Conditional, Building, and Achievement tasks. Additionally, we propose an evaluation protocol that measures an agent’s ability to generalize to novel instruction formulations and dynamically evolving task configurations, providing a rigorous test of both linguistic understanding and adaptive decision-making.</v>
      </c>
      <c r="D2919" s="7" t="str">
        <f>IFERROR(__xludf.DUMMYFUNCTION("""COMPUTED_VALUE"""),"Zoya Volovikova")</f>
        <v>Zoya Volovikova</v>
      </c>
      <c r="E2919" s="7" t="str">
        <f>IFERROR(__xludf.DUMMYFUNCTION("""COMPUTED_VALUE"""),"Yes")</f>
        <v>Yes</v>
      </c>
      <c r="F2919" s="7" t="str">
        <f>IFERROR(__xludf.DUMMYFUNCTION("""COMPUTED_VALUE"""),"IP-Poster")</f>
        <v>IP-Poster</v>
      </c>
      <c r="G2919" s="7" t="str">
        <f>IFERROR(__xludf.DUMMYFUNCTION("""COMPUTED_VALUE"""),"In-Person")</f>
        <v>In-Person</v>
      </c>
      <c r="H2919" s="7" t="str">
        <f>IFERROR(__xludf.DUMMYFUNCTION("""COMPUTED_VALUE"""),"Hall 4/5")</f>
        <v>Hall 4/5</v>
      </c>
      <c r="I2919" s="7" t="str">
        <f>IFERROR(__xludf.DUMMYFUNCTION("""COMPUTED_VALUE"""),"Session 2: IP-Posters ")</f>
        <v>Session 2: IP-Posters </v>
      </c>
      <c r="J2919" s="7" t="str">
        <f>IFERROR(__xludf.DUMMYFUNCTION("""COMPUTED_VALUE"""),"Poster Session 1")</f>
        <v>Poster Session 1</v>
      </c>
      <c r="K2919" s="7"/>
      <c r="L2919" s="8">
        <f>IFERROR(__xludf.DUMMYFUNCTION("""COMPUTED_VALUE"""),45866.0)</f>
        <v>45866</v>
      </c>
      <c r="M2919" s="7" t="str">
        <f>IFERROR(__xludf.DUMMYFUNCTION("""COMPUTED_VALUE"""),"11:00-12:30")</f>
        <v>11:00-12:30</v>
      </c>
      <c r="N2919" s="7"/>
    </row>
    <row r="2920">
      <c r="A2920" s="7" t="str">
        <f>IFERROR(__xludf.DUMMYFUNCTION("""COMPUTED_VALUE"""),"3697-MAIN")</f>
        <v>3697-MAIN</v>
      </c>
      <c r="B2920" s="7" t="str">
        <f>IFERROR(__xludf.DUMMYFUNCTION("""COMPUTED_VALUE"""),"QG-SMS: Enhancing Test Item Analysis via Student Modeling and Simulation")</f>
        <v>QG-SMS: Enhancing Test Item Analysis via Student Modeling and Simulation</v>
      </c>
      <c r="C2920" s="7" t="str">
        <f>IFERROR(__xludf.DUMMYFUNCTION("""COMPUTED_VALUE"""),"While the Question Generation (QG) task has been increasingly adopted in educational assessments, its evaluation remains limited by approaches that lack a clear connection to the educational values of test items. In this work, we introduce test item analy"&amp;"sis, a method frequently used by educators to assess test question quality, into QG evaluation. Specifically,  we construct pairs of candidate questions that differ in quality across dimensions such as topic coverage, item difficulty, item discrimination,"&amp;" and distractor efficiency. We then examine whether existing QG evaluation approaches can effectively distinguish these differences. Our findings reveal significant shortcomings in these approaches with respect to accurately assessing test item quality in"&amp;" relation to student performance. To address this gap, we propose a novel QG evaluation framework, QG-SMS, which leverages Large Language Model for Student Modeling and Simulation to perform test item analysis. As demonstrated in our extensive experiments"&amp;" and human evaluation study, the additional perspectives introduced by the simulated student profiles lead to a more effective and robust assessment of test items.")</f>
        <v>While the Question Generation (QG) task has been increasingly adopted in educational assessments, its evaluation remains limited by approaches that lack a clear connection to the educational values of test items. In this work, we introduce test item analysis, a method frequently used by educators to assess test question quality, into QG evaluation. Specifically,  we construct pairs of candidate questions that differ in quality across dimensions such as topic coverage, item difficulty, item discrimination, and distractor efficiency. We then examine whether existing QG evaluation approaches can effectively distinguish these differences. Our findings reveal significant shortcomings in these approaches with respect to accurately assessing test item quality in relation to student performance. To address this gap, we propose a novel QG evaluation framework, QG-SMS, which leverages Large Language Model for Student Modeling and Simulation to perform test item analysis. As demonstrated in our extensive experiments and human evaluation study, the additional perspectives introduced by the simulated student profiles lead to a more effective and robust assessment of test items.</v>
      </c>
      <c r="D2920" s="7" t="str">
        <f>IFERROR(__xludf.DUMMYFUNCTION("""COMPUTED_VALUE"""),"Bang Nguyen")</f>
        <v>Bang Nguyen</v>
      </c>
      <c r="E2920" s="7" t="str">
        <f>IFERROR(__xludf.DUMMYFUNCTION("""COMPUTED_VALUE"""),"Yes")</f>
        <v>Yes</v>
      </c>
      <c r="F2920" s="7" t="str">
        <f>IFERROR(__xludf.DUMMYFUNCTION("""COMPUTED_VALUE"""),"IP-Poster")</f>
        <v>IP-Poster</v>
      </c>
      <c r="G2920" s="7" t="str">
        <f>IFERROR(__xludf.DUMMYFUNCTION("""COMPUTED_VALUE"""),"In-Person")</f>
        <v>In-Person</v>
      </c>
      <c r="H2920" s="7" t="str">
        <f>IFERROR(__xludf.DUMMYFUNCTION("""COMPUTED_VALUE"""),"Hall 4/5")</f>
        <v>Hall 4/5</v>
      </c>
      <c r="I2920" s="7" t="str">
        <f>IFERROR(__xludf.DUMMYFUNCTION("""COMPUTED_VALUE"""),"Session 2: IP-Posters ")</f>
        <v>Session 2: IP-Posters </v>
      </c>
      <c r="J2920" s="7" t="str">
        <f>IFERROR(__xludf.DUMMYFUNCTION("""COMPUTED_VALUE"""),"Poster Session 1")</f>
        <v>Poster Session 1</v>
      </c>
      <c r="K2920" s="7"/>
      <c r="L2920" s="8">
        <f>IFERROR(__xludf.DUMMYFUNCTION("""COMPUTED_VALUE"""),45866.0)</f>
        <v>45866</v>
      </c>
      <c r="M2920" s="7" t="str">
        <f>IFERROR(__xludf.DUMMYFUNCTION("""COMPUTED_VALUE"""),"11:00-12:30")</f>
        <v>11:00-12:30</v>
      </c>
      <c r="N2920" s="7"/>
    </row>
    <row r="2921">
      <c r="A2921" s="7" t="str">
        <f>IFERROR(__xludf.DUMMYFUNCTION("""COMPUTED_VALUE"""),"3700-MAIN")</f>
        <v>3700-MAIN</v>
      </c>
      <c r="B2921" s="7" t="str">
        <f>IFERROR(__xludf.DUMMYFUNCTION("""COMPUTED_VALUE"""),"Causal Graph based Event Reasoning using Semantic Relation Experts")</f>
        <v>Causal Graph based Event Reasoning using Semantic Relation Experts</v>
      </c>
      <c r="C2921" s="7" t="str">
        <f>IFERROR(__xludf.DUMMYFUNCTION("""COMPUTED_VALUE"""),"Understanding how events in a scenario causally connect with each other is important for effectively modeling and reasoning about events. But event reasoning remains a difficult challenge, and despite recent advances, Large Language Models (LLMs) still st"&amp;"ruggle to accurately identify causal connections between events. This struggle leads to poor performance on deeper reasoning tasks like event forecasting and timeline understanding. To address this challenge, we investigate the generation of causal event "&amp;"graphs (e.g., A enables B) as a parallel mechanism to help LLMs explicitly represent causality during inference. This paper evaluates both how to generate correct graphs as well as how graphs can assist reasoning. We propose a collaborative approach to ca"&amp;"usal graph generation where we use LLMs to simulate experts that focus on specific semantic relations. The experts engage in multiple rounds of discussions which are then consolidated by a final expert. Then, to demonstrate the utility of causal graphs, w"&amp;"e use them on multiple downstream applications, and also introduce a new explainable event prediction task that requires a causal chain of events in the explanation. These explanations are more informative and coherent than baseline generations. Finally, "&amp;"our overall approach not finetuned on any downstream task, achieves competitive results with state-of-the-art models on both forecasting and next event prediction tasks.")</f>
        <v>Understanding how events in a scenario causally connect with each other is important for effectively modeling and reasoning about events. But event reasoning remains a difficult challenge, and despite recent advances, Large Language Models (LLMs) still struggle to accurately identify causal connections between events. This struggle leads to poor performance on deeper reasoning tasks like event forecasting and timeline understanding. To address this challenge, we investigate the generation of causal event graphs (e.g., A enables B) as a parallel mechanism to help LLMs explicitly represent causality during inference. This paper evaluates both how to generate correct graphs as well as how graphs can assist reasoning. We propose a collaborative approach to causal graph generation where we use LLMs to simulate experts that focus on specific semantic relations. The experts engage in multiple rounds of discussions which are then consolidated by a final expert. Then, to demonstrate the utility of causal graphs, we use them on multiple downstream applications, and also introduce a new explainable event prediction task that requires a causal chain of events in the explanation. These explanations are more informative and coherent than baseline generations. Finally, our overall approach not finetuned on any downstream task, achieves competitive results with state-of-the-art models on both forecasting and next event prediction tasks.</v>
      </c>
      <c r="D2921" s="7" t="str">
        <f>IFERROR(__xludf.DUMMYFUNCTION("""COMPUTED_VALUE"""),"Mahnaz Koupaee")</f>
        <v>Mahnaz Koupaee</v>
      </c>
      <c r="E2921" s="7" t="str">
        <f>IFERROR(__xludf.DUMMYFUNCTION("""COMPUTED_VALUE"""),"Yes")</f>
        <v>Yes</v>
      </c>
      <c r="F2921" s="7" t="str">
        <f>IFERROR(__xludf.DUMMYFUNCTION("""COMPUTED_VALUE"""),"IP-Poster")</f>
        <v>IP-Poster</v>
      </c>
      <c r="G2921" s="7" t="str">
        <f>IFERROR(__xludf.DUMMYFUNCTION("""COMPUTED_VALUE"""),"In-Person")</f>
        <v>In-Person</v>
      </c>
      <c r="H2921" s="7" t="str">
        <f>IFERROR(__xludf.DUMMYFUNCTION("""COMPUTED_VALUE"""),"Hall 4/5")</f>
        <v>Hall 4/5</v>
      </c>
      <c r="I2921" s="7" t="str">
        <f>IFERROR(__xludf.DUMMYFUNCTION("""COMPUTED_VALUE"""),"Session 2: IP-Posters ")</f>
        <v>Session 2: IP-Posters </v>
      </c>
      <c r="J2921" s="7" t="str">
        <f>IFERROR(__xludf.DUMMYFUNCTION("""COMPUTED_VALUE"""),"Poster Session 1")</f>
        <v>Poster Session 1</v>
      </c>
      <c r="K2921" s="7"/>
      <c r="L2921" s="8">
        <f>IFERROR(__xludf.DUMMYFUNCTION("""COMPUTED_VALUE"""),45866.0)</f>
        <v>45866</v>
      </c>
      <c r="M2921" s="7" t="str">
        <f>IFERROR(__xludf.DUMMYFUNCTION("""COMPUTED_VALUE"""),"11:00-12:30")</f>
        <v>11:00-12:30</v>
      </c>
      <c r="N2921" s="7"/>
    </row>
    <row r="2922">
      <c r="A2922" s="7" t="str">
        <f>IFERROR(__xludf.DUMMYFUNCTION("""COMPUTED_VALUE"""),"3705-MAIN")</f>
        <v>3705-MAIN</v>
      </c>
      <c r="B2922" s="7" t="str">
        <f>IFERROR(__xludf.DUMMYFUNCTION("""COMPUTED_VALUE"""),"LogicPro: Improving Complex Logical Reasoning via Program-Guided Learning")</f>
        <v>LogicPro: Improving Complex Logical Reasoning via Program-Guided Learning</v>
      </c>
      <c r="C2922" s="7" t="str">
        <f>IFERROR(__xludf.DUMMYFUNCTION("""COMPUTED_VALUE"""),"In this paper, we propose a new data synthesis method called \textbf{LogicPro}, which leverages LeetCode-style algorithm \underline{Pro}blems and their corresponding \underline{Pro}gram solutions to synthesize Complex \underline{Logic}al Reasoning data in"&amp;" text format. First, we synthesize complex reasoning problems through source algorithm problems and test cases. Then, standard answers and intermediate variable outputs are obtained for each problem based on standard python solutions and test cases. Final"&amp;"ly, with the guidance of code intermediate variables, we synthesize the text reasoning process for each reasoning problems. Through this method, we can synthesize data that is difficult, scalable, effective, and comes with golden standard answers and high"&amp;"-quality reasoning processes. As a result, with our 540K synthesized dataset constructed solely from 2,360 algorithm problems, our approach achieves significant improvements in multiple models for the datasets \textit{BBH^27}, \textit{LogicBench}, \textit"&amp;"{DROP}, \textit{AR-LSAT}, and \textit{GSM8K}, etc. outperforming a wide range of existing reasoning datasets.")</f>
        <v>In this paper, we propose a new data synthesis method called \textbf{LogicPro}, which leverages LeetCode-style algorithm \underline{Pro}blems and their corresponding \underline{Pro}gram solutions to synthesize Complex \underline{Logic}al Reasoning data in text format. First, we synthesize complex reasoning problems through source algorithm problems and test cases. Then, standard answers and intermediate variable outputs are obtained for each problem based on standard python solutions and test cases. Finally, with the guidance of code intermediate variables, we synthesize the text reasoning process for each reasoning problems. Through this method, we can synthesize data that is difficult, scalable, effective, and comes with golden standard answers and high-quality reasoning processes. As a result, with our 540K synthesized dataset constructed solely from 2,360 algorithm problems, our approach achieves significant improvements in multiple models for the datasets \textit{BBH^27}, \textit{LogicBench}, \textit{DROP}, \textit{AR-LSAT}, and \textit{GSM8K}, etc. outperforming a wide range of existing reasoning datasets.</v>
      </c>
      <c r="D2922" s="7" t="str">
        <f>IFERROR(__xludf.DUMMYFUNCTION("""COMPUTED_VALUE"""),"Jin Jiang")</f>
        <v>Jin Jiang</v>
      </c>
      <c r="E2922" s="7" t="str">
        <f>IFERROR(__xludf.DUMMYFUNCTION("""COMPUTED_VALUE"""),"Yes")</f>
        <v>Yes</v>
      </c>
      <c r="F2922" s="7" t="str">
        <f>IFERROR(__xludf.DUMMYFUNCTION("""COMPUTED_VALUE"""),"IP-Poster")</f>
        <v>IP-Poster</v>
      </c>
      <c r="G2922" s="7" t="str">
        <f>IFERROR(__xludf.DUMMYFUNCTION("""COMPUTED_VALUE"""),"In-Person")</f>
        <v>In-Person</v>
      </c>
      <c r="H2922" s="7" t="str">
        <f>IFERROR(__xludf.DUMMYFUNCTION("""COMPUTED_VALUE"""),"Hall 4/5")</f>
        <v>Hall 4/5</v>
      </c>
      <c r="I2922" s="7" t="str">
        <f>IFERROR(__xludf.DUMMYFUNCTION("""COMPUTED_VALUE"""),"Session 12: IP-Posters")</f>
        <v>Session 12: IP-Posters</v>
      </c>
      <c r="J2922" s="7" t="str">
        <f>IFERROR(__xludf.DUMMYFUNCTION("""COMPUTED_VALUE"""),"Poster Session 4")</f>
        <v>Poster Session 4</v>
      </c>
      <c r="K2922" s="7"/>
      <c r="L2922" s="8">
        <f>IFERROR(__xludf.DUMMYFUNCTION("""COMPUTED_VALUE"""),45868.0)</f>
        <v>45868</v>
      </c>
      <c r="M2922" s="7" t="str">
        <f>IFERROR(__xludf.DUMMYFUNCTION("""COMPUTED_VALUE"""),"11:00-12:30")</f>
        <v>11:00-12:30</v>
      </c>
      <c r="N2922" s="7"/>
    </row>
    <row r="2923">
      <c r="A2923" s="7" t="str">
        <f>IFERROR(__xludf.DUMMYFUNCTION("""COMPUTED_VALUE"""),"3708-MAIN")</f>
        <v>3708-MAIN</v>
      </c>
      <c r="B2923" s="7" t="str">
        <f>IFERROR(__xludf.DUMMYFUNCTION("""COMPUTED_VALUE"""),"Do LLMs Understand Dialogues? A Case Study on Dialogue Acts")</f>
        <v>Do LLMs Understand Dialogues? A Case Study on Dialogue Acts</v>
      </c>
      <c r="C2923" s="7" t="str">
        <f>IFERROR(__xludf.DUMMYFUNCTION("""COMPUTED_VALUE"""),"Recent advancements in NLP, largely driven by Large Language Models (LLMs), have significantly improved performance on an array of tasks. However, Dialogue Act (DA) classification remains challenging, particularly in the fine-grained 50-class, multiparty "&amp;"setting. This paper investigates the root causes of LLMs' poor performance in DA classification through a linguistically motivated analysis. We identify three key pre-tasks essential for accurate DA prediction: Turn Management, Communicative Function Iden"&amp;"tification, and Dialogue Structure Prediction. Our experiments reveal that LLMs struggle with these fundamental tasks, often failing to outperform simple rule-based baselines. Additionally, we establish a strong empirical correlation between errors in the"&amp;"se pre-tasks and DA classification failures. A human study further highlights the significant gap between LLM and human-level dialogue understanding. These findings indicate that LLMs' shortcomings in dialogue comprehension hinder their ability to accurat"&amp;"ely predict DAs, highlighting the need for improved dialogue-aware training approaches.")</f>
        <v>Recent advancements in NLP, largely driven by Large Language Models (LLMs), have significantly improved performance on an array of tasks. However, Dialogue Act (DA) classification remains challenging, particularly in the fine-grained 50-class, multiparty setting. This paper investigates the root causes of LLMs' poor performance in DA classification through a linguistically motivated analysis. We identify three key pre-tasks essential for accurate DA prediction: Turn Management, Communicative Function Identification, and Dialogue Structure Prediction. Our experiments reveal that LLMs struggle with these fundamental tasks, often failing to outperform simple rule-based baselines. Additionally, we establish a strong empirical correlation between errors in these pre-tasks and DA classification failures. A human study further highlights the significant gap between LLM and human-level dialogue understanding. These findings indicate that LLMs' shortcomings in dialogue comprehension hinder their ability to accurately predict DAs, highlighting the need for improved dialogue-aware training approaches.</v>
      </c>
      <c r="D2923" s="7" t="str">
        <f>IFERROR(__xludf.DUMMYFUNCTION("""COMPUTED_VALUE"""),"Ayesha Qamar")</f>
        <v>Ayesha Qamar</v>
      </c>
      <c r="E2923" s="7" t="str">
        <f>IFERROR(__xludf.DUMMYFUNCTION("""COMPUTED_VALUE"""),"Yes")</f>
        <v>Yes</v>
      </c>
      <c r="F2923" s="7" t="str">
        <f>IFERROR(__xludf.DUMMYFUNCTION("""COMPUTED_VALUE"""),"V-Presentation")</f>
        <v>V-Presentation</v>
      </c>
      <c r="G2923" s="7" t="str">
        <f>IFERROR(__xludf.DUMMYFUNCTION("""COMPUTED_VALUE"""),"Virtual/Gather")</f>
        <v>Virtual/Gather</v>
      </c>
      <c r="H2923" s="7" t="str">
        <f>IFERROR(__xludf.DUMMYFUNCTION("""COMPUTED_VALUE"""),"Zoom")</f>
        <v>Zoom</v>
      </c>
      <c r="I2923" s="7" t="str">
        <f>IFERROR(__xludf.DUMMYFUNCTION("""COMPUTED_VALUE"""),"Session 12: V-Presentations")</f>
        <v>Session 12: V-Presentations</v>
      </c>
      <c r="J2923" s="7" t="str">
        <f>IFERROR(__xludf.DUMMYFUNCTION("""COMPUTED_VALUE"""),"Virtual Presentations 4")</f>
        <v>Virtual Presentations 4</v>
      </c>
      <c r="K2923" s="7"/>
      <c r="L2923" s="8">
        <f>IFERROR(__xludf.DUMMYFUNCTION("""COMPUTED_VALUE"""),45868.0)</f>
        <v>45868</v>
      </c>
      <c r="M2923" s="7" t="str">
        <f>IFERROR(__xludf.DUMMYFUNCTION("""COMPUTED_VALUE"""),"11:00-12:30")</f>
        <v>11:00-12:30</v>
      </c>
      <c r="N2923" s="7"/>
    </row>
    <row r="2924">
      <c r="A2924" s="7" t="str">
        <f>IFERROR(__xludf.DUMMYFUNCTION("""COMPUTED_VALUE"""),"3719-MAIN")</f>
        <v>3719-MAIN</v>
      </c>
      <c r="B2924" s="7" t="str">
        <f>IFERROR(__xludf.DUMMYFUNCTION("""COMPUTED_VALUE"""),"Research Borderlands: Analysing Scientific Writing Across Research Cultures")</f>
        <v>Research Borderlands: Analysing Scientific Writing Across Research Cultures</v>
      </c>
      <c r="C2924" s="7" t="str">
        <f>IFERROR(__xludf.DUMMYFUNCTION("""COMPUTED_VALUE"""),"Improving cultural competence of language technologies is important. However most recent works rarely engage with the communities they study, and instead rely on synthetic setups and imperfect proxies of culture. In this work, we take a human-centered app"&amp;"roach to discover and measure language-based cultural norms, and cultural competence of LLMs. We focus on a single kind of culture, *research cultures*, and a single task, *adapting writing across research cultures*. Through a set of interviews with inter"&amp;"disciplinary researchers, who are experts at moving between cultures, we create a framework of structural, stylistic, rhetorical, and citational norms that vary across research cultures. We operationalise these features with a suite of computational metri"&amp;"cs and use them for (a) surfacing latent cultural norms in human-written research papers at scale; and (b) highlighting the lack of cultural competence of LLMs, and their tendency to homogenize writing. Overall, our work illustrates the efficacy of a huma"&amp;"n-centered approach to measuring cultural norms in human-written and LLM-generated texts.")</f>
        <v>Improving cultural competence of language technologies is important. However most recent works rarely engage with the communities they study, and instead rely on synthetic setups and imperfect proxies of culture. In this work, we take a human-centered approach to discover and measure language-based cultural norms, and cultural competence of LLMs. We focus on a single kind of culture, *research cultures*, and a single task, *adapting writing across research cultures*. Through a set of interviews with interdisciplinary researchers, who are experts at moving between cultures, we create a framework of structural, stylistic, rhetorical, and citational norms that vary across research cultures. We operationalise these features with a suite of computational metrics and use them for (a) surfacing latent cultural norms in human-written research papers at scale; and (b) highlighting the lack of cultural competence of LLMs, and their tendency to homogenize writing. Overall, our work illustrates the efficacy of a human-centered approach to measuring cultural norms in human-written and LLM-generated texts.</v>
      </c>
      <c r="D2924" s="7" t="str">
        <f>IFERROR(__xludf.DUMMYFUNCTION("""COMPUTED_VALUE"""),"Shaily Bhatt")</f>
        <v>Shaily Bhatt</v>
      </c>
      <c r="E2924" s="7" t="str">
        <f>IFERROR(__xludf.DUMMYFUNCTION("""COMPUTED_VALUE"""),"Yes")</f>
        <v>Yes</v>
      </c>
      <c r="F2924" s="7" t="str">
        <f>IFERROR(__xludf.DUMMYFUNCTION("""COMPUTED_VALUE"""),"IP-Poster")</f>
        <v>IP-Poster</v>
      </c>
      <c r="G2924" s="7" t="str">
        <f>IFERROR(__xludf.DUMMYFUNCTION("""COMPUTED_VALUE"""),"In-Person")</f>
        <v>In-Person</v>
      </c>
      <c r="H2924" s="7" t="str">
        <f>IFERROR(__xludf.DUMMYFUNCTION("""COMPUTED_VALUE"""),"Hall 4/5")</f>
        <v>Hall 4/5</v>
      </c>
      <c r="I2924" s="7" t="str">
        <f>IFERROR(__xludf.DUMMYFUNCTION("""COMPUTED_VALUE"""),"Session 12: IP-Posters")</f>
        <v>Session 12: IP-Posters</v>
      </c>
      <c r="J2924" s="7" t="str">
        <f>IFERROR(__xludf.DUMMYFUNCTION("""COMPUTED_VALUE"""),"Poster Session 4")</f>
        <v>Poster Session 4</v>
      </c>
      <c r="K2924" s="7"/>
      <c r="L2924" s="8">
        <f>IFERROR(__xludf.DUMMYFUNCTION("""COMPUTED_VALUE"""),45868.0)</f>
        <v>45868</v>
      </c>
      <c r="M2924" s="7" t="str">
        <f>IFERROR(__xludf.DUMMYFUNCTION("""COMPUTED_VALUE"""),"11:00-12:30")</f>
        <v>11:00-12:30</v>
      </c>
      <c r="N2924" s="7"/>
    </row>
    <row r="2925">
      <c r="A2925" s="7" t="str">
        <f>IFERROR(__xludf.DUMMYFUNCTION("""COMPUTED_VALUE"""),"3722-MAIN")</f>
        <v>3722-MAIN</v>
      </c>
      <c r="B2925" s="7" t="str">
        <f>IFERROR(__xludf.DUMMYFUNCTION("""COMPUTED_VALUE"""),"CEAES: Bidirectional Reinforcement Learning Optimization for Consistent and Explainable Essay Assessment")</f>
        <v>CEAES: Bidirectional Reinforcement Learning Optimization for Consistent and Explainable Essay Assessment</v>
      </c>
      <c r="C2925" s="7" t="str">
        <f>IFERROR(__xludf.DUMMYFUNCTION("""COMPUTED_VALUE"""),"Most current automated essay quality assessment systems treat score prediction and feedback generation as separate tasks, overlooking the fact that scores provide a quantitative evaluation of quality, while feedback offers a qualitative assessment. Both a"&amp;"spects reflect essay quality from different perspectives, and they are inherently consistent and can reinforce each other. In this paper, we propose a novel bidirectional reinforcement learning framework that effectively utilizes this consistency constrai"&amp;"nt to jointly optimize score prediction and feedback generation, ensuring mutual reinforcement and alignment between them. In this way, our model is hope to obtain a simultaneous accurate ratings and consistent text feedback. We conducted extensive experi"&amp;"ments on publicly available datasets. The results demonstrate that our approach surpasses the current state-of-the-art models, enhancing both scoring accuracy and feedback quality.")</f>
        <v>Most current automated essay quality assessment systems treat score prediction and feedback generation as separate tasks, overlooking the fact that scores provide a quantitative evaluation of quality, while feedback offers a qualitative assessment. Both aspects reflect essay quality from different perspectives, and they are inherently consistent and can reinforce each other. In this paper, we propose a novel bidirectional reinforcement learning framework that effectively utilizes this consistency constraint to jointly optimize score prediction and feedback generation, ensuring mutual reinforcement and alignment between them. In this way, our model is hope to obtain a simultaneous accurate ratings and consistent text feedback. We conducted extensive experiments on publicly available datasets. The results demonstrate that our approach surpasses the current state-of-the-art models, enhancing both scoring accuracy and feedback quality.</v>
      </c>
      <c r="D2925" s="7" t="str">
        <f>IFERROR(__xludf.DUMMYFUNCTION("""COMPUTED_VALUE"""),"Wenjing Pan
Xia Li")</f>
        <v>Wenjing Pan
Xia Li</v>
      </c>
      <c r="E2925" s="7" t="str">
        <f>IFERROR(__xludf.DUMMYFUNCTION("""COMPUTED_VALUE"""),"Yes")</f>
        <v>Yes</v>
      </c>
      <c r="F2925" s="7" t="str">
        <f>IFERROR(__xludf.DUMMYFUNCTION("""COMPUTED_VALUE"""),"V-Presentation")</f>
        <v>V-Presentation</v>
      </c>
      <c r="G2925" s="7" t="str">
        <f>IFERROR(__xludf.DUMMYFUNCTION("""COMPUTED_VALUE"""),"Virtual/Gather")</f>
        <v>Virtual/Gather</v>
      </c>
      <c r="H2925" s="7" t="str">
        <f>IFERROR(__xludf.DUMMYFUNCTION("""COMPUTED_VALUE"""),"Zoom")</f>
        <v>Zoom</v>
      </c>
      <c r="I2925" s="7" t="str">
        <f>IFERROR(__xludf.DUMMYFUNCTION("""COMPUTED_VALUE"""),"Session 2: V-Presentations")</f>
        <v>Session 2: V-Presentations</v>
      </c>
      <c r="J2925" s="7" t="str">
        <f>IFERROR(__xludf.DUMMYFUNCTION("""COMPUTED_VALUE"""),"Virtual Presentations 1")</f>
        <v>Virtual Presentations 1</v>
      </c>
      <c r="K2925" s="7"/>
      <c r="L2925" s="8">
        <f>IFERROR(__xludf.DUMMYFUNCTION("""COMPUTED_VALUE"""),45866.0)</f>
        <v>45866</v>
      </c>
      <c r="M2925" s="7" t="str">
        <f>IFERROR(__xludf.DUMMYFUNCTION("""COMPUTED_VALUE"""),"11:00-12:30")</f>
        <v>11:00-12:30</v>
      </c>
      <c r="N2925" s="7"/>
    </row>
    <row r="2926">
      <c r="A2926" s="7" t="str">
        <f>IFERROR(__xludf.DUMMYFUNCTION("""COMPUTED_VALUE"""),"3725-MAIN")</f>
        <v>3725-MAIN</v>
      </c>
      <c r="B2926" s="7" t="str">
        <f>IFERROR(__xludf.DUMMYFUNCTION("""COMPUTED_VALUE"""),"DeAL: Decoding-time Alignment Framework for Large Language Models")</f>
        <v>DeAL: Decoding-time Alignment Framework for Large Language Models</v>
      </c>
      <c r="C2926" s="7" t="str">
        <f>IFERROR(__xludf.DUMMYFUNCTION("""COMPUTED_VALUE"""),"Large Language Models (LLMs) are nowadays expected to generate content aligned with human preferences. Current work focuses on alignment at model training time, through techniques such as Reinforcement Learning with Human Feedback (RLHF). However, it is u"&amp;"nclear if such methods are an effective choice to teach alignment objectives to the model. First, the inability to incorporate multiple, custom rewards and reliance on a model developer's view of universal and static principles are key limitations. Second"&amp;", the reliability of such approaches is also questionable (e.g. susceptibility to jailbreaking even after safety training). To address these issues, we propose DeAL, a framework that allows the user to customize reward functions and enables Decoding-time "&amp;"Alignment of LLMs (DeAL). At its core, we view decoding as a heuristic-guided search process and facilitate the use of a wide variety of alignment objectives. Our experiments with programmatic constraints such as keyword and length constraints, and abstra"&amp;"ct objectives such as harmlessness and helpfulness, show that we can DeAL with fine-grained trade-offs and improve adherence to alignment objectives. Lastly, we demonstrate that DeAL is largely complementary to existing alignment strategies, and can be ef"&amp;"fectively paired with RLHF and prompting techniques to achieve better alignment.")</f>
        <v>Large Language Models (LLMs) are nowadays expected to generate content aligned with human preferences. Current work focuses on alignment at model training time, through techniques such as Reinforcement Learning with Human Feedback (RLHF). However, it is unclear if such methods are an effective choice to teach alignment objectives to the model. First, the inability to incorporate multiple, custom rewards and reliance on a model developer's view of universal and static principles are key limitations. Second, the reliability of such approaches is also questionable (e.g. susceptibility to jailbreaking even after safety training). To address these issues, we propose DeAL, a framework that allows the user to customize reward functions and enables Decoding-time Alignment of LLMs (DeAL). At its core, we view decoding as a heuristic-guided search process and facilitate the use of a wide variety of alignment objectives. Our experiments with programmatic constraints such as keyword and length constraints, and abstract objectives such as harmlessness and helpfulness, show that we can DeAL with fine-grained trade-offs and improve adherence to alignment objectives. Lastly, we demonstrate that DeAL is largely complementary to existing alignment strategies, and can be effectively paired with RLHF and prompting techniques to achieve better alignment.</v>
      </c>
      <c r="D2926" s="7" t="str">
        <f>IFERROR(__xludf.DUMMYFUNCTION("""COMPUTED_VALUE"""),"James Y. Huang")</f>
        <v>James Y. Huang</v>
      </c>
      <c r="E2926" s="7" t="str">
        <f>IFERROR(__xludf.DUMMYFUNCTION("""COMPUTED_VALUE"""),"Yes")</f>
        <v>Yes</v>
      </c>
      <c r="F2926" s="7" t="str">
        <f>IFERROR(__xludf.DUMMYFUNCTION("""COMPUTED_VALUE"""),"IP-Poster")</f>
        <v>IP-Poster</v>
      </c>
      <c r="G2926" s="7" t="str">
        <f>IFERROR(__xludf.DUMMYFUNCTION("""COMPUTED_VALUE"""),"In-Person")</f>
        <v>In-Person</v>
      </c>
      <c r="H2926" s="7" t="str">
        <f>IFERROR(__xludf.DUMMYFUNCTION("""COMPUTED_VALUE"""),"Hall 4/5")</f>
        <v>Hall 4/5</v>
      </c>
      <c r="I2926" s="7" t="str">
        <f>IFERROR(__xludf.DUMMYFUNCTION("""COMPUTED_VALUE"""),"Session 2: IP-Posters ")</f>
        <v>Session 2: IP-Posters </v>
      </c>
      <c r="J2926" s="7" t="str">
        <f>IFERROR(__xludf.DUMMYFUNCTION("""COMPUTED_VALUE"""),"Poster Session 1")</f>
        <v>Poster Session 1</v>
      </c>
      <c r="K2926" s="7"/>
      <c r="L2926" s="8">
        <f>IFERROR(__xludf.DUMMYFUNCTION("""COMPUTED_VALUE"""),45866.0)</f>
        <v>45866</v>
      </c>
      <c r="M2926" s="7" t="str">
        <f>IFERROR(__xludf.DUMMYFUNCTION("""COMPUTED_VALUE"""),"11:00-12:30")</f>
        <v>11:00-12:30</v>
      </c>
      <c r="N2926" s="7"/>
    </row>
    <row r="2927">
      <c r="A2927" s="7" t="str">
        <f>IFERROR(__xludf.DUMMYFUNCTION("""COMPUTED_VALUE"""),"3728-MAIN")</f>
        <v>3728-MAIN</v>
      </c>
      <c r="B2927" s="7" t="str">
        <f>IFERROR(__xludf.DUMMYFUNCTION("""COMPUTED_VALUE"""),"Cultural Bias Matters: A Cross-Cultural Benchmark Dataset and Sentiment-Enriched Model for Understanding Multimodal Metaphors")</f>
        <v>Cultural Bias Matters: A Cross-Cultural Benchmark Dataset and Sentiment-Enriched Model for Understanding Multimodal Metaphors</v>
      </c>
      <c r="C2927" s="7" t="str">
        <f>IFERROR(__xludf.DUMMYFUNCTION("""COMPUTED_VALUE"""),"Metaphors are pervasive in communication, making them crucial for natural language processing (NLP). Previous research on automatic metaphor processing predominantly relies on training data consisting of English samples, which often reflect Western Europe"&amp;"an or North American biases. This cultural skew can lead to an overestimation of model performance and contributions to NLP progress. However, the impact of cultural bias on metaphor processing, particularly in multimodal contexts, remains largely unexplo"&amp;"red. To address this gap, we introduce MultiMM, a Multicultural Multimodal Metaphor dataset designed for cross-cultural studies of metaphor in Chinese and English. MultiMM consists of 8,461 text-image advertisement pairs, each accompanied by fine-grained "&amp;"annotations, providing a deeper understanding of multimodal metaphors beyond a single cultural domain. Additionally, we propose Sentiment-Enriched Metaphor Detection (SEMD), a baseline model that integrates sentiment embeddings to enhance metaphor compreh"&amp;"ension across cultural backgrounds. Experimental results validate the effectiveness of SEMD on metaphor detection and sentiment analysis tasks. We hope this work increases awareness of cultural bias in NLP research and contributes to the development of fa"&amp;"irer and more inclusive language models.")</f>
        <v>Metaphors are pervasive in communication, making them crucial for natural language processing (NLP). Previous research on automatic metaphor processing predominantly relies on training data consisting of English samples, which often reflect Western European or North American biases. This cultural skew can lead to an overestimation of model performance and contributions to NLP progress. However, the impact of cultural bias on metaphor processing, particularly in multimodal contexts, remains largely unexplored. To address this gap, we introduce MultiMM, a Multicultural Multimodal Metaphor dataset designed for cross-cultural studies of metaphor in Chinese and English. MultiMM consists of 8,461 text-image advertisement pairs, each accompanied by fine-grained annotations, providing a deeper understanding of multimodal metaphors beyond a single cultural domain. Additionally, we propose Sentiment-Enriched Metaphor Detection (SEMD), a baseline model that integrates sentiment embeddings to enhance metaphor comprehension across cultural backgrounds. Experimental results validate the effectiveness of SEMD on metaphor detection and sentiment analysis tasks. We hope this work increases awareness of cultural bias in NLP research and contributes to the development of fairer and more inclusive language models.</v>
      </c>
      <c r="D2927" s="7" t="str">
        <f>IFERROR(__xludf.DUMMYFUNCTION("""COMPUTED_VALUE"""),"Senqi Yang")</f>
        <v>Senqi Yang</v>
      </c>
      <c r="E2927" s="7" t="str">
        <f>IFERROR(__xludf.DUMMYFUNCTION("""COMPUTED_VALUE"""),"Yes")</f>
        <v>Yes</v>
      </c>
      <c r="F2927" s="7" t="str">
        <f>IFERROR(__xludf.DUMMYFUNCTION("""COMPUTED_VALUE"""),"V-Presentation")</f>
        <v>V-Presentation</v>
      </c>
      <c r="G2927" s="7" t="str">
        <f>IFERROR(__xludf.DUMMYFUNCTION("""COMPUTED_VALUE"""),"Virtual/Gather")</f>
        <v>Virtual/Gather</v>
      </c>
      <c r="H2927" s="7" t="str">
        <f>IFERROR(__xludf.DUMMYFUNCTION("""COMPUTED_VALUE"""),"Zoom")</f>
        <v>Zoom</v>
      </c>
      <c r="I2927" s="7" t="str">
        <f>IFERROR(__xludf.DUMMYFUNCTION("""COMPUTED_VALUE"""),"Session 2: V-Presentations")</f>
        <v>Session 2: V-Presentations</v>
      </c>
      <c r="J2927" s="7" t="str">
        <f>IFERROR(__xludf.DUMMYFUNCTION("""COMPUTED_VALUE"""),"Virtual Presentations 1")</f>
        <v>Virtual Presentations 1</v>
      </c>
      <c r="K2927" s="7"/>
      <c r="L2927" s="8">
        <f>IFERROR(__xludf.DUMMYFUNCTION("""COMPUTED_VALUE"""),45866.0)</f>
        <v>45866</v>
      </c>
      <c r="M2927" s="7" t="str">
        <f>IFERROR(__xludf.DUMMYFUNCTION("""COMPUTED_VALUE"""),"11:00-12:30")</f>
        <v>11:00-12:30</v>
      </c>
      <c r="N2927" s="7"/>
    </row>
    <row r="2928">
      <c r="A2928" s="7" t="str">
        <f>IFERROR(__xludf.DUMMYFUNCTION("""COMPUTED_VALUE"""),"3732-MAIN")</f>
        <v>3732-MAIN</v>
      </c>
      <c r="B2928" s="7" t="str">
        <f>IFERROR(__xludf.DUMMYFUNCTION("""COMPUTED_VALUE"""),"OmniCharacter: Towards Immersive Role-Playing Agents with Seamless Speech-Language Personality Interaction")</f>
        <v>OmniCharacter: Towards Immersive Role-Playing Agents with Seamless Speech-Language Personality Interaction</v>
      </c>
      <c r="C2928" s="7" t="str">
        <f>IFERROR(__xludf.DUMMYFUNCTION("""COMPUTED_VALUE"""),"Role-Playing Agents (RPAs), benefiting from large language models, is an emerging interactive AI system that simulates roles or characters with diverse personalities. However, existing methods primarily focus on mimicking dialogues among roles in textual "&amp;"form, neglecting the role's voice traits (e.g., voice style and emotions) as playing a crucial effect in interaction, which tends to be more immersive experiences in realistic scenarios. Towards this goal, we propose OmniCharacter, a first seamless speech"&amp;"-language personality interaction model to achieve immersive RPAs with low latency. Specifically, OmniCharacter enables agents to consistently exhibit role-specific personality traits and vocal traits throughout the interaction, enabling a mixture of spee"&amp;"ch and language responses. To align the model with speech-language scenarios, we construct a dataset named OmniCharacter-10K, which involves more distinctive characters (20), richly contextualized multi-round dialogue (10K), and dynamic speech response (1"&amp;"35K). Experimental results showcase that our method yields better responses in terms of both content and style compared to existing RPAs and mainstream speech-language models, with a response latency as low as 289ms.")</f>
        <v>Role-Playing Agents (RPAs), benefiting from large language models, is an emerging interactive AI system that simulates roles or characters with diverse personalities. However, existing methods primarily focus on mimicking dialogues among roles in textual form, neglecting the role's voice traits (e.g., voice style and emotions) as playing a crucial effect in interaction, which tends to be more immersive experiences in realistic scenarios. Towards this goal, we propose OmniCharacter, a first seamless speech-language personality interaction model to achieve immersive RPAs with low latency. Specifically, OmniCharacter enables agents to consistently exhibit role-specific personality traits and vocal traits throughout the interaction, enabling a mixture of speech and language responses. To align the model with speech-language scenarios, we construct a dataset named OmniCharacter-10K, which involves more distinctive characters (20), richly contextualized multi-round dialogue (10K), and dynamic speech response (135K). Experimental results showcase that our method yields better responses in terms of both content and style compared to existing RPAs and mainstream speech-language models, with a response latency as low as 289ms.</v>
      </c>
      <c r="D2928" s="7" t="str">
        <f>IFERROR(__xludf.DUMMYFUNCTION("""COMPUTED_VALUE"""),"Haonan Zhang")</f>
        <v>Haonan Zhang</v>
      </c>
      <c r="E2928" s="7" t="str">
        <f>IFERROR(__xludf.DUMMYFUNCTION("""COMPUTED_VALUE"""),"Yes")</f>
        <v>Yes</v>
      </c>
      <c r="F2928" s="7" t="str">
        <f>IFERROR(__xludf.DUMMYFUNCTION("""COMPUTED_VALUE"""),"IP-Poster")</f>
        <v>IP-Poster</v>
      </c>
      <c r="G2928" s="7" t="str">
        <f>IFERROR(__xludf.DUMMYFUNCTION("""COMPUTED_VALUE"""),"In-Person")</f>
        <v>In-Person</v>
      </c>
      <c r="H2928" s="7" t="str">
        <f>IFERROR(__xludf.DUMMYFUNCTION("""COMPUTED_VALUE"""),"Hall 4/5")</f>
        <v>Hall 4/5</v>
      </c>
      <c r="I2928" s="7" t="str">
        <f>IFERROR(__xludf.DUMMYFUNCTION("""COMPUTED_VALUE"""),"Session 2: IP-Posters ")</f>
        <v>Session 2: IP-Posters </v>
      </c>
      <c r="J2928" s="7" t="str">
        <f>IFERROR(__xludf.DUMMYFUNCTION("""COMPUTED_VALUE"""),"Poster Session 1")</f>
        <v>Poster Session 1</v>
      </c>
      <c r="K2928" s="7"/>
      <c r="L2928" s="8">
        <f>IFERROR(__xludf.DUMMYFUNCTION("""COMPUTED_VALUE"""),45866.0)</f>
        <v>45866</v>
      </c>
      <c r="M2928" s="7" t="str">
        <f>IFERROR(__xludf.DUMMYFUNCTION("""COMPUTED_VALUE"""),"11:00-12:30")</f>
        <v>11:00-12:30</v>
      </c>
      <c r="N2928" s="7"/>
    </row>
    <row r="2929">
      <c r="A2929" s="7" t="str">
        <f>IFERROR(__xludf.DUMMYFUNCTION("""COMPUTED_VALUE"""),"3735-MAIN")</f>
        <v>3735-MAIN</v>
      </c>
      <c r="B2929" s="7" t="str">
        <f>IFERROR(__xludf.DUMMYFUNCTION("""COMPUTED_VALUE"""),"Mixtures of In-Context Learners")</f>
        <v>Mixtures of In-Context Learners</v>
      </c>
      <c r="C2929" s="7" t="str">
        <f>IFERROR(__xludf.DUMMYFUNCTION("""COMPUTED_VALUE"""),"In-context learning (ICL) adapts LLMs by providing demonstrations without fine-tuning the model parameters; however, it is very sensitive to the choice of in-context demonstrations, and processing many demonstrations can be computationally demanding. We p"&amp;"ropose Mixtures of In-Context Learners (MoICL), a novel approach that uses subsets of demonstrations to train a set of experts via ICL and learns a weighting function to merge their output distributions via gradient-based optimisation. In our experiments,"&amp;" we show performance improvements on 5 out of 7 classification datasets compared to a set of strong baselines (e.g., up to +13% compared to ICL and LENS). Moreover, we improve the Pareto frontier of ICL by reducing the inference time needed to achieve the"&amp;" same performance with fewer demonstrations. Finally, MoICL is more robust to out-of-domain (up to +11%), imbalanced (up to +49%) and perturbed demonstrations (up to +38%).")</f>
        <v>In-context learning (ICL) adapts LLMs by providing demonstrations without fine-tuning the model parameters; however, it is very sensitive to the choice of in-context demonstrations, and processing many demonstrations can be computationally demanding. We propose Mixtures of In-Context Learners (MoICL), a novel approach that uses subsets of demonstrations to train a set of experts via ICL and learns a weighting function to merge their output distributions via gradient-based optimisation. In our experiments, we show performance improvements on 5 out of 7 classification datasets compared to a set of strong baselines (e.g., up to +13% compared to ICL and LENS). Moreover, we improve the Pareto frontier of ICL by reducing the inference time needed to achieve the same performance with fewer demonstrations. Finally, MoICL is more robust to out-of-domain (up to +11%), imbalanced (up to +49%) and perturbed demonstrations (up to +38%).</v>
      </c>
      <c r="D2929" s="7" t="str">
        <f>IFERROR(__xludf.DUMMYFUNCTION("""COMPUTED_VALUE"""),"Giwon Hong")</f>
        <v>Giwon Hong</v>
      </c>
      <c r="E2929" s="7" t="str">
        <f>IFERROR(__xludf.DUMMYFUNCTION("""COMPUTED_VALUE"""),"Yes")</f>
        <v>Yes</v>
      </c>
      <c r="F2929" s="7" t="str">
        <f>IFERROR(__xludf.DUMMYFUNCTION("""COMPUTED_VALUE"""),"IP-Poster")</f>
        <v>IP-Poster</v>
      </c>
      <c r="G2929" s="7" t="str">
        <f>IFERROR(__xludf.DUMMYFUNCTION("""COMPUTED_VALUE"""),"In-Person")</f>
        <v>In-Person</v>
      </c>
      <c r="H2929" s="7" t="str">
        <f>IFERROR(__xludf.DUMMYFUNCTION("""COMPUTED_VALUE"""),"Hall 4/5")</f>
        <v>Hall 4/5</v>
      </c>
      <c r="I2929" s="7" t="str">
        <f>IFERROR(__xludf.DUMMYFUNCTION("""COMPUTED_VALUE"""),"Session 2: IP-Posters ")</f>
        <v>Session 2: IP-Posters </v>
      </c>
      <c r="J2929" s="7" t="str">
        <f>IFERROR(__xludf.DUMMYFUNCTION("""COMPUTED_VALUE"""),"Poster Session 1")</f>
        <v>Poster Session 1</v>
      </c>
      <c r="K2929" s="7"/>
      <c r="L2929" s="8">
        <f>IFERROR(__xludf.DUMMYFUNCTION("""COMPUTED_VALUE"""),45866.0)</f>
        <v>45866</v>
      </c>
      <c r="M2929" s="7" t="str">
        <f>IFERROR(__xludf.DUMMYFUNCTION("""COMPUTED_VALUE"""),"11:00-12:30")</f>
        <v>11:00-12:30</v>
      </c>
      <c r="N2929" s="7"/>
    </row>
    <row r="2930">
      <c r="A2930" s="7" t="str">
        <f>IFERROR(__xludf.DUMMYFUNCTION("""COMPUTED_VALUE"""),"3736-MAIN")</f>
        <v>3736-MAIN</v>
      </c>
      <c r="B2930" s="7" t="str">
        <f>IFERROR(__xludf.DUMMYFUNCTION("""COMPUTED_VALUE"""),"Balancing Diversity and Risk in LLM Sampling: How to Select Your Method and Parameter for Open-Ended Text Generation")</f>
        <v>Balancing Diversity and Risk in LLM Sampling: How to Select Your Method and Parameter for Open-Ended Text Generation</v>
      </c>
      <c r="C2930" s="7" t="str">
        <f>IFERROR(__xludf.DUMMYFUNCTION("""COMPUTED_VALUE"""),"Sampling-based decoding strategies have been widely adopted for Large Language Models (LLMs) in numerous applications, targeting a balance between diversity and quality via temperature tuning and tail truncation. Considering the strong dependency of the c"&amp;"andidate next tokens on different prefixes, recent studies propose to adaptively truncate the tail of LLMs' predicted distribution. Although improved results have been reported with these methods on open-ended text generation tasks, the results are highly"&amp;" dependent on the curated parameters and the limited exemplar text. In this paper, we propose a systematic way to estimate the intrinsic capacity of a truncation sampling method by considering the trade-off between diversity and risk at each decoding step"&amp;", based on our collected prefix tree which preserves the context of a full sentence. Our work offers a comprehensive comparison of existing truncation sampling methods and serves as a practical user guideline for their parameter selection. Our code is ava"&amp;"ilable at https://anonymous.4open.science/r/Truncation-Sampling-Evaluation-251F.")</f>
        <v>Sampling-based decoding strategies have been widely adopted for Large Language Models (LLMs) in numerous applications, targeting a balance between diversity and quality via temperature tuning and tail truncation. Considering the strong dependency of the candidate next tokens on different prefixes, recent studies propose to adaptively truncate the tail of LLMs' predicted distribution. Although improved results have been reported with these methods on open-ended text generation tasks, the results are highly dependent on the curated parameters and the limited exemplar text. In this paper, we propose a systematic way to estimate the intrinsic capacity of a truncation sampling method by considering the trade-off between diversity and risk at each decoding step, based on our collected prefix tree which preserves the context of a full sentence. Our work offers a comprehensive comparison of existing truncation sampling methods and serves as a practical user guideline for their parameter selection. Our code is available at https://anonymous.4open.science/r/Truncation-Sampling-Evaluation-251F.</v>
      </c>
      <c r="D2930" s="7" t="str">
        <f>IFERROR(__xludf.DUMMYFUNCTION("""COMPUTED_VALUE"""),"Yuxuan Zhou")</f>
        <v>Yuxuan Zhou</v>
      </c>
      <c r="E2930" s="7" t="str">
        <f>IFERROR(__xludf.DUMMYFUNCTION("""COMPUTED_VALUE"""),"Yes")</f>
        <v>Yes</v>
      </c>
      <c r="F2930" s="7" t="str">
        <f>IFERROR(__xludf.DUMMYFUNCTION("""COMPUTED_VALUE"""),"IP-Poster")</f>
        <v>IP-Poster</v>
      </c>
      <c r="G2930" s="7" t="str">
        <f>IFERROR(__xludf.DUMMYFUNCTION("""COMPUTED_VALUE"""),"In-Person")</f>
        <v>In-Person</v>
      </c>
      <c r="H2930" s="7" t="str">
        <f>IFERROR(__xludf.DUMMYFUNCTION("""COMPUTED_VALUE"""),"Hall 4/5")</f>
        <v>Hall 4/5</v>
      </c>
      <c r="I2930" s="7" t="str">
        <f>IFERROR(__xludf.DUMMYFUNCTION("""COMPUTED_VALUE"""),"Session 10: IP-Posters")</f>
        <v>Session 10: IP-Posters</v>
      </c>
      <c r="J2930" s="7" t="str">
        <f>IFERROR(__xludf.DUMMYFUNCTION("""COMPUTED_VALUE"""),"Poster Session 3")</f>
        <v>Poster Session 3</v>
      </c>
      <c r="K2930" s="7"/>
      <c r="L2930" s="8">
        <f>IFERROR(__xludf.DUMMYFUNCTION("""COMPUTED_VALUE"""),45867.0)</f>
        <v>45867</v>
      </c>
      <c r="M2930" s="7" t="str">
        <f>IFERROR(__xludf.DUMMYFUNCTION("""COMPUTED_VALUE"""),"16:00-17:30")</f>
        <v>16:00-17:30</v>
      </c>
      <c r="N2930" s="7"/>
    </row>
    <row r="2931">
      <c r="A2931" s="7" t="str">
        <f>IFERROR(__xludf.DUMMYFUNCTION("""COMPUTED_VALUE"""),"3739-MAIN")</f>
        <v>3739-MAIN</v>
      </c>
      <c r="B2931" s="7" t="str">
        <f>IFERROR(__xludf.DUMMYFUNCTION("""COMPUTED_VALUE"""),"RADAR: Enhancing Radiology Report Generation with Supplementary Knowledge Injection")</f>
        <v>RADAR: Enhancing Radiology Report Generation with Supplementary Knowledge Injection</v>
      </c>
      <c r="C2931" s="7" t="str">
        <f>IFERROR(__xludf.DUMMYFUNCTION("""COMPUTED_VALUE"""),"Large language models (LLMs) have demonstrated remarkable capabilities in various domains, including radiology report generation. Previous approaches have attempted to utilize multimodal LLMs for this task, enhancing their performance through the integrat"&amp;"ion of domain-specific knowledge retrieval. However, these approaches often overlook the knowledge already embedded within the LLMs, leading to redundant information integration. To address this limitation, we propose Radar, a framework for enhancing radi"&amp;"ology report generation with supplementary knowledge injection. Radar improves report generation by systematically leveraging both the internal knowledge of an LLM and externally retrieved information. Specifically, it first extracts the model's acquired "&amp;"knowledge that aligns with expert image-based classification outputs. It then retrieves relevant supplementary knowledge to further enrich this information. Finally, by aggregating both sources, Radar generates more accurate and informative radiology repo"&amp;"rts. Extensive experiments on MIMIC-CXR, CheXpert-Plus, and IU X-ray demonstrate that our model outperforms state-of-the-art LLMs in both language quality and clinical accuracy")</f>
        <v>Large language models (LLMs) have demonstrated remarkable capabilities in various domains, including radiology report generation. Previous approaches have attempted to utilize multimodal LLMs for this task, enhancing their performance through the integration of domain-specific knowledge retrieval. However, these approaches often overlook the knowledge already embedded within the LLMs, leading to redundant information integration. To address this limitation, we propose Radar, a framework for enhancing radiology report generation with supplementary knowledge injection. Radar improves report generation by systematically leveraging both the internal knowledge of an LLM and externally retrieved information. Specifically, it first extracts the model's acquired knowledge that aligns with expert image-based classification outputs. It then retrieves relevant supplementary knowledge to further enrich this information. Finally, by aggregating both sources, Radar generates more accurate and informative radiology reports. Extensive experiments on MIMIC-CXR, CheXpert-Plus, and IU X-ray demonstrate that our model outperforms state-of-the-art LLMs in both language quality and clinical accuracy</v>
      </c>
      <c r="D2931" s="7" t="str">
        <f>IFERROR(__xludf.DUMMYFUNCTION("""COMPUTED_VALUE"""),"Wenjun Hou")</f>
        <v>Wenjun Hou</v>
      </c>
      <c r="E2931" s="7" t="str">
        <f>IFERROR(__xludf.DUMMYFUNCTION("""COMPUTED_VALUE"""),"Yes")</f>
        <v>Yes</v>
      </c>
      <c r="F2931" s="7" t="str">
        <f>IFERROR(__xludf.DUMMYFUNCTION("""COMPUTED_VALUE"""),"IP-Poster")</f>
        <v>IP-Poster</v>
      </c>
      <c r="G2931" s="7" t="str">
        <f>IFERROR(__xludf.DUMMYFUNCTION("""COMPUTED_VALUE"""),"In-Person")</f>
        <v>In-Person</v>
      </c>
      <c r="H2931" s="7" t="str">
        <f>IFERROR(__xludf.DUMMYFUNCTION("""COMPUTED_VALUE"""),"Hall 4/5")</f>
        <v>Hall 4/5</v>
      </c>
      <c r="I2931" s="7" t="str">
        <f>IFERROR(__xludf.DUMMYFUNCTION("""COMPUTED_VALUE"""),"Session 12: IP-Posters")</f>
        <v>Session 12: IP-Posters</v>
      </c>
      <c r="J2931" s="7" t="str">
        <f>IFERROR(__xludf.DUMMYFUNCTION("""COMPUTED_VALUE"""),"Poster Session 4")</f>
        <v>Poster Session 4</v>
      </c>
      <c r="K2931" s="7"/>
      <c r="L2931" s="8">
        <f>IFERROR(__xludf.DUMMYFUNCTION("""COMPUTED_VALUE"""),45868.0)</f>
        <v>45868</v>
      </c>
      <c r="M2931" s="7" t="str">
        <f>IFERROR(__xludf.DUMMYFUNCTION("""COMPUTED_VALUE"""),"11:00-12:30")</f>
        <v>11:00-12:30</v>
      </c>
      <c r="N2931" s="7"/>
    </row>
    <row r="2932">
      <c r="A2932" s="7" t="str">
        <f>IFERROR(__xludf.DUMMYFUNCTION("""COMPUTED_VALUE"""),"3743-MAIN")</f>
        <v>3743-MAIN</v>
      </c>
      <c r="B2932" s="7" t="str">
        <f>IFERROR(__xludf.DUMMYFUNCTION("""COMPUTED_VALUE"""),"Can LLMs Deceive CLIP? Benchmarking Adversarial Compositionality of Pre-trained Multimodal Representation via Text Updates")</f>
        <v>Can LLMs Deceive CLIP? Benchmarking Adversarial Compositionality of Pre-trained Multimodal Representation via Text Updates</v>
      </c>
      <c r="C2932" s="7" t="str">
        <f>IFERROR(__xludf.DUMMYFUNCTION("""COMPUTED_VALUE"""),"While pre-trained multimodal representations (e.g., CLIP) have shown impressive capabilities, they exhibit significant compositional vulnerabilities leading to counterintuitive judgments. We introduce Multimodal Adversarial Compositionality (MAC), a bench"&amp;"mark that leverages large language models (LLMs) to generate deceptive text samples to exploit these vulnerabilities across different modalities and evaluates them through both sample-wise attack success rate and group-wise entropy-based diversity. To imp"&amp;"rove zero-shot methods, we propose a self-training approach that leverages rejection-sampling fine-tuning with diversity-promoting filtering, which enhances both attack success rate and sample diversity. Using smaller language models like Llama-3.1-8B, ou"&amp;"r approach demonstrates superior performance in revealing compositional vulnerabilities across various multimodal representations, including images, videos, and audios.")</f>
        <v>While pre-trained multimodal representations (e.g., CLIP) have shown impressive capabilities, they exhibit significant compositional vulnerabilities leading to counterintuitive judgments. We introduce Multimodal Adversarial Compositionality (MAC), a benchmark that leverages large language models (LLMs) to generate deceptive text samples to exploit these vulnerabilities across different modalities and evaluates them through both sample-wise attack success rate and group-wise entropy-based diversity. To improve zero-shot methods, we propose a self-training approach that leverages rejection-sampling fine-tuning with diversity-promoting filtering, which enhances both attack success rate and sample diversity. Using smaller language models like Llama-3.1-8B, our approach demonstrates superior performance in revealing compositional vulnerabilities across various multimodal representations, including images, videos, and audios.</v>
      </c>
      <c r="D2932" s="7" t="str">
        <f>IFERROR(__xludf.DUMMYFUNCTION("""COMPUTED_VALUE"""),"Jaewoo Ahn")</f>
        <v>Jaewoo Ahn</v>
      </c>
      <c r="E2932" s="7" t="str">
        <f>IFERROR(__xludf.DUMMYFUNCTION("""COMPUTED_VALUE"""),"Yes")</f>
        <v>Yes</v>
      </c>
      <c r="F2932" s="7" t="str">
        <f>IFERROR(__xludf.DUMMYFUNCTION("""COMPUTED_VALUE"""),"IP-Poster")</f>
        <v>IP-Poster</v>
      </c>
      <c r="G2932" s="7" t="str">
        <f>IFERROR(__xludf.DUMMYFUNCTION("""COMPUTED_VALUE"""),"In-Person")</f>
        <v>In-Person</v>
      </c>
      <c r="H2932" s="7" t="str">
        <f>IFERROR(__xludf.DUMMYFUNCTION("""COMPUTED_VALUE"""),"Hall 4/5")</f>
        <v>Hall 4/5</v>
      </c>
      <c r="I2932" s="7" t="str">
        <f>IFERROR(__xludf.DUMMYFUNCTION("""COMPUTED_VALUE"""),"Session 10: IP-Posters")</f>
        <v>Session 10: IP-Posters</v>
      </c>
      <c r="J2932" s="7" t="str">
        <f>IFERROR(__xludf.DUMMYFUNCTION("""COMPUTED_VALUE"""),"Poster Session 3")</f>
        <v>Poster Session 3</v>
      </c>
      <c r="K2932" s="7"/>
      <c r="L2932" s="8">
        <f>IFERROR(__xludf.DUMMYFUNCTION("""COMPUTED_VALUE"""),45867.0)</f>
        <v>45867</v>
      </c>
      <c r="M2932" s="7" t="str">
        <f>IFERROR(__xludf.DUMMYFUNCTION("""COMPUTED_VALUE"""),"16:00-17:30")</f>
        <v>16:00-17:30</v>
      </c>
      <c r="N2932" s="7"/>
    </row>
    <row r="2933">
      <c r="A2933" s="7" t="str">
        <f>IFERROR(__xludf.DUMMYFUNCTION("""COMPUTED_VALUE"""),"3745-MAIN")</f>
        <v>3745-MAIN</v>
      </c>
      <c r="B2933" s="7" t="str">
        <f>IFERROR(__xludf.DUMMYFUNCTION("""COMPUTED_VALUE"""),"Attention Speaks Volumes: Localizing and Mitigating Bias in Language Models")</f>
        <v>Attention Speaks Volumes: Localizing and Mitigating Bias in Language Models</v>
      </c>
      <c r="C2933" s="7" t="str">
        <f>IFERROR(__xludf.DUMMYFUNCTION("""COMPUTED_VALUE"""),"We believe that analyzing attention is crucial for understanding bias in large language models (LLMs); in ambiguous comparative prompting frameworks, it provides insight into how the LLM distributes its focus across different entities, and how this contri"&amp;"butes to biased decisions. To this end, we first introduce a metric to quantify the ""entity preference'' of an LLM. We then propose $\textbf{ATLAS}$, a technique to localize bias to specific layers of the LLM by analyzing attention scores and then reduce"&amp;" bias by scaling attention in these biased layers. To evaluate our method, we conduct extensive experiments across 3 datasets, 4 models, and 4 baseline approaches. Our experiments demonstrate that bias is concentrated in the later layers, typically around"&amp;" the last third. We also show how $\textbf{ATLAS}$ effectively mitigates bias through targeted interventions without compromising downstream performance and an average increase of only 0.34% in perplexity when the intervention is applied. We see an averag"&amp;"e improvement of 0.28 points in the bias score across all the datasets.")</f>
        <v>We believe that analyzing attention is crucial for understanding bias in large language models (LLMs); in ambiguous comparative prompting frameworks, it provides insight into how the LLM distributes its focus across different entities, and how this contributes to biased decisions. To this end, we first introduce a metric to quantify the "entity preference'' of an LLM. We then propose $\textbf{ATLAS}$, a technique to localize bias to specific layers of the LLM by analyzing attention scores and then reduce bias by scaling attention in these biased layers. To evaluate our method, we conduct extensive experiments across 3 datasets, 4 models, and 4 baseline approaches. Our experiments demonstrate that bias is concentrated in the later layers, typically around the last third. We also show how $\textbf{ATLAS}$ effectively mitigates bias through targeted interventions without compromising downstream performance and an average increase of only 0.34% in perplexity when the intervention is applied. We see an average improvement of 0.28 points in the bias score across all the datasets.</v>
      </c>
      <c r="D2933" s="7" t="str">
        <f>IFERROR(__xludf.DUMMYFUNCTION("""COMPUTED_VALUE"""),"Rishabh Adiga")</f>
        <v>Rishabh Adiga</v>
      </c>
      <c r="E2933" s="7" t="str">
        <f>IFERROR(__xludf.DUMMYFUNCTION("""COMPUTED_VALUE"""),"Yes")</f>
        <v>Yes</v>
      </c>
      <c r="F2933" s="7" t="str">
        <f>IFERROR(__xludf.DUMMYFUNCTION("""COMPUTED_VALUE"""),"V-Presentation")</f>
        <v>V-Presentation</v>
      </c>
      <c r="G2933" s="7" t="str">
        <f>IFERROR(__xludf.DUMMYFUNCTION("""COMPUTED_VALUE"""),"Virtual/Gather")</f>
        <v>Virtual/Gather</v>
      </c>
      <c r="H2933" s="7" t="str">
        <f>IFERROR(__xludf.DUMMYFUNCTION("""COMPUTED_VALUE"""),"Zoom")</f>
        <v>Zoom</v>
      </c>
      <c r="I2933" s="7" t="str">
        <f>IFERROR(__xludf.DUMMYFUNCTION("""COMPUTED_VALUE"""),"Session 10: V-Presenations")</f>
        <v>Session 10: V-Presenations</v>
      </c>
      <c r="J2933" s="7" t="str">
        <f>IFERROR(__xludf.DUMMYFUNCTION("""COMPUTED_VALUE"""),"Virtual Presentations 3")</f>
        <v>Virtual Presentations 3</v>
      </c>
      <c r="K2933" s="7"/>
      <c r="L2933" s="8">
        <f>IFERROR(__xludf.DUMMYFUNCTION("""COMPUTED_VALUE"""),45867.0)</f>
        <v>45867</v>
      </c>
      <c r="M2933" s="7" t="str">
        <f>IFERROR(__xludf.DUMMYFUNCTION("""COMPUTED_VALUE"""),"16:00-17:30")</f>
        <v>16:00-17:30</v>
      </c>
      <c r="N2933" s="7"/>
    </row>
    <row r="2934">
      <c r="A2934" s="7" t="str">
        <f>IFERROR(__xludf.DUMMYFUNCTION("""COMPUTED_VALUE"""),"3746-MAIN")</f>
        <v>3746-MAIN</v>
      </c>
      <c r="B2934" s="7" t="str">
        <f>IFERROR(__xludf.DUMMYFUNCTION("""COMPUTED_VALUE"""),"MTSA: Multi-turn Safety Alignment for LLMs through Multi-round Red-teaming")</f>
        <v>MTSA: Multi-turn Safety Alignment for LLMs through Multi-round Red-teaming</v>
      </c>
      <c r="C2934" s="7" t="str">
        <f>IFERROR(__xludf.DUMMYFUNCTION("""COMPUTED_VALUE"""),"The proliferation of jailbreak attacks against large language models (LLMs) highlights the need for robust security measures. However, in multi-round dialogues, malicious intentions may be hidden in interactions, leading LLMs to be more prone to produce h"&amp;"armful responses. In this paper, we propose the Multi-Turn Safety Alignment (MTSA) framework, to address the challenge of securing LLMs in multi-round interactions. It consists of two stages: In the thought-guided attack learning stage, the red-team model"&amp;" learns about thought-guided multi-round jailbreak attacks to generate adversarial prompts. In the adversarial iterative optimization stage, the red-team model and the target model continuously improve their respective capabilities in interaction. Further"&amp;"more, we introduce a multi-turn reinforcement learning algorithm based on future rewards to enhance the robustness of safety alignment. Experimental results show that the red-team model exhibits state-of-the-art attack capabilities, while the target model"&amp;" significantly improves its performance on safety benchmarks.")</f>
        <v>The proliferation of jailbreak attacks against large language models (LLMs) highlights the need for robust security measures. However, in multi-round dialogues, malicious intentions may be hidden in interactions, leading LLMs to be more prone to produce harmful responses. In this paper, we propose the Multi-Turn Safety Alignment (MTSA) framework, to address the challenge of securing LLMs in multi-round interactions. It consists of two stages: In the thought-guided attack learning stage, the red-team model learns about thought-guided multi-round jailbreak attacks to generate adversarial prompts. In the adversarial iterative optimization stage, the red-team model and the target model continuously improve their respective capabilities in interaction. Furthermore, we introduce a multi-turn reinforcement learning algorithm based on future rewards to enhance the robustness of safety alignment. Experimental results show that the red-team model exhibits state-of-the-art attack capabilities, while the target model significantly improves its performance on safety benchmarks.</v>
      </c>
      <c r="D2934" s="7" t="str">
        <f>IFERROR(__xludf.DUMMYFUNCTION("""COMPUTED_VALUE"""),"Weiyang Guo")</f>
        <v>Weiyang Guo</v>
      </c>
      <c r="E2934" s="7" t="str">
        <f>IFERROR(__xludf.DUMMYFUNCTION("""COMPUTED_VALUE"""),"Yes")</f>
        <v>Yes</v>
      </c>
      <c r="F2934" s="7" t="str">
        <f>IFERROR(__xludf.DUMMYFUNCTION("""COMPUTED_VALUE"""),"IP-Poster")</f>
        <v>IP-Poster</v>
      </c>
      <c r="G2934" s="7" t="str">
        <f>IFERROR(__xludf.DUMMYFUNCTION("""COMPUTED_VALUE"""),"In-Person")</f>
        <v>In-Person</v>
      </c>
      <c r="H2934" s="7" t="str">
        <f>IFERROR(__xludf.DUMMYFUNCTION("""COMPUTED_VALUE"""),"Hall 4/5")</f>
        <v>Hall 4/5</v>
      </c>
      <c r="I2934" s="7" t="str">
        <f>IFERROR(__xludf.DUMMYFUNCTION("""COMPUTED_VALUE"""),"Session 10: IP-Posters")</f>
        <v>Session 10: IP-Posters</v>
      </c>
      <c r="J2934" s="7" t="str">
        <f>IFERROR(__xludf.DUMMYFUNCTION("""COMPUTED_VALUE"""),"Poster Session 3")</f>
        <v>Poster Session 3</v>
      </c>
      <c r="K2934" s="7"/>
      <c r="L2934" s="8">
        <f>IFERROR(__xludf.DUMMYFUNCTION("""COMPUTED_VALUE"""),45867.0)</f>
        <v>45867</v>
      </c>
      <c r="M2934" s="7" t="str">
        <f>IFERROR(__xludf.DUMMYFUNCTION("""COMPUTED_VALUE"""),"16:00-17:30")</f>
        <v>16:00-17:30</v>
      </c>
      <c r="N2934" s="7"/>
    </row>
    <row r="2935">
      <c r="A2935" s="7" t="str">
        <f>IFERROR(__xludf.DUMMYFUNCTION("""COMPUTED_VALUE"""),"3750-MAIN")</f>
        <v>3750-MAIN</v>
      </c>
      <c r="B2935" s="7" t="str">
        <f>IFERROR(__xludf.DUMMYFUNCTION("""COMPUTED_VALUE"""),"The Efficiency vs. Accuracy Trade-off: Optimizing RAG-Enhanced LLM Recommender Systems Using Multi-Head Early Exit")</f>
        <v>The Efficiency vs. Accuracy Trade-off: Optimizing RAG-Enhanced LLM Recommender Systems Using Multi-Head Early Exit</v>
      </c>
      <c r="C2935" s="7" t="str">
        <f>IFERROR(__xludf.DUMMYFUNCTION("""COMPUTED_VALUE"""),"The deployment of Large Language Models (LLMs) in recommender systems for Click-Through Rate (CTR) prediction requires a careful balance between computational efficiency and predictive accuracy. This paper introduces OptiRAG-Rec, a comprehensive framework"&amp;" that integrates Retrieval-Augmented Generation (RAG) with a novel multi-head early exit architecture to address both challenges. By leveraging Graph Convolutional Networks (GCNs) as efficient retrieval mechanisms, the framework significantly reduces data"&amp;" retrieval times while maintaining high model performance. Additionally, the multi-head early exit strategy dynamically terminates inference based on real-time predictive confidence assessments, enhancing responsiveness without sacrificing accuracy. Exper"&amp;"imental results demonstrate that OptiRAG-Rec reduces computation time while preserving the precision required for reliable recommendations, establishing a new benchmark for efficient and accurate LLM deployment in recommendation.")</f>
        <v>The deployment of Large Language Models (LLMs) in recommender systems for Click-Through Rate (CTR) prediction requires a careful balance between computational efficiency and predictive accuracy. This paper introduces OptiRAG-Rec, a comprehensive framework that integrates Retrieval-Augmented Generation (RAG) with a novel multi-head early exit architecture to address both challenges. By leveraging Graph Convolutional Networks (GCNs) as efficient retrieval mechanisms, the framework significantly reduces data retrieval times while maintaining high model performance. Additionally, the multi-head early exit strategy dynamically terminates inference based on real-time predictive confidence assessments, enhancing responsiveness without sacrificing accuracy. Experimental results demonstrate that OptiRAG-Rec reduces computation time while preserving the precision required for reliable recommendations, establishing a new benchmark for efficient and accurate LLM deployment in recommendation.</v>
      </c>
      <c r="D2935" s="7" t="str">
        <f>IFERROR(__xludf.DUMMYFUNCTION("""COMPUTED_VALUE"""),"Huixue Zhou")</f>
        <v>Huixue Zhou</v>
      </c>
      <c r="E2935" s="7" t="str">
        <f>IFERROR(__xludf.DUMMYFUNCTION("""COMPUTED_VALUE"""),"Yes")</f>
        <v>Yes</v>
      </c>
      <c r="F2935" s="7" t="str">
        <f>IFERROR(__xludf.DUMMYFUNCTION("""COMPUTED_VALUE"""),"V-Presentation")</f>
        <v>V-Presentation</v>
      </c>
      <c r="G2935" s="7" t="str">
        <f>IFERROR(__xludf.DUMMYFUNCTION("""COMPUTED_VALUE"""),"Virtual/Gather")</f>
        <v>Virtual/Gather</v>
      </c>
      <c r="H2935" s="7" t="str">
        <f>IFERROR(__xludf.DUMMYFUNCTION("""COMPUTED_VALUE"""),"Zoom")</f>
        <v>Zoom</v>
      </c>
      <c r="I2935" s="7" t="str">
        <f>IFERROR(__xludf.DUMMYFUNCTION("""COMPUTED_VALUE"""),"Session 10: V-Presenations")</f>
        <v>Session 10: V-Presenations</v>
      </c>
      <c r="J2935" s="7" t="str">
        <f>IFERROR(__xludf.DUMMYFUNCTION("""COMPUTED_VALUE"""),"Virtual Presentations 3")</f>
        <v>Virtual Presentations 3</v>
      </c>
      <c r="K2935" s="7"/>
      <c r="L2935" s="8">
        <f>IFERROR(__xludf.DUMMYFUNCTION("""COMPUTED_VALUE"""),45867.0)</f>
        <v>45867</v>
      </c>
      <c r="M2935" s="7" t="str">
        <f>IFERROR(__xludf.DUMMYFUNCTION("""COMPUTED_VALUE"""),"16:00-17:30")</f>
        <v>16:00-17:30</v>
      </c>
      <c r="N2935" s="7"/>
    </row>
    <row r="2936">
      <c r="A2936" s="7" t="str">
        <f>IFERROR(__xludf.DUMMYFUNCTION("""COMPUTED_VALUE"""),"3754-MAIN")</f>
        <v>3754-MAIN</v>
      </c>
      <c r="B2936" s="7" t="str">
        <f>IFERROR(__xludf.DUMMYFUNCTION("""COMPUTED_VALUE"""),"Unraveling LoRA Interference: Orthogonal Subspaces for Robust Model Merging")</f>
        <v>Unraveling LoRA Interference: Orthogonal Subspaces for Robust Model Merging</v>
      </c>
      <c r="C2936" s="7" t="str">
        <f>IFERROR(__xludf.DUMMYFUNCTION("""COMPUTED_VALUE"""),"Fine-tuning large language models (LMs) for individual tasks yields strong performance but is expensive for deployment and storage. Recent works explore model merging to combine multiple task-specific models into a single multi-task model without addition"&amp;"al training. However, existing merging methods often fail for models fine-tuned with low-rank adaptation (LoRA), due to significant performance degradation. In this paper, we show that this issue arises from a previously overlooked interplay between model"&amp;" parameters and data distributions. We propose **O**rthogonal **S**ubspaces for **R**obust model **M**erging (**OSRM**) to constrain the LoRA subspace *prior* to fine-tuning, ensuring that updates relevant to one task do not adversely shift outputs for ot"&amp;"hers. Our approach can seamlessly integrate with most existing merging algorithms, reducing the unintended interference among tasks. Extensive experiments on eight datasets, tested with three widely used LMs and two large LMs, demonstrate that our method "&amp;"not only boosts merging performance but also preserves single-task accuracy. Furthermore, our approach exhibits greater robustness to the hyperparameters of merging. These results highlight the importance of data-parameter interaction in model merging and"&amp;" offer a plug-and-play solution for merging LoRA models.")</f>
        <v>Fine-tuning large language models (LMs) for individual tasks yields strong performance but is expensive for deployment and storage. Recent works explore model merging to combine multiple task-specific models into a single multi-task model without additional training. However, existing merging methods often fail for models fine-tuned with low-rank adaptation (LoRA), due to significant performance degradation. In this paper, we show that this issue arises from a previously overlooked interplay between model parameters and data distributions. We propose **O**rthogonal **S**ubspaces for **R**obust model **M**erging (**OSRM**) to constrain the LoRA subspace *prior* to fine-tuning, ensuring that updates relevant to one task do not adversely shift outputs for others. Our approach can seamlessly integrate with most existing merging algorithms, reducing the unintended interference among tasks. Extensive experiments on eight datasets, tested with three widely used LMs and two large LMs, demonstrate that our method not only boosts merging performance but also preserves single-task accuracy. Furthermore, our approach exhibits greater robustness to the hyperparameters of merging. These results highlight the importance of data-parameter interaction in model merging and offer a plug-and-play solution for merging LoRA models.</v>
      </c>
      <c r="D2936" s="7" t="str">
        <f>IFERROR(__xludf.DUMMYFUNCTION("""COMPUTED_VALUE"""),"Haobo Zhang")</f>
        <v>Haobo Zhang</v>
      </c>
      <c r="E2936" s="7" t="str">
        <f>IFERROR(__xludf.DUMMYFUNCTION("""COMPUTED_VALUE"""),"Yes")</f>
        <v>Yes</v>
      </c>
      <c r="F2936" s="7" t="str">
        <f>IFERROR(__xludf.DUMMYFUNCTION("""COMPUTED_VALUE"""),"V-Presentation")</f>
        <v>V-Presentation</v>
      </c>
      <c r="G2936" s="7" t="str">
        <f>IFERROR(__xludf.DUMMYFUNCTION("""COMPUTED_VALUE"""),"Virtual/Gather")</f>
        <v>Virtual/Gather</v>
      </c>
      <c r="H2936" s="7" t="str">
        <f>IFERROR(__xludf.DUMMYFUNCTION("""COMPUTED_VALUE"""),"Zoom")</f>
        <v>Zoom</v>
      </c>
      <c r="I2936" s="7" t="str">
        <f>IFERROR(__xludf.DUMMYFUNCTION("""COMPUTED_VALUE"""),"Session 10: V-Presenations")</f>
        <v>Session 10: V-Presenations</v>
      </c>
      <c r="J2936" s="7" t="str">
        <f>IFERROR(__xludf.DUMMYFUNCTION("""COMPUTED_VALUE"""),"Virtual Presentations 3")</f>
        <v>Virtual Presentations 3</v>
      </c>
      <c r="K2936" s="7"/>
      <c r="L2936" s="8">
        <f>IFERROR(__xludf.DUMMYFUNCTION("""COMPUTED_VALUE"""),45867.0)</f>
        <v>45867</v>
      </c>
      <c r="M2936" s="7" t="str">
        <f>IFERROR(__xludf.DUMMYFUNCTION("""COMPUTED_VALUE"""),"16:00-17:30")</f>
        <v>16:00-17:30</v>
      </c>
      <c r="N2936" s="7"/>
    </row>
    <row r="2937">
      <c r="A2937" s="7" t="str">
        <f>IFERROR(__xludf.DUMMYFUNCTION("""COMPUTED_VALUE"""),"3764-MAIN")</f>
        <v>3764-MAIN</v>
      </c>
      <c r="B2937" s="7" t="str">
        <f>IFERROR(__xludf.DUMMYFUNCTION("""COMPUTED_VALUE"""),"BIG-Bench Extra Hard")</f>
        <v>BIG-Bench Extra Hard</v>
      </c>
      <c r="C2937" s="7" t="str">
        <f>IFERROR(__xludf.DUMMYFUNCTION("""COMPUTED_VALUE"""),"Current benchmarks for large language model (LLM) reasoning predominantly focus on mathematical and coding abilities, leaving a gap in evaluating broader reasoning proficiencies. One particular exception is the BIG-Bench dataset, which has served as a cru"&amp;"cial benchmark for evaluating the general reasoning capabilities of LLMs, thanks to its diverse set of challenging tasks that allowed for a comprehensive assessment of general reasoning across various skills within a unified framework. However, recent adv"&amp;"ances in LLMs have led to saturation on BIG-Bench, and its harder version BIG-Bench Hard (BBH). State-of-the-art models achieve near-perfect scores on many tasks in BBH, thus diminishing its utility. To address this limitation, we introduce BIG-Bench Extr"&amp;"a Hard (BBEH), a new benchmark designed to push the boundaries of LLM reasoning evaluation. BBEH replaces each task in BBH with a novel task that probes a similar reasoning capability but exhibits significantly increased difficulty. We evaluate various ge"&amp;"neral-purpose and reasoning-specialized models on BBEH and observe an accuracy of 23.9% for the best general-purpose model and 54.2% for the best reasoning-specialized model, indicating substantial room for improvement and highlighting the ongoing challen"&amp;"ge of achieving robust general reasoning in LLMs. We release BBEH publicly at: https:
//github.com/google-deepmind/bbeh.")</f>
        <v>Current benchmarks for large language model (LLM) reasoning predominantly focus on mathematical and coding abilities, leaving a gap in evaluating broader reasoning proficiencies. One particular exception is the BIG-Bench dataset, which has served as a crucial benchmark for evaluating the general reasoning capabilities of LLMs, thanks to its diverse set of challenging tasks that allowed for a comprehensive assessment of general reasoning across various skills within a unified framework. However, recent advances in LLMs have led to saturation on BIG-Bench, and its harder version BIG-Bench Hard (BBH). State-of-the-art models achieve near-perfect scores on many tasks in BBH, thus diminishing its utility. To address this limitation, we introduce BIG-Bench Extra Hard (BBEH), a new benchmark designed to push the boundaries of LLM reasoning evaluation. BBEH replaces each task in BBH with a novel task that probes a similar reasoning capability but exhibits significantly increased difficulty. We evaluate various general-purpose and reasoning-specialized models on BBEH and observe an accuracy of 23.9% for the best general-purpose model and 54.2% for the best reasoning-specialized model, indicating substantial room for improvement and highlighting the ongoing challenge of achieving robust general reasoning in LLMs. We release BBEH publicly at: https:
//github.com/google-deepmind/bbeh.</v>
      </c>
      <c r="D2937" s="7" t="str">
        <f>IFERROR(__xludf.DUMMYFUNCTION("""COMPUTED_VALUE"""),"Mehran Kazemi")</f>
        <v>Mehran Kazemi</v>
      </c>
      <c r="E2937" s="7" t="str">
        <f>IFERROR(__xludf.DUMMYFUNCTION("""COMPUTED_VALUE"""),"Yes")</f>
        <v>Yes</v>
      </c>
      <c r="F2937" s="7" t="str">
        <f>IFERROR(__xludf.DUMMYFUNCTION("""COMPUTED_VALUE"""),"IP-Poster")</f>
        <v>IP-Poster</v>
      </c>
      <c r="G2937" s="7" t="str">
        <f>IFERROR(__xludf.DUMMYFUNCTION("""COMPUTED_VALUE"""),"In-Person")</f>
        <v>In-Person</v>
      </c>
      <c r="H2937" s="7" t="str">
        <f>IFERROR(__xludf.DUMMYFUNCTION("""COMPUTED_VALUE"""),"Hall 4/5")</f>
        <v>Hall 4/5</v>
      </c>
      <c r="I2937" s="7" t="str">
        <f>IFERROR(__xludf.DUMMYFUNCTION("""COMPUTED_VALUE"""),"Session 10: IP-Posters")</f>
        <v>Session 10: IP-Posters</v>
      </c>
      <c r="J2937" s="7" t="str">
        <f>IFERROR(__xludf.DUMMYFUNCTION("""COMPUTED_VALUE"""),"Poster Session 3")</f>
        <v>Poster Session 3</v>
      </c>
      <c r="K2937" s="7"/>
      <c r="L2937" s="8">
        <f>IFERROR(__xludf.DUMMYFUNCTION("""COMPUTED_VALUE"""),45867.0)</f>
        <v>45867</v>
      </c>
      <c r="M2937" s="7" t="str">
        <f>IFERROR(__xludf.DUMMYFUNCTION("""COMPUTED_VALUE"""),"16:00-17:30")</f>
        <v>16:00-17:30</v>
      </c>
      <c r="N2937" s="7"/>
    </row>
    <row r="2938">
      <c r="A2938" s="7" t="str">
        <f>IFERROR(__xludf.DUMMYFUNCTION("""COMPUTED_VALUE"""),"3768-MAIN")</f>
        <v>3768-MAIN</v>
      </c>
      <c r="B2938" s="7" t="str">
        <f>IFERROR(__xludf.DUMMYFUNCTION("""COMPUTED_VALUE"""),"CSTree-SRI: Introspection-Driven Cognitive Semantic Tree for Multi-Turn Question Answering over Extra-Long Contexts")</f>
        <v>CSTree-SRI: Introspection-Driven Cognitive Semantic Tree for Multi-Turn Question Answering over Extra-Long Contexts</v>
      </c>
      <c r="C2938" s="7" t="str">
        <f>IFERROR(__xludf.DUMMYFUNCTION("""COMPUTED_VALUE"""),"Large Language Models (LLMs) have achieved remarkable success in natural language processing (NLP), particularly in single-turn question answering (QA) on short-text. However, their performance significantly declines when applied to multi-turn QA over ext"&amp;"ra-long context (ELC), as they struggle to capture the logical correlations across multiple chunks of ELC and maintain the coherence of multi-turn Questions. To address the challenges, we propose the CSTree-SRI framework (Cognitive Semantic Tree through S"&amp;"ummarization, Retrieval, and Introspection). CSTree-SRI dynamically constructs the CSTree to preserve logical coherence within ELC through hierarchical synthesis and introspective validation. Then a logic-driven traversal strategy on CSTree is designed to"&amp;" provide efficient information retrieval for question answering. Additionally, we construct a suite of multi-turn QA datasets and an evaluation benchmark tailored for ELC tasks, and comprehensive experiments demonstrate the framework's superiority in addr"&amp;"essing the challenges of multi-turn QA over ELC.")</f>
        <v>Large Language Models (LLMs) have achieved remarkable success in natural language processing (NLP), particularly in single-turn question answering (QA) on short-text. However, their performance significantly declines when applied to multi-turn QA over extra-long context (ELC), as they struggle to capture the logical correlations across multiple chunks of ELC and maintain the coherence of multi-turn Questions. To address the challenges, we propose the CSTree-SRI framework (Cognitive Semantic Tree through Summarization, Retrieval, and Introspection). CSTree-SRI dynamically constructs the CSTree to preserve logical coherence within ELC through hierarchical synthesis and introspective validation. Then a logic-driven traversal strategy on CSTree is designed to provide efficient information retrieval for question answering. Additionally, we construct a suite of multi-turn QA datasets and an evaluation benchmark tailored for ELC tasks, and comprehensive experiments demonstrate the framework's superiority in addressing the challenges of multi-turn QA over ELC.</v>
      </c>
      <c r="D2938" s="7" t="str">
        <f>IFERROR(__xludf.DUMMYFUNCTION("""COMPUTED_VALUE"""),"Zhaowen Wang")</f>
        <v>Zhaowen Wang</v>
      </c>
      <c r="E2938" s="7" t="str">
        <f>IFERROR(__xludf.DUMMYFUNCTION("""COMPUTED_VALUE"""),"Yes")</f>
        <v>Yes</v>
      </c>
      <c r="F2938" s="7" t="str">
        <f>IFERROR(__xludf.DUMMYFUNCTION("""COMPUTED_VALUE"""),"V-Presentation")</f>
        <v>V-Presentation</v>
      </c>
      <c r="G2938" s="7" t="str">
        <f>IFERROR(__xludf.DUMMYFUNCTION("""COMPUTED_VALUE"""),"Virtual/Gather")</f>
        <v>Virtual/Gather</v>
      </c>
      <c r="H2938" s="7" t="str">
        <f>IFERROR(__xludf.DUMMYFUNCTION("""COMPUTED_VALUE"""),"Zoom")</f>
        <v>Zoom</v>
      </c>
      <c r="I2938" s="7" t="str">
        <f>IFERROR(__xludf.DUMMYFUNCTION("""COMPUTED_VALUE"""),"Session 10: V-Presenations")</f>
        <v>Session 10: V-Presenations</v>
      </c>
      <c r="J2938" s="7" t="str">
        <f>IFERROR(__xludf.DUMMYFUNCTION("""COMPUTED_VALUE"""),"Virtual Presentations 3")</f>
        <v>Virtual Presentations 3</v>
      </c>
      <c r="K2938" s="7"/>
      <c r="L2938" s="8">
        <f>IFERROR(__xludf.DUMMYFUNCTION("""COMPUTED_VALUE"""),45867.0)</f>
        <v>45867</v>
      </c>
      <c r="M2938" s="7" t="str">
        <f>IFERROR(__xludf.DUMMYFUNCTION("""COMPUTED_VALUE"""),"16:00-17:30")</f>
        <v>16:00-17:30</v>
      </c>
      <c r="N2938" s="7"/>
    </row>
    <row r="2939">
      <c r="A2939" s="7" t="str">
        <f>IFERROR(__xludf.DUMMYFUNCTION("""COMPUTED_VALUE"""),"3775-MAIN")</f>
        <v>3775-MAIN</v>
      </c>
      <c r="B2939" s="7" t="str">
        <f>IFERROR(__xludf.DUMMYFUNCTION("""COMPUTED_VALUE"""),"TigerLLM - A Family of Bangla Large Language Models")</f>
        <v>TigerLLM - A Family of Bangla Large Language Models</v>
      </c>
      <c r="C2939" s="7" t="str">
        <f>IFERROR(__xludf.DUMMYFUNCTION("""COMPUTED_VALUE"""),"The development of Large Language Models (LLMs) remains heavily skewed towards English and a few other high-resource languages. This linguistic disparity is particularly evident for Bangla - the 5th most spoken language. A few initiatives attempted to cre"&amp;"ate open-source Bangla LLMs with performance still behind high-resource languages and limited reproducibility. To address this gap, we introduce TigerLLM - a family of Bangla LLMs. Our results demonstrate that these models surpass all open-source alternat"&amp;"ives and also outperform larger proprietary models like GPT3.5 across standard benchmarks, establishing TigerLLM as the new baseline for future Bangla language modeling.")</f>
        <v>The development of Large Language Models (LLMs) remains heavily skewed towards English and a few other high-resource languages. This linguistic disparity is particularly evident for Bangla - the 5th most spoken language. A few initiatives attempted to create open-source Bangla LLMs with performance still behind high-resource languages and limited reproducibility. To address this gap, we introduce TigerLLM - a family of Bangla LLMs. Our results demonstrate that these models surpass all open-source alternatives and also outperform larger proprietary models like GPT3.5 across standard benchmarks, establishing TigerLLM as the new baseline for future Bangla language modeling.</v>
      </c>
      <c r="D2939" s="7" t="str">
        <f>IFERROR(__xludf.DUMMYFUNCTION("""COMPUTED_VALUE"""),"Marcos Zampieri")</f>
        <v>Marcos Zampieri</v>
      </c>
      <c r="E2939" s="7" t="str">
        <f>IFERROR(__xludf.DUMMYFUNCTION("""COMPUTED_VALUE"""),"Yes")</f>
        <v>Yes</v>
      </c>
      <c r="F2939" s="7" t="str">
        <f>IFERROR(__xludf.DUMMYFUNCTION("""COMPUTED_VALUE"""),"IP-Poster")</f>
        <v>IP-Poster</v>
      </c>
      <c r="G2939" s="7" t="str">
        <f>IFERROR(__xludf.DUMMYFUNCTION("""COMPUTED_VALUE"""),"In-Person")</f>
        <v>In-Person</v>
      </c>
      <c r="H2939" s="7" t="str">
        <f>IFERROR(__xludf.DUMMYFUNCTION("""COMPUTED_VALUE"""),"Hall 4/5")</f>
        <v>Hall 4/5</v>
      </c>
      <c r="I2939" s="7" t="str">
        <f>IFERROR(__xludf.DUMMYFUNCTION("""COMPUTED_VALUE"""),"Session 10: IP-Posters")</f>
        <v>Session 10: IP-Posters</v>
      </c>
      <c r="J2939" s="7" t="str">
        <f>IFERROR(__xludf.DUMMYFUNCTION("""COMPUTED_VALUE"""),"Poster Session 3")</f>
        <v>Poster Session 3</v>
      </c>
      <c r="K2939" s="7"/>
      <c r="L2939" s="8">
        <f>IFERROR(__xludf.DUMMYFUNCTION("""COMPUTED_VALUE"""),45867.0)</f>
        <v>45867</v>
      </c>
      <c r="M2939" s="7" t="str">
        <f>IFERROR(__xludf.DUMMYFUNCTION("""COMPUTED_VALUE"""),"16:00-17:30")</f>
        <v>16:00-17:30</v>
      </c>
      <c r="N2939" s="7"/>
    </row>
    <row r="2940">
      <c r="A2940" s="7" t="str">
        <f>IFERROR(__xludf.DUMMYFUNCTION("""COMPUTED_VALUE"""),"3781-MAIN")</f>
        <v>3781-MAIN</v>
      </c>
      <c r="B2940" s="7" t="str">
        <f>IFERROR(__xludf.DUMMYFUNCTION("""COMPUTED_VALUE"""),"InductionBench: LLMs Fail in the Simplest Complexity Class")</f>
        <v>InductionBench: LLMs Fail in the Simplest Complexity Class</v>
      </c>
      <c r="C2940" s="7" t="str">
        <f>IFERROR(__xludf.DUMMYFUNCTION("""COMPUTED_VALUE"""),"Large language models (LLMs) have shown remarkable improvements in reasoning and many existing benchmarks have been addressed by models such as o1 and o3 either fully or partially. However, a majority of these benchmarks emphasize deductive reasoning, inc"&amp;"luding mathematical and coding tasks in which rules such as mathematical axioms or programming syntax are clearly defined, based on which LLMs can plan and apply these rules to arrive at a solution. In contrast, \textit{inductive reasoning}, where one inf"&amp;"ers the underlying rules from observed data, remains less explored. Such inductive processes lie at the heart of scientific discovery, as they enable researchers to extract general principles from empirical observations. To assess whether LLMs possess thi"&amp;"s capacity, we introduce \textbf{InductionBench}, a new benchmark designed to evaluate the inductive reasoning ability of LLMs. Our experimental findings reveal that even the most advanced modelw available struggle to master the simplest complexity classe"&amp;"s within the subregular hierarchy of functions, highlighting a notable deficiency in current LLMs' inductive reasoning capabilities. Coda and data are available \url{https://anonymous.4open.science/r/inductive_reasoning_benchmark-BB2D}.")</f>
        <v>Large language models (LLMs) have shown remarkable improvements in reasoning and many existing benchmarks have been addressed by models such as o1 and o3 either fully or partially. However, a majority of these benchmarks emphasize deductive reasoning, including mathematical and coding tasks in which rules such as mathematical axioms or programming syntax are clearly defined, based on which LLMs can plan and apply these rules to arrive at a solution. In contrast, \textit{inductive reasoning}, where one infers the underlying rules from observed data, remains less explored. Such inductive processes lie at the heart of scientific discovery, as they enable researchers to extract general principles from empirical observations. To assess whether LLMs possess this capacity, we introduce \textbf{InductionBench}, a new benchmark designed to evaluate the inductive reasoning ability of LLMs. Our experimental findings reveal that even the most advanced modelw available struggle to master the simplest complexity classes within the subregular hierarchy of functions, highlighting a notable deficiency in current LLMs' inductive reasoning capabilities. Coda and data are available \url{https://anonymous.4open.science/r/inductive_reasoning_benchmark-BB2D}.</v>
      </c>
      <c r="D2940" s="7" t="str">
        <f>IFERROR(__xludf.DUMMYFUNCTION("""COMPUTED_VALUE"""),"Wenyue Hua")</f>
        <v>Wenyue Hua</v>
      </c>
      <c r="E2940" s="7" t="str">
        <f>IFERROR(__xludf.DUMMYFUNCTION("""COMPUTED_VALUE"""),"Yes")</f>
        <v>Yes</v>
      </c>
      <c r="F2940" s="7" t="str">
        <f>IFERROR(__xludf.DUMMYFUNCTION("""COMPUTED_VALUE"""),"IP-Poster")</f>
        <v>IP-Poster</v>
      </c>
      <c r="G2940" s="7" t="str">
        <f>IFERROR(__xludf.DUMMYFUNCTION("""COMPUTED_VALUE"""),"In-Person")</f>
        <v>In-Person</v>
      </c>
      <c r="H2940" s="7" t="str">
        <f>IFERROR(__xludf.DUMMYFUNCTION("""COMPUTED_VALUE"""),"Hall 4/5")</f>
        <v>Hall 4/5</v>
      </c>
      <c r="I2940" s="7" t="str">
        <f>IFERROR(__xludf.DUMMYFUNCTION("""COMPUTED_VALUE"""),"Session 12: IP-Posters")</f>
        <v>Session 12: IP-Posters</v>
      </c>
      <c r="J2940" s="7" t="str">
        <f>IFERROR(__xludf.DUMMYFUNCTION("""COMPUTED_VALUE"""),"Poster Session 4")</f>
        <v>Poster Session 4</v>
      </c>
      <c r="K2940" s="7"/>
      <c r="L2940" s="8">
        <f>IFERROR(__xludf.DUMMYFUNCTION("""COMPUTED_VALUE"""),45868.0)</f>
        <v>45868</v>
      </c>
      <c r="M2940" s="7" t="str">
        <f>IFERROR(__xludf.DUMMYFUNCTION("""COMPUTED_VALUE"""),"11:00-12:30")</f>
        <v>11:00-12:30</v>
      </c>
      <c r="N2940" s="7"/>
    </row>
    <row r="2941">
      <c r="A2941" s="7" t="str">
        <f>IFERROR(__xludf.DUMMYFUNCTION("""COMPUTED_VALUE"""),"3782-MAIN")</f>
        <v>3782-MAIN</v>
      </c>
      <c r="B2941" s="7" t="str">
        <f>IFERROR(__xludf.DUMMYFUNCTION("""COMPUTED_VALUE"""),"RATIONALYST: Pre-training Process-Supervision for Improving Reasoning")</f>
        <v>RATIONALYST: Pre-training Process-Supervision for Improving Reasoning</v>
      </c>
      <c r="C2941" s="7" t="str">
        <f>IFERROR(__xludf.DUMMYFUNCTION("""COMPUTED_VALUE"""),"The reasoning steps generated by LLMs might be incomplete, as they mimic logical leaps common in everyday communication found in their pre-training data: underlying rationales are frequently left implicit (unstated). To address this challenge, we introduc"&amp;"e RATIONALYST, a model for process-supervision of reasoning based on pre-training on a vast collection of rationale annotations extracted from unlabeled data. We extract 79k rationales from web-scale unlabelled dataset (the Pile) and a combination of reas"&amp;"oning datasets with minimal human intervention. This web-scale pre-training for reasoning allows RATIONALYST to consistently generalize across diverse reasoning tasks, including mathematical, commonsense, scientific, and logical reasoning. Fine-tuned from"&amp;" LLaMa-3-8B, RATIONALYST improves the accuracy of reasoning by an average of 3.9% on 7 representative reasoning benchmarks. It also demonstrates superior performance compared to significantly larger verifiers like GPT-4 and similarly sized models fine-tun"&amp;"ed on matching training sets.")</f>
        <v>The reasoning steps generated by LLMs might be incomplete, as they mimic logical leaps common in everyday communication found in their pre-training data: underlying rationales are frequently left implicit (unstated). To address this challenge, we introduce RATIONALYST, a model for process-supervision of reasoning based on pre-training on a vast collection of rationale annotations extracted from unlabeled data. We extract 79k rationales from web-scale unlabelled dataset (the Pile) and a combination of reasoning datasets with minimal human intervention. This web-scale pre-training for reasoning allows RATIONALYST to consistently generalize across diverse reasoning tasks, including mathematical, commonsense, scientific, and logical reasoning. Fine-tuned from LLaMa-3-8B, RATIONALYST improves the accuracy of reasoning by an average of 3.9% on 7 representative reasoning benchmarks. It also demonstrates superior performance compared to significantly larger verifiers like GPT-4 and similarly sized models fine-tuned on matching training sets.</v>
      </c>
      <c r="D2941" s="7" t="str">
        <f>IFERROR(__xludf.DUMMYFUNCTION("""COMPUTED_VALUE"""),"Dongwei Jiang")</f>
        <v>Dongwei Jiang</v>
      </c>
      <c r="E2941" s="7" t="str">
        <f>IFERROR(__xludf.DUMMYFUNCTION("""COMPUTED_VALUE"""),"Yes")</f>
        <v>Yes</v>
      </c>
      <c r="F2941" s="7" t="str">
        <f>IFERROR(__xludf.DUMMYFUNCTION("""COMPUTED_VALUE"""),"V-Presentation")</f>
        <v>V-Presentation</v>
      </c>
      <c r="G2941" s="7" t="str">
        <f>IFERROR(__xludf.DUMMYFUNCTION("""COMPUTED_VALUE"""),"Virtual/Gather")</f>
        <v>Virtual/Gather</v>
      </c>
      <c r="H2941" s="7" t="str">
        <f>IFERROR(__xludf.DUMMYFUNCTION("""COMPUTED_VALUE"""),"Zoom")</f>
        <v>Zoom</v>
      </c>
      <c r="I2941" s="7" t="str">
        <f>IFERROR(__xludf.DUMMYFUNCTION("""COMPUTED_VALUE"""),"Session 10: V-Presenations")</f>
        <v>Session 10: V-Presenations</v>
      </c>
      <c r="J2941" s="7" t="str">
        <f>IFERROR(__xludf.DUMMYFUNCTION("""COMPUTED_VALUE"""),"Virtual Presentations 3")</f>
        <v>Virtual Presentations 3</v>
      </c>
      <c r="K2941" s="7"/>
      <c r="L2941" s="8">
        <f>IFERROR(__xludf.DUMMYFUNCTION("""COMPUTED_VALUE"""),45867.0)</f>
        <v>45867</v>
      </c>
      <c r="M2941" s="7" t="str">
        <f>IFERROR(__xludf.DUMMYFUNCTION("""COMPUTED_VALUE"""),"16:00-17:30")</f>
        <v>16:00-17:30</v>
      </c>
      <c r="N2941" s="7"/>
    </row>
    <row r="2942">
      <c r="A2942" s="7" t="str">
        <f>IFERROR(__xludf.DUMMYFUNCTION("""COMPUTED_VALUE"""),"3799-MAIN")</f>
        <v>3799-MAIN</v>
      </c>
      <c r="B2942" s="7" t="str">
        <f>IFERROR(__xludf.DUMMYFUNCTION("""COMPUTED_VALUE"""),"Make Imagination Clearer! Stable Diffusion-based Visual Imagination for Multimodal Machine Translation")</f>
        <v>Make Imagination Clearer! Stable Diffusion-based Visual Imagination for Multimodal Machine Translation</v>
      </c>
      <c r="C2942" s="7" t="str">
        <f>IFERROR(__xludf.DUMMYFUNCTION("""COMPUTED_VALUE"""),"Visual information has been introduced for enhancing machine translation (MT), and its effectiveness heavily relies on the availability of large amounts of bilingual parallel sentence pairs with manual image annotations. In this paper, we introduce a stab"&amp;"le diffusion-based imagination network into a multimodal large language model (MLLM) to explicitly generate an image for each source sentence, thereby advancing the multimodel MT. Particularly, we build heuristic feedback with reinforcement learning to en"&amp;"sure the consistency of the generated image with the source sentence without the supervision of visual information, which breaks the high-cost bottleneck of image annotation in MT. Furthermore, the proposed method enables imaginative visual information to"&amp;" be integrated into text-only MT in addition to multimodal MT. Experimental results show that our model significantly outperforms existing multimodal MT and text-only MT, especially achieving an average improvement of more than 14 BLEU points on Multi30K "&amp;"and MSCOCO multimodal MT benchmarks.")</f>
        <v>Visual information has been introduced for enhancing machine translation (MT), and its effectiveness heavily relies on the availability of large amounts of bilingual parallel sentence pairs with manual image annotations. In this paper, we introduce a stable diffusion-based imagination network into a multimodal large language model (MLLM) to explicitly generate an image for each source sentence, thereby advancing the multimodel MT. Particularly, we build heuristic feedback with reinforcement learning to ensure the consistency of the generated image with the source sentence without the supervision of visual information, which breaks the high-cost bottleneck of image annotation in MT. Furthermore, the proposed method enables imaginative visual information to be integrated into text-only MT in addition to multimodal MT. Experimental results show that our model significantly outperforms existing multimodal MT and text-only MT, especially achieving an average improvement of more than 14 BLEU points on Multi30K and MSCOCO multimodal MT benchmarks.</v>
      </c>
      <c r="D2942" s="7" t="str">
        <f>IFERROR(__xludf.DUMMYFUNCTION("""COMPUTED_VALUE"""),"Andong Chen")</f>
        <v>Andong Chen</v>
      </c>
      <c r="E2942" s="7" t="str">
        <f>IFERROR(__xludf.DUMMYFUNCTION("""COMPUTED_VALUE"""),"Yes")</f>
        <v>Yes</v>
      </c>
      <c r="F2942" s="7" t="str">
        <f>IFERROR(__xludf.DUMMYFUNCTION("""COMPUTED_VALUE"""),"IP-Oral")</f>
        <v>IP-Oral</v>
      </c>
      <c r="G2942" s="7" t="str">
        <f>IFERROR(__xludf.DUMMYFUNCTION("""COMPUTED_VALUE"""),"In-Person")</f>
        <v>In-Person</v>
      </c>
      <c r="H2942" s="7" t="str">
        <f>IFERROR(__xludf.DUMMYFUNCTION("""COMPUTED_VALUE"""),"Room 1.85")</f>
        <v>Room 1.85</v>
      </c>
      <c r="I2942" s="7" t="str">
        <f>IFERROR(__xludf.DUMMYFUNCTION("""COMPUTED_VALUE"""),"Session 3: IP-Orals")</f>
        <v>Session 3: IP-Orals</v>
      </c>
      <c r="J2942" s="7" t="str">
        <f>IFERROR(__xludf.DUMMYFUNCTION("""COMPUTED_VALUE"""),"Machine Translation")</f>
        <v>Machine Translation</v>
      </c>
      <c r="K2942" s="7"/>
      <c r="L2942" s="8">
        <f>IFERROR(__xludf.DUMMYFUNCTION("""COMPUTED_VALUE"""),45866.0)</f>
        <v>45866</v>
      </c>
      <c r="M2942" s="7" t="str">
        <f>IFERROR(__xludf.DUMMYFUNCTION("""COMPUTED_VALUE"""),"14:00-15:30")</f>
        <v>14:00-15:30</v>
      </c>
      <c r="N2942" s="7">
        <f>IFERROR(__xludf.DUMMYFUNCTION("""COMPUTED_VALUE"""),7.0)</f>
        <v>7</v>
      </c>
    </row>
    <row r="2943">
      <c r="A2943" s="7" t="str">
        <f>IFERROR(__xludf.DUMMYFUNCTION("""COMPUTED_VALUE"""),"3802-MAIN")</f>
        <v>3802-MAIN</v>
      </c>
      <c r="B2943" s="7" t="str">
        <f>IFERROR(__xludf.DUMMYFUNCTION("""COMPUTED_VALUE"""),"Advancing SMoE for Continuous Domain Adaptation of MLLMs: Adaptive Router and Domain-Specific Loss")</f>
        <v>Advancing SMoE for Continuous Domain Adaptation of MLLMs: Adaptive Router and Domain-Specific Loss</v>
      </c>
      <c r="C2943" s="7" t="str">
        <f>IFERROR(__xludf.DUMMYFUNCTION("""COMPUTED_VALUE"""),"Recent studies have explored Continual Instruction Tuning (CIT) in Multimodal Large Language Models (MLLMs), with a primary focus on Task-incremental CIT, where MLLMs are required to continuously acquire new tasks. However, the more practical and challeng"&amp;"ing Domain-incremental CIT, focused on the continual adaptation of MLLMs to new domains, remains underexplored. In this paper, we propose a new Sparse Mixture of Expert (SMoE) based method for domain-incremental CIT in MLLMs. During training, we learn a d"&amp;"omain-specific SMoE module for each new domain in every FFN sub-layer of MLLMs, preventing catastrophic forgetting caused by inter-domain conflicts. Moreover, we equip the SMoE module with a domain-specific autoregressive loss (DSAL), which is used to ide"&amp;"ntify the most suitable SMoE module for processing each test instruction during inference. To further enhance the SMoE module's ability to learn domain knowledge, we design an adaptive threshold-based router (AT-Router) that allocates computing resources "&amp;"(experts) to instruction tokens based on their importance. Finally, we establish a new benchmark to evaluate the efficacy of our method and advance future research. Extensive experiments show that our method consistently outperforms all competitive baseli"&amp;"nes.")</f>
        <v>Recent studies have explored Continual Instruction Tuning (CIT) in Multimodal Large Language Models (MLLMs), with a primary focus on Task-incremental CIT, where MLLMs are required to continuously acquire new tasks. However, the more practical and challenging Domain-incremental CIT, focused on the continual adaptation of MLLMs to new domains, remains underexplored. In this paper, we propose a new Sparse Mixture of Expert (SMoE) based method for domain-incremental CIT in MLLMs. During training, we learn a domain-specific SMoE module for each new domain in every FFN sub-layer of MLLMs, preventing catastrophic forgetting caused by inter-domain conflicts. Moreover, we equip the SMoE module with a domain-specific autoregressive loss (DSAL), which is used to identify the most suitable SMoE module for processing each test instruction during inference. To further enhance the SMoE module's ability to learn domain knowledge, we design an adaptive threshold-based router (AT-Router) that allocates computing resources (experts) to instruction tokens based on their importance. Finally, we establish a new benchmark to evaluate the efficacy of our method and advance future research. Extensive experiments show that our method consistently outperforms all competitive baselines.</v>
      </c>
      <c r="D2943" s="7" t="str">
        <f>IFERROR(__xludf.DUMMYFUNCTION("""COMPUTED_VALUE"""),"Liang Zhang")</f>
        <v>Liang Zhang</v>
      </c>
      <c r="E2943" s="7" t="str">
        <f>IFERROR(__xludf.DUMMYFUNCTION("""COMPUTED_VALUE"""),"Yes")</f>
        <v>Yes</v>
      </c>
      <c r="F2943" s="7" t="str">
        <f>IFERROR(__xludf.DUMMYFUNCTION("""COMPUTED_VALUE"""),"V-Presentation")</f>
        <v>V-Presentation</v>
      </c>
      <c r="G2943" s="7" t="str">
        <f>IFERROR(__xludf.DUMMYFUNCTION("""COMPUTED_VALUE"""),"Virtual/Gather")</f>
        <v>Virtual/Gather</v>
      </c>
      <c r="H2943" s="7" t="str">
        <f>IFERROR(__xludf.DUMMYFUNCTION("""COMPUTED_VALUE"""),"Zoom")</f>
        <v>Zoom</v>
      </c>
      <c r="I2943" s="7" t="str">
        <f>IFERROR(__xludf.DUMMYFUNCTION("""COMPUTED_VALUE"""),"Session 10: V-Presenations")</f>
        <v>Session 10: V-Presenations</v>
      </c>
      <c r="J2943" s="7" t="str">
        <f>IFERROR(__xludf.DUMMYFUNCTION("""COMPUTED_VALUE"""),"Virtual Presentations 3")</f>
        <v>Virtual Presentations 3</v>
      </c>
      <c r="K2943" s="7"/>
      <c r="L2943" s="8">
        <f>IFERROR(__xludf.DUMMYFUNCTION("""COMPUTED_VALUE"""),45867.0)</f>
        <v>45867</v>
      </c>
      <c r="M2943" s="7" t="str">
        <f>IFERROR(__xludf.DUMMYFUNCTION("""COMPUTED_VALUE"""),"16:00-17:30")</f>
        <v>16:00-17:30</v>
      </c>
      <c r="N2943" s="7"/>
    </row>
    <row r="2944">
      <c r="A2944" s="7" t="str">
        <f>IFERROR(__xludf.DUMMYFUNCTION("""COMPUTED_VALUE"""),"3805-MAIN")</f>
        <v>3805-MAIN</v>
      </c>
      <c r="B2944" s="7" t="str">
        <f>IFERROR(__xludf.DUMMYFUNCTION("""COMPUTED_VALUE"""),"Mitigating Media Bias through Multi-document Events Reasoning in LLMs")</f>
        <v>Mitigating Media Bias through Multi-document Events Reasoning in LLMs</v>
      </c>
      <c r="C2944" s="7" t="str">
        <f>IFERROR(__xludf.DUMMYFUNCTION("""COMPUTED_VALUE"""),"Media outlets are becoming more partisan and polarized nowadays. Most previous work focused on detecting media bias. In this paper, we aim to mitigate media bias by generating a neutralized summary given multiple articles presenting different ideological "&amp;"views. Motivated by the critical role of events and event relations in media bias detection, we propose to increase awareness of bias in LLMs via multi-document events reasoning and use a multi-document event relation graph to guide the summarization proc"&amp;"ess. This graph contains rich event information useful to reveal bias: four common types of in-doc event relations to reflect content framing bias, cross-doc event coreference relation to reveal content selection bias, and event-level moral opinions to hi"&amp;"ghlight opinionated framing bias. We further develop two strategies to incorporate the multi-document event relation graph for neutralized summarization. Firstly, we convert a graph into natural language descriptions and feed the textualized graph into LL"&amp;"Ms as a part of a hard text prompt. Secondly, we encode the graph with graph attention network and insert the graph embedding into LLMs as a soft prompt. Both automatic evaluation and human evaluation confirm that our approach effectively mitigates both l"&amp;"exical and informational media bias, and meanwhile improves content preservation.")</f>
        <v>Media outlets are becoming more partisan and polarized nowadays. Most previous work focused on detecting media bias. In this paper, we aim to mitigate media bias by generating a neutralized summary given multiple articles presenting different ideological views. Motivated by the critical role of events and event relations in media bias detection, we propose to increase awareness of bias in LLMs via multi-document events reasoning and use a multi-document event relation graph to guide the summarization process. This graph contains rich event information useful to reveal bias: four common types of in-doc event relations to reflect content framing bias, cross-doc event coreference relation to reveal content selection bias, and event-level moral opinions to highlight opinionated framing bias. We further develop two strategies to incorporate the multi-document event relation graph for neutralized summarization. Firstly, we convert a graph into natural language descriptions and feed the textualized graph into LLMs as a part of a hard text prompt. Secondly, we encode the graph with graph attention network and insert the graph embedding into LLMs as a soft prompt. Both automatic evaluation and human evaluation confirm that our approach effectively mitigates both lexical and informational media bias, and meanwhile improves content preservation.</v>
      </c>
      <c r="D2944" s="7" t="str">
        <f>IFERROR(__xludf.DUMMYFUNCTION("""COMPUTED_VALUE"""),"Yuanyuan Lei")</f>
        <v>Yuanyuan Lei</v>
      </c>
      <c r="E2944" s="7" t="str">
        <f>IFERROR(__xludf.DUMMYFUNCTION("""COMPUTED_VALUE"""),"Yes")</f>
        <v>Yes</v>
      </c>
      <c r="F2944" s="7" t="str">
        <f>IFERROR(__xludf.DUMMYFUNCTION("""COMPUTED_VALUE"""),"V-Presentation")</f>
        <v>V-Presentation</v>
      </c>
      <c r="G2944" s="7" t="str">
        <f>IFERROR(__xludf.DUMMYFUNCTION("""COMPUTED_VALUE"""),"Virtual/Gather")</f>
        <v>Virtual/Gather</v>
      </c>
      <c r="H2944" s="7" t="str">
        <f>IFERROR(__xludf.DUMMYFUNCTION("""COMPUTED_VALUE"""),"Zoom")</f>
        <v>Zoom</v>
      </c>
      <c r="I2944" s="7" t="str">
        <f>IFERROR(__xludf.DUMMYFUNCTION("""COMPUTED_VALUE"""),"Session 10: V-Presenations")</f>
        <v>Session 10: V-Presenations</v>
      </c>
      <c r="J2944" s="7" t="str">
        <f>IFERROR(__xludf.DUMMYFUNCTION("""COMPUTED_VALUE"""),"Virtual Presentations 3")</f>
        <v>Virtual Presentations 3</v>
      </c>
      <c r="K2944" s="7"/>
      <c r="L2944" s="8">
        <f>IFERROR(__xludf.DUMMYFUNCTION("""COMPUTED_VALUE"""),45867.0)</f>
        <v>45867</v>
      </c>
      <c r="M2944" s="7" t="str">
        <f>IFERROR(__xludf.DUMMYFUNCTION("""COMPUTED_VALUE"""),"16:00-17:30")</f>
        <v>16:00-17:30</v>
      </c>
      <c r="N2944" s="7"/>
    </row>
    <row r="2945">
      <c r="A2945" s="7" t="str">
        <f>IFERROR(__xludf.DUMMYFUNCTION("""COMPUTED_VALUE"""),"3806-MAIN")</f>
        <v>3806-MAIN</v>
      </c>
      <c r="B2945" s="7" t="str">
        <f>IFERROR(__xludf.DUMMYFUNCTION("""COMPUTED_VALUE"""),"Who Writes What: Unveiling the Impact of Author Roles on AI-generated Text Detection")</f>
        <v>Who Writes What: Unveiling the Impact of Author Roles on AI-generated Text Detection</v>
      </c>
      <c r="C2945" s="7" t="str">
        <f>IFERROR(__xludf.DUMMYFUNCTION("""COMPUTED_VALUE"""),"The rise of Large Language Models (LLMs) necessitates accurate AI-generated text detection. However, current approaches largely overlook the influence of author characteristics. We investigate how sociolinguistic attributes—gender, CEFR proficiency, acade"&amp;"mic field, and language environment—impact state-of-the-art AI text detectors. Using the ICNALE corpus of human-authored texts and parallel AI-generated texts from diverse LLMs, we conduct a rigorous evaluation employing multi-factor ANOVA and weighted le"&amp;"ast squares (WLS). Our results reveal significant biases: CEFR proficiency and language environment consistently affected detector accuracy, while gender and academic field showed detector-dependent effects. These findings highlight the crucial need for s"&amp;"ocially aware AI text detection to avoid unfairly penalizing specific demographic groups. We offer novel empirical evidence, a robust statistical framework, and actionable insights for developing more equitable and reliable detection systems in real-world"&amp;", out-of-domain contexts. This work paves the way for future research on bias mitigation, inclusive evaluation benchmarks, and socially responsible LLM detectors.")</f>
        <v>The rise of Large Language Models (LLMs) necessitates accurate AI-generated text detection. However, current approaches largely overlook the influence of author characteristics. We investigate how sociolinguistic attributes—gender, CEFR proficiency, academic field, and language environment—impact state-of-the-art AI text detectors. Using the ICNALE corpus of human-authored texts and parallel AI-generated texts from diverse LLMs, we conduct a rigorous evaluation employing multi-factor ANOVA and weighted least squares (WLS). Our results reveal significant biases: CEFR proficiency and language environment consistently affected detector accuracy, while gender and academic field showed detector-dependent effects. These findings highlight the crucial need for socially aware AI text detection to avoid unfairly penalizing specific demographic groups. We offer novel empirical evidence, a robust statistical framework, and actionable insights for developing more equitable and reliable detection systems in real-world, out-of-domain contexts. This work paves the way for future research on bias mitigation, inclusive evaluation benchmarks, and socially responsible LLM detectors.</v>
      </c>
      <c r="D2945" s="7" t="str">
        <f>IFERROR(__xludf.DUMMYFUNCTION("""COMPUTED_VALUE"""),"Jiatao Li")</f>
        <v>Jiatao Li</v>
      </c>
      <c r="E2945" s="7" t="str">
        <f>IFERROR(__xludf.DUMMYFUNCTION("""COMPUTED_VALUE"""),"Yes")</f>
        <v>Yes</v>
      </c>
      <c r="F2945" s="7" t="str">
        <f>IFERROR(__xludf.DUMMYFUNCTION("""COMPUTED_VALUE"""),"V-Presentation")</f>
        <v>V-Presentation</v>
      </c>
      <c r="G2945" s="7" t="str">
        <f>IFERROR(__xludf.DUMMYFUNCTION("""COMPUTED_VALUE"""),"Virtual/Gather")</f>
        <v>Virtual/Gather</v>
      </c>
      <c r="H2945" s="7" t="str">
        <f>IFERROR(__xludf.DUMMYFUNCTION("""COMPUTED_VALUE"""),"Zoom")</f>
        <v>Zoom</v>
      </c>
      <c r="I2945" s="7" t="str">
        <f>IFERROR(__xludf.DUMMYFUNCTION("""COMPUTED_VALUE"""),"Session 2: V-Presentations")</f>
        <v>Session 2: V-Presentations</v>
      </c>
      <c r="J2945" s="7" t="str">
        <f>IFERROR(__xludf.DUMMYFUNCTION("""COMPUTED_VALUE"""),"Virtual Presentations 1")</f>
        <v>Virtual Presentations 1</v>
      </c>
      <c r="K2945" s="7"/>
      <c r="L2945" s="8">
        <f>IFERROR(__xludf.DUMMYFUNCTION("""COMPUTED_VALUE"""),45866.0)</f>
        <v>45866</v>
      </c>
      <c r="M2945" s="7" t="str">
        <f>IFERROR(__xludf.DUMMYFUNCTION("""COMPUTED_VALUE"""),"11:00-12:30")</f>
        <v>11:00-12:30</v>
      </c>
      <c r="N2945" s="7"/>
    </row>
    <row r="2946">
      <c r="A2946" s="7" t="str">
        <f>IFERROR(__xludf.DUMMYFUNCTION("""COMPUTED_VALUE"""),"3814-MAIN")</f>
        <v>3814-MAIN</v>
      </c>
      <c r="B2946" s="7" t="str">
        <f>IFERROR(__xludf.DUMMYFUNCTION("""COMPUTED_VALUE"""),"RoCoFT: Efficient Finetuning of Large Language Models with Row-Column Updates")</f>
        <v>RoCoFT: Efficient Finetuning of Large Language Models with Row-Column Updates</v>
      </c>
      <c r="C2946" s="7" t="str">
        <f>IFERROR(__xludf.DUMMYFUNCTION("""COMPUTED_VALUE"""),"We propose Row-Column Fine-Tuning(RoCoFT), a parameter-efficient fine-tuning method for large language models based on updating only a few rows and columns of the weight matrices in transformers. Through extensive experiments with medium-sized LMs like Ro"&amp;"BERTa and DeBERTa, and larger LMs like Bloom-7B, Llama2-7B, and Llama2-13B, we show that our method gives comparable or better accuracies than state-of-the-art Parameter-Efficient Finetuning methods while also being more memory and computation-efficient. "&amp;"We also study the reason behind the effectiveness of our method with tools from neural tangent kernel theory. We empirically demonstrate that our kernel, constructed using a restricted set of row and column parameters, is numerically close to the full-par"&amp;"ameter kernel and gives comparable classification performance. Ablation studies are conducted to investigate the impact of different algorithmic choices, including the robustness of RoCoFT to any selection of rows and columns, as well as the optimal rank "&amp;"for the effective implementation of our method.")</f>
        <v>We propose Row-Column Fine-Tuning(RoCoFT), a parameter-efficient fine-tuning method for large language models based on updating only a few rows and columns of the weight matrices in transformers. Through extensive experiments with medium-sized LMs like RoBERTa and DeBERTa, and larger LMs like Bloom-7B, Llama2-7B, and Llama2-13B, we show that our method gives comparable or better accuracies than state-of-the-art Parameter-Efficient Finetuning methods while also being more memory and computation-efficient. We also study the reason behind the effectiveness of our method with tools from neural tangent kernel theory. We empirically demonstrate that our kernel, constructed using a restricted set of row and column parameters, is numerically close to the full-parameter kernel and gives comparable classification performance. Ablation studies are conducted to investigate the impact of different algorithmic choices, including the robustness of RoCoFT to any selection of rows and columns, as well as the optimal rank for the effective implementation of our method.</v>
      </c>
      <c r="D2946" s="7" t="str">
        <f>IFERROR(__xludf.DUMMYFUNCTION("""COMPUTED_VALUE"""),"Tara Esmaeilbeig")</f>
        <v>Tara Esmaeilbeig</v>
      </c>
      <c r="E2946" s="7" t="str">
        <f>IFERROR(__xludf.DUMMYFUNCTION("""COMPUTED_VALUE"""),"Yes")</f>
        <v>Yes</v>
      </c>
      <c r="F2946" s="7" t="str">
        <f>IFERROR(__xludf.DUMMYFUNCTION("""COMPUTED_VALUE"""),"V-Presentation")</f>
        <v>V-Presentation</v>
      </c>
      <c r="G2946" s="7" t="str">
        <f>IFERROR(__xludf.DUMMYFUNCTION("""COMPUTED_VALUE"""),"Virtual/Gather")</f>
        <v>Virtual/Gather</v>
      </c>
      <c r="H2946" s="7" t="str">
        <f>IFERROR(__xludf.DUMMYFUNCTION("""COMPUTED_VALUE"""),"Zoom")</f>
        <v>Zoom</v>
      </c>
      <c r="I2946" s="7" t="str">
        <f>IFERROR(__xludf.DUMMYFUNCTION("""COMPUTED_VALUE"""),"Session 10: V-Presenations")</f>
        <v>Session 10: V-Presenations</v>
      </c>
      <c r="J2946" s="7" t="str">
        <f>IFERROR(__xludf.DUMMYFUNCTION("""COMPUTED_VALUE"""),"Virtual Presentations 3")</f>
        <v>Virtual Presentations 3</v>
      </c>
      <c r="K2946" s="7"/>
      <c r="L2946" s="8">
        <f>IFERROR(__xludf.DUMMYFUNCTION("""COMPUTED_VALUE"""),45867.0)</f>
        <v>45867</v>
      </c>
      <c r="M2946" s="7" t="str">
        <f>IFERROR(__xludf.DUMMYFUNCTION("""COMPUTED_VALUE"""),"16:00-17:30")</f>
        <v>16:00-17:30</v>
      </c>
      <c r="N2946" s="7"/>
    </row>
    <row r="2947">
      <c r="A2947" s="7" t="str">
        <f>IFERROR(__xludf.DUMMYFUNCTION("""COMPUTED_VALUE"""),"3818-MAIN")</f>
        <v>3818-MAIN</v>
      </c>
      <c r="B2947" s="7" t="str">
        <f>IFERROR(__xludf.DUMMYFUNCTION("""COMPUTED_VALUE"""),"Scaling Laws and Efficient Inference for Ternary Language Models")</f>
        <v>Scaling Laws and Efficient Inference for Ternary Language Models</v>
      </c>
      <c r="C2947" s="7" t="str">
        <f>IFERROR(__xludf.DUMMYFUNCTION("""COMPUTED_VALUE"""),"Large language models (LLMs) are increasingly used across research and industry applications, yet their inference efficiency remains a significant challenge. As the computational power of modern GPU architectures continuously improves, their memory bandwi"&amp;"dth and capacity have not scaled proportionally, creating a critical bottleneck during inference. To address this, we investigate ternary language models (TriLMs) that employ quantization-aware training to significantly reduce memory requirements. We firs"&amp;"t analyze the scalability of TriLMs by conducting a scaling law analysis, revealing that TriLMs benefit more from increasing training data than from scaling model parameters. Based on this observation, we introduce TriTera, an open suite of TriLMs trained"&amp;" on up to 1.2 trillion tokens, demonstrating sustained performance gains at scale. Furthermore, to improve inference efficiency, we propose novel 2-bit and 1.6-bit packing schemes for ternary weights, which demonstrate accelerated inference across various"&amp;" CPU architectures. Building on the 2-bit packing, we develop a GPU kernel called TriRun that accelerates end-to-end model inference by up to 5 $\times$ compared to floating-point baselines. To encourage further exploration and development of TriLMs, we w"&amp;"ill release the TriTera suite and TriRun inference kernels. Overall, our work lays the foundation for building and deploying efficient LLMs, providing a valuable resource for the research community.")</f>
        <v>Large language models (LLMs) are increasingly used across research and industry applications, yet their inference efficiency remains a significant challenge. As the computational power of modern GPU architectures continuously improves, their memory bandwidth and capacity have not scaled proportionally, creating a critical bottleneck during inference. To address this, we investigate ternary language models (TriLMs) that employ quantization-aware training to significantly reduce memory requirements. We first analyze the scalability of TriLMs by conducting a scaling law analysis, revealing that TriLMs benefit more from increasing training data than from scaling model parameters. Based on this observation, we introduce TriTera, an open suite of TriLMs trained on up to 1.2 trillion tokens, demonstrating sustained performance gains at scale. Furthermore, to improve inference efficiency, we propose novel 2-bit and 1.6-bit packing schemes for ternary weights, which demonstrate accelerated inference across various CPU architectures. Building on the 2-bit packing, we develop a GPU kernel called TriRun that accelerates end-to-end model inference by up to 5 $\times$ compared to floating-point baselines. To encourage further exploration and development of TriLMs, we will release the TriTera suite and TriRun inference kernels. Overall, our work lays the foundation for building and deploying efficient LLMs, providing a valuable resource for the research community.</v>
      </c>
      <c r="D2947" s="7" t="str">
        <f>IFERROR(__xludf.DUMMYFUNCTION("""COMPUTED_VALUE"""),"Ayush Kaushal")</f>
        <v>Ayush Kaushal</v>
      </c>
      <c r="E2947" s="7" t="str">
        <f>IFERROR(__xludf.DUMMYFUNCTION("""COMPUTED_VALUE"""),"Yes")</f>
        <v>Yes</v>
      </c>
      <c r="F2947" s="7" t="str">
        <f>IFERROR(__xludf.DUMMYFUNCTION("""COMPUTED_VALUE"""),"IP-Poster")</f>
        <v>IP-Poster</v>
      </c>
      <c r="G2947" s="7" t="str">
        <f>IFERROR(__xludf.DUMMYFUNCTION("""COMPUTED_VALUE"""),"In-Person")</f>
        <v>In-Person</v>
      </c>
      <c r="H2947" s="7" t="str">
        <f>IFERROR(__xludf.DUMMYFUNCTION("""COMPUTED_VALUE"""),"Hall 4/5")</f>
        <v>Hall 4/5</v>
      </c>
      <c r="I2947" s="7" t="str">
        <f>IFERROR(__xludf.DUMMYFUNCTION("""COMPUTED_VALUE"""),"Session 10: IP-Posters")</f>
        <v>Session 10: IP-Posters</v>
      </c>
      <c r="J2947" s="7" t="str">
        <f>IFERROR(__xludf.DUMMYFUNCTION("""COMPUTED_VALUE"""),"Poster Session 3")</f>
        <v>Poster Session 3</v>
      </c>
      <c r="K2947" s="7"/>
      <c r="L2947" s="8">
        <f>IFERROR(__xludf.DUMMYFUNCTION("""COMPUTED_VALUE"""),45867.0)</f>
        <v>45867</v>
      </c>
      <c r="M2947" s="7" t="str">
        <f>IFERROR(__xludf.DUMMYFUNCTION("""COMPUTED_VALUE"""),"16:00-17:30")</f>
        <v>16:00-17:30</v>
      </c>
      <c r="N2947" s="7"/>
    </row>
    <row r="2948">
      <c r="A2948" s="7" t="str">
        <f>IFERROR(__xludf.DUMMYFUNCTION("""COMPUTED_VALUE"""),"3819-MAIN")</f>
        <v>3819-MAIN</v>
      </c>
      <c r="B2948" s="7" t="str">
        <f>IFERROR(__xludf.DUMMYFUNCTION("""COMPUTED_VALUE"""),"Exploring the Impact of Instruction-Tuning on LLM’s Susceptibility to Misinformation")</f>
        <v>Exploring the Impact of Instruction-Tuning on LLM’s Susceptibility to Misinformation</v>
      </c>
      <c r="C2948" s="7" t="str">
        <f>IFERROR(__xludf.DUMMYFUNCTION("""COMPUTED_VALUE"""),"Instruction-tuning enhances the ability of large language models (LLMs) to follow user instructions more accurately, improving usability while reducing harmful outputs. However, this process may increase the model’s dependence on user input, potentially l"&amp;"eading to the unfiltered acceptance of misinformation and the generation of hallucinations. Existing studies primarily highlight that LLMs are receptive to external information that contradict their parametric knowledge, but little research has been condu"&amp;"cted on the direct impact of instruction-tuning on this phenomenon. In our study, we investigate the impact of instruction-tuning on LLM susceptibility to misinformation. Our analysis reveals that instruction-tuned LLMs are significantly more likely to ac"&amp;"cept misinformation when it is presented by the user. A comparison with base models shows that instruction-tuning increases reliance on user-provided information, shifting susceptibility from the assistant role to the user role. Furthermore, we explore ad"&amp;"ditional factors influencing misinformation susceptibility, such as the role of the user in prompt structure, misinformation length, and the presence of warnings in the system prompt. Our findings underscore the need for systematic approaches to mitigate "&amp;"unintended consequences of instruction-tuning and enhance the reliability of LLMs in real-world applications.")</f>
        <v>Instruction-tuning enhances the ability of large language models (LLMs) to follow user instructions more accurately, improving usability while reducing harmful outputs. However, this process may increase the model’s dependence on user input, potentially leading to the unfiltered acceptance of misinformation and the generation of hallucinations. Existing studies primarily highlight that LLMs are receptive to external information that contradict their parametric knowledge, but little research has been conducted on the direct impact of instruction-tuning on this phenomenon. In our study, we investigate the impact of instruction-tuning on LLM susceptibility to misinformation. Our analysis reveals that instruction-tuned LLMs are significantly more likely to accept misinformation when it is presented by the user. A comparison with base models shows that instruction-tuning increases reliance on user-provided information, shifting susceptibility from the assistant role to the user role. Furthermore, we explore additional factors influencing misinformation susceptibility, such as the role of the user in prompt structure, misinformation length, and the presence of warnings in the system prompt. Our findings underscore the need for systematic approaches to mitigate unintended consequences of instruction-tuning and enhance the reliability of LLMs in real-world applications.</v>
      </c>
      <c r="D2948" s="7" t="str">
        <f>IFERROR(__xludf.DUMMYFUNCTION("""COMPUTED_VALUE"""),"Kyubeen Han, Junseo Jang")</f>
        <v>Kyubeen Han, Junseo Jang</v>
      </c>
      <c r="E2948" s="7" t="str">
        <f>IFERROR(__xludf.DUMMYFUNCTION("""COMPUTED_VALUE"""),"Yes")</f>
        <v>Yes</v>
      </c>
      <c r="F2948" s="7" t="str">
        <f>IFERROR(__xludf.DUMMYFUNCTION("""COMPUTED_VALUE"""),"IP-Poster")</f>
        <v>IP-Poster</v>
      </c>
      <c r="G2948" s="7" t="str">
        <f>IFERROR(__xludf.DUMMYFUNCTION("""COMPUTED_VALUE"""),"In-Person")</f>
        <v>In-Person</v>
      </c>
      <c r="H2948" s="7" t="str">
        <f>IFERROR(__xludf.DUMMYFUNCTION("""COMPUTED_VALUE"""),"Hall 4/5")</f>
        <v>Hall 4/5</v>
      </c>
      <c r="I2948" s="7" t="str">
        <f>IFERROR(__xludf.DUMMYFUNCTION("""COMPUTED_VALUE"""),"Session 12: IP-Posters")</f>
        <v>Session 12: IP-Posters</v>
      </c>
      <c r="J2948" s="7" t="str">
        <f>IFERROR(__xludf.DUMMYFUNCTION("""COMPUTED_VALUE"""),"Poster Session 4")</f>
        <v>Poster Session 4</v>
      </c>
      <c r="K2948" s="7"/>
      <c r="L2948" s="8">
        <f>IFERROR(__xludf.DUMMYFUNCTION("""COMPUTED_VALUE"""),45868.0)</f>
        <v>45868</v>
      </c>
      <c r="M2948" s="7" t="str">
        <f>IFERROR(__xludf.DUMMYFUNCTION("""COMPUTED_VALUE"""),"11:00-12:30")</f>
        <v>11:00-12:30</v>
      </c>
      <c r="N2948" s="7"/>
    </row>
    <row r="2949">
      <c r="A2949" s="7" t="str">
        <f>IFERROR(__xludf.DUMMYFUNCTION("""COMPUTED_VALUE"""),"3823-MAIN")</f>
        <v>3823-MAIN</v>
      </c>
      <c r="B2949" s="7" t="str">
        <f>IFERROR(__xludf.DUMMYFUNCTION("""COMPUTED_VALUE"""),"Do Language Models Understand Honorific Systems in Javanese?")</f>
        <v>Do Language Models Understand Honorific Systems in Javanese?</v>
      </c>
      <c r="C2949" s="7" t="str">
        <f>IFERROR(__xludf.DUMMYFUNCTION("""COMPUTED_VALUE"""),"The Javanese language features a complex system of honorifics that vary according to the social status of the speaker, listener, and referent. Despite its cultural and linguistic significance, there has been limited progress in developing a comprehensive "&amp;"corpus to capture these variations for natural language processing (NLP) tasks. In this paper, we present Unggah-Ungguh, a carefully curated dataset designed to encapsulate the nuances of Unggah-Ungguh Basa, the Javanese speech etiquette framework that di"&amp;"ctates the choice of words and phrases based on social hierarchy and context. Using Unggah-Ungguh, we assess the ability of language models (LMs) to process various levels of Javanese honorifics through classification and machine translation tasks. To fur"&amp;"ther evaluate cross-lingual LMs, we conduct machine translation experiments between Javanese (at specific honorific levels) and Indonesian. Additionally, we explore whether LMs can generate contextually appropriate Javanese honorifics in conversation task"&amp;"s, where the honorific usage should align with the social role and contextual cues. Our findings indicate that current LMs struggle with most honorific levels, exhibiting a bias toward certain honorific tiers.")</f>
        <v>The Javanese language features a complex system of honorifics that vary according to the social status of the speaker, listener, and referent. Despite its cultural and linguistic significance, there has been limited progress in developing a comprehensive corpus to capture these variations for natural language processing (NLP) tasks. In this paper, we present Unggah-Ungguh, a carefully curated dataset designed to encapsulate the nuances of Unggah-Ungguh Basa, the Javanese speech etiquette framework that dictates the choice of words and phrases based on social hierarchy and context. Using Unggah-Ungguh, we assess the ability of language models (LMs) to process various levels of Javanese honorifics through classification and machine translation tasks. To further evaluate cross-lingual LMs, we conduct machine translation experiments between Javanese (at specific honorific levels) and Indonesian. Additionally, we explore whether LMs can generate contextually appropriate Javanese honorifics in conversation tasks, where the honorific usage should align with the social role and contextual cues. Our findings indicate that current LMs struggle with most honorific levels, exhibiting a bias toward certain honorific tiers.</v>
      </c>
      <c r="D2949" s="7" t="str">
        <f>IFERROR(__xludf.DUMMYFUNCTION("""COMPUTED_VALUE"""),"Mohammad Rifqi Farhansyah")</f>
        <v>Mohammad Rifqi Farhansyah</v>
      </c>
      <c r="E2949" s="7" t="str">
        <f>IFERROR(__xludf.DUMMYFUNCTION("""COMPUTED_VALUE"""),"Yes")</f>
        <v>Yes</v>
      </c>
      <c r="F2949" s="7" t="str">
        <f>IFERROR(__xludf.DUMMYFUNCTION("""COMPUTED_VALUE"""),"IP-Poster")</f>
        <v>IP-Poster</v>
      </c>
      <c r="G2949" s="7" t="str">
        <f>IFERROR(__xludf.DUMMYFUNCTION("""COMPUTED_VALUE"""),"In-Person")</f>
        <v>In-Person</v>
      </c>
      <c r="H2949" s="7" t="str">
        <f>IFERROR(__xludf.DUMMYFUNCTION("""COMPUTED_VALUE"""),"Hall 4/5")</f>
        <v>Hall 4/5</v>
      </c>
      <c r="I2949" s="7" t="str">
        <f>IFERROR(__xludf.DUMMYFUNCTION("""COMPUTED_VALUE"""),"Session 7: IP-Posters")</f>
        <v>Session 7: IP-Posters</v>
      </c>
      <c r="J2949" s="7" t="str">
        <f>IFERROR(__xludf.DUMMYFUNCTION("""COMPUTED_VALUE"""),"Poster Session 2")</f>
        <v>Poster Session 2</v>
      </c>
      <c r="K2949" s="7"/>
      <c r="L2949" s="8">
        <f>IFERROR(__xludf.DUMMYFUNCTION("""COMPUTED_VALUE"""),45867.0)</f>
        <v>45867</v>
      </c>
      <c r="M2949" s="7" t="str">
        <f>IFERROR(__xludf.DUMMYFUNCTION("""COMPUTED_VALUE"""),"10:30-12:00")</f>
        <v>10:30-12:00</v>
      </c>
      <c r="N2949" s="7"/>
    </row>
    <row r="2950">
      <c r="A2950" s="7" t="str">
        <f>IFERROR(__xludf.DUMMYFUNCTION("""COMPUTED_VALUE"""),"3825-MAIN")</f>
        <v>3825-MAIN</v>
      </c>
      <c r="B2950" s="7" t="str">
        <f>IFERROR(__xludf.DUMMYFUNCTION("""COMPUTED_VALUE"""),"Generative Reward Modeling via Synthetic Criteria Preference Learning")</f>
        <v>Generative Reward Modeling via Synthetic Criteria Preference Learning</v>
      </c>
      <c r="C2950" s="7" t="str">
        <f>IFERROR(__xludf.DUMMYFUNCTION("""COMPUTED_VALUE"""),"Generative Reward Models (GenRMs) leverage synthesized Chains of Thought (CoT) to reduce the need for massive labeled data, but this approach introduces risks of overoptimization due to the inability to guarantee the correctness of the CoTs. Identifying a"&amp;"nd optimizing unexpected behaviors within these synthesized CoT remains a challenge, as it heavily depends on precise annotations of intermediate behavior, similar to process supervision. In this work, we introduce a criteria-based preference tree for rew"&amp;"ard modeling, where each path in the tree represents a reasoning trajectory based on synthesized criteria. Crucially, each reasoning trajectory can be independently optimized through RL algorithm. These fine-grained process reward signals are derived from"&amp;" the inference-time computations and predefined rules, eliminating the need for human supervision. In experiments, SyncPL showed significant improvements over baselines on multiple human preference benchmarks. We further demonstrate that synthesized data "&amp;"can be learned using a long CoT format, analogous to an o1-like model, further enhancing performance while keeping stability and efficiency during training.")</f>
        <v>Generative Reward Models (GenRMs) leverage synthesized Chains of Thought (CoT) to reduce the need for massive labeled data, but this approach introduces risks of overoptimization due to the inability to guarantee the correctness of the CoTs. Identifying and optimizing unexpected behaviors within these synthesized CoT remains a challenge, as it heavily depends on precise annotations of intermediate behavior, similar to process supervision. In this work, we introduce a criteria-based preference tree for reward modeling, where each path in the tree represents a reasoning trajectory based on synthesized criteria. Crucially, each reasoning trajectory can be independently optimized through RL algorithm. These fine-grained process reward signals are derived from the inference-time computations and predefined rules, eliminating the need for human supervision. In experiments, SyncPL showed significant improvements over baselines on multiple human preference benchmarks. We further demonstrate that synthesized data can be learned using a long CoT format, analogous to an o1-like model, further enhancing performance while keeping stability and efficiency during training.</v>
      </c>
      <c r="D2950" s="7" t="str">
        <f>IFERROR(__xludf.DUMMYFUNCTION("""COMPUTED_VALUE"""),"Xiaobo Liang")</f>
        <v>Xiaobo Liang</v>
      </c>
      <c r="E2950" s="7" t="str">
        <f>IFERROR(__xludf.DUMMYFUNCTION("""COMPUTED_VALUE"""),"Yes")</f>
        <v>Yes</v>
      </c>
      <c r="F2950" s="7" t="str">
        <f>IFERROR(__xludf.DUMMYFUNCTION("""COMPUTED_VALUE"""),"V-Presentation")</f>
        <v>V-Presentation</v>
      </c>
      <c r="G2950" s="7" t="str">
        <f>IFERROR(__xludf.DUMMYFUNCTION("""COMPUTED_VALUE"""),"Virtual/Gather")</f>
        <v>Virtual/Gather</v>
      </c>
      <c r="H2950" s="7" t="str">
        <f>IFERROR(__xludf.DUMMYFUNCTION("""COMPUTED_VALUE"""),"Zoom")</f>
        <v>Zoom</v>
      </c>
      <c r="I2950" s="7" t="str">
        <f>IFERROR(__xludf.DUMMYFUNCTION("""COMPUTED_VALUE"""),"Session 12: V-Presentations")</f>
        <v>Session 12: V-Presentations</v>
      </c>
      <c r="J2950" s="7" t="str">
        <f>IFERROR(__xludf.DUMMYFUNCTION("""COMPUTED_VALUE"""),"Virtual Presentations 4")</f>
        <v>Virtual Presentations 4</v>
      </c>
      <c r="K2950" s="7"/>
      <c r="L2950" s="8">
        <f>IFERROR(__xludf.DUMMYFUNCTION("""COMPUTED_VALUE"""),45868.0)</f>
        <v>45868</v>
      </c>
      <c r="M2950" s="7" t="str">
        <f>IFERROR(__xludf.DUMMYFUNCTION("""COMPUTED_VALUE"""),"11:00-12:30")</f>
        <v>11:00-12:30</v>
      </c>
      <c r="N2950" s="7"/>
    </row>
    <row r="2951">
      <c r="A2951" s="7" t="str">
        <f>IFERROR(__xludf.DUMMYFUNCTION("""COMPUTED_VALUE"""),"3829-MAIN")</f>
        <v>3829-MAIN</v>
      </c>
      <c r="B2951" s="7" t="str">
        <f>IFERROR(__xludf.DUMMYFUNCTION("""COMPUTED_VALUE"""),"Exploring Multimodal Relation Extraction of Hierarchical Tabular Data with Multi-task Learning")</f>
        <v>Exploring Multimodal Relation Extraction of Hierarchical Tabular Data with Multi-task Learning</v>
      </c>
      <c r="C2951" s="7" t="str">
        <f>IFERROR(__xludf.DUMMYFUNCTION("""COMPUTED_VALUE"""),"Relation Extraction (RE) is a key task in table understanding, aiming to extract semantic relations between columns. However, complex tables with hierarchical headers are hard to obtain high-quality textual formats (e.g., Markdown) for input under practic"&amp;"al scenarios like webpage screenshots and scanned documents, while table images are more accessible and intuitive. Besides, existing works overlook the need of mining relations among multiple columns rather than just the semantic relation between two spec"&amp;"ific columns in real-world practice. In this work, we explore utilizing Multimodal Large Language Models (MLLMs) to address RE in tables with complex structures. We creatively extend the concept of RE to include calculational relations, enabling multi-tas"&amp;"k learning of both semantic and calculational RE for mutual reinforcement. Specifically, we reconstruct table images into graph structure based on neighboring nodes to extract graph-level visual features. Such feature enhancement alleviates the insensitiv"&amp;"ity of MLLMs to the positional information within table images. We then propose a Chain-of-Thought distillation framework with self-correction mechanism to enhance MLLMs' reasoning capabilities without increasing parameter scale. Our method significantly "&amp;"outperforms most baselines on wide datasets. Additionally, we release a benchmark dataset for calculational RE in complex tables.")</f>
        <v>Relation Extraction (RE) is a key task in table understanding, aiming to extract semantic relations between columns. However, complex tables with hierarchical headers are hard to obtain high-quality textual formats (e.g., Markdown) for input under practical scenarios like webpage screenshots and scanned documents, while table images are more accessible and intuitive. Besides, existing works overlook the need of mining relations among multiple columns rather than just the semantic relation between two specific columns in real-world practice. In this work, we explore utilizing Multimodal Large Language Models (MLLMs) to address RE in tables with complex structures. We creatively extend the concept of RE to include calculational relations, enabling multi-task learning of both semantic and calculational RE for mutual reinforcement. Specifically, we reconstruct table images into graph structure based on neighboring nodes to extract graph-level visual features. Such feature enhancement alleviates the insensitivity of MLLMs to the positional information within table images. We then propose a Chain-of-Thought distillation framework with self-correction mechanism to enhance MLLMs' reasoning capabilities without increasing parameter scale. Our method significantly outperforms most baselines on wide datasets. Additionally, we release a benchmark dataset for calculational RE in complex tables.</v>
      </c>
      <c r="D2951" s="7" t="str">
        <f>IFERROR(__xludf.DUMMYFUNCTION("""COMPUTED_VALUE"""),"Xinyu Zhang")</f>
        <v>Xinyu Zhang</v>
      </c>
      <c r="E2951" s="7" t="str">
        <f>IFERROR(__xludf.DUMMYFUNCTION("""COMPUTED_VALUE"""),"Yes")</f>
        <v>Yes</v>
      </c>
      <c r="F2951" s="7" t="str">
        <f>IFERROR(__xludf.DUMMYFUNCTION("""COMPUTED_VALUE"""),"V-Presentation")</f>
        <v>V-Presentation</v>
      </c>
      <c r="G2951" s="7" t="str">
        <f>IFERROR(__xludf.DUMMYFUNCTION("""COMPUTED_VALUE"""),"Virtual/Gather")</f>
        <v>Virtual/Gather</v>
      </c>
      <c r="H2951" s="7" t="str">
        <f>IFERROR(__xludf.DUMMYFUNCTION("""COMPUTED_VALUE"""),"Zoom")</f>
        <v>Zoom</v>
      </c>
      <c r="I2951" s="7" t="str">
        <f>IFERROR(__xludf.DUMMYFUNCTION("""COMPUTED_VALUE"""),"Session 7: V--Presentations ")</f>
        <v>Session 7: V--Presentations </v>
      </c>
      <c r="J2951" s="7" t="str">
        <f>IFERROR(__xludf.DUMMYFUNCTION("""COMPUTED_VALUE"""),"Virtual Presentations 2")</f>
        <v>Virtual Presentations 2</v>
      </c>
      <c r="K2951" s="7"/>
      <c r="L2951" s="8"/>
      <c r="M2951" s="7" t="str">
        <f>IFERROR(__xludf.DUMMYFUNCTION("""COMPUTED_VALUE"""),"10:30-12:00")</f>
        <v>10:30-12:00</v>
      </c>
      <c r="N2951" s="7"/>
    </row>
    <row r="2952">
      <c r="A2952" s="7" t="str">
        <f>IFERROR(__xludf.DUMMYFUNCTION("""COMPUTED_VALUE"""),"3835-MAIN")</f>
        <v>3835-MAIN</v>
      </c>
      <c r="B2952" s="7" t="str">
        <f>IFERROR(__xludf.DUMMYFUNCTION("""COMPUTED_VALUE"""),"A Self-Denoising Model for Robust Few-Shot Relation Extraction")</f>
        <v>A Self-Denoising Model for Robust Few-Shot Relation Extraction</v>
      </c>
      <c r="C2952" s="7" t="str">
        <f>IFERROR(__xludf.DUMMYFUNCTION("""COMPUTED_VALUE"""),"The few-shot relation extraction (FSRE) aims at enhancing the model’s generalization to new relations with very few labeled instances (support instances). Most existing studies use prototype networks (ProtoNets) for FSRE and assume that the support set, a"&amp;"dapting the model to new relations, only contains accurately labeled instances. However, this assumption is usually unrealistic, as even carefully-annotated datasets often contain mislabeled instances. Thus, it is essential to enhance the robustness of FS"&amp;"RE models to noisy labels in support set, but this issue remains unexplored. In this paper, we first conduct a preliminary study, revealing the high sensitivity of ProtoNets to such noisy labels. Meanwhile, we discover that fully leveraging mislabeled sup"&amp;"port instances is crucial for enhancing the model's robustness. To do this, we propose a self-denoising model for FSRE, which can automatically correct noisy labels of support instances. Specifically, our model comprises two core components: 1) a label co"&amp;"rrection module (LCM), used to correct mislabeled support instances based on the distances between them in the embedding space, and 2) a relation classification module (RCM), designed to achieve more robust relation prediction using the corrected labels g"&amp;"enerated by the LCM. Moreover, we propose a feedback-based training strategy, which focuses on training LCM and RCM to synergistically handle noisy labels in support set. Experimental results on two public datasets show the effectiveness and robustness of"&amp;" our model. Notably, even in scenarios without noisy labels, our model significantly outperforms all competitive baselines.")</f>
        <v>The few-shot relation extraction (FSRE) aims at enhancing the model’s generalization to new relations with very few labeled instances (support instances). Most existing studies use prototype networks (ProtoNets) for FSRE and assume that the support set, adapting the model to new relations, only contains accurately labeled instances. However, this assumption is usually unrealistic, as even carefully-annotated datasets often contain mislabeled instances. Thus, it is essential to enhance the robustness of FSRE models to noisy labels in support set, but this issue remains unexplored. In this paper, we first conduct a preliminary study, revealing the high sensitivity of ProtoNets to such noisy labels. Meanwhile, we discover that fully leveraging mislabeled support instances is crucial for enhancing the model's robustness. To do this, we propose a self-denoising model for FSRE, which can automatically correct noisy labels of support instances. Specifically, our model comprises two core components: 1) a label correction module (LCM), used to correct mislabeled support instances based on the distances between them in the embedding space, and 2) a relation classification module (RCM), designed to achieve more robust relation prediction using the corrected labels generated by the LCM. Moreover, we propose a feedback-based training strategy, which focuses on training LCM and RCM to synergistically handle noisy labels in support set. Experimental results on two public datasets show the effectiveness and robustness of our model. Notably, even in scenarios without noisy labels, our model significantly outperforms all competitive baselines.</v>
      </c>
      <c r="D2952" s="7" t="str">
        <f>IFERROR(__xludf.DUMMYFUNCTION("""COMPUTED_VALUE"""),"Liang Zhang")</f>
        <v>Liang Zhang</v>
      </c>
      <c r="E2952" s="7" t="str">
        <f>IFERROR(__xludf.DUMMYFUNCTION("""COMPUTED_VALUE"""),"Yes")</f>
        <v>Yes</v>
      </c>
      <c r="F2952" s="7" t="str">
        <f>IFERROR(__xludf.DUMMYFUNCTION("""COMPUTED_VALUE"""),"V-Presentation")</f>
        <v>V-Presentation</v>
      </c>
      <c r="G2952" s="7" t="str">
        <f>IFERROR(__xludf.DUMMYFUNCTION("""COMPUTED_VALUE"""),"Virtual/Gather")</f>
        <v>Virtual/Gather</v>
      </c>
      <c r="H2952" s="7" t="str">
        <f>IFERROR(__xludf.DUMMYFUNCTION("""COMPUTED_VALUE"""),"Zoom")</f>
        <v>Zoom</v>
      </c>
      <c r="I2952" s="7" t="str">
        <f>IFERROR(__xludf.DUMMYFUNCTION("""COMPUTED_VALUE"""),"Session 7: V--Presentations ")</f>
        <v>Session 7: V--Presentations </v>
      </c>
      <c r="J2952" s="7" t="str">
        <f>IFERROR(__xludf.DUMMYFUNCTION("""COMPUTED_VALUE"""),"Virtual Presentations 2")</f>
        <v>Virtual Presentations 2</v>
      </c>
      <c r="K2952" s="7"/>
      <c r="L2952" s="8"/>
      <c r="M2952" s="7" t="str">
        <f>IFERROR(__xludf.DUMMYFUNCTION("""COMPUTED_VALUE"""),"10:30-12:00")</f>
        <v>10:30-12:00</v>
      </c>
      <c r="N2952" s="7"/>
    </row>
    <row r="2953">
      <c r="A2953" s="7" t="str">
        <f>IFERROR(__xludf.DUMMYFUNCTION("""COMPUTED_VALUE"""),"3837-MAIN")</f>
        <v>3837-MAIN</v>
      </c>
      <c r="B2953" s="7" t="str">
        <f>IFERROR(__xludf.DUMMYFUNCTION("""COMPUTED_VALUE"""),"QuASAR: A Question-Driven Structure-Aware Approach for Table-to-Text Generation")</f>
        <v>QuASAR: A Question-Driven Structure-Aware Approach for Table-to-Text Generation</v>
      </c>
      <c r="C2953" s="7" t="str">
        <f>IFERROR(__xludf.DUMMYFUNCTION("""COMPUTED_VALUE"""),"Table-to-text generation aims to automatically produce natural language descriptions from structured or semi-structured tabular data. Unlike traditional text generation tasks, it requires models to accurately understand and represent table structures. Exi"&amp;"sting approaches typically process tables by linearizing them or converting them into graph structures. However, these methods either fail to adequately capture the table structure or rely on complex attention mechanisms, limiting their applicability. To "&amp;"tackle these challenges, we propose QuASAR, a question-driven self-supervised approach designed to enhance the model's structural perception and representation capabilities. Specifically, QuASAR formulates a set of structure-related queries for self-super"&amp;"vised training, explicitly guiding the model to capture both local and global table structures. Additionally, we introduce two auxiliary pre-training tasks: a word-to-sentence reconstruction task and a numerical summarization task, which further enhance t"&amp;"he fluency and factuality of the generated text. Experimental results on the ToTTo and HiTab datasets demonstrate that our approach produces higher-quality text compared to existing methods.")</f>
        <v>Table-to-text generation aims to automatically produce natural language descriptions from structured or semi-structured tabular data. Unlike traditional text generation tasks, it requires models to accurately understand and represent table structures. Existing approaches typically process tables by linearizing them or converting them into graph structures. However, these methods either fail to adequately capture the table structure or rely on complex attention mechanisms, limiting their applicability. To tackle these challenges, we propose QuASAR, a question-driven self-supervised approach designed to enhance the model's structural perception and representation capabilities. Specifically, QuASAR formulates a set of structure-related queries for self-supervised training, explicitly guiding the model to capture both local and global table structures. Additionally, we introduce two auxiliary pre-training tasks: a word-to-sentence reconstruction task and a numerical summarization task, which further enhance the fluency and factuality of the generated text. Experimental results on the ToTTo and HiTab datasets demonstrate that our approach produces higher-quality text compared to existing methods.</v>
      </c>
      <c r="D2953" s="7" t="str">
        <f>IFERROR(__xludf.DUMMYFUNCTION("""COMPUTED_VALUE"""),"WeiJie Liu")</f>
        <v>WeiJie Liu</v>
      </c>
      <c r="E2953" s="7" t="str">
        <f>IFERROR(__xludf.DUMMYFUNCTION("""COMPUTED_VALUE"""),"Yes")</f>
        <v>Yes</v>
      </c>
      <c r="F2953" s="7" t="str">
        <f>IFERROR(__xludf.DUMMYFUNCTION("""COMPUTED_VALUE"""),"IP-Poster")</f>
        <v>IP-Poster</v>
      </c>
      <c r="G2953" s="7" t="str">
        <f>IFERROR(__xludf.DUMMYFUNCTION("""COMPUTED_VALUE"""),"In-Person")</f>
        <v>In-Person</v>
      </c>
      <c r="H2953" s="7" t="str">
        <f>IFERROR(__xludf.DUMMYFUNCTION("""COMPUTED_VALUE"""),"Hall 4/5")</f>
        <v>Hall 4/5</v>
      </c>
      <c r="I2953" s="7" t="str">
        <f>IFERROR(__xludf.DUMMYFUNCTION("""COMPUTED_VALUE"""),"Session 10: IP-Posters")</f>
        <v>Session 10: IP-Posters</v>
      </c>
      <c r="J2953" s="7" t="str">
        <f>IFERROR(__xludf.DUMMYFUNCTION("""COMPUTED_VALUE"""),"Poster Session 3")</f>
        <v>Poster Session 3</v>
      </c>
      <c r="K2953" s="7"/>
      <c r="L2953" s="8">
        <f>IFERROR(__xludf.DUMMYFUNCTION("""COMPUTED_VALUE"""),45867.0)</f>
        <v>45867</v>
      </c>
      <c r="M2953" s="7" t="str">
        <f>IFERROR(__xludf.DUMMYFUNCTION("""COMPUTED_VALUE"""),"16:00-17:30")</f>
        <v>16:00-17:30</v>
      </c>
      <c r="N2953" s="7"/>
    </row>
    <row r="2954">
      <c r="A2954" s="7" t="str">
        <f>IFERROR(__xludf.DUMMYFUNCTION("""COMPUTED_VALUE"""),"3839-MAIN")</f>
        <v>3839-MAIN</v>
      </c>
      <c r="B2954" s="7" t="str">
        <f>IFERROR(__xludf.DUMMYFUNCTION("""COMPUTED_VALUE"""),"Automated Structured Radiology Report Generation")</f>
        <v>Automated Structured Radiology Report Generation</v>
      </c>
      <c r="C2954" s="7" t="str">
        <f>IFERROR(__xludf.DUMMYFUNCTION("""COMPUTED_VALUE"""),"Automated radiology report generation from chest X-ray (CXR) images has the potential to improve clinical efficiency and reduce radiologists' workload. However, most datasets, including the publicly available MIMIC-CXR and CheXpert Plus, consist entirely "&amp;"of free-form reports, which are inherently variable and unstructured. This variability poses challenges for both generation and evaluation: existing models struggle to produce consistent, clinically meaningful reports, and standard evaluation metrics fail"&amp;" to capture the nuances of radiological interpretation. To address this, we introduce Structured Radiology Report Generation (SRRG), a new task that reformulates free-text radiology reports into a standardized format, ensuring clarity, consistency, and st"&amp;"ructured clinical reporting. We create a novel dataset by restructuring reports using large language models (LLMs) following strict structured reporting desiderata. Additionally, we introduce SRR-BERT, a fine-grained disease classification model trained o"&amp;"n 55 labels, enabling more precise and clinically informed evaluation of structured reports. To assess report quality, we propose F1-SRR-BERT, a metric that leverages SRR-BERT’s hierarchical disease taxonomy to bridge the gap between free-text variability"&amp;" and structured clinical reporting. We validate our dataset through a reader study conducted by five board-certified radiologists and extensive benchmarking experiments.")</f>
        <v>Automated radiology report generation from chest X-ray (CXR) images has the potential to improve clinical efficiency and reduce radiologists' workload. However, most datasets, including the publicly available MIMIC-CXR and CheXpert Plus, consist entirely of free-form reports, which are inherently variable and unstructured. This variability poses challenges for both generation and evaluation: existing models struggle to produce consistent, clinically meaningful reports, and standard evaluation metrics fail to capture the nuances of radiological interpretation. To address this, we introduce Structured Radiology Report Generation (SRRG), a new task that reformulates free-text radiology reports into a standardized format, ensuring clarity, consistency, and structured clinical reporting. We create a novel dataset by restructuring reports using large language models (LLMs) following strict structured reporting desiderata. Additionally, we introduce SRR-BERT, a fine-grained disease classification model trained on 55 labels, enabling more precise and clinically informed evaluation of structured reports. To assess report quality, we propose F1-SRR-BERT, a metric that leverages SRR-BERT’s hierarchical disease taxonomy to bridge the gap between free-text variability and structured clinical reporting. We validate our dataset through a reader study conducted by five board-certified radiologists and extensive benchmarking experiments.</v>
      </c>
      <c r="D2954" s="7" t="str">
        <f>IFERROR(__xludf.DUMMYFUNCTION("""COMPUTED_VALUE"""),"Jean-Benoit Delbrouck")</f>
        <v>Jean-Benoit Delbrouck</v>
      </c>
      <c r="E2954" s="7" t="str">
        <f>IFERROR(__xludf.DUMMYFUNCTION("""COMPUTED_VALUE"""),"Yes")</f>
        <v>Yes</v>
      </c>
      <c r="F2954" s="7" t="str">
        <f>IFERROR(__xludf.DUMMYFUNCTION("""COMPUTED_VALUE"""),"V-Presentation")</f>
        <v>V-Presentation</v>
      </c>
      <c r="G2954" s="7" t="str">
        <f>IFERROR(__xludf.DUMMYFUNCTION("""COMPUTED_VALUE"""),"Virtual/Gather")</f>
        <v>Virtual/Gather</v>
      </c>
      <c r="H2954" s="7" t="str">
        <f>IFERROR(__xludf.DUMMYFUNCTION("""COMPUTED_VALUE"""),"Zoom")</f>
        <v>Zoom</v>
      </c>
      <c r="I2954" s="7" t="str">
        <f>IFERROR(__xludf.DUMMYFUNCTION("""COMPUTED_VALUE"""),"Session 7: V--Presentations ")</f>
        <v>Session 7: V--Presentations </v>
      </c>
      <c r="J2954" s="7" t="str">
        <f>IFERROR(__xludf.DUMMYFUNCTION("""COMPUTED_VALUE"""),"Virtual Presentations 2")</f>
        <v>Virtual Presentations 2</v>
      </c>
      <c r="K2954" s="7"/>
      <c r="L2954" s="8"/>
      <c r="M2954" s="7" t="str">
        <f>IFERROR(__xludf.DUMMYFUNCTION("""COMPUTED_VALUE"""),"10:30-12:00")</f>
        <v>10:30-12:00</v>
      </c>
      <c r="N2954" s="7"/>
    </row>
    <row r="2955">
      <c r="A2955" s="7" t="str">
        <f>IFERROR(__xludf.DUMMYFUNCTION("""COMPUTED_VALUE"""),"3842-MAIN")</f>
        <v>3842-MAIN</v>
      </c>
      <c r="B2955" s="7" t="str">
        <f>IFERROR(__xludf.DUMMYFUNCTION("""COMPUTED_VALUE"""),"LPOI: Listwise Preference Optimization for Vision Language Models")</f>
        <v>LPOI: Listwise Preference Optimization for Vision Language Models</v>
      </c>
      <c r="C2955" s="7" t="str">
        <f>IFERROR(__xludf.DUMMYFUNCTION("""COMPUTED_VALUE"""),"Aligning large VLMs with human preferences is a challenging task, as methods like RLHF and DPO often overfit to textual information or exacerbate hallucinations. Although augmenting negative image samples partially addresses these pitfalls, no prior work "&amp;"has employed listwise preference optimization for VLMs, due to the complexity and cost of constructing listwise image samples. In this work, we propose LPOI, the first object-aware listwise preference optimization developed for reducing hallucinations in "&amp;"VLMs. LPOI identifies and masks a critical object in the image, and then interpolates the masked region between the positive and negative images to form a sequence of incrementally more complete images. The model is trained to rank these images in ascendi"&amp;"ng order of object visibility, effectively reducing hallucinations while retaining visual fidelity. LPOI requires no extra annotations beyond standard pairwise preference data, as it automatically constructs the ranked lists through object masking and int"&amp;"erpolation. Comprehensive experiments on MMHalBench, AMBER, and Object HalBench confirm that LPOI outperforms existing preference optimization methods in reducing hallucinations and enhancing VLM performance.")</f>
        <v>Aligning large VLMs with human preferences is a challenging task, as methods like RLHF and DPO often overfit to textual information or exacerbate hallucinations. Although augmenting negative image samples partially addresses these pitfalls, no prior work has employed listwise preference optimization for VLMs, due to the complexity and cost of constructing listwise image samples. In this work, we propose LPOI, the first object-aware listwise preference optimization developed for reducing hallucinations in VLMs. LPOI identifies and masks a critical object in the image, and then interpolates the masked region between the positive and negative images to form a sequence of incrementally more complete images. The model is trained to rank these images in ascending order of object visibility, effectively reducing hallucinations while retaining visual fidelity. LPOI requires no extra annotations beyond standard pairwise preference data, as it automatically constructs the ranked lists through object masking and interpolation. Comprehensive experiments on MMHalBench, AMBER, and Object HalBench confirm that LPOI outperforms existing preference optimization methods in reducing hallucinations and enhancing VLM performance.</v>
      </c>
      <c r="D2955" s="7" t="str">
        <f>IFERROR(__xludf.DUMMYFUNCTION("""COMPUTED_VALUE"""),"Fatemeh Pesaran zadeh")</f>
        <v>Fatemeh Pesaran zadeh</v>
      </c>
      <c r="E2955" s="7" t="str">
        <f>IFERROR(__xludf.DUMMYFUNCTION("""COMPUTED_VALUE"""),"Yes")</f>
        <v>Yes</v>
      </c>
      <c r="F2955" s="7" t="str">
        <f>IFERROR(__xludf.DUMMYFUNCTION("""COMPUTED_VALUE"""),"IP-Poster")</f>
        <v>IP-Poster</v>
      </c>
      <c r="G2955" s="7" t="str">
        <f>IFERROR(__xludf.DUMMYFUNCTION("""COMPUTED_VALUE"""),"In-Person")</f>
        <v>In-Person</v>
      </c>
      <c r="H2955" s="7" t="str">
        <f>IFERROR(__xludf.DUMMYFUNCTION("""COMPUTED_VALUE"""),"Hall 4/5")</f>
        <v>Hall 4/5</v>
      </c>
      <c r="I2955" s="7" t="str">
        <f>IFERROR(__xludf.DUMMYFUNCTION("""COMPUTED_VALUE"""),"Session 10: IP-Posters")</f>
        <v>Session 10: IP-Posters</v>
      </c>
      <c r="J2955" s="7" t="str">
        <f>IFERROR(__xludf.DUMMYFUNCTION("""COMPUTED_VALUE"""),"Poster Session 3")</f>
        <v>Poster Session 3</v>
      </c>
      <c r="K2955" s="7"/>
      <c r="L2955" s="8">
        <f>IFERROR(__xludf.DUMMYFUNCTION("""COMPUTED_VALUE"""),45867.0)</f>
        <v>45867</v>
      </c>
      <c r="M2955" s="7" t="str">
        <f>IFERROR(__xludf.DUMMYFUNCTION("""COMPUTED_VALUE"""),"16:00-17:30")</f>
        <v>16:00-17:30</v>
      </c>
      <c r="N2955" s="7"/>
    </row>
    <row r="2956">
      <c r="A2956" s="7" t="str">
        <f>IFERROR(__xludf.DUMMYFUNCTION("""COMPUTED_VALUE"""),"3843-MAIN")</f>
        <v>3843-MAIN</v>
      </c>
      <c r="B2956" s="7" t="str">
        <f>IFERROR(__xludf.DUMMYFUNCTION("""COMPUTED_VALUE"""),"Predicting Through Generation: Why Generation Is Better for Prediction")</f>
        <v>Predicting Through Generation: Why Generation Is Better for Prediction</v>
      </c>
      <c r="C2956" s="7" t="str">
        <f>IFERROR(__xludf.DUMMYFUNCTION("""COMPUTED_VALUE"""),"This paper argues that generating output tokens is more effective than using pooled representations for prediction tasks because token-level generation retains more mutual information. Since LLMs are trained on massive text corpora using next-token predic"&amp;"tion, generation aligns naturally with their learned behavior. Using the Data Processing Inequality (DPI), we provide both theoretical and empirical evidence supporting this claim. However, autoregressive models face two key challenges when used for predi"&amp;"ction: (1) exposure bias, where the model sees ground-truth tokens during training but relies on its own predictions during inference, leading to errors, and (2) format mismatch, where discrete tokens do not always align with the task’s required output st"&amp;"ructure. To address these challenges, we introduce PredGen (Predicting Through Generating), an end-to-end framework that (i) uses scheduled sampling to reduce exposure bias, and (ii) introduces a task adapter to convert the generated tokens into structure"&amp;"d outputs. Additionally, we introduce Writer-Director Alignment Loss (WDAL), which ensures consistency between token generation and final task predictions, improving both text coherence and numerical accuracy. We evaluate PredGen on multiple classificatio"&amp;"n and regression benchmarks. Our results show that PredGen consistently outperforms standard baselines, demonstrating its effectiveness in structured prediction tasks.")</f>
        <v>This paper argues that generating output tokens is more effective than using pooled representations for prediction tasks because token-level generation retains more mutual information. Since LLMs are trained on massive text corpora using next-token prediction, generation aligns naturally with their learned behavior. Using the Data Processing Inequality (DPI), we provide both theoretical and empirical evidence supporting this claim. However, autoregressive models face two key challenges when used for prediction: (1) exposure bias, where the model sees ground-truth tokens during training but relies on its own predictions during inference, leading to errors, and (2) format mismatch, where discrete tokens do not always align with the task’s required output structure. To address these challenges, we introduce PredGen (Predicting Through Generating), an end-to-end framework that (i) uses scheduled sampling to reduce exposure bias, and (ii) introduces a task adapter to convert the generated tokens into structured outputs. Additionally, we introduce Writer-Director Alignment Loss (WDAL), which ensures consistency between token generation and final task predictions, improving both text coherence and numerical accuracy. We evaluate PredGen on multiple classification and regression benchmarks. Our results show that PredGen consistently outperforms standard baselines, demonstrating its effectiveness in structured prediction tasks.</v>
      </c>
      <c r="D2956" s="7" t="str">
        <f>IFERROR(__xludf.DUMMYFUNCTION("""COMPUTED_VALUE"""),"Nusrat Prottasha")</f>
        <v>Nusrat Prottasha</v>
      </c>
      <c r="E2956" s="7" t="str">
        <f>IFERROR(__xludf.DUMMYFUNCTION("""COMPUTED_VALUE"""),"Yes")</f>
        <v>Yes</v>
      </c>
      <c r="F2956" s="7" t="str">
        <f>IFERROR(__xludf.DUMMYFUNCTION("""COMPUTED_VALUE"""),"V-Presentation")</f>
        <v>V-Presentation</v>
      </c>
      <c r="G2956" s="7" t="str">
        <f>IFERROR(__xludf.DUMMYFUNCTION("""COMPUTED_VALUE"""),"Virtual/Gather")</f>
        <v>Virtual/Gather</v>
      </c>
      <c r="H2956" s="7" t="str">
        <f>IFERROR(__xludf.DUMMYFUNCTION("""COMPUTED_VALUE"""),"Zoom")</f>
        <v>Zoom</v>
      </c>
      <c r="I2956" s="7" t="str">
        <f>IFERROR(__xludf.DUMMYFUNCTION("""COMPUTED_VALUE"""),"Session 7: V--Presentations ")</f>
        <v>Session 7: V--Presentations </v>
      </c>
      <c r="J2956" s="7" t="str">
        <f>IFERROR(__xludf.DUMMYFUNCTION("""COMPUTED_VALUE"""),"Virtual Presentations 2")</f>
        <v>Virtual Presentations 2</v>
      </c>
      <c r="K2956" s="7"/>
      <c r="L2956" s="8"/>
      <c r="M2956" s="7" t="str">
        <f>IFERROR(__xludf.DUMMYFUNCTION("""COMPUTED_VALUE"""),"10:30-12:00")</f>
        <v>10:30-12:00</v>
      </c>
      <c r="N2956" s="7"/>
    </row>
    <row r="2957">
      <c r="A2957" s="7" t="str">
        <f>IFERROR(__xludf.DUMMYFUNCTION("""COMPUTED_VALUE"""),"3850-MAIN")</f>
        <v>3850-MAIN</v>
      </c>
      <c r="B2957" s="7" t="str">
        <f>IFERROR(__xludf.DUMMYFUNCTION("""COMPUTED_VALUE"""),"""Give Me BF16 or Give Me Death""? Accuracy-Performance Trade-Offs in LLM Quantization")</f>
        <v>"Give Me BF16 or Give Me Death"? Accuracy-Performance Trade-Offs in LLM Quantization</v>
      </c>
      <c r="C2957" s="7" t="str">
        <f>IFERROR(__xludf.DUMMYFUNCTION("""COMPUTED_VALUE"""),"Despite the popularity of large language model (LLM) quantization for inference acceleration, significant uncertainty remains regarding the accuracy-performance trade-offs associated with various quantization formats. We present a comprehensive empirical "&amp;"study of quantized accuracy, evaluating popular quantization formats (FP8, INT8, INT4) across academic benchmarks and real-world tasks, on the entire Llama-3.1 model family. Additionally, our study examines the difference in text generated by quantized mo"&amp;"dels versus their uncompressed counterparts. Beyond benchmarks, we also present a couple of quantization improvements which allowed us to obtain state-of-the-art accuracy recovery results. Our investigation, encompassing over 500,000 individual evaluation"&amp;"s, yields several key findings: (1) FP8 weight and activation quantization (W8A8-FP) is lossless across all model scales, (2) INT8 weight and activation quantization (W8A8-INT), when properly tuned, incurs surprisingly low 1-3% accuracy degradation, and ("&amp;"3) INT4 weight-only quantization (W4A16-INT) is competitive with 8-bit integer weight and activation quantization. To address the question of the ""best"" format for a given deployment environment, we conduct inference performance analysis using the popul"&amp;"ar open-source vLLM framework on various GPU architectures. We find that W4A16 offers the best cost-efficiency for synchronous deployments, and for asynchronous deployment on mid-tier GPUs. At the same time, W8A8 formats excel in asynchronous deployment o"&amp;"f mid and large-size models on high-end GPUs. Our results provide a first set of practical guidelines for deploying quantized LLMs across different scales and performance requirements.")</f>
        <v>Despite the popularity of large language model (LLM) quantization for inference acceleration, significant uncertainty remains regarding the accuracy-performance trade-offs associated with various quantization formats. We present a comprehensive empirical study of quantized accuracy, evaluating popular quantization formats (FP8, INT8, INT4) across academic benchmarks and real-world tasks, on the entire Llama-3.1 model family. Additionally, our study examines the difference in text generated by quantized models versus their uncompressed counterparts. Beyond benchmarks, we also present a couple of quantization improvements which allowed us to obtain state-of-the-art accuracy recovery results. Our investigation, encompassing over 500,000 individual evaluations, yields several key findings: (1) FP8 weight and activation quantization (W8A8-FP) is lossless across all model scales, (2) INT8 weight and activation quantization (W8A8-INT), when properly tuned, incurs surprisingly low 1-3% accuracy degradation, and (3) INT4 weight-only quantization (W4A16-INT) is competitive with 8-bit integer weight and activation quantization. To address the question of the "best" format for a given deployment environment, we conduct inference performance analysis using the popular open-source vLLM framework on various GPU architectures. We find that W4A16 offers the best cost-efficiency for synchronous deployments, and for asynchronous deployment on mid-tier GPUs. At the same time, W8A8 formats excel in asynchronous deployment of mid and large-size models on high-end GPUs. Our results provide a first set of practical guidelines for deploying quantized LLMs across different scales and performance requirements.</v>
      </c>
      <c r="D2957" s="7" t="str">
        <f>IFERROR(__xludf.DUMMYFUNCTION("""COMPUTED_VALUE"""),"Eldar Kurtić")</f>
        <v>Eldar Kurtić</v>
      </c>
      <c r="E2957" s="7" t="str">
        <f>IFERROR(__xludf.DUMMYFUNCTION("""COMPUTED_VALUE"""),"Yes")</f>
        <v>Yes</v>
      </c>
      <c r="F2957" s="7" t="str">
        <f>IFERROR(__xludf.DUMMYFUNCTION("""COMPUTED_VALUE"""),"IP-Oral")</f>
        <v>IP-Oral</v>
      </c>
      <c r="G2957" s="7" t="str">
        <f>IFERROR(__xludf.DUMMYFUNCTION("""COMPUTED_VALUE"""),"In-Person")</f>
        <v>In-Person</v>
      </c>
      <c r="H2957" s="7" t="str">
        <f>IFERROR(__xludf.DUMMYFUNCTION("""COMPUTED_VALUE"""),"Room 1.62")</f>
        <v>Room 1.62</v>
      </c>
      <c r="I2957" s="7" t="str">
        <f>IFERROR(__xludf.DUMMYFUNCTION("""COMPUTED_VALUE"""),"Session 11: IP-Orals ")</f>
        <v>Session 11: IP-Orals </v>
      </c>
      <c r="J2957" s="7" t="str">
        <f>IFERROR(__xludf.DUMMYFUNCTION("""COMPUTED_VALUE"""),"Efficient Methods for NLP 2")</f>
        <v>Efficient Methods for NLP 2</v>
      </c>
      <c r="K2957" s="7"/>
      <c r="L2957" s="8">
        <f>IFERROR(__xludf.DUMMYFUNCTION("""COMPUTED_VALUE"""),45868.0)</f>
        <v>45868</v>
      </c>
      <c r="M2957" s="7" t="str">
        <f>IFERROR(__xludf.DUMMYFUNCTION("""COMPUTED_VALUE"""),"09:00-10:30")</f>
        <v>09:00-10:30</v>
      </c>
      <c r="N2957" s="7">
        <f>IFERROR(__xludf.DUMMYFUNCTION("""COMPUTED_VALUE"""),8.0)</f>
        <v>8</v>
      </c>
    </row>
    <row r="2958">
      <c r="A2958" s="7" t="str">
        <f>IFERROR(__xludf.DUMMYFUNCTION("""COMPUTED_VALUE"""),"3862-MAIN")</f>
        <v>3862-MAIN</v>
      </c>
      <c r="B2958" s="7" t="str">
        <f>IFERROR(__xludf.DUMMYFUNCTION("""COMPUTED_VALUE"""),"StitchLLM: Serving LLMs, One Block at a Time")</f>
        <v>StitchLLM: Serving LLMs, One Block at a Time</v>
      </c>
      <c r="C2958" s="7" t="str">
        <f>IFERROR(__xludf.DUMMYFUNCTION("""COMPUTED_VALUE"""),"The rapid evolution of large language models (LLMs) has revolutionized natural language processing (NLP) tasks such as text generation, translation, and comprehension. However, the increasing computational demands and inference costs of these models prese"&amp;"nt significant challenges. This study investigates the dynamic and efficient utilization of pre-trained weights from open-sourced LLMs of varying parameter sizes to achieve an optimal balance between computational efficiency and task performance. Drawing "&amp;"inspiration from the dual-process theory of human cognition, we introduce StitchLLM: a dynamic model routing framework that employs a powerful bottom model to process all queries, and uses a lightweight routing mechanism to allocate computational resource"&amp;"s appropriately. Our novel framework optimizes efficiency and maintains performance, leveraging a trainable stitching layer for seamless integration of decoder layers across different LLMs. Experimental results demonstrate that StitchLLM improves system t"&amp;"hroughput while minimizing performance degradation, offering a flexible solution for deploying LLMs in resource-constrained settings.")</f>
        <v>The rapid evolution of large language models (LLMs) has revolutionized natural language processing (NLP) tasks such as text generation, translation, and comprehension. However, the increasing computational demands and inference costs of these models present significant challenges. This study investigates the dynamic and efficient utilization of pre-trained weights from open-sourced LLMs of varying parameter sizes to achieve an optimal balance between computational efficiency and task performance. Drawing inspiration from the dual-process theory of human cognition, we introduce StitchLLM: a dynamic model routing framework that employs a powerful bottom model to process all queries, and uses a lightweight routing mechanism to allocate computational resources appropriately. Our novel framework optimizes efficiency and maintains performance, leveraging a trainable stitching layer for seamless integration of decoder layers across different LLMs. Experimental results demonstrate that StitchLLM improves system throughput while minimizing performance degradation, offering a flexible solution for deploying LLMs in resource-constrained settings.</v>
      </c>
      <c r="D2958" s="7" t="str">
        <f>IFERROR(__xludf.DUMMYFUNCTION("""COMPUTED_VALUE"""),"Bodun Hu")</f>
        <v>Bodun Hu</v>
      </c>
      <c r="E2958" s="7" t="str">
        <f>IFERROR(__xludf.DUMMYFUNCTION("""COMPUTED_VALUE"""),"Yes")</f>
        <v>Yes</v>
      </c>
      <c r="F2958" s="7" t="str">
        <f>IFERROR(__xludf.DUMMYFUNCTION("""COMPUTED_VALUE"""),"V-Presentation")</f>
        <v>V-Presentation</v>
      </c>
      <c r="G2958" s="7" t="str">
        <f>IFERROR(__xludf.DUMMYFUNCTION("""COMPUTED_VALUE"""),"Virtual/Gather")</f>
        <v>Virtual/Gather</v>
      </c>
      <c r="H2958" s="7" t="str">
        <f>IFERROR(__xludf.DUMMYFUNCTION("""COMPUTED_VALUE"""),"Zoom")</f>
        <v>Zoom</v>
      </c>
      <c r="I2958" s="7" t="str">
        <f>IFERROR(__xludf.DUMMYFUNCTION("""COMPUTED_VALUE"""),"Session 12: V-Presentations")</f>
        <v>Session 12: V-Presentations</v>
      </c>
      <c r="J2958" s="7" t="str">
        <f>IFERROR(__xludf.DUMMYFUNCTION("""COMPUTED_VALUE"""),"Virtual Presentations 4")</f>
        <v>Virtual Presentations 4</v>
      </c>
      <c r="K2958" s="7"/>
      <c r="L2958" s="8">
        <f>IFERROR(__xludf.DUMMYFUNCTION("""COMPUTED_VALUE"""),45868.0)</f>
        <v>45868</v>
      </c>
      <c r="M2958" s="7" t="str">
        <f>IFERROR(__xludf.DUMMYFUNCTION("""COMPUTED_VALUE"""),"11:00-12:30")</f>
        <v>11:00-12:30</v>
      </c>
      <c r="N2958" s="7"/>
    </row>
    <row r="2959">
      <c r="A2959" s="7" t="str">
        <f>IFERROR(__xludf.DUMMYFUNCTION("""COMPUTED_VALUE"""),"3869-MAIN")</f>
        <v>3869-MAIN</v>
      </c>
      <c r="B2959" s="7" t="str">
        <f>IFERROR(__xludf.DUMMYFUNCTION("""COMPUTED_VALUE"""),"Walk in Others' Shoes with a Single Glance: Human-Centric Visual Grounding with Top-View Perspective Transformation")</f>
        <v>Walk in Others' Shoes with a Single Glance: Human-Centric Visual Grounding with Top-View Perspective Transformation</v>
      </c>
      <c r="C2959" s="7" t="str">
        <f>IFERROR(__xludf.DUMMYFUNCTION("""COMPUTED_VALUE"""),"Visual perspective-taking, an ability to envision others' perspectives from a single self-perspective, is vital in human-robot interactions. Thus, we introduce a human-centric visual grounding task and a dataset to evaluate this ability. Recent advances i"&amp;"n vision-language models (VLMs) have shown potential for inferring others' perspectives, yet are insensitive to information differences induced by slight perspective changes. To address this problem, we propose a top-view enhanced perspective transformati"&amp;"on (TEP) method, which decomposes the transition from robot to human perspectives through an abstract top-view representation. It unifies perspectives and facilitates the capture of information differences from diverse perspectives. Experimental results s"&amp;"how that TEP improves performance by up to 18%, exhibits perspective-taking abilities across various perspectives, and generalizes effectively to robotic and dynamic scenarios.")</f>
        <v>Visual perspective-taking, an ability to envision others' perspectives from a single self-perspective, is vital in human-robot interactions. Thus, we introduce a human-centric visual grounding task and a dataset to evaluate this ability. Recent advances in vision-language models (VLMs) have shown potential for inferring others' perspectives, yet are insensitive to information differences induced by slight perspective changes. To address this problem, we propose a top-view enhanced perspective transformation (TEP) method, which decomposes the transition from robot to human perspectives through an abstract top-view representation. It unifies perspectives and facilitates the capture of information differences from diverse perspectives. Experimental results show that TEP improves performance by up to 18%, exhibits perspective-taking abilities across various perspectives, and generalizes effectively to robotic and dynamic scenarios.</v>
      </c>
      <c r="D2959" s="7" t="str">
        <f>IFERROR(__xludf.DUMMYFUNCTION("""COMPUTED_VALUE"""),"Yi Cai")</f>
        <v>Yi Cai</v>
      </c>
      <c r="E2959" s="7" t="str">
        <f>IFERROR(__xludf.DUMMYFUNCTION("""COMPUTED_VALUE"""),"Yes")</f>
        <v>Yes</v>
      </c>
      <c r="F2959" s="7" t="str">
        <f>IFERROR(__xludf.DUMMYFUNCTION("""COMPUTED_VALUE"""),"IP-Poster")</f>
        <v>IP-Poster</v>
      </c>
      <c r="G2959" s="7" t="str">
        <f>IFERROR(__xludf.DUMMYFUNCTION("""COMPUTED_VALUE"""),"In-Person")</f>
        <v>In-Person</v>
      </c>
      <c r="H2959" s="7" t="str">
        <f>IFERROR(__xludf.DUMMYFUNCTION("""COMPUTED_VALUE"""),"Hall 4/5")</f>
        <v>Hall 4/5</v>
      </c>
      <c r="I2959" s="7" t="str">
        <f>IFERROR(__xludf.DUMMYFUNCTION("""COMPUTED_VALUE"""),"Session 10: IP-Posters")</f>
        <v>Session 10: IP-Posters</v>
      </c>
      <c r="J2959" s="7" t="str">
        <f>IFERROR(__xludf.DUMMYFUNCTION("""COMPUTED_VALUE"""),"Poster Session 3")</f>
        <v>Poster Session 3</v>
      </c>
      <c r="K2959" s="7"/>
      <c r="L2959" s="8">
        <f>IFERROR(__xludf.DUMMYFUNCTION("""COMPUTED_VALUE"""),45867.0)</f>
        <v>45867</v>
      </c>
      <c r="M2959" s="7" t="str">
        <f>IFERROR(__xludf.DUMMYFUNCTION("""COMPUTED_VALUE"""),"16:00-17:30")</f>
        <v>16:00-17:30</v>
      </c>
      <c r="N2959" s="7"/>
    </row>
    <row r="2960">
      <c r="A2960" s="7" t="str">
        <f>IFERROR(__xludf.DUMMYFUNCTION("""COMPUTED_VALUE"""),"3871-MAIN")</f>
        <v>3871-MAIN</v>
      </c>
      <c r="B2960" s="7" t="str">
        <f>IFERROR(__xludf.DUMMYFUNCTION("""COMPUTED_VALUE"""),"From Citations to Criticality: Predicting Legal Decision Influence in the Multilingual Swiss Jurisprudence")</f>
        <v>From Citations to Criticality: Predicting Legal Decision Influence in the Multilingual Swiss Jurisprudence</v>
      </c>
      <c r="C2960" s="7" t="str">
        <f>IFERROR(__xludf.DUMMYFUNCTION("""COMPUTED_VALUE"""),"Many court systems are overwhelmed all over the world, leading to huge backlogs of pending cases. Effective triage systems, like those in emergency rooms, could ensure proper prioritization of open cases, optimizing time and resource allocation in the cou"&amp;"rt system. In this work, we introduce the Criticality Prediction dataset, a novel resource for evaluating case prioritization. Our dataset features a two-tier labeling system: (1) the binary LD-Label, identifying cases published as Leading Decisions (LD),"&amp;" and (2) the more granular Citation-Label, ranking cases by their citation frequency and recency, allowing for a more nuanced evaluation. Unlike existing approaches that rely on resource-intensive manual annotations, we algorithmically derive labels leadi"&amp;"ng to a much larger dataset than otherwise possible. We evaluate several multilingual models, including both smaller fine-tuned models and large language models in a zero-shot setting. Our results show that the fine-tuned models consistently outperform th"&amp;"eir larger counterparts, thanks to our large training set. Our results highlight that for highly domain-specific tasks like ours, large training sets are still valuable.")</f>
        <v>Many court systems are overwhelmed all over the world, leading to huge backlogs of pending cases. Effective triage systems, like those in emergency rooms, could ensure proper prioritization of open cases, optimizing time and resource allocation in the court system. In this work, we introduce the Criticality Prediction dataset, a novel resource for evaluating case prioritization. Our dataset features a two-tier labeling system: (1) the binary LD-Label, identifying cases published as Leading Decisions (LD), and (2) the more granular Citation-Label, ranking cases by their citation frequency and recency, allowing for a more nuanced evaluation. Unlike existing approaches that rely on resource-intensive manual annotations, we algorithmically derive labels leading to a much larger dataset than otherwise possible. We evaluate several multilingual models, including both smaller fine-tuned models and large language models in a zero-shot setting. Our results show that the fine-tuned models consistently outperform their larger counterparts, thanks to our large training set. Our results highlight that for highly domain-specific tasks like ours, large training sets are still valuable.</v>
      </c>
      <c r="D2960" s="7" t="str">
        <f>IFERROR(__xludf.DUMMYFUNCTION("""COMPUTED_VALUE"""),"Ronja Stern")</f>
        <v>Ronja Stern</v>
      </c>
      <c r="E2960" s="7" t="str">
        <f>IFERROR(__xludf.DUMMYFUNCTION("""COMPUTED_VALUE"""),"Yes")</f>
        <v>Yes</v>
      </c>
      <c r="F2960" s="7" t="str">
        <f>IFERROR(__xludf.DUMMYFUNCTION("""COMPUTED_VALUE"""),"IP-Poster")</f>
        <v>IP-Poster</v>
      </c>
      <c r="G2960" s="7" t="str">
        <f>IFERROR(__xludf.DUMMYFUNCTION("""COMPUTED_VALUE"""),"In-Person")</f>
        <v>In-Person</v>
      </c>
      <c r="H2960" s="7" t="str">
        <f>IFERROR(__xludf.DUMMYFUNCTION("""COMPUTED_VALUE"""),"Hall 4/5")</f>
        <v>Hall 4/5</v>
      </c>
      <c r="I2960" s="7" t="str">
        <f>IFERROR(__xludf.DUMMYFUNCTION("""COMPUTED_VALUE"""),"Session 12: IP-Posters")</f>
        <v>Session 12: IP-Posters</v>
      </c>
      <c r="J2960" s="7" t="str">
        <f>IFERROR(__xludf.DUMMYFUNCTION("""COMPUTED_VALUE"""),"Poster Session 4")</f>
        <v>Poster Session 4</v>
      </c>
      <c r="K2960" s="7"/>
      <c r="L2960" s="8">
        <f>IFERROR(__xludf.DUMMYFUNCTION("""COMPUTED_VALUE"""),45868.0)</f>
        <v>45868</v>
      </c>
      <c r="M2960" s="7" t="str">
        <f>IFERROR(__xludf.DUMMYFUNCTION("""COMPUTED_VALUE"""),"11:00-12:30")</f>
        <v>11:00-12:30</v>
      </c>
      <c r="N2960" s="7"/>
    </row>
    <row r="2961">
      <c r="A2961" s="7" t="str">
        <f>IFERROR(__xludf.DUMMYFUNCTION("""COMPUTED_VALUE"""),"3874-MAIN")</f>
        <v>3874-MAIN</v>
      </c>
      <c r="B2961" s="7" t="str">
        <f>IFERROR(__xludf.DUMMYFUNCTION("""COMPUTED_VALUE"""),"Is linguistically-motivated data augmentation worth it?")</f>
        <v>Is linguistically-motivated data augmentation worth it?</v>
      </c>
      <c r="C2961" s="7" t="str">
        <f>IFERROR(__xludf.DUMMYFUNCTION("""COMPUTED_VALUE"""),"Data augmentation, a widely-employed technique for addressing data scarcity, involves generating synthetic data examples which are then used to augment available training data. Researchers have seen surprising success from simple methods, such as random p"&amp;"erturbations from natural examples, where models seem to benefit even from data with nonsense words, or data that doesn't conform to the rules of the language. A second line of research produces synthetic data that does in fact follow all linguistic const"&amp;"raints; these methods require some linguistic expertise and are generally more challenging to implement. No previous work has done a systematic, empirical comparison of both linguistically-naive and linguistically-motivated data augmentation strategies, l"&amp;"eaving uncertainty about whether the additional time and effort of linguistically-motivated data augmentation work in fact yields better downstream performance.
In this work, we conduct a careful and comprehensive comparison of augmentation strategies (b"&amp;"oth linguistically-naive and linguistically-motivated) for two low-resource languages with different morphological properties, Uspanteko and Arapaho. We evaluate the effectiveness of many different strategies and their combinations across two important se"&amp;"quence-to-sequence tasks for low-resource languages: machine translation and interlinear glossing. We find that linguistically-motivated strategies can have benefits over naive approaches, but only when the new examples they produce are not significantly "&amp;"unlike the training data distribution.")</f>
        <v>Data augmentation, a widely-employed technique for addressing data scarcity, involves generating synthetic data examples which are then used to augment available training data. Researchers have seen surprising success from simple methods, such as random perturbations from natural examples, where models seem to benefit even from data with nonsense words, or data that doesn't conform to the rules of the language. A second line of research produces synthetic data that does in fact follow all linguistic constraints; these methods require some linguistic expertise and are generally more challenging to implement. No previous work has done a systematic, empirical comparison of both linguistically-naive and linguistically-motivated data augmentation strategies, leaving uncertainty about whether the additional time and effort of linguistically-motivated data augmentation work in fact yields better downstream performance.
In this work, we conduct a careful and comprehensive comparison of augmentation strategies (both linguistically-naive and linguistically-motivated) for two low-resource languages with different morphological properties, Uspanteko and Arapaho. We evaluate the effectiveness of many different strategies and their combinations across two important sequence-to-sequence tasks for low-resource languages: machine translation and interlinear glossing. We find that linguistically-motivated strategies can have benefits over naive approaches, but only when the new examples they produce are not significantly unlike the training data distribution.</v>
      </c>
      <c r="D2961" s="7" t="str">
        <f>IFERROR(__xludf.DUMMYFUNCTION("""COMPUTED_VALUE"""),"Ray Groshan")</f>
        <v>Ray Groshan</v>
      </c>
      <c r="E2961" s="7" t="str">
        <f>IFERROR(__xludf.DUMMYFUNCTION("""COMPUTED_VALUE"""),"Yes")</f>
        <v>Yes</v>
      </c>
      <c r="F2961" s="7" t="str">
        <f>IFERROR(__xludf.DUMMYFUNCTION("""COMPUTED_VALUE"""),"V-Presentation")</f>
        <v>V-Presentation</v>
      </c>
      <c r="G2961" s="7" t="str">
        <f>IFERROR(__xludf.DUMMYFUNCTION("""COMPUTED_VALUE"""),"Virtual/Gather")</f>
        <v>Virtual/Gather</v>
      </c>
      <c r="H2961" s="7" t="str">
        <f>IFERROR(__xludf.DUMMYFUNCTION("""COMPUTED_VALUE"""),"Zoom")</f>
        <v>Zoom</v>
      </c>
      <c r="I2961" s="7" t="str">
        <f>IFERROR(__xludf.DUMMYFUNCTION("""COMPUTED_VALUE"""),"Session 2: V-Presentations")</f>
        <v>Session 2: V-Presentations</v>
      </c>
      <c r="J2961" s="7" t="str">
        <f>IFERROR(__xludf.DUMMYFUNCTION("""COMPUTED_VALUE"""),"Virtual Presentations 1")</f>
        <v>Virtual Presentations 1</v>
      </c>
      <c r="K2961" s="7"/>
      <c r="L2961" s="8">
        <f>IFERROR(__xludf.DUMMYFUNCTION("""COMPUTED_VALUE"""),45866.0)</f>
        <v>45866</v>
      </c>
      <c r="M2961" s="7" t="str">
        <f>IFERROR(__xludf.DUMMYFUNCTION("""COMPUTED_VALUE"""),"11:00-12:30")</f>
        <v>11:00-12:30</v>
      </c>
      <c r="N2961" s="7"/>
    </row>
    <row r="2962">
      <c r="A2962" s="7" t="str">
        <f>IFERROR(__xludf.DUMMYFUNCTION("""COMPUTED_VALUE"""),"3876-MAIN")</f>
        <v>3876-MAIN</v>
      </c>
      <c r="B2962" s="7" t="str">
        <f>IFERROR(__xludf.DUMMYFUNCTION("""COMPUTED_VALUE"""),"From Lists to Emojis: How Format Bias Affects Model Alignment")</f>
        <v>From Lists to Emojis: How Format Bias Affects Model Alignment</v>
      </c>
      <c r="C2962" s="7" t="str">
        <f>IFERROR(__xludf.DUMMYFUNCTION("""COMPUTED_VALUE"""),"In this paper, we study format biases in reinforcement learning from human feedback (RLHF). We observe that many widely-used preference models—including human evaluators, GPT-4, and top-ranking models on the RewardBench benchmark—exhibit strong biases tow"&amp;"ards specific format patterns, such as lists, links, bold text, and emojis. Furthermore, large language models (LLMs) can exploit these biases to achieve higher rankings on popular benchmarks like AlpacaEval and LMSYS Chatbot Arena. One notable example is"&amp;" verbosity bias, where current preference models favor longer responses that appear more comprehensive, even when their quality is equal to or lower than shorter responses. However, format biases beyond verbosity remain largely underexplored. In this work"&amp;", we extend the study of biases in preference learning beyond the commonly recognized length bias, offering a comprehensive analysis of a wider range of format biases. Additionally, we show that with a small amount of biased data (less than 1%), we can in"&amp;"ject significant bias into the reward model. Moreover, these format biases can also be easily exploited by downstream alignment algorithms, such as *best-of-n sampling* and online iterative *DPO*, as it is usually easier to manipulate the format than to i"&amp;"mprove the quality of responses. Our findings emphasize the need to disentangle format and content both for designing alignment algorithms and evaluating models.")</f>
        <v>In this paper, we study format biases in reinforcement learning from human feedback (RLHF). We observe that many widely-used preference models—including human evaluators, GPT-4, and top-ranking models on the RewardBench benchmark—exhibit strong biases towards specific format patterns, such as lists, links, bold text, and emojis. Furthermore, large language models (LLMs) can exploit these biases to achieve higher rankings on popular benchmarks like AlpacaEval and LMSYS Chatbot Arena. One notable example is verbosity bias, where current preference models favor longer responses that appear more comprehensive, even when their quality is equal to or lower than shorter responses. However, format biases beyond verbosity remain largely underexplored. In this work, we extend the study of biases in preference learning beyond the commonly recognized length bias, offering a comprehensive analysis of a wider range of format biases. Additionally, we show that with a small amount of biased data (less than 1%), we can inject significant bias into the reward model. Moreover, these format biases can also be easily exploited by downstream alignment algorithms, such as *best-of-n sampling* and online iterative *DPO*, as it is usually easier to manipulate the format than to improve the quality of responses. Our findings emphasize the need to disentangle format and content both for designing alignment algorithms and evaluating models.</v>
      </c>
      <c r="D2962" s="7" t="str">
        <f>IFERROR(__xludf.DUMMYFUNCTION("""COMPUTED_VALUE"""),"Xuanchang Zhang")</f>
        <v>Xuanchang Zhang</v>
      </c>
      <c r="E2962" s="7" t="str">
        <f>IFERROR(__xludf.DUMMYFUNCTION("""COMPUTED_VALUE"""),"Yes")</f>
        <v>Yes</v>
      </c>
      <c r="F2962" s="7" t="str">
        <f>IFERROR(__xludf.DUMMYFUNCTION("""COMPUTED_VALUE"""),"IP-Poster")</f>
        <v>IP-Poster</v>
      </c>
      <c r="G2962" s="7" t="str">
        <f>IFERROR(__xludf.DUMMYFUNCTION("""COMPUTED_VALUE"""),"In-Person")</f>
        <v>In-Person</v>
      </c>
      <c r="H2962" s="7" t="str">
        <f>IFERROR(__xludf.DUMMYFUNCTION("""COMPUTED_VALUE"""),"Hall 4/5")</f>
        <v>Hall 4/5</v>
      </c>
      <c r="I2962" s="7" t="str">
        <f>IFERROR(__xludf.DUMMYFUNCTION("""COMPUTED_VALUE"""),"Session 12: V-Presentations")</f>
        <v>Session 12: V-Presentations</v>
      </c>
      <c r="J2962" s="7" t="str">
        <f>IFERROR(__xludf.DUMMYFUNCTION("""COMPUTED_VALUE"""),"Virtual Presentations 4")</f>
        <v>Virtual Presentations 4</v>
      </c>
      <c r="K2962" s="7"/>
      <c r="L2962" s="8">
        <f>IFERROR(__xludf.DUMMYFUNCTION("""COMPUTED_VALUE"""),45868.0)</f>
        <v>45868</v>
      </c>
      <c r="M2962" s="7" t="str">
        <f>IFERROR(__xludf.DUMMYFUNCTION("""COMPUTED_VALUE"""),"11:00-12:30")</f>
        <v>11:00-12:30</v>
      </c>
      <c r="N2962" s="7"/>
    </row>
    <row r="2963">
      <c r="A2963" s="7" t="str">
        <f>IFERROR(__xludf.DUMMYFUNCTION("""COMPUTED_VALUE"""),"3879-MAIN")</f>
        <v>3879-MAIN</v>
      </c>
      <c r="B2963" s="7" t="str">
        <f>IFERROR(__xludf.DUMMYFUNCTION("""COMPUTED_VALUE"""),"Colloquial Singaporean English Style Transfer with Fine-Grained Explainable Control")</f>
        <v>Colloquial Singaporean English Style Transfer with Fine-Grained Explainable Control</v>
      </c>
      <c r="C2963" s="7" t="str">
        <f>IFERROR(__xludf.DUMMYFUNCTION("""COMPUTED_VALUE"""),"Colloquial Singaporean English (Singlish) is an informal English marked by a unique blend of languages reflecting Singapore's multicultural identity. Style transfer between Singlish and Standard (formal) English is vital for various applications, yet exis"&amp;"ting methods often lack explainability and fine-grained control. To fill this gap, we contribute in two key ways. First, we construct a large, high-quality dataset of formal and informal sentences, annotated across six linguistic aspects—Syntax, Lexical B"&amp;"orrowing, Pragmatics, Prosody/Phonology, Emoticons/Punctuation, and Code-Switching—with detailed explanations. Starting with manually annotated cases, we scaled the dataset to 140K with ensured quality. Second, inspired by the ""Society of Mind"" theory, "&amp;"we propose a novel multi-agent framework where large language models (LLMs) act as expert agents for each linguistic aspect. These agents collaborate by iteratively generating, critiquing, and refining responses to achieve controlled, explainable style tr"&amp;"ansfer. Both automatic metrics and human evaluations confirm that our method enables precise, interpretable transformations, advancing explainability in NLP for Singlish.")</f>
        <v>Colloquial Singaporean English (Singlish) is an informal English marked by a unique blend of languages reflecting Singapore's multicultural identity. Style transfer between Singlish and Standard (formal) English is vital for various applications, yet existing methods often lack explainability and fine-grained control. To fill this gap, we contribute in two key ways. First, we construct a large, high-quality dataset of formal and informal sentences, annotated across six linguistic aspects—Syntax, Lexical Borrowing, Pragmatics, Prosody/Phonology, Emoticons/Punctuation, and Code-Switching—with detailed explanations. Starting with manually annotated cases, we scaled the dataset to 140K with ensured quality. Second, inspired by the "Society of Mind" theory, we propose a novel multi-agent framework where large language models (LLMs) act as expert agents for each linguistic aspect. These agents collaborate by iteratively generating, critiquing, and refining responses to achieve controlled, explainable style transfer. Both automatic metrics and human evaluations confirm that our method enables precise, interpretable transformations, advancing explainability in NLP for Singlish.</v>
      </c>
      <c r="D2963" s="7" t="str">
        <f>IFERROR(__xludf.DUMMYFUNCTION("""COMPUTED_VALUE"""),"LIANG Jinggui")</f>
        <v>LIANG Jinggui</v>
      </c>
      <c r="E2963" s="7" t="str">
        <f>IFERROR(__xludf.DUMMYFUNCTION("""COMPUTED_VALUE"""),"Yes")</f>
        <v>Yes</v>
      </c>
      <c r="F2963" s="7" t="str">
        <f>IFERROR(__xludf.DUMMYFUNCTION("""COMPUTED_VALUE"""),"IP-Poster")</f>
        <v>IP-Poster</v>
      </c>
      <c r="G2963" s="7" t="str">
        <f>IFERROR(__xludf.DUMMYFUNCTION("""COMPUTED_VALUE"""),"In-Person")</f>
        <v>In-Person</v>
      </c>
      <c r="H2963" s="7" t="str">
        <f>IFERROR(__xludf.DUMMYFUNCTION("""COMPUTED_VALUE"""),"Hall 4/5")</f>
        <v>Hall 4/5</v>
      </c>
      <c r="I2963" s="7" t="str">
        <f>IFERROR(__xludf.DUMMYFUNCTION("""COMPUTED_VALUE"""),"Session 2: IP-Posters ")</f>
        <v>Session 2: IP-Posters </v>
      </c>
      <c r="J2963" s="7" t="str">
        <f>IFERROR(__xludf.DUMMYFUNCTION("""COMPUTED_VALUE"""),"Poster Session 1")</f>
        <v>Poster Session 1</v>
      </c>
      <c r="K2963" s="7"/>
      <c r="L2963" s="8">
        <f>IFERROR(__xludf.DUMMYFUNCTION("""COMPUTED_VALUE"""),45866.0)</f>
        <v>45866</v>
      </c>
      <c r="M2963" s="7" t="str">
        <f>IFERROR(__xludf.DUMMYFUNCTION("""COMPUTED_VALUE"""),"11:00-12:30")</f>
        <v>11:00-12:30</v>
      </c>
      <c r="N2963" s="7"/>
    </row>
    <row r="2964">
      <c r="A2964" s="7" t="str">
        <f>IFERROR(__xludf.DUMMYFUNCTION("""COMPUTED_VALUE"""),"3882-MAIN")</f>
        <v>3882-MAIN</v>
      </c>
      <c r="B2964" s="7" t="str">
        <f>IFERROR(__xludf.DUMMYFUNCTION("""COMPUTED_VALUE"""),"From Informal to Formal – Incorporating and Evaluating LLMs on Natural Language Requirements to Verifiable Formal Proofs")</f>
        <v>From Informal to Formal – Incorporating and Evaluating LLMs on Natural Language Requirements to Verifiable Formal Proofs</v>
      </c>
      <c r="C2964" s="7" t="str">
        <f>IFERROR(__xludf.DUMMYFUNCTION("""COMPUTED_VALUE"""),"The research in AI-based formal mathematical reasoning has shown an unstoppable growth trend. These studies have excelled in mathematical competitions like IMO and have made significant progress. However, these studies intertwined multiple skills simultan"&amp;"eously—problem-solving, reasoning, and writing formal specifications—making it hard to precisely identify the LLMs' strengths and weaknesses in each task. This paper focuses on formal verification, an immediate application scenario of formal reasoning, an"&amp;"d breaks it down into sub-tasks. We constructed 18k high-quality instruction-response pairs across five mainstream formal specification languages (Coq, Lean4, Dafny, ACSL, and TLA+) in six tasks by distilling gpt-4o and evaluated against ten open-sourced "&amp;"LLMs, including recent popular DeepSeek-R1. We found that LLMs are good at writing proof segments when given either the code, or the detailed description of proof steps. Also, the fine-tuning brought about a nearly threefold improvement at most. And inter"&amp;"estingly, we observed that fine-tuning with formal data also enhances abilities in mathematics, reasoning, and coding. We hope our findings inspire further research.")</f>
        <v>The research in AI-based formal mathematical reasoning has shown an unstoppable growth trend. These studies have excelled in mathematical competitions like IMO and have made significant progress. However, these studies intertwined multiple skills simultaneously—problem-solving, reasoning, and writing formal specifications—making it hard to precisely identify the LLMs' strengths and weaknesses in each task. This paper focuses on formal verification, an immediate application scenario of formal reasoning, and breaks it down into sub-tasks. We constructed 18k high-quality instruction-response pairs across five mainstream formal specification languages (Coq, Lean4, Dafny, ACSL, and TLA+) in six tasks by distilling gpt-4o and evaluated against ten open-sourced LLMs, including recent popular DeepSeek-R1. We found that LLMs are good at writing proof segments when given either the code, or the detailed description of proof steps. Also, the fine-tuning brought about a nearly threefold improvement at most. And interestingly, we observed that fine-tuning with formal data also enhances abilities in mathematics, reasoning, and coding. We hope our findings inspire further research.</v>
      </c>
      <c r="D2964" s="7" t="str">
        <f>IFERROR(__xludf.DUMMYFUNCTION("""COMPUTED_VALUE"""),"Jialun Cao")</f>
        <v>Jialun Cao</v>
      </c>
      <c r="E2964" s="7" t="str">
        <f>IFERROR(__xludf.DUMMYFUNCTION("""COMPUTED_VALUE"""),"Yes")</f>
        <v>Yes</v>
      </c>
      <c r="F2964" s="7" t="str">
        <f>IFERROR(__xludf.DUMMYFUNCTION("""COMPUTED_VALUE"""),"IP-Poster")</f>
        <v>IP-Poster</v>
      </c>
      <c r="G2964" s="7" t="str">
        <f>IFERROR(__xludf.DUMMYFUNCTION("""COMPUTED_VALUE"""),"In-Person")</f>
        <v>In-Person</v>
      </c>
      <c r="H2964" s="7" t="str">
        <f>IFERROR(__xludf.DUMMYFUNCTION("""COMPUTED_VALUE"""),"Hall 4/5")</f>
        <v>Hall 4/5</v>
      </c>
      <c r="I2964" s="7" t="str">
        <f>IFERROR(__xludf.DUMMYFUNCTION("""COMPUTED_VALUE"""),"Session 7: IP-Posters")</f>
        <v>Session 7: IP-Posters</v>
      </c>
      <c r="J2964" s="7" t="str">
        <f>IFERROR(__xludf.DUMMYFUNCTION("""COMPUTED_VALUE"""),"Poster Session 2")</f>
        <v>Poster Session 2</v>
      </c>
      <c r="K2964" s="7"/>
      <c r="L2964" s="8">
        <f>IFERROR(__xludf.DUMMYFUNCTION("""COMPUTED_VALUE"""),45867.0)</f>
        <v>45867</v>
      </c>
      <c r="M2964" s="7" t="str">
        <f>IFERROR(__xludf.DUMMYFUNCTION("""COMPUTED_VALUE"""),"10:30-12:00")</f>
        <v>10:30-12:00</v>
      </c>
      <c r="N2964" s="7"/>
    </row>
    <row r="2965">
      <c r="A2965" s="7" t="str">
        <f>IFERROR(__xludf.DUMMYFUNCTION("""COMPUTED_VALUE"""),"3883-MAIN")</f>
        <v>3883-MAIN</v>
      </c>
      <c r="B2965" s="7" t="str">
        <f>IFERROR(__xludf.DUMMYFUNCTION("""COMPUTED_VALUE"""),"CoAM: Corpus of All-Type Multiword Expressions")</f>
        <v>CoAM: Corpus of All-Type Multiword Expressions</v>
      </c>
      <c r="C2965" s="7" t="str">
        <f>IFERROR(__xludf.DUMMYFUNCTION("""COMPUTED_VALUE"""),"Multiword expressions (MWEs) refer to idiomatic sequences of multiple words.
MWE identification, i.e., detecting MWEs in text, can play a key role in downstream tasks such as machine translation, but existing datasets for the task are inconsistently annot"&amp;"ated, limited to a single type of MWE, or limited in size.
To enable reliable and comprehensive evaluation, we created CoAM: Corpus of All-Type Multiword Expressions, a dataset of 1.3K sentences constructed through a multi-step process to enhance data qua"&amp;"lity consisting of human annotation, human review, and automated consistency checking.
Additionally, for the first time in a dataset of MWE identification, CoAM's MWEs are tagged with MWE types, such as Noun and Verb, enabling fine-grained error analysis."&amp;"
Annotations for CoAM were collected using a new interface created with our interface generator, which allows easy and flexible annotation of MWEs in any form.
Through experiments using CoAM, we find that a fine-tuned large language model outperforms MWEa"&amp;"sWSD, which achieved the state-of-the-art performance on the DiMSUM dataset.
Furthermore, analysis using our MWE type tagged data reveals that Verb MWEs are easier than Noun MWEs to identify across approaches.")</f>
        <v>Multiword expressions (MWEs) refer to idiomatic sequences of multiple words.
MWE identification, i.e., detecting MWEs in text, can play a key role in downstream tasks such as machine translation, but existing datasets for the task are inconsistently annotated, limited to a single type of MWE, or limited in size.
To enable reliable and comprehensive evaluation, we created CoAM: Corpus of All-Type Multiword Expressions, a dataset of 1.3K sentences constructed through a multi-step process to enhance data quality consisting of human annotation, human review, and automated consistency checking.
Additionally, for the first time in a dataset of MWE identification, CoAM's MWEs are tagged with MWE types, such as Noun and Verb, enabling fine-grained error analysis.
Annotations for CoAM were collected using a new interface created with our interface generator, which allows easy and flexible annotation of MWEs in any form.
Through experiments using CoAM, we find that a fine-tuned large language model outperforms MWEasWSD, which achieved the state-of-the-art performance on the DiMSUM dataset.
Furthermore, analysis using our MWE type tagged data reveals that Verb MWEs are easier than Noun MWEs to identify across approaches.</v>
      </c>
      <c r="D2965" s="7" t="str">
        <f>IFERROR(__xludf.DUMMYFUNCTION("""COMPUTED_VALUE"""),"Yusuke Ide")</f>
        <v>Yusuke Ide</v>
      </c>
      <c r="E2965" s="7" t="str">
        <f>IFERROR(__xludf.DUMMYFUNCTION("""COMPUTED_VALUE"""),"Yes")</f>
        <v>Yes</v>
      </c>
      <c r="F2965" s="7" t="str">
        <f>IFERROR(__xludf.DUMMYFUNCTION("""COMPUTED_VALUE"""),"IP-Poster")</f>
        <v>IP-Poster</v>
      </c>
      <c r="G2965" s="7" t="str">
        <f>IFERROR(__xludf.DUMMYFUNCTION("""COMPUTED_VALUE"""),"In-Person")</f>
        <v>In-Person</v>
      </c>
      <c r="H2965" s="7" t="str">
        <f>IFERROR(__xludf.DUMMYFUNCTION("""COMPUTED_VALUE"""),"Hall 4/5")</f>
        <v>Hall 4/5</v>
      </c>
      <c r="I2965" s="7" t="str">
        <f>IFERROR(__xludf.DUMMYFUNCTION("""COMPUTED_VALUE"""),"Session 2: IP-Posters ")</f>
        <v>Session 2: IP-Posters </v>
      </c>
      <c r="J2965" s="7" t="str">
        <f>IFERROR(__xludf.DUMMYFUNCTION("""COMPUTED_VALUE"""),"Poster Session 1")</f>
        <v>Poster Session 1</v>
      </c>
      <c r="K2965" s="7"/>
      <c r="L2965" s="8">
        <f>IFERROR(__xludf.DUMMYFUNCTION("""COMPUTED_VALUE"""),45866.0)</f>
        <v>45866</v>
      </c>
      <c r="M2965" s="7" t="str">
        <f>IFERROR(__xludf.DUMMYFUNCTION("""COMPUTED_VALUE"""),"11:00-12:30")</f>
        <v>11:00-12:30</v>
      </c>
      <c r="N2965" s="7"/>
    </row>
    <row r="2966">
      <c r="A2966" s="7" t="str">
        <f>IFERROR(__xludf.DUMMYFUNCTION("""COMPUTED_VALUE"""),"3890-MAIN")</f>
        <v>3890-MAIN</v>
      </c>
      <c r="B2966" s="7" t="str">
        <f>IFERROR(__xludf.DUMMYFUNCTION("""COMPUTED_VALUE"""),"SeaKR: Self-aware Knowledge Retrieval for Adaptive Retrieval Augmented Generation")</f>
        <v>SeaKR: Self-aware Knowledge Retrieval for Adaptive Retrieval Augmented Generation</v>
      </c>
      <c r="C2966" s="7" t="str">
        <f>IFERROR(__xludf.DUMMYFUNCTION("""COMPUTED_VALUE"""),"Adaptive Retrieval-Augmented Generation (RAG) is an effective strategy to alleviate hallucination of large language models (LLMs). It dynamically determines whether LLMs need external knowledge for generation and invokes retrieval accordingly. This paper "&amp;"introduces Self-aware Knowledge Retrieval (SeaKR), a novel adaptive RAG model that extracts self-aware uncertainty of LLMs from their internal states. SeaKR activates retrieval when the LLMs present high self-aware uncertainty for generation. To effective"&amp;"ly integrate retrieved knowledge snippets, SeaKR re-ranks them based on LLM's self-aware uncertainty to preserve the snippet that reduces their uncertainty to the utmost. To facilitate solving complex tasks that require multiple retrievals, SeaKR utilizes"&amp;" their self-aware uncertainty to choose among different reasoning strategies. Our experiments on both complex and simple Question Answering datasets show that SeaKR outperforms existing adaptive RAG methods.")</f>
        <v>Adaptive Retrieval-Augmented Generation (RAG) is an effective strategy to alleviate hallucination of large language models (LLMs). It dynamically determines whether LLMs need external knowledge for generation and invokes retrieval accordingly. This paper introduces Self-aware Knowledge Retrieval (SeaKR), a novel adaptive RAG model that extracts self-aware uncertainty of LLMs from their internal states. SeaKR activates retrieval when the LLMs present high self-aware uncertainty for generation. To effectively integrate retrieved knowledge snippets, SeaKR re-ranks them based on LLM's self-aware uncertainty to preserve the snippet that reduces their uncertainty to the utmost. To facilitate solving complex tasks that require multiple retrievals, SeaKR utilizes their self-aware uncertainty to choose among different reasoning strategies. Our experiments on both complex and simple Question Answering datasets show that SeaKR outperforms existing adaptive RAG methods.</v>
      </c>
      <c r="D2966" s="7" t="str">
        <f>IFERROR(__xludf.DUMMYFUNCTION("""COMPUTED_VALUE"""),"Zijun Yao")</f>
        <v>Zijun Yao</v>
      </c>
      <c r="E2966" s="7" t="str">
        <f>IFERROR(__xludf.DUMMYFUNCTION("""COMPUTED_VALUE"""),"Yes")</f>
        <v>Yes</v>
      </c>
      <c r="F2966" s="7" t="str">
        <f>IFERROR(__xludf.DUMMYFUNCTION("""COMPUTED_VALUE"""),"IP-Oral")</f>
        <v>IP-Oral</v>
      </c>
      <c r="G2966" s="7" t="str">
        <f>IFERROR(__xludf.DUMMYFUNCTION("""COMPUTED_VALUE"""),"In-Person")</f>
        <v>In-Person</v>
      </c>
      <c r="H2966" s="7" t="str">
        <f>IFERROR(__xludf.DUMMYFUNCTION("""COMPUTED_VALUE"""),"Room 1.86")</f>
        <v>Room 1.86</v>
      </c>
      <c r="I2966" s="7" t="str">
        <f>IFERROR(__xludf.DUMMYFUNCTION("""COMPUTED_VALUE"""),"Session 11: IP-Orals ")</f>
        <v>Session 11: IP-Orals </v>
      </c>
      <c r="J2966" s="7" t="str">
        <f>IFERROR(__xludf.DUMMYFUNCTION("""COMPUTED_VALUE"""),"Question Answering ")</f>
        <v>Question Answering </v>
      </c>
      <c r="K2966" s="7"/>
      <c r="L2966" s="8">
        <f>IFERROR(__xludf.DUMMYFUNCTION("""COMPUTED_VALUE"""),45868.0)</f>
        <v>45868</v>
      </c>
      <c r="M2966" s="7" t="str">
        <f>IFERROR(__xludf.DUMMYFUNCTION("""COMPUTED_VALUE"""),"09:00-10:30")</f>
        <v>09:00-10:30</v>
      </c>
      <c r="N2966" s="7">
        <f>IFERROR(__xludf.DUMMYFUNCTION("""COMPUTED_VALUE"""),7.0)</f>
        <v>7</v>
      </c>
    </row>
    <row r="2967">
      <c r="A2967" s="7" t="str">
        <f>IFERROR(__xludf.DUMMYFUNCTION("""COMPUTED_VALUE"""),"3892-MAIN")</f>
        <v>3892-MAIN</v>
      </c>
      <c r="B2967" s="7" t="str">
        <f>IFERROR(__xludf.DUMMYFUNCTION("""COMPUTED_VALUE"""),"Exposing the Achilles’ Heel: Evaluating LLMs Ability to Handle Mistakes in Mathematical Reasoning")</f>
        <v>Exposing the Achilles’ Heel: Evaluating LLMs Ability to Handle Mistakes in Mathematical Reasoning</v>
      </c>
      <c r="C2967" s="7" t="str">
        <f>IFERROR(__xludf.DUMMYFUNCTION("""COMPUTED_VALUE"""),"Large Language Models (LLMs) have significantly impacted the field of Math Word Problems (MWPs), transforming how these problems are approached and solved, particularly in educational contexts. However, existing evaluations often focus on final accuracy, "&amp;"neglecting the critical aspect of reasoning capabilities. This work addresses that gap by evaluating LLMs' abilities to detect and correct reasoning mistakes. We present a novel dataset, MWP-MISTAKE, containing MWPs with both correct and incorrect reasoni"&amp;"ng steps generated through rule-based methods and smaller language models. Our comprehensive benchmarking of state-of-the-art models such as GPT-4o and GPT4 uncovers important insights into their strengths and limitations. While GPT-4o excels in mistake d"&amp;"etection and rectification, gaps remain, particularly in handling complex datasets and novel problems. Additionally, we identify concerns with data contamination and memorization, which affect LLM reliability in real-world applications. While OpenAI' O1 m"&amp;"odel demonstrates 90% accuracy in reasoning and final answers on complex tasks, it remains weak in mistake detection. Our findings highlight the need for improved reasoning evaluations and suggest ways to enhance LLM generalization and robustness in math "&amp;"problem-solving.")</f>
        <v>Large Language Models (LLMs) have significantly impacted the field of Math Word Problems (MWPs), transforming how these problems are approached and solved, particularly in educational contexts. However, existing evaluations often focus on final accuracy, neglecting the critical aspect of reasoning capabilities. This work addresses that gap by evaluating LLMs' abilities to detect and correct reasoning mistakes. We present a novel dataset, MWP-MISTAKE, containing MWPs with both correct and incorrect reasoning steps generated through rule-based methods and smaller language models. Our comprehensive benchmarking of state-of-the-art models such as GPT-4o and GPT4 uncovers important insights into their strengths and limitations. While GPT-4o excels in mistake detection and rectification, gaps remain, particularly in handling complex datasets and novel problems. Additionally, we identify concerns with data contamination and memorization, which affect LLM reliability in real-world applications. While OpenAI' O1 model demonstrates 90% accuracy in reasoning and final answers on complex tasks, it remains weak in mistake detection. Our findings highlight the need for improved reasoning evaluations and suggest ways to enhance LLM generalization and robustness in math problem-solving.</v>
      </c>
      <c r="D2967" s="7" t="str">
        <f>IFERROR(__xludf.DUMMYFUNCTION("""COMPUTED_VALUE"""),"Joykirat Singh, Akshay Nambi")</f>
        <v>Joykirat Singh, Akshay Nambi</v>
      </c>
      <c r="E2967" s="7" t="str">
        <f>IFERROR(__xludf.DUMMYFUNCTION("""COMPUTED_VALUE"""),"Yes")</f>
        <v>Yes</v>
      </c>
      <c r="F2967" s="7" t="str">
        <f>IFERROR(__xludf.DUMMYFUNCTION("""COMPUTED_VALUE"""),"IP-Poster")</f>
        <v>IP-Poster</v>
      </c>
      <c r="G2967" s="7" t="str">
        <f>IFERROR(__xludf.DUMMYFUNCTION("""COMPUTED_VALUE"""),"In-Person")</f>
        <v>In-Person</v>
      </c>
      <c r="H2967" s="7" t="str">
        <f>IFERROR(__xludf.DUMMYFUNCTION("""COMPUTED_VALUE"""),"Hall 4/5")</f>
        <v>Hall 4/5</v>
      </c>
      <c r="I2967" s="7" t="str">
        <f>IFERROR(__xludf.DUMMYFUNCTION("""COMPUTED_VALUE"""),"Session 12: IP-Posters")</f>
        <v>Session 12: IP-Posters</v>
      </c>
      <c r="J2967" s="7" t="str">
        <f>IFERROR(__xludf.DUMMYFUNCTION("""COMPUTED_VALUE"""),"Poster Session 4")</f>
        <v>Poster Session 4</v>
      </c>
      <c r="K2967" s="7"/>
      <c r="L2967" s="8">
        <f>IFERROR(__xludf.DUMMYFUNCTION("""COMPUTED_VALUE"""),45868.0)</f>
        <v>45868</v>
      </c>
      <c r="M2967" s="7" t="str">
        <f>IFERROR(__xludf.DUMMYFUNCTION("""COMPUTED_VALUE"""),"11:00-12:30")</f>
        <v>11:00-12:30</v>
      </c>
      <c r="N2967" s="7"/>
    </row>
    <row r="2968">
      <c r="A2968" s="7" t="str">
        <f>IFERROR(__xludf.DUMMYFUNCTION("""COMPUTED_VALUE"""),"3898-MAIN")</f>
        <v>3898-MAIN</v>
      </c>
      <c r="B2968" s="7" t="str">
        <f>IFERROR(__xludf.DUMMYFUNCTION("""COMPUTED_VALUE"""),"Revisiting LLMs as Zero-Shot Time Series Forecasters: Small Noise Can Break Large Models")</f>
        <v>Revisiting LLMs as Zero-Shot Time Series Forecasters: Small Noise Can Break Large Models</v>
      </c>
      <c r="C2968" s="7" t="str">
        <f>IFERROR(__xludf.DUMMYFUNCTION("""COMPUTED_VALUE"""),"Large Language Models (LLMs) have shown remarkable performance across diverse tasks without domain-specific training, fueling interest in their potential for time-series forecasting. While LLMs have shown potential in zero-shot forecasting through prompti"&amp;"ng alone, recent studies suggest that LLMs lack inherent effectiveness in forecasting. Given these conflicting findings, a rigorous validation is essential for drawing reliable conclusions. In this paper, we evaluate the effectiveness of LLMs as zero-shot"&amp;" forecasters compared to state-of-the-art domain-specific models. Our experiments show that LLM-based zero-shot forecasters often struggle to achieve high accuracy due to their sensitivity to noise, underperforming even simple domain-specific models. We h"&amp;"ave explored solutions to reduce LLMs' sensitivity to noise in the zero-shot setting, but improving their robustness remains a significant challenge. Our findings suggest that rather than emphasizing zero-shot forecasting, a more promising direction would"&amp;" be to focus on fine-tuning LLMs to better process numerical sequences. Our experimental code is available at https://github.com/junwoopark92/revisiting-LLMs-zeroshot-forecaster.")</f>
        <v>Large Language Models (LLMs) have shown remarkable performance across diverse tasks without domain-specific training, fueling interest in their potential for time-series forecasting. While LLMs have shown potential in zero-shot forecasting through prompting alone, recent studies suggest that LLMs lack inherent effectiveness in forecasting. Given these conflicting findings, a rigorous validation is essential for drawing reliable conclusions. In this paper, we evaluate the effectiveness of LLMs as zero-shot forecasters compared to state-of-the-art domain-specific models. Our experiments show that LLM-based zero-shot forecasters often struggle to achieve high accuracy due to their sensitivity to noise, underperforming even simple domain-specific models. We have explored solutions to reduce LLMs' sensitivity to noise in the zero-shot setting, but improving their robustness remains a significant challenge. Our findings suggest that rather than emphasizing zero-shot forecasting, a more promising direction would be to focus on fine-tuning LLMs to better process numerical sequences. Our experimental code is available at https://github.com/junwoopark92/revisiting-LLMs-zeroshot-forecaster.</v>
      </c>
      <c r="D2968" s="7" t="str">
        <f>IFERROR(__xludf.DUMMYFUNCTION("""COMPUTED_VALUE"""),"Junwoo Park")</f>
        <v>Junwoo Park</v>
      </c>
      <c r="E2968" s="7" t="str">
        <f>IFERROR(__xludf.DUMMYFUNCTION("""COMPUTED_VALUE"""),"Yes")</f>
        <v>Yes</v>
      </c>
      <c r="F2968" s="7" t="str">
        <f>IFERROR(__xludf.DUMMYFUNCTION("""COMPUTED_VALUE"""),"V-Presentation")</f>
        <v>V-Presentation</v>
      </c>
      <c r="G2968" s="7" t="str">
        <f>IFERROR(__xludf.DUMMYFUNCTION("""COMPUTED_VALUE"""),"Virtual/Gather")</f>
        <v>Virtual/Gather</v>
      </c>
      <c r="H2968" s="7" t="str">
        <f>IFERROR(__xludf.DUMMYFUNCTION("""COMPUTED_VALUE"""),"Zoom")</f>
        <v>Zoom</v>
      </c>
      <c r="I2968" s="7" t="str">
        <f>IFERROR(__xludf.DUMMYFUNCTION("""COMPUTED_VALUE"""),"Session 12: V-Presentations")</f>
        <v>Session 12: V-Presentations</v>
      </c>
      <c r="J2968" s="7" t="str">
        <f>IFERROR(__xludf.DUMMYFUNCTION("""COMPUTED_VALUE"""),"Virtual Presentations 4")</f>
        <v>Virtual Presentations 4</v>
      </c>
      <c r="K2968" s="7"/>
      <c r="L2968" s="8">
        <f>IFERROR(__xludf.DUMMYFUNCTION("""COMPUTED_VALUE"""),45868.0)</f>
        <v>45868</v>
      </c>
      <c r="M2968" s="7" t="str">
        <f>IFERROR(__xludf.DUMMYFUNCTION("""COMPUTED_VALUE"""),"11:00-12:30")</f>
        <v>11:00-12:30</v>
      </c>
      <c r="N2968" s="7"/>
    </row>
    <row r="2969">
      <c r="A2969" s="7" t="str">
        <f>IFERROR(__xludf.DUMMYFUNCTION("""COMPUTED_VALUE"""),"3900-MAIN")</f>
        <v>3900-MAIN</v>
      </c>
      <c r="B2969" s="7" t="str">
        <f>IFERROR(__xludf.DUMMYFUNCTION("""COMPUTED_VALUE"""),"Transferring Textual Preferences to Vision-Language Understanding through Model Merging")</f>
        <v>Transferring Textual Preferences to Vision-Language Understanding through Model Merging</v>
      </c>
      <c r="C2969" s="7" t="str">
        <f>IFERROR(__xludf.DUMMYFUNCTION("""COMPUTED_VALUE"""),"Large vision-language models (LVLMs) perform outstandingly across various multimodal tasks. However, their ability to evaluate generated content remains limited, and training vision-language reward models (VLRMs) with preference data is computationally ex"&amp;"pensive. This paper explores a training-free alternative by merging text-based reward models (RMs) with LVLMs to create VLRMs. Our approach shows that integrating these models leads to improved performance over LVLMs' scoring and text-based RMs, offering "&amp;"an efficient method for incorporating textual preferences into LVLMs.")</f>
        <v>Large vision-language models (LVLMs) perform outstandingly across various multimodal tasks. However, their ability to evaluate generated content remains limited, and training vision-language reward models (VLRMs) with preference data is computationally expensive. This paper explores a training-free alternative by merging text-based reward models (RMs) with LVLMs to create VLRMs. Our approach shows that integrating these models leads to improved performance over LVLMs' scoring and text-based RMs, offering an efficient method for incorporating textual preferences into LVLMs.</v>
      </c>
      <c r="D2969" s="7" t="str">
        <f>IFERROR(__xludf.DUMMYFUNCTION("""COMPUTED_VALUE"""),"Chen-An Li")</f>
        <v>Chen-An Li</v>
      </c>
      <c r="E2969" s="7" t="str">
        <f>IFERROR(__xludf.DUMMYFUNCTION("""COMPUTED_VALUE"""),"Yes")</f>
        <v>Yes</v>
      </c>
      <c r="F2969" s="7" t="str">
        <f>IFERROR(__xludf.DUMMYFUNCTION("""COMPUTED_VALUE"""),"IP-Poster")</f>
        <v>IP-Poster</v>
      </c>
      <c r="G2969" s="7" t="str">
        <f>IFERROR(__xludf.DUMMYFUNCTION("""COMPUTED_VALUE"""),"In-Person")</f>
        <v>In-Person</v>
      </c>
      <c r="H2969" s="7" t="str">
        <f>IFERROR(__xludf.DUMMYFUNCTION("""COMPUTED_VALUE"""),"Hall 4/5")</f>
        <v>Hall 4/5</v>
      </c>
      <c r="I2969" s="7" t="str">
        <f>IFERROR(__xludf.DUMMYFUNCTION("""COMPUTED_VALUE"""),"Session 10: IP-Posters")</f>
        <v>Session 10: IP-Posters</v>
      </c>
      <c r="J2969" s="7" t="str">
        <f>IFERROR(__xludf.DUMMYFUNCTION("""COMPUTED_VALUE"""),"Poster Session 3")</f>
        <v>Poster Session 3</v>
      </c>
      <c r="K2969" s="7"/>
      <c r="L2969" s="8">
        <f>IFERROR(__xludf.DUMMYFUNCTION("""COMPUTED_VALUE"""),45867.0)</f>
        <v>45867</v>
      </c>
      <c r="M2969" s="7" t="str">
        <f>IFERROR(__xludf.DUMMYFUNCTION("""COMPUTED_VALUE"""),"16:00-17:30")</f>
        <v>16:00-17:30</v>
      </c>
      <c r="N2969" s="7"/>
    </row>
    <row r="2970">
      <c r="A2970" s="7" t="str">
        <f>IFERROR(__xludf.DUMMYFUNCTION("""COMPUTED_VALUE"""),"3908-MAIN")</f>
        <v>3908-MAIN</v>
      </c>
      <c r="B2970" s="7" t="str">
        <f>IFERROR(__xludf.DUMMYFUNCTION("""COMPUTED_VALUE"""),"Understanding the Dark Side of LLMs’ Intrinsic Self-Correction")</f>
        <v>Understanding the Dark Side of LLMs’ Intrinsic Self-Correction</v>
      </c>
      <c r="C2970" s="7" t="str">
        <f>IFERROR(__xludf.DUMMYFUNCTION("""COMPUTED_VALUE"""),"Intrinsic self-correction was initially proposed to improve LLMs' responses via feedback solely based on their inherent capability. However, recent works show that LLMs' intrinsic self-correction fails without oracle labels as feedback. In this paper, our"&amp;" research goal is to *interpret LLMs' intrinsic self-correction for different tasks, especially for those failure cases.* By including one simple task and three complex tasks with state-of-the-art (SOTA) LLMs like ChatGPT, Llama, and DeepSeek, we design t"&amp;"hree interpretation methods to reveal the dark side of LLMs' intrinsic self-correction. We identify intrinsic self-correction can (1) cause LLMs to waver both intermedia and final answers and lead to prompt bias on simple factual questions; (2) introduce "&amp;"human-like cognitive bias on complex tasks. In light of our findings, we also provide two simple yet effective strategies for alleviation: question repeating and supervised fine-tuning with a few samples. We open-source our work at https://x-isc.info/.")</f>
        <v>Intrinsic self-correction was initially proposed to improve LLMs' responses via feedback solely based on their inherent capability. However, recent works show that LLMs' intrinsic self-correction fails without oracle labels as feedback. In this paper, our research goal is to *interpret LLMs' intrinsic self-correction for different tasks, especially for those failure cases.* By including one simple task and three complex tasks with state-of-the-art (SOTA) LLMs like ChatGPT, Llama, and DeepSeek, we design three interpretation methods to reveal the dark side of LLMs' intrinsic self-correction. We identify intrinsic self-correction can (1) cause LLMs to waver both intermedia and final answers and lead to prompt bias on simple factual questions; (2) introduce human-like cognitive bias on complex tasks. In light of our findings, we also provide two simple yet effective strategies for alleviation: question repeating and supervised fine-tuning with a few samples. We open-source our work at https://x-isc.info/.</v>
      </c>
      <c r="D2970" s="7" t="str">
        <f>IFERROR(__xludf.DUMMYFUNCTION("""COMPUTED_VALUE"""),"Qingjie Zhang")</f>
        <v>Qingjie Zhang</v>
      </c>
      <c r="E2970" s="7" t="str">
        <f>IFERROR(__xludf.DUMMYFUNCTION("""COMPUTED_VALUE"""),"Yes")</f>
        <v>Yes</v>
      </c>
      <c r="F2970" s="7" t="str">
        <f>IFERROR(__xludf.DUMMYFUNCTION("""COMPUTED_VALUE"""),"IP-Poster")</f>
        <v>IP-Poster</v>
      </c>
      <c r="G2970" s="7" t="str">
        <f>IFERROR(__xludf.DUMMYFUNCTION("""COMPUTED_VALUE"""),"In-Person")</f>
        <v>In-Person</v>
      </c>
      <c r="H2970" s="7" t="str">
        <f>IFERROR(__xludf.DUMMYFUNCTION("""COMPUTED_VALUE"""),"Hall 4/5")</f>
        <v>Hall 4/5</v>
      </c>
      <c r="I2970" s="7" t="str">
        <f>IFERROR(__xludf.DUMMYFUNCTION("""COMPUTED_VALUE"""),"Session 7: IP-Posters")</f>
        <v>Session 7: IP-Posters</v>
      </c>
      <c r="J2970" s="7" t="str">
        <f>IFERROR(__xludf.DUMMYFUNCTION("""COMPUTED_VALUE"""),"Poster Session 2")</f>
        <v>Poster Session 2</v>
      </c>
      <c r="K2970" s="7"/>
      <c r="L2970" s="8">
        <f>IFERROR(__xludf.DUMMYFUNCTION("""COMPUTED_VALUE"""),45867.0)</f>
        <v>45867</v>
      </c>
      <c r="M2970" s="7" t="str">
        <f>IFERROR(__xludf.DUMMYFUNCTION("""COMPUTED_VALUE"""),"10:30-12:00")</f>
        <v>10:30-12:00</v>
      </c>
      <c r="N2970" s="7"/>
    </row>
    <row r="2971">
      <c r="A2971" s="7" t="str">
        <f>IFERROR(__xludf.DUMMYFUNCTION("""COMPUTED_VALUE"""),"3909-MAIN")</f>
        <v>3909-MAIN</v>
      </c>
      <c r="B2971" s="7" t="str">
        <f>IFERROR(__xludf.DUMMYFUNCTION("""COMPUTED_VALUE"""),"VideoVista2: 360° Horizons-Bridging Cultures, Languages, and Domains in Video Comprehension")</f>
        <v>VideoVista2: 360° Horizons-Bridging Cultures, Languages, and Domains in Video Comprehension</v>
      </c>
      <c r="C2971" s="7" t="str">
        <f>IFERROR(__xludf.DUMMYFUNCTION("""COMPUTED_VALUE"""),"Assessing the video comprehension capabilities of multimodal AI systems can effectively measure their understanding and reasoning abilities. Most video evaluation benchmarks are limited to a single language, typically English, and predominantly feature vi"&amp;"deos rooted in Western cultural contexts. In this paper, we present **VideoVista-CulturalLingo**, the first video evaluation benchmark designed to bridge cultural, linguistic, and domain divide in video comprehension. Our work differs from existing benchm"&amp;"arks in the following ways:  1) **Cultural diversity**, incorporating cultures from China, North America, and Europe;   2) **Multi-linguistics**, with questions presented in Chinese and English—two of the most widely spoken languages;   and 3) **Broad dom"&amp;"ain**, featuring videos sourced from hundreds of human-created domains. VideoVista-CulturalLingo contains 1,389 videos and 3,134 QA pairs, and we have evaluated 24 recent open-source or proprietary video large models. From the experiment results, we obser"&amp;"ve that:  1) Existing models perform worse on Chinese-centric questions than Western-centric ones, particularly those related to Chinese history; 2) Current open-source models still exhibit limitations in temporal understanding, especially in the Event Lo"&amp;"calization task, achieving a maximum score of only 45.2\%; 3) Mainstream models demonstrate strong performance in general scientific questions, while open-source models demonstrate weak performance in mathematics.")</f>
        <v>Assessing the video comprehension capabilities of multimodal AI systems can effectively measure their understanding and reasoning abilities. Most video evaluation benchmarks are limited to a single language, typically English, and predominantly feature videos rooted in Western cultural contexts. In this paper, we present **VideoVista-CulturalLingo**, the first video evaluation benchmark designed to bridge cultural, linguistic, and domain divide in video comprehension. Our work differs from existing benchmarks in the following ways:  1) **Cultural diversity**, incorporating cultures from China, North America, and Europe;   2) **Multi-linguistics**, with questions presented in Chinese and English—two of the most widely spoken languages;   and 3) **Broad domain**, featuring videos sourced from hundreds of human-created domains. VideoVista-CulturalLingo contains 1,389 videos and 3,134 QA pairs, and we have evaluated 24 recent open-source or proprietary video large models. From the experiment results, we observe that:  1) Existing models perform worse on Chinese-centric questions than Western-centric ones, particularly those related to Chinese history; 2) Current open-source models still exhibit limitations in temporal understanding, especially in the Event Localization task, achieving a maximum score of only 45.2\%; 3) Mainstream models demonstrate strong performance in general scientific questions, while open-source models demonstrate weak performance in mathematics.</v>
      </c>
      <c r="D2971" s="7" t="str">
        <f>IFERROR(__xludf.DUMMYFUNCTION("""COMPUTED_VALUE"""),"Xinyu Chen")</f>
        <v>Xinyu Chen</v>
      </c>
      <c r="E2971" s="7" t="str">
        <f>IFERROR(__xludf.DUMMYFUNCTION("""COMPUTED_VALUE"""),"Yes")</f>
        <v>Yes</v>
      </c>
      <c r="F2971" s="7" t="str">
        <f>IFERROR(__xludf.DUMMYFUNCTION("""COMPUTED_VALUE"""),"V-Presentation")</f>
        <v>V-Presentation</v>
      </c>
      <c r="G2971" s="7" t="str">
        <f>IFERROR(__xludf.DUMMYFUNCTION("""COMPUTED_VALUE"""),"Virtual/Gather")</f>
        <v>Virtual/Gather</v>
      </c>
      <c r="H2971" s="7" t="str">
        <f>IFERROR(__xludf.DUMMYFUNCTION("""COMPUTED_VALUE"""),"Zoom")</f>
        <v>Zoom</v>
      </c>
      <c r="I2971" s="7" t="str">
        <f>IFERROR(__xludf.DUMMYFUNCTION("""COMPUTED_VALUE"""),"Session 10: V-Presenations")</f>
        <v>Session 10: V-Presenations</v>
      </c>
      <c r="J2971" s="7" t="str">
        <f>IFERROR(__xludf.DUMMYFUNCTION("""COMPUTED_VALUE"""),"Virtual Presentations 3")</f>
        <v>Virtual Presentations 3</v>
      </c>
      <c r="K2971" s="7"/>
      <c r="L2971" s="8">
        <f>IFERROR(__xludf.DUMMYFUNCTION("""COMPUTED_VALUE"""),45867.0)</f>
        <v>45867</v>
      </c>
      <c r="M2971" s="7" t="str">
        <f>IFERROR(__xludf.DUMMYFUNCTION("""COMPUTED_VALUE"""),"16:00-17:30")</f>
        <v>16:00-17:30</v>
      </c>
      <c r="N2971" s="7"/>
    </row>
    <row r="2972">
      <c r="A2972" s="7" t="str">
        <f>IFERROR(__xludf.DUMMYFUNCTION("""COMPUTED_VALUE"""),"3910-MAIN")</f>
        <v>3910-MAIN</v>
      </c>
      <c r="B2972" s="7" t="str">
        <f>IFERROR(__xludf.DUMMYFUNCTION("""COMPUTED_VALUE"""),"What are the Essential Factors in Crafting Effective Long Context Multi-Hop Instruction Datasets? Insights and Best Practices")</f>
        <v>What are the Essential Factors in Crafting Effective Long Context Multi-Hop Instruction Datasets? Insights and Best Practices</v>
      </c>
      <c r="C2972" s="7" t="str">
        <f>IFERROR(__xludf.DUMMYFUNCTION("""COMPUTED_VALUE"""),"Recent advancements in large language models (LLMs) with extended context windows have significantly improved various tasks. To improve long-context capabilities, much work focuses on augmenting LLM's capabilities with synthetic data. Existing methods oft"&amp;"en leverage the Self-Instruct framework to generate long-context instruction-tuning data. However, our preliminary experiments show that fewer than 35% of samples generated by Qwen-2-72B are multi-hop, and over 40% exhibit poor quality, limiting comprehen"&amp;"sive understanding and further research. To address this, we propose the Multi-agent Interactive Multi-hop Generation (MIMG) framework, which integrates a quality verification agent, a single-hop question generation agent, a multiple question sampling str"&amp;"ategy, and a multi-hop question merger agent. This framework significantly improves data quality, with high-quality, multi-hop, and diverse data. Furthermore, we conduct a thorough analysis of document selection, question merging, and validation technique"&amp;"s through extensive experiments across various models. Our results demonstrate that synthetic high-quality long-context instruction data can enhance model performance, surpassing even models trained on larger amounts of human-annotated data.")</f>
        <v>Recent advancements in large language models (LLMs) with extended context windows have significantly improved various tasks. To improve long-context capabilities, much work focuses on augmenting LLM's capabilities with synthetic data. Existing methods often leverage the Self-Instruct framework to generate long-context instruction-tuning data. However, our preliminary experiments show that fewer than 35% of samples generated by Qwen-2-72B are multi-hop, and over 40% exhibit poor quality, limiting comprehensive understanding and further research. To address this, we propose the Multi-agent Interactive Multi-hop Generation (MIMG) framework, which integrates a quality verification agent, a single-hop question generation agent, a multiple question sampling strategy, and a multi-hop question merger agent. This framework significantly improves data quality, with high-quality, multi-hop, and diverse data. Furthermore, we conduct a thorough analysis of document selection, question merging, and validation techniques through extensive experiments across various models. Our results demonstrate that synthetic high-quality long-context instruction data can enhance model performance, surpassing even models trained on larger amounts of human-annotated data.</v>
      </c>
      <c r="D2972" s="7" t="str">
        <f>IFERROR(__xludf.DUMMYFUNCTION("""COMPUTED_VALUE"""),"Zhi Chen")</f>
        <v>Zhi Chen</v>
      </c>
      <c r="E2972" s="7" t="str">
        <f>IFERROR(__xludf.DUMMYFUNCTION("""COMPUTED_VALUE"""),"Yes")</f>
        <v>Yes</v>
      </c>
      <c r="F2972" s="7" t="str">
        <f>IFERROR(__xludf.DUMMYFUNCTION("""COMPUTED_VALUE"""),"V-Presentation")</f>
        <v>V-Presentation</v>
      </c>
      <c r="G2972" s="7" t="str">
        <f>IFERROR(__xludf.DUMMYFUNCTION("""COMPUTED_VALUE"""),"Virtual/Gather")</f>
        <v>Virtual/Gather</v>
      </c>
      <c r="H2972" s="7" t="str">
        <f>IFERROR(__xludf.DUMMYFUNCTION("""COMPUTED_VALUE"""),"Zoom")</f>
        <v>Zoom</v>
      </c>
      <c r="I2972" s="7" t="str">
        <f>IFERROR(__xludf.DUMMYFUNCTION("""COMPUTED_VALUE"""),"Session 10: V-Presentations")</f>
        <v>Session 10: V-Presentations</v>
      </c>
      <c r="J2972" s="7" t="str">
        <f>IFERROR(__xludf.DUMMYFUNCTION("""COMPUTED_VALUE"""),"Virtual Presentations 3")</f>
        <v>Virtual Presentations 3</v>
      </c>
      <c r="K2972" s="7"/>
      <c r="L2972" s="8">
        <f>IFERROR(__xludf.DUMMYFUNCTION("""COMPUTED_VALUE"""),45867.0)</f>
        <v>45867</v>
      </c>
      <c r="M2972" s="7" t="str">
        <f>IFERROR(__xludf.DUMMYFUNCTION("""COMPUTED_VALUE"""),"16:00-17:30")</f>
        <v>16:00-17:30</v>
      </c>
      <c r="N2972" s="7"/>
    </row>
    <row r="2973">
      <c r="A2973" s="7" t="str">
        <f>IFERROR(__xludf.DUMMYFUNCTION("""COMPUTED_VALUE"""),"3912-MAIN")</f>
        <v>3912-MAIN</v>
      </c>
      <c r="B2973" s="7" t="str">
        <f>IFERROR(__xludf.DUMMYFUNCTION("""COMPUTED_VALUE"""),"Knowledge Graph Retrieval-Augmented Generation for LLM-based Recommendation")</f>
        <v>Knowledge Graph Retrieval-Augmented Generation for LLM-based Recommendation</v>
      </c>
      <c r="C2973" s="7" t="str">
        <f>IFERROR(__xludf.DUMMYFUNCTION("""COMPUTED_VALUE"""),"Recommender systems have become increasingly vital in our daily lives, helping to alleviate the problem of information overload across various user-oriented online services. The emergence of Large Language Models (LLMs) has yielded remarkable achievements"&amp;", demonstrating their potential for the development of next-generation recommender systems. Despite these advancements, LLM-based recommender systems face inherent limitations stemming from their LLM backbones, particularly issues of hallucinations and th"&amp;"e lack of up-to-date and domain-specific knowledge.
Recently, Retrieval-Augmented Generation (RAG) has garnered significant attention for addressing these limitations by leveraging external knowledge sources to enhance the understanding and generation of "&amp;"LLMs. However, vanilla RAG methods often introduce noise and neglect structural relationships in knowledge, limiting their effectiveness in LLM-based recommendations. To address these limitations, we propose to retrieve high-quality and up-to-date structu"&amp;"re information from the knowledge graph (KG) to augment recommendations. Specifically, our approach develops a retrieval-augmented framework, termed K-RagRec, that facilitates the recommendation generation process by incorporating structure information fr"&amp;"om the external KG. Extensive experiments have been conducted to demonstrate the effectiveness of our proposed method.")</f>
        <v>Recommender systems have become increasingly vital in our daily lives, helping to alleviate the problem of information overload across various user-oriented online services. The emergence of Large Language Models (LLMs) has yielded remarkable achievements, demonstrating their potential for the development of next-generation recommender systems. Despite these advancements, LLM-based recommender systems face inherent limitations stemming from their LLM backbones, particularly issues of hallucinations and the lack of up-to-date and domain-specific knowledge.
Recently, Retrieval-Augmented Generation (RAG) has garnered significant attention for addressing these limitations by leveraging external knowledge sources to enhance the understanding and generation of LLMs. However, vanilla RAG methods often introduce noise and neglect structural relationships in knowledge, limiting their effectiveness in LLM-based recommendations. To address these limitations, we propose to retrieve high-quality and up-to-date structure information from the knowledge graph (KG) to augment recommendations. Specifically, our approach develops a retrieval-augmented framework, termed K-RagRec, that facilitates the recommendation generation process by incorporating structure information from the external KG. Extensive experiments have been conducted to demonstrate the effectiveness of our proposed method.</v>
      </c>
      <c r="D2973" s="7" t="str">
        <f>IFERROR(__xludf.DUMMYFUNCTION("""COMPUTED_VALUE"""),"Shijie Wang")</f>
        <v>Shijie Wang</v>
      </c>
      <c r="E2973" s="7" t="str">
        <f>IFERROR(__xludf.DUMMYFUNCTION("""COMPUTED_VALUE"""),"Yes")</f>
        <v>Yes</v>
      </c>
      <c r="F2973" s="7" t="str">
        <f>IFERROR(__xludf.DUMMYFUNCTION("""COMPUTED_VALUE"""),"IP-Poster")</f>
        <v>IP-Poster</v>
      </c>
      <c r="G2973" s="7" t="str">
        <f>IFERROR(__xludf.DUMMYFUNCTION("""COMPUTED_VALUE"""),"In-Person")</f>
        <v>In-Person</v>
      </c>
      <c r="H2973" s="7" t="str">
        <f>IFERROR(__xludf.DUMMYFUNCTION("""COMPUTED_VALUE"""),"Hall 4/5")</f>
        <v>Hall 4/5</v>
      </c>
      <c r="I2973" s="7" t="str">
        <f>IFERROR(__xludf.DUMMYFUNCTION("""COMPUTED_VALUE"""),"Session 2: IP-Posters ")</f>
        <v>Session 2: IP-Posters </v>
      </c>
      <c r="J2973" s="7" t="str">
        <f>IFERROR(__xludf.DUMMYFUNCTION("""COMPUTED_VALUE"""),"Poster Session 1")</f>
        <v>Poster Session 1</v>
      </c>
      <c r="K2973" s="7"/>
      <c r="L2973" s="8">
        <f>IFERROR(__xludf.DUMMYFUNCTION("""COMPUTED_VALUE"""),45866.0)</f>
        <v>45866</v>
      </c>
      <c r="M2973" s="7" t="str">
        <f>IFERROR(__xludf.DUMMYFUNCTION("""COMPUTED_VALUE"""),"11:00-12:30")</f>
        <v>11:00-12:30</v>
      </c>
      <c r="N2973" s="7"/>
    </row>
    <row r="2974">
      <c r="A2974" s="7" t="str">
        <f>IFERROR(__xludf.DUMMYFUNCTION("""COMPUTED_VALUE"""),"3925-MAIN")</f>
        <v>3925-MAIN</v>
      </c>
      <c r="B2974" s="7" t="str">
        <f>IFERROR(__xludf.DUMMYFUNCTION("""COMPUTED_VALUE"""),"SudoLM: Learning Access Control of Parametric Knowledge with Authorization Alignment")</f>
        <v>SudoLM: Learning Access Control of Parametric Knowledge with Authorization Alignment</v>
      </c>
      <c r="C2974" s="7" t="str">
        <f>IFERROR(__xludf.DUMMYFUNCTION("""COMPUTED_VALUE"""),"Existing preference alignment is a one-size-fits-all alignment mechanism, where the part of the large language model (LLM) parametric knowledge with non-preferred features is uniformly blocked to all the users. However, this part of knowledge can be usefu"&amp;"l to advanced users whose expertise qualifies them to handle these information. The one-size-fits-all alignment mechanism undermines LLM's utility for these qualified users. To address this problem, we propose SudoLM, a framework that lets LLMs learn acce"&amp;"ss control over specific parametric knowledge for users with different credentials via authorization alignment. SudoLM allows authorized users to unlock their access to all the parametric knowledge with an assigned Sudo key while blocking access to non-qu"&amp;"alified users. Experiments on two application scenarios demonstrate that SudoLM effectively controls the user's access to the parametric knowledge and maintains its general utility.")</f>
        <v>Existing preference alignment is a one-size-fits-all alignment mechanism, where the part of the large language model (LLM) parametric knowledge with non-preferred features is uniformly blocked to all the users. However, this part of knowledge can be useful to advanced users whose expertise qualifies them to handle these information. The one-size-fits-all alignment mechanism undermines LLM's utility for these qualified users. To address this problem, we propose SudoLM, a framework that lets LLMs learn access control over specific parametric knowledge for users with different credentials via authorization alignment. SudoLM allows authorized users to unlock their access to all the parametric knowledge with an assigned Sudo key while blocking access to non-qualified users. Experiments on two application scenarios demonstrate that SudoLM effectively controls the user's access to the parametric knowledge and maintains its general utility.</v>
      </c>
      <c r="D2974" s="7" t="str">
        <f>IFERROR(__xludf.DUMMYFUNCTION("""COMPUTED_VALUE"""),"Chaowei Xiao")</f>
        <v>Chaowei Xiao</v>
      </c>
      <c r="E2974" s="7" t="str">
        <f>IFERROR(__xludf.DUMMYFUNCTION("""COMPUTED_VALUE"""),"Yes")</f>
        <v>Yes</v>
      </c>
      <c r="F2974" s="7" t="str">
        <f>IFERROR(__xludf.DUMMYFUNCTION("""COMPUTED_VALUE"""),"IP-Poster")</f>
        <v>IP-Poster</v>
      </c>
      <c r="G2974" s="7" t="str">
        <f>IFERROR(__xludf.DUMMYFUNCTION("""COMPUTED_VALUE"""),"In-Person")</f>
        <v>In-Person</v>
      </c>
      <c r="H2974" s="7" t="str">
        <f>IFERROR(__xludf.DUMMYFUNCTION("""COMPUTED_VALUE"""),"Hall 4/5")</f>
        <v>Hall 4/5</v>
      </c>
      <c r="I2974" s="7" t="str">
        <f>IFERROR(__xludf.DUMMYFUNCTION("""COMPUTED_VALUE"""),"Session 7: IP-Posters")</f>
        <v>Session 7: IP-Posters</v>
      </c>
      <c r="J2974" s="7" t="str">
        <f>IFERROR(__xludf.DUMMYFUNCTION("""COMPUTED_VALUE"""),"Poster Session 2")</f>
        <v>Poster Session 2</v>
      </c>
      <c r="K2974" s="7"/>
      <c r="L2974" s="8">
        <f>IFERROR(__xludf.DUMMYFUNCTION("""COMPUTED_VALUE"""),45867.0)</f>
        <v>45867</v>
      </c>
      <c r="M2974" s="7" t="str">
        <f>IFERROR(__xludf.DUMMYFUNCTION("""COMPUTED_VALUE"""),"10:30-12:00")</f>
        <v>10:30-12:00</v>
      </c>
      <c r="N2974" s="7"/>
    </row>
    <row r="2975">
      <c r="A2975" s="7" t="str">
        <f>IFERROR(__xludf.DUMMYFUNCTION("""COMPUTED_VALUE"""),"3928-MAIN")</f>
        <v>3928-MAIN</v>
      </c>
      <c r="B2975" s="7" t="str">
        <f>IFERROR(__xludf.DUMMYFUNCTION("""COMPUTED_VALUE"""),"ProgCo: Program Helps Self-Correction of Large Language Models")</f>
        <v>ProgCo: Program Helps Self-Correction of Large Language Models</v>
      </c>
      <c r="C2975" s="7" t="str">
        <f>IFERROR(__xludf.DUMMYFUNCTION("""COMPUTED_VALUE"""),"Self-Correction aims to enable large language models (LLMs) to self-verify and self-refine their initial responses without external feedback. However, LLMs often fail to effectively self-verify and generate correct feedback, further misleading refinement "&amp;"and leading to the failure of self-correction, especially in complex reasoning tasks. In this paper, we propose Program-driven Self-Correction (ProgCo). First, program-driven verification (ProgVe) achieves complex verification logic and extensive validati"&amp;"on through self-generated, self-executing verification pseudo-programs. Then,program-driven refinement (ProgRe) receives feedback from ProgVe, conducts dual reflection and refinement on both responses and verification programs to mitigate misleading of in"&amp;"correct feedback in complex reasoning tasks. Experiments on three instruction-following and mathematical benchmarks indicate that ProgCo achieves effective self-correction, and can be further enhance performance when combined with real program tools. We r"&amp;"elease our code at https://github.com/songxiaoshuai/progco.")</f>
        <v>Self-Correction aims to enable large language models (LLMs) to self-verify and self-refine their initial responses without external feedback. However, LLMs often fail to effectively self-verify and generate correct feedback, further misleading refinement and leading to the failure of self-correction, especially in complex reasoning tasks. In this paper, we propose Program-driven Self-Correction (ProgCo). First, program-driven verification (ProgVe) achieves complex verification logic and extensive validation through self-generated, self-executing verification pseudo-programs. Then,program-driven refinement (ProgRe) receives feedback from ProgVe, conducts dual reflection and refinement on both responses and verification programs to mitigate misleading of incorrect feedback in complex reasoning tasks. Experiments on three instruction-following and mathematical benchmarks indicate that ProgCo achieves effective self-correction, and can be further enhance performance when combined with real program tools. We release our code at https://github.com/songxiaoshuai/progco.</v>
      </c>
      <c r="D2975" s="7" t="str">
        <f>IFERROR(__xludf.DUMMYFUNCTION("""COMPUTED_VALUE"""),"Yanan Wu")</f>
        <v>Yanan Wu</v>
      </c>
      <c r="E2975" s="7" t="str">
        <f>IFERROR(__xludf.DUMMYFUNCTION("""COMPUTED_VALUE"""),"Yes")</f>
        <v>Yes</v>
      </c>
      <c r="F2975" s="7" t="str">
        <f>IFERROR(__xludf.DUMMYFUNCTION("""COMPUTED_VALUE"""),"IP-Poster")</f>
        <v>IP-Poster</v>
      </c>
      <c r="G2975" s="7" t="str">
        <f>IFERROR(__xludf.DUMMYFUNCTION("""COMPUTED_VALUE"""),"In-Person")</f>
        <v>In-Person</v>
      </c>
      <c r="H2975" s="7" t="str">
        <f>IFERROR(__xludf.DUMMYFUNCTION("""COMPUTED_VALUE"""),"Hall 4/5")</f>
        <v>Hall 4/5</v>
      </c>
      <c r="I2975" s="7" t="str">
        <f>IFERROR(__xludf.DUMMYFUNCTION("""COMPUTED_VALUE"""),"Session 10: IP-Posters")</f>
        <v>Session 10: IP-Posters</v>
      </c>
      <c r="J2975" s="7" t="str">
        <f>IFERROR(__xludf.DUMMYFUNCTION("""COMPUTED_VALUE"""),"Poster Session 3")</f>
        <v>Poster Session 3</v>
      </c>
      <c r="K2975" s="7"/>
      <c r="L2975" s="8">
        <f>IFERROR(__xludf.DUMMYFUNCTION("""COMPUTED_VALUE"""),45867.0)</f>
        <v>45867</v>
      </c>
      <c r="M2975" s="7" t="str">
        <f>IFERROR(__xludf.DUMMYFUNCTION("""COMPUTED_VALUE"""),"16:00-17:30")</f>
        <v>16:00-17:30</v>
      </c>
      <c r="N2975" s="7"/>
    </row>
    <row r="2976">
      <c r="A2976" s="7" t="str">
        <f>IFERROR(__xludf.DUMMYFUNCTION("""COMPUTED_VALUE"""),"3930-MAIN")</f>
        <v>3930-MAIN</v>
      </c>
      <c r="B2976" s="7" t="str">
        <f>IFERROR(__xludf.DUMMYFUNCTION("""COMPUTED_VALUE"""),"I0T: Embedding Standardization Method Towards Zero Modality Gap")</f>
        <v>I0T: Embedding Standardization Method Towards Zero Modality Gap</v>
      </c>
      <c r="C2976" s="7" t="str">
        <f>IFERROR(__xludf.DUMMYFUNCTION("""COMPUTED_VALUE"""),"Contrastive Language-Image Pretraining (CLIP) enables zero-shot inference in downstream tasks such as image-text retrieval and classification. However, recent works extending CLIP suffer from the issue of *modality gap*, which arises when the image and te"&amp;"xt embeddings are projected to disparate manifolds, deviating from the intended objective of image-text contrastive learning. We discover that this phenomenon is linked to the modality-specific characteristic that each image or text encoder independently "&amp;"possesses. Herein, we propose two methods to address the modality gap: (1) a post-hoc embedding standardization method, $I0T_{post}$ that reduces the modality gap approximately to zero and (2) a trainable method, $I0T_{async}$, to alleviate the modality g"&amp;"ap problem by adding two normalization layers for each encoder. Our I0T framework can significantly reduce the modality gap while preserving the original embedding representations of trained models with their locked parameters. In practice, $I0T_{post}$ c"&amp;"an serve as an alternative explainable automatic evaluation metric of widely used CLIPScore (CLIP-S). The code is available in https://github.com/xfactlab/I0T.")</f>
        <v>Contrastive Language-Image Pretraining (CLIP) enables zero-shot inference in downstream tasks such as image-text retrieval and classification. However, recent works extending CLIP suffer from the issue of *modality gap*, which arises when the image and text embeddings are projected to disparate manifolds, deviating from the intended objective of image-text contrastive learning. We discover that this phenomenon is linked to the modality-specific characteristic that each image or text encoder independently possesses. Herein, we propose two methods to address the modality gap: (1) a post-hoc embedding standardization method, $I0T_{post}$ that reduces the modality gap approximately to zero and (2) a trainable method, $I0T_{async}$, to alleviate the modality gap problem by adding two normalization layers for each encoder. Our I0T framework can significantly reduce the modality gap while preserving the original embedding representations of trained models with their locked parameters. In practice, $I0T_{post}$ can serve as an alternative explainable automatic evaluation metric of widely used CLIPScore (CLIP-S). The code is available in https://github.com/xfactlab/I0T.</v>
      </c>
      <c r="D2976" s="7" t="str">
        <f>IFERROR(__xludf.DUMMYFUNCTION("""COMPUTED_VALUE"""),"Na Min An, Eunki Kim")</f>
        <v>Na Min An, Eunki Kim</v>
      </c>
      <c r="E2976" s="7" t="str">
        <f>IFERROR(__xludf.DUMMYFUNCTION("""COMPUTED_VALUE"""),"Yes")</f>
        <v>Yes</v>
      </c>
      <c r="F2976" s="7" t="str">
        <f>IFERROR(__xludf.DUMMYFUNCTION("""COMPUTED_VALUE"""),"IP-Oral")</f>
        <v>IP-Oral</v>
      </c>
      <c r="G2976" s="7" t="str">
        <f>IFERROR(__xludf.DUMMYFUNCTION("""COMPUTED_VALUE"""),"In-Person")</f>
        <v>In-Person</v>
      </c>
      <c r="H2976" s="7" t="str">
        <f>IFERROR(__xludf.DUMMYFUNCTION("""COMPUTED_VALUE"""),"Hall C")</f>
        <v>Hall C</v>
      </c>
      <c r="I2976" s="7" t="str">
        <f>IFERROR(__xludf.DUMMYFUNCTION("""COMPUTED_VALUE"""),"Session 3: IP-Orals")</f>
        <v>Session 3: IP-Orals</v>
      </c>
      <c r="J2976" s="7" t="str">
        <f>IFERROR(__xludf.DUMMYFUNCTION("""COMPUTED_VALUE"""),"Multimodality and Language Grounding 1")</f>
        <v>Multimodality and Language Grounding 1</v>
      </c>
      <c r="K2976" s="7"/>
      <c r="L2976" s="8">
        <f>IFERROR(__xludf.DUMMYFUNCTION("""COMPUTED_VALUE"""),45866.0)</f>
        <v>45866</v>
      </c>
      <c r="M2976" s="7" t="str">
        <f>IFERROR(__xludf.DUMMYFUNCTION("""COMPUTED_VALUE"""),"14:00-15:30")</f>
        <v>14:00-15:30</v>
      </c>
      <c r="N2976" s="7">
        <f>IFERROR(__xludf.DUMMYFUNCTION("""COMPUTED_VALUE"""),8.0)</f>
        <v>8</v>
      </c>
    </row>
    <row r="2977">
      <c r="A2977" s="7" t="str">
        <f>IFERROR(__xludf.DUMMYFUNCTION("""COMPUTED_VALUE"""),"3931-MAIN")</f>
        <v>3931-MAIN</v>
      </c>
      <c r="B2977" s="7" t="str">
        <f>IFERROR(__xludf.DUMMYFUNCTION("""COMPUTED_VALUE"""),"Leveraging Self-Attention for Input-Dependent Soft Prompting in LLMs")</f>
        <v>Leveraging Self-Attention for Input-Dependent Soft Prompting in LLMs</v>
      </c>
      <c r="C2977" s="7" t="str">
        <f>IFERROR(__xludf.DUMMYFUNCTION("""COMPUTED_VALUE"""),"The performance of large language models in domain-specific tasks necessitates fine-tuning, which is computationally expensive and technically challenging. This paper focuses on parameter-efficient fine-tuning using soft prompting, a promising approach th"&amp;"at adapts pre-trained models to downstream tasks by learning a small set of parameters. We propose a novel Input Dependent Soft Prompting technique with a self-Attention Mechanism (ID-SPAM) that generates soft prompts based on the input tokens and attends"&amp;" different tokens with varying importance. Our method is simple and efficient, keeping the number of trainable parameters small. We show the merits of the proposed approach compared to state-of-the-art techniques on various tasks and show the improved zer"&amp;"o shot domain transfer capability.")</f>
        <v>The performance of large language models in domain-specific tasks necessitates fine-tuning, which is computationally expensive and technically challenging. This paper focuses on parameter-efficient fine-tuning using soft prompting, a promising approach that adapts pre-trained models to downstream tasks by learning a small set of parameters. We propose a novel Input Dependent Soft Prompting technique with a self-Attention Mechanism (ID-SPAM) that generates soft prompts based on the input tokens and attends different tokens with varying importance. Our method is simple and efficient, keeping the number of trainable parameters small. We show the merits of the proposed approach compared to state-of-the-art techniques on various tasks and show the improved zero shot domain transfer capability.</v>
      </c>
      <c r="D2977" s="7" t="str">
        <f>IFERROR(__xludf.DUMMYFUNCTION("""COMPUTED_VALUE"""),"Sambaran Bandyopadhyay")</f>
        <v>Sambaran Bandyopadhyay</v>
      </c>
      <c r="E2977" s="7" t="str">
        <f>IFERROR(__xludf.DUMMYFUNCTION("""COMPUTED_VALUE"""),"Yes")</f>
        <v>Yes</v>
      </c>
      <c r="F2977" s="7" t="str">
        <f>IFERROR(__xludf.DUMMYFUNCTION("""COMPUTED_VALUE"""),"IP-Poster")</f>
        <v>IP-Poster</v>
      </c>
      <c r="G2977" s="7" t="str">
        <f>IFERROR(__xludf.DUMMYFUNCTION("""COMPUTED_VALUE"""),"In-Person")</f>
        <v>In-Person</v>
      </c>
      <c r="H2977" s="7" t="str">
        <f>IFERROR(__xludf.DUMMYFUNCTION("""COMPUTED_VALUE"""),"Hall 4/5")</f>
        <v>Hall 4/5</v>
      </c>
      <c r="I2977" s="7" t="str">
        <f>IFERROR(__xludf.DUMMYFUNCTION("""COMPUTED_VALUE"""),"Session 10: IP-Posters")</f>
        <v>Session 10: IP-Posters</v>
      </c>
      <c r="J2977" s="7" t="str">
        <f>IFERROR(__xludf.DUMMYFUNCTION("""COMPUTED_VALUE"""),"Poster Session 3")</f>
        <v>Poster Session 3</v>
      </c>
      <c r="K2977" s="7"/>
      <c r="L2977" s="8">
        <f>IFERROR(__xludf.DUMMYFUNCTION("""COMPUTED_VALUE"""),45867.0)</f>
        <v>45867</v>
      </c>
      <c r="M2977" s="7" t="str">
        <f>IFERROR(__xludf.DUMMYFUNCTION("""COMPUTED_VALUE"""),"16:00-17:30")</f>
        <v>16:00-17:30</v>
      </c>
      <c r="N2977" s="7"/>
    </row>
    <row r="2978">
      <c r="A2978" s="7" t="str">
        <f>IFERROR(__xludf.DUMMYFUNCTION("""COMPUTED_VALUE"""),"3933-MAIN")</f>
        <v>3933-MAIN</v>
      </c>
      <c r="B2978" s="7" t="str">
        <f>IFERROR(__xludf.DUMMYFUNCTION("""COMPUTED_VALUE"""),"Odysseus Navigates the Sirens' Song: Dynamic Focus Decoding for Factual and Diverse Open-Ended Text Generation")</f>
        <v>Odysseus Navigates the Sirens' Song: Dynamic Focus Decoding for Factual and Diverse Open-Ended Text Generation</v>
      </c>
      <c r="C2978" s="7" t="str">
        <f>IFERROR(__xludf.DUMMYFUNCTION("""COMPUTED_VALUE"""),"Large Language Models (LLMs) are increasingly required to generate text that is both factually accurate and diverse across various open-ended applications. However, current stochastic decoding methods struggle to balance such objectives. We introduce Dyna"&amp;"mic Focus Decoding (DFD), a novel plug-and-play stochastic approach that resolves this trade-off without requiring additional data, knowledge, or models. DFD adaptively adjusts the decoding focus based on distributional differences across layers, leveragi"&amp;"ng the modular and hierarchical nature of factual knowledge within LLMs. This dynamic adjustment improves factuality in knowledge-intensive decoding steps and promotes diversity in less knowledge-reliant steps. DFD can be easily integrated with existing d"&amp;"ecoding methods, enhancing both factuality and diversity with minimal computational overhead. Extensive experiments across seven datasets demonstrate that DFD significantly improves performance, providing a scalable and efficient solution for open-ended t"&amp;"ext generation.")</f>
        <v>Large Language Models (LLMs) are increasingly required to generate text that is both factually accurate and diverse across various open-ended applications. However, current stochastic decoding methods struggle to balance such objectives. We introduce Dynamic Focus Decoding (DFD), a novel plug-and-play stochastic approach that resolves this trade-off without requiring additional data, knowledge, or models. DFD adaptively adjusts the decoding focus based on distributional differences across layers, leveraging the modular and hierarchical nature of factual knowledge within LLMs. This dynamic adjustment improves factuality in knowledge-intensive decoding steps and promotes diversity in less knowledge-reliant steps. DFD can be easily integrated with existing decoding methods, enhancing both factuality and diversity with minimal computational overhead. Extensive experiments across seven datasets demonstrate that DFD significantly improves performance, providing a scalable and efficient solution for open-ended text generation.</v>
      </c>
      <c r="D2978" s="7" t="str">
        <f>IFERROR(__xludf.DUMMYFUNCTION("""COMPUTED_VALUE"""),"Wen Luo")</f>
        <v>Wen Luo</v>
      </c>
      <c r="E2978" s="7" t="str">
        <f>IFERROR(__xludf.DUMMYFUNCTION("""COMPUTED_VALUE"""),"Yes")</f>
        <v>Yes</v>
      </c>
      <c r="F2978" s="7" t="str">
        <f>IFERROR(__xludf.DUMMYFUNCTION("""COMPUTED_VALUE"""),"IP-Poster")</f>
        <v>IP-Poster</v>
      </c>
      <c r="G2978" s="7" t="str">
        <f>IFERROR(__xludf.DUMMYFUNCTION("""COMPUTED_VALUE"""),"In-Person")</f>
        <v>In-Person</v>
      </c>
      <c r="H2978" s="7" t="str">
        <f>IFERROR(__xludf.DUMMYFUNCTION("""COMPUTED_VALUE"""),"Hall 4/5")</f>
        <v>Hall 4/5</v>
      </c>
      <c r="I2978" s="7" t="str">
        <f>IFERROR(__xludf.DUMMYFUNCTION("""COMPUTED_VALUE"""),"Session 2: IP-Posters ")</f>
        <v>Session 2: IP-Posters </v>
      </c>
      <c r="J2978" s="7" t="str">
        <f>IFERROR(__xludf.DUMMYFUNCTION("""COMPUTED_VALUE"""),"Poster Session 1")</f>
        <v>Poster Session 1</v>
      </c>
      <c r="K2978" s="7"/>
      <c r="L2978" s="8">
        <f>IFERROR(__xludf.DUMMYFUNCTION("""COMPUTED_VALUE"""),45866.0)</f>
        <v>45866</v>
      </c>
      <c r="M2978" s="7" t="str">
        <f>IFERROR(__xludf.DUMMYFUNCTION("""COMPUTED_VALUE"""),"11:00-12:30")</f>
        <v>11:00-12:30</v>
      </c>
      <c r="N2978" s="7"/>
    </row>
    <row r="2979">
      <c r="A2979" s="7" t="str">
        <f>IFERROR(__xludf.DUMMYFUNCTION("""COMPUTED_VALUE"""),"3938-MAIN")</f>
        <v>3938-MAIN</v>
      </c>
      <c r="B2979" s="7" t="str">
        <f>IFERROR(__xludf.DUMMYFUNCTION("""COMPUTED_VALUE"""),"Better Embeddings with Coupled Adam")</f>
        <v>Better Embeddings with Coupled Adam</v>
      </c>
      <c r="C2979" s="7" t="str">
        <f>IFERROR(__xludf.DUMMYFUNCTION("""COMPUTED_VALUE"""),"Despite their remarkable capabilities, LLMs learn word representations that exhibit the undesirable yet poorly understood feature of anisotropy. In this paper, we argue that the second moment in Adam is a cause of anisotropic embeddings, and suggest a mod"&amp;"ified optimizer called Coupled Adam to mitigate the problem. Our experiments demonstrate that Coupled Adam significantly improves the quality of embeddings, while also leading to better upstream and downstream performance on large enough datasets.")</f>
        <v>Despite their remarkable capabilities, LLMs learn word representations that exhibit the undesirable yet poorly understood feature of anisotropy. In this paper, we argue that the second moment in Adam is a cause of anisotropic embeddings, and suggest a modified optimizer called Coupled Adam to mitigate the problem. Our experiments demonstrate that Coupled Adam significantly improves the quality of embeddings, while also leading to better upstream and downstream performance on large enough datasets.</v>
      </c>
      <c r="D2979" s="7" t="str">
        <f>IFERROR(__xludf.DUMMYFUNCTION("""COMPUTED_VALUE"""),"Felix Stollenwerk")</f>
        <v>Felix Stollenwerk</v>
      </c>
      <c r="E2979" s="7" t="str">
        <f>IFERROR(__xludf.DUMMYFUNCTION("""COMPUTED_VALUE"""),"Yes")</f>
        <v>Yes</v>
      </c>
      <c r="F2979" s="7" t="str">
        <f>IFERROR(__xludf.DUMMYFUNCTION("""COMPUTED_VALUE"""),"IP-Poster")</f>
        <v>IP-Poster</v>
      </c>
      <c r="G2979" s="7" t="str">
        <f>IFERROR(__xludf.DUMMYFUNCTION("""COMPUTED_VALUE"""),"In-Person")</f>
        <v>In-Person</v>
      </c>
      <c r="H2979" s="7" t="str">
        <f>IFERROR(__xludf.DUMMYFUNCTION("""COMPUTED_VALUE"""),"Hall 4/5")</f>
        <v>Hall 4/5</v>
      </c>
      <c r="I2979" s="7" t="str">
        <f>IFERROR(__xludf.DUMMYFUNCTION("""COMPUTED_VALUE"""),"Session 7: IP-Posters")</f>
        <v>Session 7: IP-Posters</v>
      </c>
      <c r="J2979" s="7" t="str">
        <f>IFERROR(__xludf.DUMMYFUNCTION("""COMPUTED_VALUE"""),"Poster Session 2")</f>
        <v>Poster Session 2</v>
      </c>
      <c r="K2979" s="7"/>
      <c r="L2979" s="8">
        <f>IFERROR(__xludf.DUMMYFUNCTION("""COMPUTED_VALUE"""),45867.0)</f>
        <v>45867</v>
      </c>
      <c r="M2979" s="7" t="str">
        <f>IFERROR(__xludf.DUMMYFUNCTION("""COMPUTED_VALUE"""),"10:30-12:00")</f>
        <v>10:30-12:00</v>
      </c>
      <c r="N2979" s="7"/>
    </row>
    <row r="2980">
      <c r="A2980" s="7" t="str">
        <f>IFERROR(__xludf.DUMMYFUNCTION("""COMPUTED_VALUE"""),"3941-MAIN")</f>
        <v>3941-MAIN</v>
      </c>
      <c r="B2980" s="7" t="str">
        <f>IFERROR(__xludf.DUMMYFUNCTION("""COMPUTED_VALUE"""),"Bone Soups: A Seek-and-Soup Model Merging Approach for Controllable Multi-Objective Generation")</f>
        <v>Bone Soups: A Seek-and-Soup Model Merging Approach for Controllable Multi-Objective Generation</v>
      </c>
      <c r="C2980" s="7" t="str">
        <f>IFERROR(__xludf.DUMMYFUNCTION("""COMPUTED_VALUE"""),"User information needs are often highly diverse and varied. A key challenge in current research is how to achieve controllable multi-objective generation while enabling rapid adaptation to accommodate diverse user demands during test time. Existing soluti"&amp;"ons, such as Rewarded Soup, focus on merging language models individually tuned on single objectives. While easy to implement and widely used, these approaches face limitations in achieving optimal performance due to their disregard for the impacts of com"&amp;"peting objectives on model tuning. To address this issue, we propose **Bone Soup**, a novel model merging approach that first seeks a series of back**bone** models by considering the impacts of multiple objectives and then makes the **soup** (i.e., merge "&amp;"the backbone models). 
Specifically, Bone Soup begins by training multiple backbone models for different objectives using multi-objective reinforcement learning. Each backbone model is guided by a combination of backbone reward signals. To ensure that the"&amp;"se models are optimal for the Pareto front, the backbone rewards are crafted by combining standard reward functions into basis vectors, which can then be modified through a rule-based construction method. Bone Soup leverages a symmetric circulant matrix m"&amp;"apping to generate the merging coefficients, which are used to merge the backbone models according to user preferences.
Extensive experimental results demonstrate that Bone Soup exhibits strong controllability and Pareto optimality in controllable multi-o"&amp;"bjective generation, providing a more effective and efficient approach to addressing diverse user needs at test time.")</f>
        <v>User information needs are often highly diverse and varied. A key challenge in current research is how to achieve controllable multi-objective generation while enabling rapid adaptation to accommodate diverse user demands during test time. Existing solutions, such as Rewarded Soup, focus on merging language models individually tuned on single objectives. While easy to implement and widely used, these approaches face limitations in achieving optimal performance due to their disregard for the impacts of competing objectives on model tuning. To address this issue, we propose **Bone Soup**, a novel model merging approach that first seeks a series of back**bone** models by considering the impacts of multiple objectives and then makes the **soup** (i.e., merge the backbone models). 
Specifically, Bone Soup begins by training multiple backbone models for different objectives using multi-objective reinforcement learning. Each backbone model is guided by a combination of backbone reward signals. To ensure that these models are optimal for the Pareto front, the backbone rewards are crafted by combining standard reward functions into basis vectors, which can then be modified through a rule-based construction method. Bone Soup leverages a symmetric circulant matrix mapping to generate the merging coefficients, which are used to merge the backbone models according to user preferences.
Extensive experimental results demonstrate that Bone Soup exhibits strong controllability and Pareto optimality in controllable multi-objective generation, providing a more effective and efficient approach to addressing diverse user needs at test time.</v>
      </c>
      <c r="D2980" s="7" t="str">
        <f>IFERROR(__xludf.DUMMYFUNCTION("""COMPUTED_VALUE"""),"Guofu Xie")</f>
        <v>Guofu Xie</v>
      </c>
      <c r="E2980" s="7" t="str">
        <f>IFERROR(__xludf.DUMMYFUNCTION("""COMPUTED_VALUE"""),"Yes")</f>
        <v>Yes</v>
      </c>
      <c r="F2980" s="7" t="str">
        <f>IFERROR(__xludf.DUMMYFUNCTION("""COMPUTED_VALUE"""),"IP-Poster")</f>
        <v>IP-Poster</v>
      </c>
      <c r="G2980" s="7" t="str">
        <f>IFERROR(__xludf.DUMMYFUNCTION("""COMPUTED_VALUE"""),"In-Person")</f>
        <v>In-Person</v>
      </c>
      <c r="H2980" s="7" t="str">
        <f>IFERROR(__xludf.DUMMYFUNCTION("""COMPUTED_VALUE"""),"Hall 4/5")</f>
        <v>Hall 4/5</v>
      </c>
      <c r="I2980" s="7" t="str">
        <f>IFERROR(__xludf.DUMMYFUNCTION("""COMPUTED_VALUE"""),"Session 7: IP-Posters")</f>
        <v>Session 7: IP-Posters</v>
      </c>
      <c r="J2980" s="7" t="str">
        <f>IFERROR(__xludf.DUMMYFUNCTION("""COMPUTED_VALUE"""),"Poster Session 2")</f>
        <v>Poster Session 2</v>
      </c>
      <c r="K2980" s="7"/>
      <c r="L2980" s="8">
        <f>IFERROR(__xludf.DUMMYFUNCTION("""COMPUTED_VALUE"""),45867.0)</f>
        <v>45867</v>
      </c>
      <c r="M2980" s="7" t="str">
        <f>IFERROR(__xludf.DUMMYFUNCTION("""COMPUTED_VALUE"""),"10:30-12:00")</f>
        <v>10:30-12:00</v>
      </c>
      <c r="N2980" s="7"/>
    </row>
    <row r="2981">
      <c r="A2981" s="7" t="str">
        <f>IFERROR(__xludf.DUMMYFUNCTION("""COMPUTED_VALUE"""),"3942-MAIN")</f>
        <v>3942-MAIN</v>
      </c>
      <c r="B2981" s="7" t="str">
        <f>IFERROR(__xludf.DUMMYFUNCTION("""COMPUTED_VALUE"""),"Controllable and Reliable Knowledge-Intensive Task Agents with Declarative GenieWorksheets")</f>
        <v>Controllable and Reliable Knowledge-Intensive Task Agents with Declarative GenieWorksheets</v>
      </c>
      <c r="C2981" s="7" t="str">
        <f>IFERROR(__xludf.DUMMYFUNCTION("""COMPUTED_VALUE"""),"Large Language Models are capable of carrying out human-like conversations in diverse settings in response to user requests for tasks and knowledge. However, existing conversational agents implemented with LLMs often struggle with hallucination, following"&amp;" instructions with conditional logic, and integrating knowledge from different sources. These shortcomings compromise the agents’ effectiveness, rendering them unsuitable for deployment. To address these challenges, we introduce Genie, a programmable fram"&amp;"ework for creating knowledge-intensive task-oriented conversational agents that handle involved interactions and answer complex queries. Unlike LLMs, Genie delivers reliable, grounded responses through advanced dialogue state management and supports contr"&amp;"ollable agent policies via its declarative specification – Genie Worksheet. This is achieved through an algorithmic runtime system that implements the developer-supplied policy, limiting LLMs to (1) parse user input using a succinct conversational history"&amp;", and (2) generate responses according to supplied content. Agents built with Genie outperform SOTA methods on complex logic dialogue datasets by up to 20.5%. We conducted a user study with 62 participants. Genie agents with GPT-4 Turbo outperformed the G"&amp;"PT-4 Turbo agents with function calling, improving goal completion rates from 21.8% to 82.8% across three real-world tasks.")</f>
        <v>Large Language Models are capable of carrying out human-like conversations in diverse settings in response to user requests for tasks and knowledge. However, existing conversational agents implemented with LLMs often struggle with hallucination, following instructions with conditional logic, and integrating knowledge from different sources. These shortcomings compromise the agents’ effectiveness, rendering them unsuitable for deployment. To address these challenges, we introduce Genie, a programmable framework for creating knowledge-intensive task-oriented conversational agents that handle involved interactions and answer complex queries. Unlike LLMs, Genie delivers reliable, grounded responses through advanced dialogue state management and supports controllable agent policies via its declarative specification – Genie Worksheet. This is achieved through an algorithmic runtime system that implements the developer-supplied policy, limiting LLMs to (1) parse user input using a succinct conversational history, and (2) generate responses according to supplied content. Agents built with Genie outperform SOTA methods on complex logic dialogue datasets by up to 20.5%. We conducted a user study with 62 participants. Genie agents with GPT-4 Turbo outperformed the GPT-4 Turbo agents with function calling, improving goal completion rates from 21.8% to 82.8% across three real-world tasks.</v>
      </c>
      <c r="D2981" s="7" t="str">
        <f>IFERROR(__xludf.DUMMYFUNCTION("""COMPUTED_VALUE"""),"Harshit Joshi")</f>
        <v>Harshit Joshi</v>
      </c>
      <c r="E2981" s="7" t="str">
        <f>IFERROR(__xludf.DUMMYFUNCTION("""COMPUTED_VALUE"""),"Yes")</f>
        <v>Yes</v>
      </c>
      <c r="F2981" s="7" t="str">
        <f>IFERROR(__xludf.DUMMYFUNCTION("""COMPUTED_VALUE"""),"IP-Poster")</f>
        <v>IP-Poster</v>
      </c>
      <c r="G2981" s="7" t="str">
        <f>IFERROR(__xludf.DUMMYFUNCTION("""COMPUTED_VALUE"""),"In-Person")</f>
        <v>In-Person</v>
      </c>
      <c r="H2981" s="7" t="str">
        <f>IFERROR(__xludf.DUMMYFUNCTION("""COMPUTED_VALUE"""),"Hall 4/5")</f>
        <v>Hall 4/5</v>
      </c>
      <c r="I2981" s="7" t="str">
        <f>IFERROR(__xludf.DUMMYFUNCTION("""COMPUTED_VALUE"""),"Session 2: IP-Posters ")</f>
        <v>Session 2: IP-Posters </v>
      </c>
      <c r="J2981" s="7" t="str">
        <f>IFERROR(__xludf.DUMMYFUNCTION("""COMPUTED_VALUE"""),"Poster Session 1")</f>
        <v>Poster Session 1</v>
      </c>
      <c r="K2981" s="7"/>
      <c r="L2981" s="8">
        <f>IFERROR(__xludf.DUMMYFUNCTION("""COMPUTED_VALUE"""),45866.0)</f>
        <v>45866</v>
      </c>
      <c r="M2981" s="7" t="str">
        <f>IFERROR(__xludf.DUMMYFUNCTION("""COMPUTED_VALUE"""),"11:00-12:30")</f>
        <v>11:00-12:30</v>
      </c>
      <c r="N2981" s="7"/>
    </row>
    <row r="2982">
      <c r="A2982" s="7" t="str">
        <f>IFERROR(__xludf.DUMMYFUNCTION("""COMPUTED_VALUE"""),"3943-MAIN")</f>
        <v>3943-MAIN</v>
      </c>
      <c r="B2982" s="7" t="str">
        <f>IFERROR(__xludf.DUMMYFUNCTION("""COMPUTED_VALUE"""),"Benchmarking Long-Context Language Models on Long Code Understanding")</f>
        <v>Benchmarking Long-Context Language Models on Long Code Understanding</v>
      </c>
      <c r="C2982" s="7" t="str">
        <f>IFERROR(__xludf.DUMMYFUNCTION("""COMPUTED_VALUE"""),"Current advanced long-context language models offer great potential for real-world software engineering applications. However, progress in this critical domain remains hampered by a fundamental limitation: the absence of a rigorous evaluation framework fo"&amp;"r long code understanding. To gap this obstacle, we propose a long code understanding benchmark LongCodeU from four aspects (8 tasks) to evaluate LCLMs' long code understanding ability required for practical applications, including code unit perception, i"&amp;"ntra-code unit understanding, inter-code unit relation understanding, and long code documentation understanding. We evaluate 9 popular LCLMs on LongCodeU (i.e., 6 general models and 3 code models). Our experimental results reveal key limitations in curren"&amp;"t LCLMs’ capabilities for long code understanding. Particularly, the performance of LCLMs drops dramatically when the long code length is greater than 32K, falling far short of their claimed 128K to 1M context windows. In the four aspects, inter-code unit"&amp;" relation understanding is the most challenging for LCLMs. Our study provides valuable insights for optimizing LCLMs and driving advancements in software engineering.")</f>
        <v>Current advanced long-context language models offer great potential for real-world software engineering applications. However, progress in this critical domain remains hampered by a fundamental limitation: the absence of a rigorous evaluation framework for long code understanding. To gap this obstacle, we propose a long code understanding benchmark LongCodeU from four aspects (8 tasks) to evaluate LCLMs' long code understanding ability required for practical applications, including code unit perception, intra-code unit understanding, inter-code unit relation understanding, and long code documentation understanding. We evaluate 9 popular LCLMs on LongCodeU (i.e., 6 general models and 3 code models). Our experimental results reveal key limitations in current LCLMs’ capabilities for long code understanding. Particularly, the performance of LCLMs drops dramatically when the long code length is greater than 32K, falling far short of their claimed 128K to 1M context windows. In the four aspects, inter-code unit relation understanding is the most challenging for LCLMs. Our study provides valuable insights for optimizing LCLMs and driving advancements in software engineering.</v>
      </c>
      <c r="D2982" s="7" t="str">
        <f>IFERROR(__xludf.DUMMYFUNCTION("""COMPUTED_VALUE"""),"Jia Li")</f>
        <v>Jia Li</v>
      </c>
      <c r="E2982" s="7" t="str">
        <f>IFERROR(__xludf.DUMMYFUNCTION("""COMPUTED_VALUE"""),"Yes")</f>
        <v>Yes</v>
      </c>
      <c r="F2982" s="7" t="str">
        <f>IFERROR(__xludf.DUMMYFUNCTION("""COMPUTED_VALUE"""),"IP-Poster")</f>
        <v>IP-Poster</v>
      </c>
      <c r="G2982" s="7" t="str">
        <f>IFERROR(__xludf.DUMMYFUNCTION("""COMPUTED_VALUE"""),"In-Person")</f>
        <v>In-Person</v>
      </c>
      <c r="H2982" s="7" t="str">
        <f>IFERROR(__xludf.DUMMYFUNCTION("""COMPUTED_VALUE"""),"Hall 4/5")</f>
        <v>Hall 4/5</v>
      </c>
      <c r="I2982" s="7" t="str">
        <f>IFERROR(__xludf.DUMMYFUNCTION("""COMPUTED_VALUE"""),"Session 2: IP-Posters ")</f>
        <v>Session 2: IP-Posters </v>
      </c>
      <c r="J2982" s="7" t="str">
        <f>IFERROR(__xludf.DUMMYFUNCTION("""COMPUTED_VALUE"""),"Poster Session 1")</f>
        <v>Poster Session 1</v>
      </c>
      <c r="K2982" s="7"/>
      <c r="L2982" s="8">
        <f>IFERROR(__xludf.DUMMYFUNCTION("""COMPUTED_VALUE"""),45866.0)</f>
        <v>45866</v>
      </c>
      <c r="M2982" s="7" t="str">
        <f>IFERROR(__xludf.DUMMYFUNCTION("""COMPUTED_VALUE"""),"11:00-12:30")</f>
        <v>11:00-12:30</v>
      </c>
      <c r="N2982" s="7"/>
    </row>
    <row r="2983">
      <c r="A2983" s="7" t="str">
        <f>IFERROR(__xludf.DUMMYFUNCTION("""COMPUTED_VALUE"""),"3948-MAIN")</f>
        <v>3948-MAIN</v>
      </c>
      <c r="B2983" s="7" t="str">
        <f>IFERROR(__xludf.DUMMYFUNCTION("""COMPUTED_VALUE"""),"MAGNET: Augmenting Generative Decoders with Representation Learning and Infilling Capabilities")</f>
        <v>MAGNET: Augmenting Generative Decoders with Representation Learning and Infilling Capabilities</v>
      </c>
      <c r="C2983" s="7" t="str">
        <f>IFERROR(__xludf.DUMMYFUNCTION("""COMPUTED_VALUE"""),"While originally designed for unidirectional generative modeling, decoder-only large language models (LLMs) are increasingly being adapted for bidirectional modeling. However, unidirectional and bidirectional models are typically trained separately with d"&amp;"istinct objectives (generation and representation learning). This separation overlooks the opportunity for developing a more versatile language model and for these objectives to complement each other. In this work, we propose MAGNET, a method for adapting"&amp;" decoder-only LLMs to generate robust representations and infill missing text spans. MAGNET employs three self-supervised training objectives and introduces an attention mechanism that combines bidirectional and causal attention, enabling unified training"&amp;" across all objectives. Our results demonstrate that LLMs adapted with MAGNET (1) surpass strong text encoders on token-level and sentence-level representation learning tasks, (2) generate contextually appropriate text infills by leveraging past and futur"&amp;"e contexts, (3) perform open-ended text generation without excessive repetition of words or phrases, and (4) preserve the knowledge and reasoning capability gained by the LLM during pretraining.")</f>
        <v>While originally designed for unidirectional generative modeling, decoder-only large language models (LLMs) are increasingly being adapted for bidirectional modeling. However, unidirectional and bidirectional models are typically trained separately with distinct objectives (generation and representation learning). This separation overlooks the opportunity for developing a more versatile language model and for these objectives to complement each other. In this work, we propose MAGNET, a method for adapting decoder-only LLMs to generate robust representations and infill missing text spans. MAGNET employs three self-supervised training objectives and introduces an attention mechanism that combines bidirectional and causal attention, enabling unified training across all objectives. Our results demonstrate that LLMs adapted with MAGNET (1) surpass strong text encoders on token-level and sentence-level representation learning tasks, (2) generate contextually appropriate text infills by leveraging past and future contexts, (3) perform open-ended text generation without excessive repetition of words or phrases, and (4) preserve the knowledge and reasoning capability gained by the LLM during pretraining.</v>
      </c>
      <c r="D2983" s="7" t="str">
        <f>IFERROR(__xludf.DUMMYFUNCTION("""COMPUTED_VALUE"""),"Simon Jenni")</f>
        <v>Simon Jenni</v>
      </c>
      <c r="E2983" s="7" t="str">
        <f>IFERROR(__xludf.DUMMYFUNCTION("""COMPUTED_VALUE"""),"Yes")</f>
        <v>Yes</v>
      </c>
      <c r="F2983" s="7" t="str">
        <f>IFERROR(__xludf.DUMMYFUNCTION("""COMPUTED_VALUE"""),"IP-Poster")</f>
        <v>IP-Poster</v>
      </c>
      <c r="G2983" s="7" t="str">
        <f>IFERROR(__xludf.DUMMYFUNCTION("""COMPUTED_VALUE"""),"In-Person")</f>
        <v>In-Person</v>
      </c>
      <c r="H2983" s="7" t="str">
        <f>IFERROR(__xludf.DUMMYFUNCTION("""COMPUTED_VALUE"""),"Hall 4/5")</f>
        <v>Hall 4/5</v>
      </c>
      <c r="I2983" s="7" t="str">
        <f>IFERROR(__xludf.DUMMYFUNCTION("""COMPUTED_VALUE"""),"Session 10: IP-Posters")</f>
        <v>Session 10: IP-Posters</v>
      </c>
      <c r="J2983" s="7" t="str">
        <f>IFERROR(__xludf.DUMMYFUNCTION("""COMPUTED_VALUE"""),"Poster Session 3")</f>
        <v>Poster Session 3</v>
      </c>
      <c r="K2983" s="7"/>
      <c r="L2983" s="8">
        <f>IFERROR(__xludf.DUMMYFUNCTION("""COMPUTED_VALUE"""),45867.0)</f>
        <v>45867</v>
      </c>
      <c r="M2983" s="7" t="str">
        <f>IFERROR(__xludf.DUMMYFUNCTION("""COMPUTED_VALUE"""),"16:00-17:30")</f>
        <v>16:00-17:30</v>
      </c>
      <c r="N2983" s="7"/>
    </row>
    <row r="2984">
      <c r="A2984" s="7" t="str">
        <f>IFERROR(__xludf.DUMMYFUNCTION("""COMPUTED_VALUE"""),"3951-MAIN")</f>
        <v>3951-MAIN</v>
      </c>
      <c r="B2984" s="7" t="str">
        <f>IFERROR(__xludf.DUMMYFUNCTION("""COMPUTED_VALUE"""),"Internal Value Alignment in Large Language Models through Controlled Value Vector Activation")</f>
        <v>Internal Value Alignment in Large Language Models through Controlled Value Vector Activation</v>
      </c>
      <c r="C2984" s="7" t="str">
        <f>IFERROR(__xludf.DUMMYFUNCTION("""COMPUTED_VALUE"""),"Aligning Large Language Models (LLMs) with human values has attracted increasing attention since it provides clarity, transparency, and the ability to adapt to evolving scenarios. In this paper, we introduce a Controlled Value Vector Activation (ConVA) me"&amp;"thod that directly aligns the internal values of LLMs by interpreting how a value is encoded in their latent representations and modifies relevant activations to ensure consistent values in LLMs. To ensure an accurate and unbiased interpretation, we propo"&amp;"se a context-controlled value vector identification method. To consistently control values without sacrificing model performance, we introduce a gated value vector activation method for effective and minimum degree of value control. Experiments show that "&amp;"our method achieves the highest control success rate across 10 basic values without hurting LLM performance and fluency, and ensures target values even with opposite and potentially malicious input prompts. Source code and data are available at https://gi"&amp;"thub.com/hr-jin/ConVA.")</f>
        <v>Aligning Large Language Models (LLMs) with human values has attracted increasing attention since it provides clarity, transparency, and the ability to adapt to evolving scenarios. In this paper, we introduce a Controlled Value Vector Activation (ConVA) method that directly aligns the internal values of LLMs by interpreting how a value is encoded in their latent representations and modifies relevant activations to ensure consistent values in LLMs. To ensure an accurate and unbiased interpretation, we propose a context-controlled value vector identification method. To consistently control values without sacrificing model performance, we introduce a gated value vector activation method for effective and minimum degree of value control. Experiments show that our method achieves the highest control success rate across 10 basic values without hurting LLM performance and fluency, and ensures target values even with opposite and potentially malicious input prompts. Source code and data are available at https://github.com/hr-jin/ConVA.</v>
      </c>
      <c r="D2984" s="7" t="str">
        <f>IFERROR(__xludf.DUMMYFUNCTION("""COMPUTED_VALUE"""),"Haoran Jin")</f>
        <v>Haoran Jin</v>
      </c>
      <c r="E2984" s="7" t="str">
        <f>IFERROR(__xludf.DUMMYFUNCTION("""COMPUTED_VALUE"""),"Yes")</f>
        <v>Yes</v>
      </c>
      <c r="F2984" s="7" t="str">
        <f>IFERROR(__xludf.DUMMYFUNCTION("""COMPUTED_VALUE"""),"IP-Poster")</f>
        <v>IP-Poster</v>
      </c>
      <c r="G2984" s="7" t="str">
        <f>IFERROR(__xludf.DUMMYFUNCTION("""COMPUTED_VALUE"""),"In-Person")</f>
        <v>In-Person</v>
      </c>
      <c r="H2984" s="7" t="str">
        <f>IFERROR(__xludf.DUMMYFUNCTION("""COMPUTED_VALUE"""),"Hall 4/5")</f>
        <v>Hall 4/5</v>
      </c>
      <c r="I2984" s="7" t="str">
        <f>IFERROR(__xludf.DUMMYFUNCTION("""COMPUTED_VALUE"""),"Session 2: IP-Posters ")</f>
        <v>Session 2: IP-Posters </v>
      </c>
      <c r="J2984" s="7" t="str">
        <f>IFERROR(__xludf.DUMMYFUNCTION("""COMPUTED_VALUE"""),"Poster Session 1")</f>
        <v>Poster Session 1</v>
      </c>
      <c r="K2984" s="7"/>
      <c r="L2984" s="8">
        <f>IFERROR(__xludf.DUMMYFUNCTION("""COMPUTED_VALUE"""),45866.0)</f>
        <v>45866</v>
      </c>
      <c r="M2984" s="7" t="str">
        <f>IFERROR(__xludf.DUMMYFUNCTION("""COMPUTED_VALUE"""),"11:00-12:30")</f>
        <v>11:00-12:30</v>
      </c>
      <c r="N2984" s="7"/>
    </row>
    <row r="2985">
      <c r="A2985" s="7" t="str">
        <f>IFERROR(__xludf.DUMMYFUNCTION("""COMPUTED_VALUE"""),"3953-MAIN")</f>
        <v>3953-MAIN</v>
      </c>
      <c r="B2985" s="7" t="str">
        <f>IFERROR(__xludf.DUMMYFUNCTION("""COMPUTED_VALUE"""),"A Dual-Perspective NLG Meta-Evaluation Framework with Automatic Benchmark and Better Interpretability")</f>
        <v>A Dual-Perspective NLG Meta-Evaluation Framework with Automatic Benchmark and Better Interpretability</v>
      </c>
      <c r="C2985" s="7" t="str">
        <f>IFERROR(__xludf.DUMMYFUNCTION("""COMPUTED_VALUE"""),"In NLG meta-evaluation, evaluation metrics are typically assessed based on their consistency with humans. However, we identify some limitations in traditional NLG meta-evaluation approaches, such as issues in handling human ratings and ambiguous selection"&amp;"s of correlation measures, which undermine the effectiveness of meta-evaluation. In this work, we propose a dual-perspective NLG meta-evaluation framework that focuses on different evaluation capabilities, thereby providing better interpretability. In add"&amp;"ition, we introduce a method of automatically constructing the corresponding benchmarks without requiring new human annotations. Furthermore, we conduct experiments with 16 representative LLMs as the evaluators based on our proposed framework, comprehensi"&amp;"vely analyzing their evaluation performance from different perspectives.")</f>
        <v>In NLG meta-evaluation, evaluation metrics are typically assessed based on their consistency with humans. However, we identify some limitations in traditional NLG meta-evaluation approaches, such as issues in handling human ratings and ambiguous selections of correlation measures, which undermine the effectiveness of meta-evaluation. In this work, we propose a dual-perspective NLG meta-evaluation framework that focuses on different evaluation capabilities, thereby providing better interpretability. In addition, we introduce a method of automatically constructing the corresponding benchmarks without requiring new human annotations. Furthermore, we conduct experiments with 16 representative LLMs as the evaluators based on our proposed framework, comprehensively analyzing their evaluation performance from different perspectives.</v>
      </c>
      <c r="D2985" s="7" t="str">
        <f>IFERROR(__xludf.DUMMYFUNCTION("""COMPUTED_VALUE"""),"Xinyu Hu")</f>
        <v>Xinyu Hu</v>
      </c>
      <c r="E2985" s="7" t="str">
        <f>IFERROR(__xludf.DUMMYFUNCTION("""COMPUTED_VALUE"""),"Yes")</f>
        <v>Yes</v>
      </c>
      <c r="F2985" s="7" t="str">
        <f>IFERROR(__xludf.DUMMYFUNCTION("""COMPUTED_VALUE"""),"IP-Poster")</f>
        <v>IP-Poster</v>
      </c>
      <c r="G2985" s="7" t="str">
        <f>IFERROR(__xludf.DUMMYFUNCTION("""COMPUTED_VALUE"""),"In-Person")</f>
        <v>In-Person</v>
      </c>
      <c r="H2985" s="7" t="str">
        <f>IFERROR(__xludf.DUMMYFUNCTION("""COMPUTED_VALUE"""),"Hall 4/5")</f>
        <v>Hall 4/5</v>
      </c>
      <c r="I2985" s="7" t="str">
        <f>IFERROR(__xludf.DUMMYFUNCTION("""COMPUTED_VALUE"""),"Session 12: IP-Posters")</f>
        <v>Session 12: IP-Posters</v>
      </c>
      <c r="J2985" s="7" t="str">
        <f>IFERROR(__xludf.DUMMYFUNCTION("""COMPUTED_VALUE"""),"Poster Session 4")</f>
        <v>Poster Session 4</v>
      </c>
      <c r="K2985" s="7"/>
      <c r="L2985" s="8">
        <f>IFERROR(__xludf.DUMMYFUNCTION("""COMPUTED_VALUE"""),45868.0)</f>
        <v>45868</v>
      </c>
      <c r="M2985" s="7" t="str">
        <f>IFERROR(__xludf.DUMMYFUNCTION("""COMPUTED_VALUE"""),"11:00-12:30")</f>
        <v>11:00-12:30</v>
      </c>
      <c r="N2985" s="7"/>
    </row>
    <row r="2986">
      <c r="A2986" s="7" t="str">
        <f>IFERROR(__xludf.DUMMYFUNCTION("""COMPUTED_VALUE"""),"3954-MAIN")</f>
        <v>3954-MAIN</v>
      </c>
      <c r="B2986" s="7" t="str">
        <f>IFERROR(__xludf.DUMMYFUNCTION("""COMPUTED_VALUE"""),"Recurrent Knowledge Localization and Fusion for Language Model Continual Learning")</f>
        <v>Recurrent Knowledge Localization and Fusion for Language Model Continual Learning</v>
      </c>
      <c r="C2986" s="7" t="str">
        <f>IFERROR(__xludf.DUMMYFUNCTION("""COMPUTED_VALUE"""),"Continual learning (CL) is crucial for deploying large language models (LLMs) in dynamic real-world environments without costly retraining. 
While recent model ensemble and model merging methods guided by parameter importance have gained popularity, they "&amp;"often struggle to balance knowledge transfer and forgetting, mainly due to the reliance on static importance estimates during sequential training. In this paper, we present Recurrent-KIF, a novel CL framework for Recurrent Knowledge Identification and Fus"&amp;"ion, which enables dynamic estimation of parameter importance distributions to enhance knowledge transfer. Inspired by human continual learning, Recurrent-KIF employs an inner loop that rapidly adapts to new tasks while identifying important parameters, c"&amp;"oupled with an outer loop that globally manages the fusion of new and historical knowledge through redundant knowledge pruning and key knowledge merging. These inner-outer loops iteratively perform multiple rounds of fusion, allowing Recurrent-KIF to leve"&amp;"rage intermediate training information and adaptively adjust fusion strategies based on evolving importance distributions. Extensive experiments on two CL benchmarks with various model sizes (from 770M to 13B) demonstrate that Recurrent-KIF effectively mi"&amp;"tigates catastrophic forgetting and enhances knowledge transfer.")</f>
        <v>Continual learning (CL) is crucial for deploying large language models (LLMs) in dynamic real-world environments without costly retraining. 
While recent model ensemble and model merging methods guided by parameter importance have gained popularity, they often struggle to balance knowledge transfer and forgetting, mainly due to the reliance on static importance estimates during sequential training. In this paper, we present Recurrent-KIF, a novel CL framework for Recurrent Knowledge Identification and Fusion, which enables dynamic estimation of parameter importance distributions to enhance knowledge transfer. Inspired by human continual learning, Recurrent-KIF employs an inner loop that rapidly adapts to new tasks while identifying important parameters, coupled with an outer loop that globally manages the fusion of new and historical knowledge through redundant knowledge pruning and key knowledge merging. These inner-outer loops iteratively perform multiple rounds of fusion, allowing Recurrent-KIF to leverage intermediate training information and adaptively adjust fusion strategies based on evolving importance distributions. Extensive experiments on two CL benchmarks with various model sizes (from 770M to 13B) demonstrate that Recurrent-KIF effectively mitigates catastrophic forgetting and enhances knowledge transfer.</v>
      </c>
      <c r="D2986" s="7" t="str">
        <f>IFERROR(__xludf.DUMMYFUNCTION("""COMPUTED_VALUE"""),"Yujie Feng")</f>
        <v>Yujie Feng</v>
      </c>
      <c r="E2986" s="7" t="str">
        <f>IFERROR(__xludf.DUMMYFUNCTION("""COMPUTED_VALUE"""),"Yes")</f>
        <v>Yes</v>
      </c>
      <c r="F2986" s="7" t="str">
        <f>IFERROR(__xludf.DUMMYFUNCTION("""COMPUTED_VALUE"""),"IP-Poster")</f>
        <v>IP-Poster</v>
      </c>
      <c r="G2986" s="7" t="str">
        <f>IFERROR(__xludf.DUMMYFUNCTION("""COMPUTED_VALUE"""),"In-Person")</f>
        <v>In-Person</v>
      </c>
      <c r="H2986" s="7" t="str">
        <f>IFERROR(__xludf.DUMMYFUNCTION("""COMPUTED_VALUE"""),"Hall 4/5")</f>
        <v>Hall 4/5</v>
      </c>
      <c r="I2986" s="7" t="str">
        <f>IFERROR(__xludf.DUMMYFUNCTION("""COMPUTED_VALUE"""),"Session 7: IP-Posters")</f>
        <v>Session 7: IP-Posters</v>
      </c>
      <c r="J2986" s="7" t="str">
        <f>IFERROR(__xludf.DUMMYFUNCTION("""COMPUTED_VALUE"""),"Poster Session 2")</f>
        <v>Poster Session 2</v>
      </c>
      <c r="K2986" s="7"/>
      <c r="L2986" s="8">
        <f>IFERROR(__xludf.DUMMYFUNCTION("""COMPUTED_VALUE"""),45867.0)</f>
        <v>45867</v>
      </c>
      <c r="M2986" s="7" t="str">
        <f>IFERROR(__xludf.DUMMYFUNCTION("""COMPUTED_VALUE"""),"10:30-12:00")</f>
        <v>10:30-12:00</v>
      </c>
      <c r="N2986" s="7"/>
    </row>
    <row r="2987">
      <c r="A2987" s="7" t="str">
        <f>IFERROR(__xludf.DUMMYFUNCTION("""COMPUTED_VALUE"""),"3955-MAIN")</f>
        <v>3955-MAIN</v>
      </c>
      <c r="B2987" s="7" t="str">
        <f>IFERROR(__xludf.DUMMYFUNCTION("""COMPUTED_VALUE"""),"Data-Constrained Synthesis of Training Data for De-Identification")</f>
        <v>Data-Constrained Synthesis of Training Data for De-Identification</v>
      </c>
      <c r="C2987" s="7" t="str">
        <f>IFERROR(__xludf.DUMMYFUNCTION("""COMPUTED_VALUE"""),"Many sensitive domains — such as the clinical domain — lack widely available datasets due to privacy risks. The increasing generative capabilities of large language models (LLMs) have made synthetic datasets a viable path forward. In this study, we domain"&amp;"-adapt LLMs to the clinical domain and generate synthetic clinical texts that are machine-annotated with tags for personally identifiable information using capable encoder-based NER models. The synthetic corpora are then used to train synthetic NER models"&amp;". The results show that training NER models using synthetic corpora incurs only a small drop in predictive performance. The limits of this process are investigated in a systematic ablation study — using both Swedish and Spanish data. Our analysis shows th"&amp;"at smaller datasets can be sufficient for domain-adapting LLMs for data synthesis. Instead, the effectiveness of this process is almost entirely contingent on the performance of the machine-annotating NER models trained using the original data.")</f>
        <v>Many sensitive domains — such as the clinical domain — lack widely available datasets due to privacy risks. The increasing generative capabilities of large language models (LLMs) have made synthetic datasets a viable path forward. In this study, we domain-adapt LLMs to the clinical domain and generate synthetic clinical texts that are machine-annotated with tags for personally identifiable information using capable encoder-based NER models. The synthetic corpora are then used to train synthetic NER models. The results show that training NER models using synthetic corpora incurs only a small drop in predictive performance. The limits of this process are investigated in a systematic ablation study — using both Swedish and Spanish data. Our analysis shows that smaller datasets can be sufficient for domain-adapting LLMs for data synthesis. Instead, the effectiveness of this process is almost entirely contingent on the performance of the machine-annotating NER models trained using the original data.</v>
      </c>
      <c r="D2987" s="7" t="str">
        <f>IFERROR(__xludf.DUMMYFUNCTION("""COMPUTED_VALUE"""),"Thomas Vakili")</f>
        <v>Thomas Vakili</v>
      </c>
      <c r="E2987" s="7" t="str">
        <f>IFERROR(__xludf.DUMMYFUNCTION("""COMPUTED_VALUE"""),"Yes")</f>
        <v>Yes</v>
      </c>
      <c r="F2987" s="7" t="str">
        <f>IFERROR(__xludf.DUMMYFUNCTION("""COMPUTED_VALUE"""),"IP-Oral")</f>
        <v>IP-Oral</v>
      </c>
      <c r="G2987" s="7" t="str">
        <f>IFERROR(__xludf.DUMMYFUNCTION("""COMPUTED_VALUE"""),"In-Person")</f>
        <v>In-Person</v>
      </c>
      <c r="H2987" s="7" t="str">
        <f>IFERROR(__xludf.DUMMYFUNCTION("""COMPUTED_VALUE"""),"Hall M.1")</f>
        <v>Hall M.1</v>
      </c>
      <c r="I2987" s="7" t="str">
        <f>IFERROR(__xludf.DUMMYFUNCTION("""COMPUTED_VALUE"""),"Session 9: IP-Orals")</f>
        <v>Session 9: IP-Orals</v>
      </c>
      <c r="J2987" s="7" t="str">
        <f>IFERROR(__xludf.DUMMYFUNCTION("""COMPUTED_VALUE"""),"Efficient Methods for NLP 1")</f>
        <v>Efficient Methods for NLP 1</v>
      </c>
      <c r="K2987" s="7"/>
      <c r="L2987" s="8">
        <f>IFERROR(__xludf.DUMMYFUNCTION("""COMPUTED_VALUE"""),45867.0)</f>
        <v>45867</v>
      </c>
      <c r="M2987" s="7" t="str">
        <f>IFERROR(__xludf.DUMMYFUNCTION("""COMPUTED_VALUE"""),"14:00-15:30")</f>
        <v>14:00-15:30</v>
      </c>
      <c r="N2987" s="7">
        <f>IFERROR(__xludf.DUMMYFUNCTION("""COMPUTED_VALUE"""),8.0)</f>
        <v>8</v>
      </c>
    </row>
    <row r="2988">
      <c r="A2988" s="7" t="str">
        <f>IFERROR(__xludf.DUMMYFUNCTION("""COMPUTED_VALUE"""),"3956-MAIN")</f>
        <v>3956-MAIN</v>
      </c>
      <c r="B2988" s="7" t="str">
        <f>IFERROR(__xludf.DUMMYFUNCTION("""COMPUTED_VALUE"""),"Just a Scratch: Enhancing LLM Capabilities for Self-harm Detection through Intent Differentiation and Emoji Interpretation")</f>
        <v>Just a Scratch: Enhancing LLM Capabilities for Self-harm Detection through Intent Differentiation and Emoji Interpretation</v>
      </c>
      <c r="C2988" s="7" t="str">
        <f>IFERROR(__xludf.DUMMYFUNCTION("""COMPUTED_VALUE"""),"Self-harm detection on social media is critical for early intervention and mental health support, yet remains challenging due to the subtle, context-dependent nature of such expressions. Identifying self-harm intent aids suicide prevention by enabling tim"&amp;"ely responses, but current large language models (LLMs) struggle to interpret implicit cues in casual language and emojis. This work enhances LLMs’ comprehension of self-harm by distinguishing intent through nuanced language–emoji interplay. We present th"&amp;"e \textit{C}entennial \textit{E}moji \textit{S}ensitivity \textit{M}atrix (\textit{CESM-100})—a curated set of 100 emojis with contextual self-harm interpretations—and the \textit{S}elf-\textit{H}arm \textit{I}dentification a\textit{N}d intent \textit{E}x"&amp;"traction with \textit{S}upportive emoji sensitivity (\textit{SHINES}) dataset, offering detailed annotations for self-harm labels, casual mentions (CMs), and serious intents (SIs). Our unified framework:
a) enriches inputs using CESM-100;
b) fine-tunes LL"&amp;"Ms for multi-task learning—self-harm detection (primary) and CM/SI span detection (auxiliary);
c) generate explainable rationales for self-harm predictions. We evaluate the framework on three state-of-the-art LLMs—Llama 3, Mental-Alpaca, and MentalLlama—a"&amp;"cross zero-shot, few-shot, and fine-tuned scenarios. By coupling intent differentiation with contextual cues, our approach commendably enhances LLM performance in both detection and explanation tasks, effectively addressing the inherent ambiguity in self-"&amp;"harm signals. The \textit{SHINES} dataset, \textit{CESM-100} and codebase are publicly available at: https://www.iitp.ac.in/%7eai-nlp-ml/resources.html#SHINES")</f>
        <v>Self-harm detection on social media is critical for early intervention and mental health support, yet remains challenging due to the subtle, context-dependent nature of such expressions. Identifying self-harm intent aids suicide prevention by enabling timely responses, but current large language models (LLMs) struggle to interpret implicit cues in casual language and emojis. This work enhances LLMs’ comprehension of self-harm by distinguishing intent through nuanced language–emoji interplay. We present the \textit{C}entennial \textit{E}moji \textit{S}ensitivity \textit{M}atrix (\textit{CESM-100})—a curated set of 100 emojis with contextual self-harm interpretations—and the \textit{S}elf-\textit{H}arm \textit{I}dentification a\textit{N}d intent \textit{E}xtraction with \textit{S}upportive emoji sensitivity (\textit{SHINES}) dataset, offering detailed annotations for self-harm labels, casual mentions (CMs), and serious intents (SIs). Our unified framework:
a) enriches inputs using CESM-100;
b) fine-tunes LLMs for multi-task learning—self-harm detection (primary) and CM/SI span detection (auxiliary);
c) generate explainable rationales for self-harm predictions. We evaluate the framework on three state-of-the-art LLMs—Llama 3, Mental-Alpaca, and MentalLlama—across zero-shot, few-shot, and fine-tuned scenarios. By coupling intent differentiation with contextual cues, our approach commendably enhances LLM performance in both detection and explanation tasks, effectively addressing the inherent ambiguity in self-harm signals. The \textit{SHINES} dataset, \textit{CESM-100} and codebase are publicly available at: https://www.iitp.ac.in/%7eai-nlp-ml/resources.html#SHINES</v>
      </c>
      <c r="D2988" s="7" t="str">
        <f>IFERROR(__xludf.DUMMYFUNCTION("""COMPUTED_VALUE"""),"Gopendra Vikram Singh")</f>
        <v>Gopendra Vikram Singh</v>
      </c>
      <c r="E2988" s="7" t="str">
        <f>IFERROR(__xludf.DUMMYFUNCTION("""COMPUTED_VALUE"""),"Yes")</f>
        <v>Yes</v>
      </c>
      <c r="F2988" s="7" t="str">
        <f>IFERROR(__xludf.DUMMYFUNCTION("""COMPUTED_VALUE"""),"V-Presentation")</f>
        <v>V-Presentation</v>
      </c>
      <c r="G2988" s="7" t="str">
        <f>IFERROR(__xludf.DUMMYFUNCTION("""COMPUTED_VALUE"""),"Virtual/Gather")</f>
        <v>Virtual/Gather</v>
      </c>
      <c r="H2988" s="7" t="str">
        <f>IFERROR(__xludf.DUMMYFUNCTION("""COMPUTED_VALUE"""),"Zoom")</f>
        <v>Zoom</v>
      </c>
      <c r="I2988" s="7" t="str">
        <f>IFERROR(__xludf.DUMMYFUNCTION("""COMPUTED_VALUE"""),"Session 2: V-Presentations")</f>
        <v>Session 2: V-Presentations</v>
      </c>
      <c r="J2988" s="7" t="str">
        <f>IFERROR(__xludf.DUMMYFUNCTION("""COMPUTED_VALUE"""),"Virtual Presentations 1")</f>
        <v>Virtual Presentations 1</v>
      </c>
      <c r="K2988" s="7"/>
      <c r="L2988" s="8">
        <f>IFERROR(__xludf.DUMMYFUNCTION("""COMPUTED_VALUE"""),45866.0)</f>
        <v>45866</v>
      </c>
      <c r="M2988" s="7" t="str">
        <f>IFERROR(__xludf.DUMMYFUNCTION("""COMPUTED_VALUE"""),"11:00-12:30")</f>
        <v>11:00-12:30</v>
      </c>
      <c r="N2988" s="7"/>
    </row>
    <row r="2989">
      <c r="A2989" s="7" t="str">
        <f>IFERROR(__xludf.DUMMYFUNCTION("""COMPUTED_VALUE"""),"3961-MAIN")</f>
        <v>3961-MAIN</v>
      </c>
      <c r="B2989" s="7" t="str">
        <f>IFERROR(__xludf.DUMMYFUNCTION("""COMPUTED_VALUE"""),"Contrastive Learning on LLM Back Generation Treebank for Cross-domain Constituency Parsing")</f>
        <v>Contrastive Learning on LLM Back Generation Treebank for Cross-domain Constituency Parsing</v>
      </c>
      <c r="C2989" s="7" t="str">
        <f>IFERROR(__xludf.DUMMYFUNCTION("""COMPUTED_VALUE"""),"Cross-domain constituency parsing is still an unsolved challenge in computational linguistics since the available multi-domain constituency treebank is limited. We investigate automatic treebank generation by large language models (LLMs) in this paper. Th"&amp;"e performance of LLMs on constituency parsing is poor, therefore we propose a novel treebank generation method, LLM back generation, which is similar to the reverse process of constituency parsing. LLM back generation takes the incomplete cross-domain con"&amp;"stituency tree with only domain keyword leaf nodes as input and fills the missing words to generate the cross-domain constituency treebank. Besides, we also introduce a span-level contrastive learning pre-training strategy to make full use of the LLM back"&amp;" generation treebank for cross-domain constituency parsing. We verify the effectiveness of our LLM back generation treebank coupled with contrastive learning pre-training on five target domains of MCTB. Experimental results show that our approach achieves"&amp;" state-of-the-art performance on average results compared with various baselines.")</f>
        <v>Cross-domain constituency parsing is still an unsolved challenge in computational linguistics since the available multi-domain constituency treebank is limited. We investigate automatic treebank generation by large language models (LLMs) in this paper. The performance of LLMs on constituency parsing is poor, therefore we propose a novel treebank generation method, LLM back generation, which is similar to the reverse process of constituency parsing. LLM back generation takes the incomplete cross-domain constituency tree with only domain keyword leaf nodes as input and fills the missing words to generate the cross-domain constituency treebank. Besides, we also introduce a span-level contrastive learning pre-training strategy to make full use of the LLM back generation treebank for cross-domain constituency parsing. We verify the effectiveness of our LLM back generation treebank coupled with contrastive learning pre-training on five target domains of MCTB. Experimental results show that our approach achieves state-of-the-art performance on average results compared with various baselines.</v>
      </c>
      <c r="D2989" s="7" t="str">
        <f>IFERROR(__xludf.DUMMYFUNCTION("""COMPUTED_VALUE"""),"Peiming Guo")</f>
        <v>Peiming Guo</v>
      </c>
      <c r="E2989" s="7" t="str">
        <f>IFERROR(__xludf.DUMMYFUNCTION("""COMPUTED_VALUE"""),"Yes")</f>
        <v>Yes</v>
      </c>
      <c r="F2989" s="7" t="str">
        <f>IFERROR(__xludf.DUMMYFUNCTION("""COMPUTED_VALUE"""),"IP-Poster")</f>
        <v>IP-Poster</v>
      </c>
      <c r="G2989" s="7" t="str">
        <f>IFERROR(__xludf.DUMMYFUNCTION("""COMPUTED_VALUE"""),"In-Person")</f>
        <v>In-Person</v>
      </c>
      <c r="H2989" s="7" t="str">
        <f>IFERROR(__xludf.DUMMYFUNCTION("""COMPUTED_VALUE"""),"Hall 4/5")</f>
        <v>Hall 4/5</v>
      </c>
      <c r="I2989" s="7" t="str">
        <f>IFERROR(__xludf.DUMMYFUNCTION("""COMPUTED_VALUE"""),"Session 12: IP-Posters")</f>
        <v>Session 12: IP-Posters</v>
      </c>
      <c r="J2989" s="7" t="str">
        <f>IFERROR(__xludf.DUMMYFUNCTION("""COMPUTED_VALUE"""),"Poster Session 4")</f>
        <v>Poster Session 4</v>
      </c>
      <c r="K2989" s="7"/>
      <c r="L2989" s="8">
        <f>IFERROR(__xludf.DUMMYFUNCTION("""COMPUTED_VALUE"""),45868.0)</f>
        <v>45868</v>
      </c>
      <c r="M2989" s="7" t="str">
        <f>IFERROR(__xludf.DUMMYFUNCTION("""COMPUTED_VALUE"""),"11:00-12:30")</f>
        <v>11:00-12:30</v>
      </c>
      <c r="N2989" s="7"/>
    </row>
    <row r="2990">
      <c r="A2990" s="7" t="str">
        <f>IFERROR(__xludf.DUMMYFUNCTION("""COMPUTED_VALUE"""),"3962-MAIN")</f>
        <v>3962-MAIN</v>
      </c>
      <c r="B2990" s="7" t="str">
        <f>IFERROR(__xludf.DUMMYFUNCTION("""COMPUTED_VALUE"""),"MMDEND: Dendrite-Inspired Multi-Branch Multi-Compartment Parallel Spiking Neuron for Sequence Modeling")</f>
        <v>MMDEND: Dendrite-Inspired Multi-Branch Multi-Compartment Parallel Spiking Neuron for Sequence Modeling</v>
      </c>
      <c r="C2990" s="7" t="str">
        <f>IFERROR(__xludf.DUMMYFUNCTION("""COMPUTED_VALUE"""),"Vanilla spiking neurons are simplified from complex biological neurons with dendrites, soma, and synapses, into single somatic compartments. Due to limitations in performance and training efficiency, vanilla spiking neurons face significant challenges in "&amp;"modeling long sequences. In terms of performance, the oversimplified dynamics of spiking neurons omit long-term temporal dependencies. Additionally, the long-tail membrane potential distribution and binary activation discretization errors further limit th"&amp;"eir capacity to model long sequences. In terms of efficiency, the serial mechanism of spiking neurons leads to excessively long training times for long sequences. Though parallel spiking neurons are an efficient solution, their number of parameters is oft"&amp;"en tied to the hidden dimension or sequence length, which makes current parallel neurons unsuitable for large architectures. To address these issues, we propose **MMDEND**: a Multi-Branch Multi-Compartment Parallel Spiking Dendritic Neuron. Its proportion"&amp;"-adjustable multi-branch, multi-compartment structure enables long-term temporal dependencies. Additionally, we introduce a Scaling-Shifting Integer Firing (SSF) mechanism that fits the long-tail membrane potential distribution, retains efficiency, and mi"&amp;"tigates discretization errors. Compared with parallel neurons, MMDEND achieves better long-sequence modeling capability with fewer parameters and lower energy consumption. Visualization also confirms that the SSF mechanism effectively fits long-tail distr"&amp;"ibutions.")</f>
        <v>Vanilla spiking neurons are simplified from complex biological neurons with dendrites, soma, and synapses, into single somatic compartments. Due to limitations in performance and training efficiency, vanilla spiking neurons face significant challenges in modeling long sequences. In terms of performance, the oversimplified dynamics of spiking neurons omit long-term temporal dependencies. Additionally, the long-tail membrane potential distribution and binary activation discretization errors further limit their capacity to model long sequences. In terms of efficiency, the serial mechanism of spiking neurons leads to excessively long training times for long sequences. Though parallel spiking neurons are an efficient solution, their number of parameters is often tied to the hidden dimension or sequence length, which makes current parallel neurons unsuitable for large architectures. To address these issues, we propose **MMDEND**: a Multi-Branch Multi-Compartment Parallel Spiking Dendritic Neuron. Its proportion-adjustable multi-branch, multi-compartment structure enables long-term temporal dependencies. Additionally, we introduce a Scaling-Shifting Integer Firing (SSF) mechanism that fits the long-tail membrane potential distribution, retains efficiency, and mitigates discretization errors. Compared with parallel neurons, MMDEND achieves better long-sequence modeling capability with fewer parameters and lower energy consumption. Visualization also confirms that the SSF mechanism effectively fits long-tail distributions.</v>
      </c>
      <c r="D2990" s="7" t="str">
        <f>IFERROR(__xludf.DUMMYFUNCTION("""COMPUTED_VALUE"""),"Kexin Wang")</f>
        <v>Kexin Wang</v>
      </c>
      <c r="E2990" s="7" t="str">
        <f>IFERROR(__xludf.DUMMYFUNCTION("""COMPUTED_VALUE"""),"Yes")</f>
        <v>Yes</v>
      </c>
      <c r="F2990" s="7" t="str">
        <f>IFERROR(__xludf.DUMMYFUNCTION("""COMPUTED_VALUE"""),"IP-Poster")</f>
        <v>IP-Poster</v>
      </c>
      <c r="G2990" s="7" t="str">
        <f>IFERROR(__xludf.DUMMYFUNCTION("""COMPUTED_VALUE"""),"In-Person")</f>
        <v>In-Person</v>
      </c>
      <c r="H2990" s="7" t="str">
        <f>IFERROR(__xludf.DUMMYFUNCTION("""COMPUTED_VALUE"""),"Hall 4/5")</f>
        <v>Hall 4/5</v>
      </c>
      <c r="I2990" s="7" t="str">
        <f>IFERROR(__xludf.DUMMYFUNCTION("""COMPUTED_VALUE"""),"Session 7: IP-Posters")</f>
        <v>Session 7: IP-Posters</v>
      </c>
      <c r="J2990" s="7" t="str">
        <f>IFERROR(__xludf.DUMMYFUNCTION("""COMPUTED_VALUE"""),"Poster Session 2")</f>
        <v>Poster Session 2</v>
      </c>
      <c r="K2990" s="7"/>
      <c r="L2990" s="8">
        <f>IFERROR(__xludf.DUMMYFUNCTION("""COMPUTED_VALUE"""),45867.0)</f>
        <v>45867</v>
      </c>
      <c r="M2990" s="7" t="str">
        <f>IFERROR(__xludf.DUMMYFUNCTION("""COMPUTED_VALUE"""),"10:30-12:00")</f>
        <v>10:30-12:00</v>
      </c>
      <c r="N2990" s="7"/>
    </row>
    <row r="2991">
      <c r="A2991" s="7" t="str">
        <f>IFERROR(__xludf.DUMMYFUNCTION("""COMPUTED_VALUE"""),"3966-MAIN")</f>
        <v>3966-MAIN</v>
      </c>
      <c r="B2991" s="7" t="str">
        <f>IFERROR(__xludf.DUMMYFUNCTION("""COMPUTED_VALUE"""),"Inconsistent Tokenizations Cause Language Models to be Perplexed by Japanese Grammar")</f>
        <v>Inconsistent Tokenizations Cause Language Models to be Perplexed by Japanese Grammar</v>
      </c>
      <c r="C2991" s="7" t="str">
        <f>IFERROR(__xludf.DUMMYFUNCTION("""COMPUTED_VALUE"""),"Typical methods for evaluating the performance of language models evaluate their ability to answer questions accurately. These evaluation metrics are acceptable for determining the extent to which language models can understand and reason about text in a "&amp;"general sense, but fail to capture nuanced capabilities, such as the ability of language models to recognize and obey rare grammar points, particularly in languages other than English. We measure the perplexity of language models when confronted with the "&amp;"``first person psych predicate restriction'' grammar point in Japanese. Weblab is the only tested open source model in the 7-10B parameter range which consistently assigns higher perplexity to ungrammatical psych predicate sentences than grammatical ones."&amp;" We give evidence that Weblab’s uniformly bad tokenization is a possible root cause for its good performance, and show that Llama 3’s perplexity on grammatical psych predicate sentences can be reduced by orders of magnitude (28x difference) by restricting"&amp;" test sentences to those with uniformly well-behaved tokenizations. We show in further experiments on machine translation tasks that language models will use alternative grammar patterns in order to produce grammatical sentences when tokenization issues p"&amp;"revent the most natural sentence from being output.")</f>
        <v>Typical methods for evaluating the performance of language models evaluate their ability to answer questions accurately. These evaluation metrics are acceptable for determining the extent to which language models can understand and reason about text in a general sense, but fail to capture nuanced capabilities, such as the ability of language models to recognize and obey rare grammar points, particularly in languages other than English. We measure the perplexity of language models when confronted with the ``first person psych predicate restriction'' grammar point in Japanese. Weblab is the only tested open source model in the 7-10B parameter range which consistently assigns higher perplexity to ungrammatical psych predicate sentences than grammatical ones. We give evidence that Weblab’s uniformly bad tokenization is a possible root cause for its good performance, and show that Llama 3’s perplexity on grammatical psych predicate sentences can be reduced by orders of magnitude (28x difference) by restricting test sentences to those with uniformly well-behaved tokenizations. We show in further experiments on machine translation tasks that language models will use alternative grammar patterns in order to produce grammatical sentences when tokenization issues prevent the most natural sentence from being output.</v>
      </c>
      <c r="D2991" s="7" t="str">
        <f>IFERROR(__xludf.DUMMYFUNCTION("""COMPUTED_VALUE"""),"Andrew Gambardella")</f>
        <v>Andrew Gambardella</v>
      </c>
      <c r="E2991" s="7" t="str">
        <f>IFERROR(__xludf.DUMMYFUNCTION("""COMPUTED_VALUE"""),"Yes")</f>
        <v>Yes</v>
      </c>
      <c r="F2991" s="7" t="str">
        <f>IFERROR(__xludf.DUMMYFUNCTION("""COMPUTED_VALUE"""),"IP-Poster")</f>
        <v>IP-Poster</v>
      </c>
      <c r="G2991" s="7" t="str">
        <f>IFERROR(__xludf.DUMMYFUNCTION("""COMPUTED_VALUE"""),"In-Person")</f>
        <v>In-Person</v>
      </c>
      <c r="H2991" s="7" t="str">
        <f>IFERROR(__xludf.DUMMYFUNCTION("""COMPUTED_VALUE"""),"Hall 4/5")</f>
        <v>Hall 4/5</v>
      </c>
      <c r="I2991" s="7" t="str">
        <f>IFERROR(__xludf.DUMMYFUNCTION("""COMPUTED_VALUE"""),"Session 7: IP-Posters")</f>
        <v>Session 7: IP-Posters</v>
      </c>
      <c r="J2991" s="7" t="str">
        <f>IFERROR(__xludf.DUMMYFUNCTION("""COMPUTED_VALUE"""),"Poster Session 2")</f>
        <v>Poster Session 2</v>
      </c>
      <c r="K2991" s="7"/>
      <c r="L2991" s="8">
        <f>IFERROR(__xludf.DUMMYFUNCTION("""COMPUTED_VALUE"""),45867.0)</f>
        <v>45867</v>
      </c>
      <c r="M2991" s="7" t="str">
        <f>IFERROR(__xludf.DUMMYFUNCTION("""COMPUTED_VALUE"""),"10:30-12:00")</f>
        <v>10:30-12:00</v>
      </c>
      <c r="N2991" s="7"/>
    </row>
    <row r="2992">
      <c r="A2992" s="7" t="str">
        <f>IFERROR(__xludf.DUMMYFUNCTION("""COMPUTED_VALUE"""),"3972-MAIN")</f>
        <v>3972-MAIN</v>
      </c>
      <c r="B2992" s="7" t="str">
        <f>IFERROR(__xludf.DUMMYFUNCTION("""COMPUTED_VALUE"""),"Understanding Impact of Human Feedback via Influence Functions")</f>
        <v>Understanding Impact of Human Feedback via Influence Functions</v>
      </c>
      <c r="C2992" s="7" t="str">
        <f>IFERROR(__xludf.DUMMYFUNCTION("""COMPUTED_VALUE"""),"In Reinforcement Learning from Human Feedback (RLHF), it is crucial to learn suitable reward models from human feedback to align large language models (LLMs) with human intentions. However, human feedback can often be noisy, inconsistent, or biased, espec"&amp;"ially when evaluating complex responses. Such feedback can lead to misaligned reward signals, potentially causing unintended side effects during the RLHF process. To address these challenges, we explore the use of influence functions to measure the impact"&amp;" of human feedback on the performance of reward models. We propose a compute-efficient approximation method that enables the application of influence functions to LLM-based reward models and large-scale preference datasets. Our experiments showcase two ke"&amp;"y applications of influence functions: (1) detecting common labeler biases in human feedback datasets and (2) guiding labelers in refining their strategies to better align with expert feedback. By quantifying the impact of human feedback, we believe that "&amp;"influence functions can enhance feedback interpretability and contribute to scalable oversight in RLHF, helping labelers provide more accurate and consistent feedback. Source code is available at https://github.com/mintaywon/IF_RLHF.")</f>
        <v>In Reinforcement Learning from Human Feedback (RLHF), it is crucial to learn suitable reward models from human feedback to align large language models (LLMs) with human intentions. However, human feedback can often be noisy, inconsistent, or biased, especially when evaluating complex responses. Such feedback can lead to misaligned reward signals, potentially causing unintended side effects during the RLHF process. To address these challenges, we explore the use of influence functions to measure the impact of human feedback on the performance of reward models. We propose a compute-efficient approximation method that enables the application of influence functions to LLM-based reward models and large-scale preference datasets. Our experiments showcase two key applications of influence functions: (1) detecting common labeler biases in human feedback datasets and (2) guiding labelers in refining their strategies to better align with expert feedback. By quantifying the impact of human feedback, we believe that influence functions can enhance feedback interpretability and contribute to scalable oversight in RLHF, helping labelers provide more accurate and consistent feedback. Source code is available at https://github.com/mintaywon/IF_RLHF.</v>
      </c>
      <c r="D2992" s="7" t="str">
        <f>IFERROR(__xludf.DUMMYFUNCTION("""COMPUTED_VALUE"""),"Taywon Min")</f>
        <v>Taywon Min</v>
      </c>
      <c r="E2992" s="7" t="str">
        <f>IFERROR(__xludf.DUMMYFUNCTION("""COMPUTED_VALUE"""),"Yes")</f>
        <v>Yes</v>
      </c>
      <c r="F2992" s="7" t="str">
        <f>IFERROR(__xludf.DUMMYFUNCTION("""COMPUTED_VALUE"""),"IP-Poster")</f>
        <v>IP-Poster</v>
      </c>
      <c r="G2992" s="7" t="str">
        <f>IFERROR(__xludf.DUMMYFUNCTION("""COMPUTED_VALUE"""),"In-Person")</f>
        <v>In-Person</v>
      </c>
      <c r="H2992" s="7" t="str">
        <f>IFERROR(__xludf.DUMMYFUNCTION("""COMPUTED_VALUE"""),"Hall 4/5")</f>
        <v>Hall 4/5</v>
      </c>
      <c r="I2992" s="7" t="str">
        <f>IFERROR(__xludf.DUMMYFUNCTION("""COMPUTED_VALUE"""),"Session 2: IP-Posters ")</f>
        <v>Session 2: IP-Posters </v>
      </c>
      <c r="J2992" s="7" t="str">
        <f>IFERROR(__xludf.DUMMYFUNCTION("""COMPUTED_VALUE"""),"Poster Session 1")</f>
        <v>Poster Session 1</v>
      </c>
      <c r="K2992" s="7"/>
      <c r="L2992" s="8">
        <f>IFERROR(__xludf.DUMMYFUNCTION("""COMPUTED_VALUE"""),45866.0)</f>
        <v>45866</v>
      </c>
      <c r="M2992" s="7" t="str">
        <f>IFERROR(__xludf.DUMMYFUNCTION("""COMPUTED_VALUE"""),"11:00-12:30")</f>
        <v>11:00-12:30</v>
      </c>
      <c r="N2992" s="7"/>
    </row>
    <row r="2993">
      <c r="A2993" s="7" t="str">
        <f>IFERROR(__xludf.DUMMYFUNCTION("""COMPUTED_VALUE"""),"3975-MAIN")</f>
        <v>3975-MAIN</v>
      </c>
      <c r="B2993" s="7" t="str">
        <f>IFERROR(__xludf.DUMMYFUNCTION("""COMPUTED_VALUE"""),"T2I-FactualBench: Benchmarking the Factuality of Text-to-Image Models with Knowledge-Intensive Concepts")</f>
        <v>T2I-FactualBench: Benchmarking the Factuality of Text-to-Image Models with Knowledge-Intensive Concepts</v>
      </c>
      <c r="C2993" s="7" t="str">
        <f>IFERROR(__xludf.DUMMYFUNCTION("""COMPUTED_VALUE"""),"Most existing studies on evaluating text-to-image (T2I) models primarily focus on evaluating text-image alignment, image quality, and object composition capabilities, with comparatively fewer studies addressing the evaluation of the factuality of the synt"&amp;"hesized images, particularly when the images involve knowledge-intensive concepts. In this work, we present T2I-FactualBench—the largest benchmark to date in terms of the number of concepts and prompts specifically designed to evaluate the factuality of k"&amp;"nowledge-intensive concept generation. T2I-FactualBench consists of a three-tiered knowledge-intensive text-to-image generation framework, ranging from the basic memorization of individual knowledge concepts to the more complex composition of multiple kno"&amp;"wledge concepts. We further introduce a multi-round visual question answering (VQA)-based evaluation framework to assesses the factuality of three-tiered knowledge-intensive text-to-image generation tasks. Experiments on T2I-FactualBench indicate that cur"&amp;"rent state-of-the-art (SOTA) T2I models still leave significant room for improvement. We release our datasets and code at https://github.com/Safeoffellow/T2I-FactualBench.")</f>
        <v>Most existing studies on evaluating text-to-image (T2I) models primarily focus on evaluating text-image alignment, image quality, and object composition capabilities, with comparatively fewer studies addressing the evaluation of the factuality of the synthesized images, particularly when the images involve knowledge-intensive concepts. In this work, we present T2I-FactualBench—the largest benchmark to date in terms of the number of concepts and prompts specifically designed to evaluate the factuality of knowledge-intensive concept generation. T2I-FactualBench consists of a three-tiered knowledge-intensive text-to-image generation framework, ranging from the basic memorization of individual knowledge concepts to the more complex composition of multiple knowledge concepts. We further introduce a multi-round visual question answering (VQA)-based evaluation framework to assesses the factuality of three-tiered knowledge-intensive text-to-image generation tasks. Experiments on T2I-FactualBench indicate that current state-of-the-art (SOTA) T2I models still leave significant room for improvement. We release our datasets and code at https://github.com/Safeoffellow/T2I-FactualBench.</v>
      </c>
      <c r="D2993" s="7" t="str">
        <f>IFERROR(__xludf.DUMMYFUNCTION("""COMPUTED_VALUE"""),"Ziwei Huang")</f>
        <v>Ziwei Huang</v>
      </c>
      <c r="E2993" s="7" t="str">
        <f>IFERROR(__xludf.DUMMYFUNCTION("""COMPUTED_VALUE"""),"Yes")</f>
        <v>Yes</v>
      </c>
      <c r="F2993" s="7" t="str">
        <f>IFERROR(__xludf.DUMMYFUNCTION("""COMPUTED_VALUE"""),"IP-Poster")</f>
        <v>IP-Poster</v>
      </c>
      <c r="G2993" s="7" t="str">
        <f>IFERROR(__xludf.DUMMYFUNCTION("""COMPUTED_VALUE"""),"In-Person")</f>
        <v>In-Person</v>
      </c>
      <c r="H2993" s="7" t="str">
        <f>IFERROR(__xludf.DUMMYFUNCTION("""COMPUTED_VALUE"""),"Hall 4/5")</f>
        <v>Hall 4/5</v>
      </c>
      <c r="I2993" s="7" t="str">
        <f>IFERROR(__xludf.DUMMYFUNCTION("""COMPUTED_VALUE"""),"Session 2: IP-Posters ")</f>
        <v>Session 2: IP-Posters </v>
      </c>
      <c r="J2993" s="7" t="str">
        <f>IFERROR(__xludf.DUMMYFUNCTION("""COMPUTED_VALUE"""),"Poster Session 1")</f>
        <v>Poster Session 1</v>
      </c>
      <c r="K2993" s="7"/>
      <c r="L2993" s="8">
        <f>IFERROR(__xludf.DUMMYFUNCTION("""COMPUTED_VALUE"""),45866.0)</f>
        <v>45866</v>
      </c>
      <c r="M2993" s="7" t="str">
        <f>IFERROR(__xludf.DUMMYFUNCTION("""COMPUTED_VALUE"""),"11:00-12:30")</f>
        <v>11:00-12:30</v>
      </c>
      <c r="N2993" s="7"/>
    </row>
    <row r="2994">
      <c r="A2994" s="7" t="str">
        <f>IFERROR(__xludf.DUMMYFUNCTION("""COMPUTED_VALUE"""),"3980-MAIN")</f>
        <v>3980-MAIN</v>
      </c>
      <c r="B2994" s="7" t="str">
        <f>IFERROR(__xludf.DUMMYFUNCTION("""COMPUTED_VALUE"""),"InspireDebate: Multi-Dimensional Subjective-Objective Evaluation-Guided Reasoning and Optimization for Debating")</f>
        <v>InspireDebate: Multi-Dimensional Subjective-Objective Evaluation-Guided Reasoning and Optimization for Debating</v>
      </c>
      <c r="C2994" s="7" t="str">
        <f>IFERROR(__xludf.DUMMYFUNCTION("""COMPUTED_VALUE"""),"With the rapid advancements in large language models (LLMs), debating tasks, such as argument quality assessment and debate process simulation, have made significant progress. However, existing LLM-based debating systems focus on responding to specific ar"&amp;"guments while neglecting objective assessments such as authenticity and logical validity. Furthermore, these systems lack a structured approach to optimize across various dimensions—including evaluation metrics, chain-of-thought (CoT) reasoning, and multi"&amp;"-turn debate refinement—thereby limiting their effectiveness. To address these interconnected challenges, we propose a dual-component framework: (1) InspireScore, a novel evaluation system that establishes a multi-dimensional assessment architecture incor"&amp;"porating four subjective criteria (emotional appeal, argument clarity, argument arrangement, and topic relevance) alongside two objective metrics (fact authenticity and logical validity); and (2) InspireDebate, an optimized debating framework employing a "&amp;"phased optimization approach through CoT reasoning enhancement, multi-dimensional Direct Preference Optimization (DPO), and real-time knowledge grounding via web-based Retrieval Augmented Generation (Web-RAG). Empirical evaluations demonstrate that Inspir"&amp;"eScore achieves 44% higher correlation with expert judgments compared to existing methods, while InspireDebate shows significant improvements, outperforming baseline models by 57%. Source code is available at https://github.com/fywang12/InspireDebate.")</f>
        <v>With the rapid advancements in large language models (LLMs), debating tasks, such as argument quality assessment and debate process simulation, have made significant progress. However, existing LLM-based debating systems focus on responding to specific arguments while neglecting objective assessments such as authenticity and logical validity. Furthermore, these systems lack a structured approach to optimize across various dimensions—including evaluation metrics, chain-of-thought (CoT) reasoning, and multi-turn debate refinement—thereby limiting their effectiveness. To address these interconnected challenges, we propose a dual-component framework: (1) InspireScore, a novel evaluation system that establishes a multi-dimensional assessment architecture incorporating four subjective criteria (emotional appeal, argument clarity, argument arrangement, and topic relevance) alongside two objective metrics (fact authenticity and logical validity); and (2) InspireDebate, an optimized debating framework employing a phased optimization approach through CoT reasoning enhancement, multi-dimensional Direct Preference Optimization (DPO), and real-time knowledge grounding via web-based Retrieval Augmented Generation (Web-RAG). Empirical evaluations demonstrate that InspireScore achieves 44% higher correlation with expert judgments compared to existing methods, while InspireDebate shows significant improvements, outperforming baseline models by 57%. Source code is available at https://github.com/fywang12/InspireDebate.</v>
      </c>
      <c r="D2994" s="7" t="str">
        <f>IFERROR(__xludf.DUMMYFUNCTION("""COMPUTED_VALUE"""),"Fuyu Wang")</f>
        <v>Fuyu Wang</v>
      </c>
      <c r="E2994" s="7" t="str">
        <f>IFERROR(__xludf.DUMMYFUNCTION("""COMPUTED_VALUE"""),"Yes")</f>
        <v>Yes</v>
      </c>
      <c r="F2994" s="7" t="str">
        <f>IFERROR(__xludf.DUMMYFUNCTION("""COMPUTED_VALUE"""),"IP-Poster")</f>
        <v>IP-Poster</v>
      </c>
      <c r="G2994" s="7" t="str">
        <f>IFERROR(__xludf.DUMMYFUNCTION("""COMPUTED_VALUE"""),"In-Person")</f>
        <v>In-Person</v>
      </c>
      <c r="H2994" s="7" t="str">
        <f>IFERROR(__xludf.DUMMYFUNCTION("""COMPUTED_VALUE"""),"Hall 4/5")</f>
        <v>Hall 4/5</v>
      </c>
      <c r="I2994" s="7" t="str">
        <f>IFERROR(__xludf.DUMMYFUNCTION("""COMPUTED_VALUE"""),"Session 2: IP-Posters ")</f>
        <v>Session 2: IP-Posters </v>
      </c>
      <c r="J2994" s="7" t="str">
        <f>IFERROR(__xludf.DUMMYFUNCTION("""COMPUTED_VALUE"""),"Poster Session 1")</f>
        <v>Poster Session 1</v>
      </c>
      <c r="K2994" s="7"/>
      <c r="L2994" s="8">
        <f>IFERROR(__xludf.DUMMYFUNCTION("""COMPUTED_VALUE"""),45866.0)</f>
        <v>45866</v>
      </c>
      <c r="M2994" s="7" t="str">
        <f>IFERROR(__xludf.DUMMYFUNCTION("""COMPUTED_VALUE"""),"11:00-12:30")</f>
        <v>11:00-12:30</v>
      </c>
      <c r="N2994" s="7"/>
    </row>
    <row r="2995">
      <c r="A2995" s="7" t="str">
        <f>IFERROR(__xludf.DUMMYFUNCTION("""COMPUTED_VALUE"""),"3981-MAIN")</f>
        <v>3981-MAIN</v>
      </c>
      <c r="B2995" s="7" t="str">
        <f>IFERROR(__xludf.DUMMYFUNCTION("""COMPUTED_VALUE"""),"WAVE: Building Multimodal Web Agents via Iterative Real-World Exploration, Feedback and Optimization")</f>
        <v>WAVE: Building Multimodal Web Agents via Iterative Real-World Exploration, Feedback and Optimization</v>
      </c>
      <c r="C2995" s="7" t="str">
        <f>IFERROR(__xludf.DUMMYFUNCTION("""COMPUTED_VALUE"""),"The advancement of foundation models has laid the groundwork for building autonomous agents for complex tasks such as web navigation. Recent efforts have also tried to equip the agent with the ability to explore environments and continuously improve over "&amp;"time. However, existing works only focused on building text-only agents in synthetic environments where the reward signals are clearly defined. Such agents can hardly generalize to realistic settings that require multimodal perception ability and provide "&amp;"no ground-truth signal. In this paper, we introduce an innovative multimodal web agent that can autonomously conduct real-world exploration and improve itself. We first train the base model with imitation learning to gain the basic abilities. We then let "&amp;"the agent explore the open web and collect feedback on its trajectories. After that, it further improves its policy by learning from well-performing trajectories judged by another general-purpose model. This exploration-feedback-optimization cycle can con"&amp;"tinue for several iterations. Experimental results show that our web agent successfully improves itself after each iteration, demonstrating strong performance across multiple test sets. We will release our code and model to encourage future research in th"&amp;"is field.")</f>
        <v>The advancement of foundation models has laid the groundwork for building autonomous agents for complex tasks such as web navigation. Recent efforts have also tried to equip the agent with the ability to explore environments and continuously improve over time. However, existing works only focused on building text-only agents in synthetic environments where the reward signals are clearly defined. Such agents can hardly generalize to realistic settings that require multimodal perception ability and provide no ground-truth signal. In this paper, we introduce an innovative multimodal web agent that can autonomously conduct real-world exploration and improve itself. We first train the base model with imitation learning to gain the basic abilities. We then let the agent explore the open web and collect feedback on its trajectories. After that, it further improves its policy by learning from well-performing trajectories judged by another general-purpose model. This exploration-feedback-optimization cycle can continue for several iterations. Experimental results show that our web agent successfully improves itself after each iteration, demonstrating strong performance across multiple test sets. We will release our code and model to encourage future research in this field.</v>
      </c>
      <c r="D2995" s="7" t="str">
        <f>IFERROR(__xludf.DUMMYFUNCTION("""COMPUTED_VALUE"""),"Hongliang He")</f>
        <v>Hongliang He</v>
      </c>
      <c r="E2995" s="7" t="str">
        <f>IFERROR(__xludf.DUMMYFUNCTION("""COMPUTED_VALUE"""),"Yes")</f>
        <v>Yes</v>
      </c>
      <c r="F2995" s="7" t="str">
        <f>IFERROR(__xludf.DUMMYFUNCTION("""COMPUTED_VALUE"""),"IP-Poster")</f>
        <v>IP-Poster</v>
      </c>
      <c r="G2995" s="7" t="str">
        <f>IFERROR(__xludf.DUMMYFUNCTION("""COMPUTED_VALUE"""),"In-Person")</f>
        <v>In-Person</v>
      </c>
      <c r="H2995" s="7" t="str">
        <f>IFERROR(__xludf.DUMMYFUNCTION("""COMPUTED_VALUE"""),"Hall 4/5")</f>
        <v>Hall 4/5</v>
      </c>
      <c r="I2995" s="7" t="str">
        <f>IFERROR(__xludf.DUMMYFUNCTION("""COMPUTED_VALUE"""),"Session 12: IP-Posters")</f>
        <v>Session 12: IP-Posters</v>
      </c>
      <c r="J2995" s="7" t="str">
        <f>IFERROR(__xludf.DUMMYFUNCTION("""COMPUTED_VALUE"""),"Poster Session 4")</f>
        <v>Poster Session 4</v>
      </c>
      <c r="K2995" s="7"/>
      <c r="L2995" s="8">
        <f>IFERROR(__xludf.DUMMYFUNCTION("""COMPUTED_VALUE"""),45868.0)</f>
        <v>45868</v>
      </c>
      <c r="M2995" s="7" t="str">
        <f>IFERROR(__xludf.DUMMYFUNCTION("""COMPUTED_VALUE"""),"11:00-12:30")</f>
        <v>11:00-12:30</v>
      </c>
      <c r="N2995" s="7"/>
    </row>
    <row r="2996">
      <c r="A2996" s="7" t="str">
        <f>IFERROR(__xludf.DUMMYFUNCTION("""COMPUTED_VALUE"""),"3982-MAIN")</f>
        <v>3982-MAIN</v>
      </c>
      <c r="B2996" s="7" t="str">
        <f>IFERROR(__xludf.DUMMYFUNCTION("""COMPUTED_VALUE"""),"FOCUS: Evaluating Pre-trained Vision-Language Models on Underspecification Reasoning")</f>
        <v>FOCUS: Evaluating Pre-trained Vision-Language Models on Underspecification Reasoning</v>
      </c>
      <c r="C2996" s="7" t="str">
        <f>IFERROR(__xludf.DUMMYFUNCTION("""COMPUTED_VALUE"""),"Humans possess a remarkable ability to interpret underspecified ambiguous statements by inferring their meanings from contexts such as visual inputs. This ability, however, may not be as developed in recent pre-trained vision-language models~(VLMs). In th"&amp;"is paper, we introduce a novel probing dataset called FOCUS to evaluate whether state-of-the-art VLMs have this ability. FOCUS consists of underspecified sentences paired with image contexts and carefully designed probing questions. Our experiments reveal"&amp;" that VLMs still fall short in handling underspecification even when visual inputs that can help resolve the ambiguities are available. To further support research in underspecification, FOCUS will be released for public use. We hope this dataset will ins"&amp;"pire further research on the reasoning and contextual understanding capabilities of VLMs.")</f>
        <v>Humans possess a remarkable ability to interpret underspecified ambiguous statements by inferring their meanings from contexts such as visual inputs. This ability, however, may not be as developed in recent pre-trained vision-language models~(VLMs). In this paper, we introduce a novel probing dataset called FOCUS to evaluate whether state-of-the-art VLMs have this ability. FOCUS consists of underspecified sentences paired with image contexts and carefully designed probing questions. Our experiments reveal that VLMs still fall short in handling underspecification even when visual inputs that can help resolve the ambiguities are available. To further support research in underspecification, FOCUS will be released for public use. We hope this dataset will inspire further research on the reasoning and contextual understanding capabilities of VLMs.</v>
      </c>
      <c r="D2996" s="7" t="str">
        <f>IFERROR(__xludf.DUMMYFUNCTION("""COMPUTED_VALUE"""),"Kankan Zhou")</f>
        <v>Kankan Zhou</v>
      </c>
      <c r="E2996" s="7" t="str">
        <f>IFERROR(__xludf.DUMMYFUNCTION("""COMPUTED_VALUE"""),"Yes")</f>
        <v>Yes</v>
      </c>
      <c r="F2996" s="7" t="str">
        <f>IFERROR(__xludf.DUMMYFUNCTION("""COMPUTED_VALUE"""),"V-Presentation")</f>
        <v>V-Presentation</v>
      </c>
      <c r="G2996" s="7" t="str">
        <f>IFERROR(__xludf.DUMMYFUNCTION("""COMPUTED_VALUE"""),"Virtual/Gather")</f>
        <v>Virtual/Gather</v>
      </c>
      <c r="H2996" s="7" t="str">
        <f>IFERROR(__xludf.DUMMYFUNCTION("""COMPUTED_VALUE"""),"Zoom")</f>
        <v>Zoom</v>
      </c>
      <c r="I2996" s="7" t="str">
        <f>IFERROR(__xludf.DUMMYFUNCTION("""COMPUTED_VALUE"""),"Session 10: V-Presenations")</f>
        <v>Session 10: V-Presenations</v>
      </c>
      <c r="J2996" s="7" t="str">
        <f>IFERROR(__xludf.DUMMYFUNCTION("""COMPUTED_VALUE"""),"Virtual Presentations 3")</f>
        <v>Virtual Presentations 3</v>
      </c>
      <c r="K2996" s="7"/>
      <c r="L2996" s="8">
        <f>IFERROR(__xludf.DUMMYFUNCTION("""COMPUTED_VALUE"""),45867.0)</f>
        <v>45867</v>
      </c>
      <c r="M2996" s="7" t="str">
        <f>IFERROR(__xludf.DUMMYFUNCTION("""COMPUTED_VALUE"""),"16:00-17:30")</f>
        <v>16:00-17:30</v>
      </c>
      <c r="N2996" s="7"/>
    </row>
    <row r="2997">
      <c r="A2997" s="7" t="str">
        <f>IFERROR(__xludf.DUMMYFUNCTION("""COMPUTED_VALUE"""),"3983-MAIN")</f>
        <v>3983-MAIN</v>
      </c>
      <c r="B2997" s="7" t="str">
        <f>IFERROR(__xludf.DUMMYFUNCTION("""COMPUTED_VALUE"""),"Sightation Counts: Leveraging Sighted User Feedback in Building a BLV-aligned Dataset of Diagram Descriptions")</f>
        <v>Sightation Counts: Leveraging Sighted User Feedback in Building a BLV-aligned Dataset of Diagram Descriptions</v>
      </c>
      <c r="C2997" s="7" t="str">
        <f>IFERROR(__xludf.DUMMYFUNCTION("""COMPUTED_VALUE"""),"Often, the needs and visual abilities differ between the annotator group and the end user group. Generating detailed diagram descriptions for blind and low-vision (BLV) users is one such challenging domain. Sighted annotators could describe visuals with e"&amp;"ase, but existing studies have shown that direct generations by them are costly, bias-prone, and somewhat lacking by BLV standards. In this study, we ask sighted individuals to assess---rather than produce---diagram descriptions generated by vision-langua"&amp;"ge models (VLM) that have been guided with latent supervision via a multi-pass inference. The sighted assessments prove effective and useful to professional educators who are themselves BLV and teach visually impaired learners. We release Sightation, a co"&amp;"llection of diagram description datasets spanning 5k diagrams and 137k samples for completion, preference, retrieval, question answering, and reasoning training purposes and demonstrate their fine-tuning potential in various downstream tasks.")</f>
        <v>Often, the needs and visual abilities differ between the annotator group and the end user group. Generating detailed diagram descriptions for blind and low-vision (BLV) users is one such challenging domain. Sighted annotators could describe visuals with ease, but existing studies have shown that direct generations by them are costly, bias-prone, and somewhat lacking by BLV standards. In this study, we ask sighted individuals to assess---rather than produce---diagram descriptions generated by vision-language models (VLM) that have been guided with latent supervision via a multi-pass inference. The sighted assessments prove effective and useful to professional educators who are themselves BLV and teach visually impaired learners. We release Sightation, a collection of diagram description datasets spanning 5k diagrams and 137k samples for completion, preference, retrieval, question answering, and reasoning training purposes and demonstrate their fine-tuning potential in various downstream tasks.</v>
      </c>
      <c r="D2997" s="7" t="str">
        <f>IFERROR(__xludf.DUMMYFUNCTION("""COMPUTED_VALUE"""),"Wan Ju Kang")</f>
        <v>Wan Ju Kang</v>
      </c>
      <c r="E2997" s="7" t="str">
        <f>IFERROR(__xludf.DUMMYFUNCTION("""COMPUTED_VALUE"""),"Yes")</f>
        <v>Yes</v>
      </c>
      <c r="F2997" s="7" t="str">
        <f>IFERROR(__xludf.DUMMYFUNCTION("""COMPUTED_VALUE"""),"IP-Poster")</f>
        <v>IP-Poster</v>
      </c>
      <c r="G2997" s="7" t="str">
        <f>IFERROR(__xludf.DUMMYFUNCTION("""COMPUTED_VALUE"""),"In-Person")</f>
        <v>In-Person</v>
      </c>
      <c r="H2997" s="7" t="str">
        <f>IFERROR(__xludf.DUMMYFUNCTION("""COMPUTED_VALUE"""),"Hall 4/5")</f>
        <v>Hall 4/5</v>
      </c>
      <c r="I2997" s="7" t="str">
        <f>IFERROR(__xludf.DUMMYFUNCTION("""COMPUTED_VALUE"""),"Session 2: IP-Posters ")</f>
        <v>Session 2: IP-Posters </v>
      </c>
      <c r="J2997" s="7" t="str">
        <f>IFERROR(__xludf.DUMMYFUNCTION("""COMPUTED_VALUE"""),"Poster Session 1")</f>
        <v>Poster Session 1</v>
      </c>
      <c r="K2997" s="7"/>
      <c r="L2997" s="8">
        <f>IFERROR(__xludf.DUMMYFUNCTION("""COMPUTED_VALUE"""),45866.0)</f>
        <v>45866</v>
      </c>
      <c r="M2997" s="7" t="str">
        <f>IFERROR(__xludf.DUMMYFUNCTION("""COMPUTED_VALUE"""),"11:00-12:30")</f>
        <v>11:00-12:30</v>
      </c>
      <c r="N2997" s="7"/>
    </row>
    <row r="2998">
      <c r="A2998" s="7" t="str">
        <f>IFERROR(__xludf.DUMMYFUNCTION("""COMPUTED_VALUE"""),"3985-MAIN")</f>
        <v>3985-MAIN</v>
      </c>
      <c r="B2998" s="7" t="str">
        <f>IFERROR(__xludf.DUMMYFUNCTION("""COMPUTED_VALUE"""),"Personal Travel Solver: A Preference-Driven LLM-Solver System for Travel Planning")</f>
        <v>Personal Travel Solver: A Preference-Driven LLM-Solver System for Travel Planning</v>
      </c>
      <c r="C2998" s="7" t="str">
        <f>IFERROR(__xludf.DUMMYFUNCTION("""COMPUTED_VALUE"""),"Personal travel planning is a challenging task that aims to find a feasible plan that not only satisfies diverse constraints but also meets the demands of the user’s explicit and implicit preferences. In this paper, we study how to integrate the user’s im"&amp;"plicit preference into the progress of travel planning. We introduce RealTravel, an augmented version of the TravelPlanner by incorporating real user reviews and point-of-interest metadata from Google Local. Based on RealTravel, we propose Personal Travel"&amp;" Solver (PTS), an integrated system that combines LLMs with numerical solvers to generate travel plans that satisfy both explicit constraints and implicit user preferences. PTS employs a novel architecture that seamlessly connects explicit constraint vali"&amp;"dation with implicit preference modeling through five specialized modules. The experimental results demonstrate the system's effectiveness, achieving better performance than baseline methods, and improvement in the level of personalization. Our data and c"&amp;"ode are available at [PersonalTravelSolver](https://github.com/cliftclift/PTS).")</f>
        <v>Personal travel planning is a challenging task that aims to find a feasible plan that not only satisfies diverse constraints but also meets the demands of the user’s explicit and implicit preferences. In this paper, we study how to integrate the user’s implicit preference into the progress of travel planning. We introduce RealTravel, an augmented version of the TravelPlanner by incorporating real user reviews and point-of-interest metadata from Google Local. Based on RealTravel, we propose Personal Travel Solver (PTS), an integrated system that combines LLMs with numerical solvers to generate travel plans that satisfy both explicit constraints and implicit user preferences. PTS employs a novel architecture that seamlessly connects explicit constraint validation with implicit preference modeling through five specialized modules. The experimental results demonstrate the system's effectiveness, achieving better performance than baseline methods, and improvement in the level of personalization. Our data and code are available at [PersonalTravelSolver](https://github.com/cliftclift/PTS).</v>
      </c>
      <c r="D2998" s="7" t="str">
        <f>IFERROR(__xludf.DUMMYFUNCTION("""COMPUTED_VALUE"""),"Zijian Shao")</f>
        <v>Zijian Shao</v>
      </c>
      <c r="E2998" s="7" t="str">
        <f>IFERROR(__xludf.DUMMYFUNCTION("""COMPUTED_VALUE"""),"Yes")</f>
        <v>Yes</v>
      </c>
      <c r="F2998" s="7" t="str">
        <f>IFERROR(__xludf.DUMMYFUNCTION("""COMPUTED_VALUE"""),"IP-Poster")</f>
        <v>IP-Poster</v>
      </c>
      <c r="G2998" s="7" t="str">
        <f>IFERROR(__xludf.DUMMYFUNCTION("""COMPUTED_VALUE"""),"In-Person")</f>
        <v>In-Person</v>
      </c>
      <c r="H2998" s="7" t="str">
        <f>IFERROR(__xludf.DUMMYFUNCTION("""COMPUTED_VALUE"""),"Hall 4/5")</f>
        <v>Hall 4/5</v>
      </c>
      <c r="I2998" s="7" t="str">
        <f>IFERROR(__xludf.DUMMYFUNCTION("""COMPUTED_VALUE"""),"Session 2: IP-Posters ")</f>
        <v>Session 2: IP-Posters </v>
      </c>
      <c r="J2998" s="7" t="str">
        <f>IFERROR(__xludf.DUMMYFUNCTION("""COMPUTED_VALUE"""),"Poster Session 1")</f>
        <v>Poster Session 1</v>
      </c>
      <c r="K2998" s="7"/>
      <c r="L2998" s="8">
        <f>IFERROR(__xludf.DUMMYFUNCTION("""COMPUTED_VALUE"""),45866.0)</f>
        <v>45866</v>
      </c>
      <c r="M2998" s="7" t="str">
        <f>IFERROR(__xludf.DUMMYFUNCTION("""COMPUTED_VALUE"""),"11:00-12:30")</f>
        <v>11:00-12:30</v>
      </c>
      <c r="N2998" s="7"/>
    </row>
    <row r="2999">
      <c r="A2999" s="7" t="str">
        <f>IFERROR(__xludf.DUMMYFUNCTION("""COMPUTED_VALUE"""),"3988-MAIN")</f>
        <v>3988-MAIN</v>
      </c>
      <c r="B2999" s="7" t="str">
        <f>IFERROR(__xludf.DUMMYFUNCTION("""COMPUTED_VALUE"""),"Counterspeech the ultimate shield! Multi-Conditioned Counterspeech Generation through Attributed Prefix Learning")</f>
        <v>Counterspeech the ultimate shield! Multi-Conditioned Counterspeech Generation through Attributed Prefix Learning</v>
      </c>
      <c r="C2999" s="7" t="str">
        <f>IFERROR(__xludf.DUMMYFUNCTION("""COMPUTED_VALUE"""),"Counterspeech has proven to be a powerful tool to combat hate speech online. Previous studies have focused on generating counterspeech conditioned only on specific intents (single attributed). However, a holistic approach considering multiple attributes s"&amp;"imultaneously can yield more nuanced and effective responses. Here, we introduce HiPPrO, Hierarchical Prefix learning with Preference Optimization, a novel two-stage framework that utilizes the effectiveness of attribute-specific prefix embedding spaces h"&amp;"ierarchically optimized during the counterspeech generation process in the first phase. Thereafter, we incorporate both reference and reward-free preference optimization to generate more constructive counterspeech. Furthermore, we extend IntentCONANv2 by "&amp;"annotating all $13,973$ counterspeech instances with emotion labels by five annotators. HiPPrO leverages hierarchical prefix optimization to integrate these dual attributes effectively. An extensive evaluation demonstrates that HiPPrO achieves a ~$38$ % i"&amp;"mprovement in intent conformity and a  ~$3$ %,  ~$2$ %, ~$3$ % improvement in Rouge-$1$, Rouge-$2$, and Rouge-L, respectively, compared to several baseline models. Human evaluations further substantiate the superiority of our approach, highlighting the en"&amp;"hanced relevance and appropriateness of the generated counterspeech. This work underscores the potential of multi-attribute conditioning in advancing the efficacy of counterspeech generation systems. Our code is available on Github and dataset is open-sou"&amp;"rced on Hugging-face.")</f>
        <v>Counterspeech has proven to be a powerful tool to combat hate speech online. Previous studies have focused on generating counterspeech conditioned only on specific intents (single attributed). However, a holistic approach considering multiple attributes simultaneously can yield more nuanced and effective responses. Here, we introduce HiPPrO, Hierarchical Prefix learning with Preference Optimization, a novel two-stage framework that utilizes the effectiveness of attribute-specific prefix embedding spaces hierarchically optimized during the counterspeech generation process in the first phase. Thereafter, we incorporate both reference and reward-free preference optimization to generate more constructive counterspeech. Furthermore, we extend IntentCONANv2 by annotating all $13,973$ counterspeech instances with emotion labels by five annotators. HiPPrO leverages hierarchical prefix optimization to integrate these dual attributes effectively. An extensive evaluation demonstrates that HiPPrO achieves a ~$38$ % improvement in intent conformity and a  ~$3$ %,  ~$2$ %, ~$3$ % improvement in Rouge-$1$, Rouge-$2$, and Rouge-L, respectively, compared to several baseline models. Human evaluations further substantiate the superiority of our approach, highlighting the enhanced relevance and appropriateness of the generated counterspeech. This work underscores the potential of multi-attribute conditioning in advancing the efficacy of counterspeech generation systems. Our code is available on Github and dataset is open-sourced on Hugging-face.</v>
      </c>
      <c r="D2999" s="7" t="str">
        <f>IFERROR(__xludf.DUMMYFUNCTION("""COMPUTED_VALUE"""),"Aswini Kumar Padhi")</f>
        <v>Aswini Kumar Padhi</v>
      </c>
      <c r="E2999" s="7" t="str">
        <f>IFERROR(__xludf.DUMMYFUNCTION("""COMPUTED_VALUE"""),"Yes")</f>
        <v>Yes</v>
      </c>
      <c r="F2999" s="7" t="str">
        <f>IFERROR(__xludf.DUMMYFUNCTION("""COMPUTED_VALUE"""),"IP-Poster")</f>
        <v>IP-Poster</v>
      </c>
      <c r="G2999" s="7" t="str">
        <f>IFERROR(__xludf.DUMMYFUNCTION("""COMPUTED_VALUE"""),"In-Person")</f>
        <v>In-Person</v>
      </c>
      <c r="H2999" s="7" t="str">
        <f>IFERROR(__xludf.DUMMYFUNCTION("""COMPUTED_VALUE"""),"Hall 4/5")</f>
        <v>Hall 4/5</v>
      </c>
      <c r="I2999" s="7" t="str">
        <f>IFERROR(__xludf.DUMMYFUNCTION("""COMPUTED_VALUE"""),"Session 12: IP-Posters")</f>
        <v>Session 12: IP-Posters</v>
      </c>
      <c r="J2999" s="7" t="str">
        <f>IFERROR(__xludf.DUMMYFUNCTION("""COMPUTED_VALUE"""),"Poster Session 4")</f>
        <v>Poster Session 4</v>
      </c>
      <c r="K2999" s="7"/>
      <c r="L2999" s="8">
        <f>IFERROR(__xludf.DUMMYFUNCTION("""COMPUTED_VALUE"""),45868.0)</f>
        <v>45868</v>
      </c>
      <c r="M2999" s="7" t="str">
        <f>IFERROR(__xludf.DUMMYFUNCTION("""COMPUTED_VALUE"""),"11:00-12:30")</f>
        <v>11:00-12:30</v>
      </c>
      <c r="N2999" s="7"/>
    </row>
    <row r="3000">
      <c r="A3000" s="7" t="str">
        <f>IFERROR(__xludf.DUMMYFUNCTION("""COMPUTED_VALUE"""),"3996-MAIN")</f>
        <v>3996-MAIN</v>
      </c>
      <c r="B3000" s="7" t="str">
        <f>IFERROR(__xludf.DUMMYFUNCTION("""COMPUTED_VALUE"""),"Unique Hard Attention: A Tale of Two Sides")</f>
        <v>Unique Hard Attention: A Tale of Two Sides</v>
      </c>
      <c r="C3000" s="7" t="str">
        <f>IFERROR(__xludf.DUMMYFUNCTION("""COMPUTED_VALUE"""),"Understanding the expressive power of transformers has recently attracted attention, as it offers insights into their abilities and limitations. Many studies analyze unique hard attention transformers, where attention selects a single position that maximi"&amp;"zes the attention scores. When multiple positions achieve the maximum score, either the rightmost or the leftmost of those is chosen. In this paper, we highlight the importance of this seeming triviality. Recently, finite-precision transformers with both "&amp;"leftmost- and rightmost-hard attention were shown to be equivalent to Linear Temporal Logic (LTL). We show that this no longer holds with only leftmost-hard attention---in that case, they correspond to a \emph{strictly weaker} fragment of LTL. Furthermore"&amp;", we show that models with leftmost-hard attention are equivalent to \emph{soft} attention, suggesting they may better approximate real-world transformers than right-attention models. These findings refine the landscape of transformer expressivity and und"&amp;"erscore the role of attention directionality.")</f>
        <v>Understanding the expressive power of transformers has recently attracted attention, as it offers insights into their abilities and limitations. Many studies analyze unique hard attention transformers, where attention selects a single position that maximizes the attention scores. When multiple positions achieve the maximum score, either the rightmost or the leftmost of those is chosen. In this paper, we highlight the importance of this seeming triviality. Recently, finite-precision transformers with both leftmost- and rightmost-hard attention were shown to be equivalent to Linear Temporal Logic (LTL). We show that this no longer holds with only leftmost-hard attention---in that case, they correspond to a \emph{strictly weaker} fragment of LTL. Furthermore, we show that models with leftmost-hard attention are equivalent to \emph{soft} attention, suggesting they may better approximate real-world transformers than right-attention models. These findings refine the landscape of transformer expressivity and underscore the role of attention directionality.</v>
      </c>
      <c r="D3000" s="7" t="str">
        <f>IFERROR(__xludf.DUMMYFUNCTION("""COMPUTED_VALUE"""),"Selim Jerad")</f>
        <v>Selim Jerad</v>
      </c>
      <c r="E3000" s="7" t="str">
        <f>IFERROR(__xludf.DUMMYFUNCTION("""COMPUTED_VALUE"""),"Yes")</f>
        <v>Yes</v>
      </c>
      <c r="F3000" s="7" t="str">
        <f>IFERROR(__xludf.DUMMYFUNCTION("""COMPUTED_VALUE"""),"IP-Oral")</f>
        <v>IP-Oral</v>
      </c>
      <c r="G3000" s="7" t="str">
        <f>IFERROR(__xludf.DUMMYFUNCTION("""COMPUTED_VALUE"""),"In-Person")</f>
        <v>In-Person</v>
      </c>
      <c r="H3000" s="7" t="str">
        <f>IFERROR(__xludf.DUMMYFUNCTION("""COMPUTED_VALUE"""),"Room 1.85")</f>
        <v>Room 1.85</v>
      </c>
      <c r="I3000" s="7" t="str">
        <f>IFERROR(__xludf.DUMMYFUNCTION("""COMPUTED_VALUE"""),"Session 11: IP-Orals ")</f>
        <v>Session 11: IP-Orals </v>
      </c>
      <c r="J3000" s="7" t="str">
        <f>IFERROR(__xludf.DUMMYFUNCTION("""COMPUTED_VALUE"""),"Interpretability and Model Analysis 2")</f>
        <v>Interpretability and Model Analysis 2</v>
      </c>
      <c r="K3000" s="7"/>
      <c r="L3000" s="8">
        <f>IFERROR(__xludf.DUMMYFUNCTION("""COMPUTED_VALUE"""),45868.0)</f>
        <v>45868</v>
      </c>
      <c r="M3000" s="7" t="str">
        <f>IFERROR(__xludf.DUMMYFUNCTION("""COMPUTED_VALUE"""),"09:00-10:30")</f>
        <v>09:00-10:30</v>
      </c>
      <c r="N3000" s="7">
        <f>IFERROR(__xludf.DUMMYFUNCTION("""COMPUTED_VALUE"""),8.0)</f>
        <v>8</v>
      </c>
    </row>
    <row r="3001">
      <c r="A3001" s="7" t="str">
        <f>IFERROR(__xludf.DUMMYFUNCTION("""COMPUTED_VALUE"""),"3998-MAIN")</f>
        <v>3998-MAIN</v>
      </c>
      <c r="B3001" s="7" t="str">
        <f>IFERROR(__xludf.DUMMYFUNCTION("""COMPUTED_VALUE"""),"LLM×MapReduce: Simplified Long-Sequence Processing using Large Language Models")</f>
        <v>LLM×MapReduce: Simplified Long-Sequence Processing using Large Language Models</v>
      </c>
      <c r="C3001" s="7" t="str">
        <f>IFERROR(__xludf.DUMMYFUNCTION("""COMPUTED_VALUE"""),"We propose a training-free framework that enables large language models (LLMs) to effectively process long texts, using a divide-and-conquer strategy for comprehensive document understanding.
The proposed LLM$\times$MapReduce framework splits the entire d"&amp;"ocument into several chunks for LLMs to read and then aggregates the intermediate outputs to produce the final response. The main challenge for divide-and-conquer long text processing frameworks lies in the risk of losing essential long-range information "&amp;"due to document splitting, which can lead the model to produce incomplete or incorrect answers based on the segmented texts.
Disrupted long-range information can be classified into two categories: inter-chunk dependency and inter-chunk conflict.
We design"&amp;" a structured information protocol to better cope with inter-chunk dependency and an in-context confidence calibration mechanism to resolve inter-chunk conflicts. Experiments demonstrate that LLM$\times$MapReduce outperforms representative open-source and"&amp;" commercial long-context LLMs and is compatible with several models.
Our framework can also function as a data synthesis engine, capable of generating high-quality long-alignment data using only short-context LLMs.")</f>
        <v>We propose a training-free framework that enables large language models (LLMs) to effectively process long texts, using a divide-and-conquer strategy for comprehensive document understanding.
The proposed LLM$\times$MapReduce framework splits the entire document into several chunks for LLMs to read and then aggregates the intermediate outputs to produce the final response. The main challenge for divide-and-conquer long text processing frameworks lies in the risk of losing essential long-range information due to document splitting, which can lead the model to produce incomplete or incorrect answers based on the segmented texts.
Disrupted long-range information can be classified into two categories: inter-chunk dependency and inter-chunk conflict.
We design a structured information protocol to better cope with inter-chunk dependency and an in-context confidence calibration mechanism to resolve inter-chunk conflicts. Experiments demonstrate that LLM$\times$MapReduce outperforms representative open-source and commercial long-context LLMs and is compatible with several models.
Our framework can also function as a data synthesis engine, capable of generating high-quality long-alignment data using only short-context LLMs.</v>
      </c>
      <c r="D3001" s="7" t="str">
        <f>IFERROR(__xludf.DUMMYFUNCTION("""COMPUTED_VALUE"""),"Zihan Zhou")</f>
        <v>Zihan Zhou</v>
      </c>
      <c r="E3001" s="7" t="str">
        <f>IFERROR(__xludf.DUMMYFUNCTION("""COMPUTED_VALUE"""),"Yes")</f>
        <v>Yes</v>
      </c>
      <c r="F3001" s="7" t="str">
        <f>IFERROR(__xludf.DUMMYFUNCTION("""COMPUTED_VALUE"""),"V-Presentation")</f>
        <v>V-Presentation</v>
      </c>
      <c r="G3001" s="7" t="str">
        <f>IFERROR(__xludf.DUMMYFUNCTION("""COMPUTED_VALUE"""),"Virtual/Gather")</f>
        <v>Virtual/Gather</v>
      </c>
      <c r="H3001" s="7" t="str">
        <f>IFERROR(__xludf.DUMMYFUNCTION("""COMPUTED_VALUE"""),"Zoom")</f>
        <v>Zoom</v>
      </c>
      <c r="I3001" s="7" t="str">
        <f>IFERROR(__xludf.DUMMYFUNCTION("""COMPUTED_VALUE"""),"Session 2: V-Presentations")</f>
        <v>Session 2: V-Presentations</v>
      </c>
      <c r="J3001" s="7" t="str">
        <f>IFERROR(__xludf.DUMMYFUNCTION("""COMPUTED_VALUE"""),"Virtual Presentations 1")</f>
        <v>Virtual Presentations 1</v>
      </c>
      <c r="K3001" s="7"/>
      <c r="L3001" s="8">
        <f>IFERROR(__xludf.DUMMYFUNCTION("""COMPUTED_VALUE"""),45866.0)</f>
        <v>45866</v>
      </c>
      <c r="M3001" s="7" t="str">
        <f>IFERROR(__xludf.DUMMYFUNCTION("""COMPUTED_VALUE"""),"11:00-12:30")</f>
        <v>11:00-12:30</v>
      </c>
      <c r="N3001" s="7"/>
    </row>
    <row r="3002">
      <c r="A3002" s="7" t="str">
        <f>IFERROR(__xludf.DUMMYFUNCTION("""COMPUTED_VALUE"""),"4000-MAIN")</f>
        <v>4000-MAIN</v>
      </c>
      <c r="B3002" s="7" t="str">
        <f>IFERROR(__xludf.DUMMYFUNCTION("""COMPUTED_VALUE"""),"CheXalign: Preference fine-tuning in chest X-ray interpretation models without human feedback")</f>
        <v>CheXalign: Preference fine-tuning in chest X-ray interpretation models without human feedback</v>
      </c>
      <c r="C3002" s="7" t="str">
        <f>IFERROR(__xludf.DUMMYFUNCTION("""COMPUTED_VALUE"""),"Radiologists play a crucial role in translating medical images into actionable reports. However, the field faces staffing shortages and increasing workloads. While automated approaches using vision-language models (VLMs) show promise as assistants, they r"&amp;"equire exceptionally high accuracy. Most current VLMs in radiology rely solely on supervised fine-tuning. Meanwhile, additional preference fine-tuning in the post-training pipeline has become standard practice in the general domain. The challenge in radio"&amp;"logy lies in the prohibitive cost of obtaining radiologist feedback at scale. To address this challenge, we propose an automated pipeline for preference feedback, focusing on chest X-ray radiology report generation (RRG). Specifically, our method leverage"&amp;"s publicly available datasets containing pairs of images and radiologist-written reference reports with reference-based metrics, or Judges, eliminating the need for *additional radiologist feedback*. We investigate reward overoptimization via length explo"&amp;"itation in this setting and introduce a length-controlled version of the GREEN score. Our best-performing setup achieves state-of-the-art CheXbert scores on the MIMIC-CXR dataset for the RRG task while on average maintaining robust performance across six "&amp;"additional image perception and reasoning tasks.")</f>
        <v>Radiologists play a crucial role in translating medical images into actionable reports. However, the field faces staffing shortages and increasing workloads. While automated approaches using vision-language models (VLMs) show promise as assistants, they require exceptionally high accuracy. Most current VLMs in radiology rely solely on supervised fine-tuning. Meanwhile, additional preference fine-tuning in the post-training pipeline has become standard practice in the general domain. The challenge in radiology lies in the prohibitive cost of obtaining radiologist feedback at scale. To address this challenge, we propose an automated pipeline for preference feedback, focusing on chest X-ray radiology report generation (RRG). Specifically, our method leverages publicly available datasets containing pairs of images and radiologist-written reference reports with reference-based metrics, or Judges, eliminating the need for *additional radiologist feedback*. We investigate reward overoptimization via length exploitation in this setting and introduce a length-controlled version of the GREEN score. Our best-performing setup achieves state-of-the-art CheXbert scores on the MIMIC-CXR dataset for the RRG task while on average maintaining robust performance across six additional image perception and reasoning tasks.</v>
      </c>
      <c r="D3002" s="7" t="str">
        <f>IFERROR(__xludf.DUMMYFUNCTION("""COMPUTED_VALUE"""),"Dennis Hein")</f>
        <v>Dennis Hein</v>
      </c>
      <c r="E3002" s="7" t="str">
        <f>IFERROR(__xludf.DUMMYFUNCTION("""COMPUTED_VALUE"""),"Yes")</f>
        <v>Yes</v>
      </c>
      <c r="F3002" s="7" t="str">
        <f>IFERROR(__xludf.DUMMYFUNCTION("""COMPUTED_VALUE"""),"V-Presentation")</f>
        <v>V-Presentation</v>
      </c>
      <c r="G3002" s="7" t="str">
        <f>IFERROR(__xludf.DUMMYFUNCTION("""COMPUTED_VALUE"""),"Virtual/Gather")</f>
        <v>Virtual/Gather</v>
      </c>
      <c r="H3002" s="7" t="str">
        <f>IFERROR(__xludf.DUMMYFUNCTION("""COMPUTED_VALUE"""),"Zoom")</f>
        <v>Zoom</v>
      </c>
      <c r="I3002" s="7" t="str">
        <f>IFERROR(__xludf.DUMMYFUNCTION("""COMPUTED_VALUE"""),"Session 7: V--Presentations ")</f>
        <v>Session 7: V--Presentations </v>
      </c>
      <c r="J3002" s="7" t="str">
        <f>IFERROR(__xludf.DUMMYFUNCTION("""COMPUTED_VALUE"""),"Virtual Presentations 2")</f>
        <v>Virtual Presentations 2</v>
      </c>
      <c r="K3002" s="7"/>
      <c r="L3002" s="8"/>
      <c r="M3002" s="7" t="str">
        <f>IFERROR(__xludf.DUMMYFUNCTION("""COMPUTED_VALUE"""),"10:30-12:00")</f>
        <v>10:30-12:00</v>
      </c>
      <c r="N3002" s="7"/>
    </row>
    <row r="3003">
      <c r="A3003" s="7" t="str">
        <f>IFERROR(__xludf.DUMMYFUNCTION("""COMPUTED_VALUE"""),"4002-MAIN")</f>
        <v>4002-MAIN</v>
      </c>
      <c r="B3003" s="7" t="str">
        <f>IFERROR(__xludf.DUMMYFUNCTION("""COMPUTED_VALUE"""),"Knowledge Tracing in Programming Education Integrating Students' Questions")</f>
        <v>Knowledge Tracing in Programming Education Integrating Students' Questions</v>
      </c>
      <c r="C3003" s="7" t="str">
        <f>IFERROR(__xludf.DUMMYFUNCTION("""COMPUTED_VALUE"""),"Knowledge tracing (KT) in programming education presents unique challenges due to the complexity of coding tasks and the diverse methods students use to solve problems. Although students' questions often contain valuable signals about their understanding "&amp;"and misconceptions, traditional KT models often neglect to incorporate these questions as inputs to address these challenges. This paper introduces SQKT (Students' Question-based Knowledge Tracing), a knowledge tracing model that leverages students' quest"&amp;"ions and automatically extracted skill information to enhance the accuracy of predicting students' performance on subsequent problems in programming education. Our method creates semantically rich embeddings that capture not only the surface-level content"&amp;" of the questions but also the student's mastery level and conceptual understanding. Experimental results demonstrate SQKT's superior performance in predicting student completion across various Python programming courses of differing difficulty levels. In"&amp;" in-domain experiments, SQKT achieved a 33.1% absolute improvement in AUC compared to baseline models. The model also exhibited robust generalization capabilities in cross-domain settings, effectively addressing data scarcity issues in advanced programmin"&amp;"g courses. SQKT can be used to tailor educational content to individual learning needs and design adaptive learning systems in computer science education.")</f>
        <v>Knowledge tracing (KT) in programming education presents unique challenges due to the complexity of coding tasks and the diverse methods students use to solve problems. Although students' questions often contain valuable signals about their understanding and misconceptions, traditional KT models often neglect to incorporate these questions as inputs to address these challenges. This paper introduces SQKT (Students' Question-based Knowledge Tracing), a knowledge tracing model that leverages students' questions and automatically extracted skill information to enhance the accuracy of predicting students' performance on subsequent problems in programming education. Our method creates semantically rich embeddings that capture not only the surface-level content of the questions but also the student's mastery level and conceptual understanding. Experimental results demonstrate SQKT's superior performance in predicting student completion across various Python programming courses of differing difficulty levels. In in-domain experiments, SQKT achieved a 33.1% absolute improvement in AUC compared to baseline models. The model also exhibited robust generalization capabilities in cross-domain settings, effectively addressing data scarcity issues in advanced programming courses. SQKT can be used to tailor educational content to individual learning needs and design adaptive learning systems in computer science education.</v>
      </c>
      <c r="D3003" s="7" t="str">
        <f>IFERROR(__xludf.DUMMYFUNCTION("""COMPUTED_VALUE"""),"Doyoun Kim")</f>
        <v>Doyoun Kim</v>
      </c>
      <c r="E3003" s="7" t="str">
        <f>IFERROR(__xludf.DUMMYFUNCTION("""COMPUTED_VALUE"""),"Yes")</f>
        <v>Yes</v>
      </c>
      <c r="F3003" s="7" t="str">
        <f>IFERROR(__xludf.DUMMYFUNCTION("""COMPUTED_VALUE"""),"IP-Oral")</f>
        <v>IP-Oral</v>
      </c>
      <c r="G3003" s="7" t="str">
        <f>IFERROR(__xludf.DUMMYFUNCTION("""COMPUTED_VALUE"""),"In-Person")</f>
        <v>In-Person</v>
      </c>
      <c r="H3003" s="7" t="str">
        <f>IFERROR(__xludf.DUMMYFUNCTION("""COMPUTED_VALUE"""),"Hall M.1")</f>
        <v>Hall M.1</v>
      </c>
      <c r="I3003" s="7" t="str">
        <f>IFERROR(__xludf.DUMMYFUNCTION("""COMPUTED_VALUE"""),"Session 11: IP-Orals ")</f>
        <v>Session 11: IP-Orals </v>
      </c>
      <c r="J3003" s="7" t="str">
        <f>IFERROR(__xludf.DUMMYFUNCTION("""COMPUTED_VALUE"""),"NLP Applications 2")</f>
        <v>NLP Applications 2</v>
      </c>
      <c r="K3003" s="7"/>
      <c r="L3003" s="8">
        <f>IFERROR(__xludf.DUMMYFUNCTION("""COMPUTED_VALUE"""),45868.0)</f>
        <v>45868</v>
      </c>
      <c r="M3003" s="7" t="str">
        <f>IFERROR(__xludf.DUMMYFUNCTION("""COMPUTED_VALUE"""),"09:00-10:30")</f>
        <v>09:00-10:30</v>
      </c>
      <c r="N3003" s="7">
        <f>IFERROR(__xludf.DUMMYFUNCTION("""COMPUTED_VALUE"""),8.0)</f>
        <v>8</v>
      </c>
    </row>
    <row r="3004">
      <c r="A3004" s="7" t="str">
        <f>IFERROR(__xludf.DUMMYFUNCTION("""COMPUTED_VALUE"""),"4005-MAIN")</f>
        <v>4005-MAIN</v>
      </c>
      <c r="B3004" s="7" t="str">
        <f>IFERROR(__xludf.DUMMYFUNCTION("""COMPUTED_VALUE"""),"PRISM: A Framework for Producing Interpretable Political Bias Embeddings with Political-Aware Cross-Encoder")</f>
        <v>PRISM: A Framework for Producing Interpretable Political Bias Embeddings with Political-Aware Cross-Encoder</v>
      </c>
      <c r="C3004" s="7" t="str">
        <f>IFERROR(__xludf.DUMMYFUNCTION("""COMPUTED_VALUE"""),"Semantic Text Embedding is a fundamental NLP task that encodes textual content into vector representations, where proximity in the embedding space reflects semantic similarity. While existing embedding models excel at capturing general meaning, they often"&amp;" overlook ideological nuances, limiting their effectiveness in tasks that require an understanding of political bias. To address this gap, we introduce \algo{PRISM}, the first framework designed to \textbf{P}roduce inte\textbf{R}pretable pol\textbf{I}tica"&amp;"l bia\textbf{S} e\textbf{M}beddings. \algo{PRISM} operates in two key stages: (1) Controversial Topic Bias Indicator Mining, which systematically extracts fine-grained political topics and corresponding bias indicators from weakly labeled news data, and ("&amp;"2) Cross-Encoder Political Bias Embedding, which assigns structured bias scores to news articles based on their alignment with these indicators. This approach ensures that embeddings are explicitly tied to bias-revealing dimensions, enhancing both interpr"&amp;"etability and predictive power. Through extensive experiments on large-scale datasets, we demonstrate that \algo{PRISM} outperforms state-of-the-art text embedding models in political bias classification while offering highly interpretable representations"&amp;" that facilitate diversified retrieval and ideological analysis. The source code is available at \url{https://anonymous.4open.science/r/PRISM-80B4/}.")</f>
        <v>Semantic Text Embedding is a fundamental NLP task that encodes textual content into vector representations, where proximity in the embedding space reflects semantic similarity. While existing embedding models excel at capturing general meaning, they often overlook ideological nuances, limiting their effectiveness in tasks that require an understanding of political bias. To address this gap, we introduce \algo{PRISM}, the first framework designed to \textbf{P}roduce inte\textbf{R}pretable pol\textbf{I}tical bia\textbf{S} e\textbf{M}beddings. \algo{PRISM} operates in two key stages: (1) Controversial Topic Bias Indicator Mining, which systematically extracts fine-grained political topics and corresponding bias indicators from weakly labeled news data, and (2) Cross-Encoder Political Bias Embedding, which assigns structured bias scores to news articles based on their alignment with these indicators. This approach ensures that embeddings are explicitly tied to bias-revealing dimensions, enhancing both interpretability and predictive power. Through extensive experiments on large-scale datasets, we demonstrate that \algo{PRISM} outperforms state-of-the-art text embedding models in political bias classification while offering highly interpretable representations that facilitate diversified retrieval and ideological analysis. The source code is available at \url{https://anonymous.4open.science/r/PRISM-80B4/}.</v>
      </c>
      <c r="D3004" s="7" t="str">
        <f>IFERROR(__xludf.DUMMYFUNCTION("""COMPUTED_VALUE"""),"Yiqun Sun")</f>
        <v>Yiqun Sun</v>
      </c>
      <c r="E3004" s="7" t="str">
        <f>IFERROR(__xludf.DUMMYFUNCTION("""COMPUTED_VALUE"""),"Yes")</f>
        <v>Yes</v>
      </c>
      <c r="F3004" s="7" t="str">
        <f>IFERROR(__xludf.DUMMYFUNCTION("""COMPUTED_VALUE"""),"IP-Oral")</f>
        <v>IP-Oral</v>
      </c>
      <c r="G3004" s="7" t="str">
        <f>IFERROR(__xludf.DUMMYFUNCTION("""COMPUTED_VALUE"""),"In-Person")</f>
        <v>In-Person</v>
      </c>
      <c r="H3004" s="7" t="str">
        <f>IFERROR(__xludf.DUMMYFUNCTION("""COMPUTED_VALUE"""),"Hall N.1")</f>
        <v>Hall N.1</v>
      </c>
      <c r="I3004" s="7" t="str">
        <f>IFERROR(__xludf.DUMMYFUNCTION("""COMPUTED_VALUE"""),"Session 3: IP-Orals")</f>
        <v>Session 3: IP-Orals</v>
      </c>
      <c r="J3004" s="7" t="str">
        <f>IFERROR(__xludf.DUMMYFUNCTION("""COMPUTED_VALUE"""),"Information Retrieval and Text Mining")</f>
        <v>Information Retrieval and Text Mining</v>
      </c>
      <c r="K3004" s="7"/>
      <c r="L3004" s="8">
        <f>IFERROR(__xludf.DUMMYFUNCTION("""COMPUTED_VALUE"""),45866.0)</f>
        <v>45866</v>
      </c>
      <c r="M3004" s="7" t="str">
        <f>IFERROR(__xludf.DUMMYFUNCTION("""COMPUTED_VALUE"""),"14:00-15:30")</f>
        <v>14:00-15:30</v>
      </c>
      <c r="N3004" s="7">
        <f>IFERROR(__xludf.DUMMYFUNCTION("""COMPUTED_VALUE"""),5.0)</f>
        <v>5</v>
      </c>
    </row>
    <row r="3005">
      <c r="A3005" s="7" t="str">
        <f>IFERROR(__xludf.DUMMYFUNCTION("""COMPUTED_VALUE"""),"4008-MAIN")</f>
        <v>4008-MAIN</v>
      </c>
      <c r="B3005" s="7" t="str">
        <f>IFERROR(__xludf.DUMMYFUNCTION("""COMPUTED_VALUE"""),"Representations of Fact, Fiction and Forecast in Large Language Models: Epistemics and Attitudes")</f>
        <v>Representations of Fact, Fiction and Forecast in Large Language Models: Epistemics and Attitudes</v>
      </c>
      <c r="C3005" s="7" t="str">
        <f>IFERROR(__xludf.DUMMYFUNCTION("""COMPUTED_VALUE"""),"Rational speakers are supposed to know what they know and what they do not know, and to generate expressions matching the strength of evidence. In contrast, it is still a challenge for current large language models to generate corresponding utterances bas"&amp;"ed on the assessment of facts and confidence in an uncertain real-world environment. While it has recently become popular to estimate and calibrate confidence of LLMs with verbalized uncertainty, what is lacking is a careful examination of the linguistic "&amp;"knowledge of uncertainty encoded in the latent space of LLMs. In this paper, we draw on typological frameworks of epistemic expressions to evaluate LLMs' knowledge of epistemic modality, using controlled stories. Our experiments show that the performance "&amp;"of LLMs in generating epistemic expressions is limited and not robust, and hence the expressions of uncertainty generated by LLMs are not always reliable. To build uncertainty-aware LLMs, it is necessary to enrich semantic knowledge of epistemic modality "&amp;"in LLMs.")</f>
        <v>Rational speakers are supposed to know what they know and what they do not know, and to generate expressions matching the strength of evidence. In contrast, it is still a challenge for current large language models to generate corresponding utterances based on the assessment of facts and confidence in an uncertain real-world environment. While it has recently become popular to estimate and calibrate confidence of LLMs with verbalized uncertainty, what is lacking is a careful examination of the linguistic knowledge of uncertainty encoded in the latent space of LLMs. In this paper, we draw on typological frameworks of epistemic expressions to evaluate LLMs' knowledge of epistemic modality, using controlled stories. Our experiments show that the performance of LLMs in generating epistemic expressions is limited and not robust, and hence the expressions of uncertainty generated by LLMs are not always reliable. To build uncertainty-aware LLMs, it is necessary to enrich semantic knowledge of epistemic modality in LLMs.</v>
      </c>
      <c r="D3005" s="7" t="str">
        <f>IFERROR(__xludf.DUMMYFUNCTION("""COMPUTED_VALUE"""),"Meng Li")</f>
        <v>Meng Li</v>
      </c>
      <c r="E3005" s="7" t="str">
        <f>IFERROR(__xludf.DUMMYFUNCTION("""COMPUTED_VALUE"""),"Yes")</f>
        <v>Yes</v>
      </c>
      <c r="F3005" s="7" t="str">
        <f>IFERROR(__xludf.DUMMYFUNCTION("""COMPUTED_VALUE"""),"IP-Oral")</f>
        <v>IP-Oral</v>
      </c>
      <c r="G3005" s="7" t="str">
        <f>IFERROR(__xludf.DUMMYFUNCTION("""COMPUTED_VALUE"""),"In-Person")</f>
        <v>In-Person</v>
      </c>
      <c r="H3005" s="7" t="str">
        <f>IFERROR(__xludf.DUMMYFUNCTION("""COMPUTED_VALUE"""),"Room 1.86")</f>
        <v>Room 1.86</v>
      </c>
      <c r="I3005" s="7" t="str">
        <f>IFERROR(__xludf.DUMMYFUNCTION("""COMPUTED_VALUE"""),"Session 3: IP-Orals")</f>
        <v>Session 3: IP-Orals</v>
      </c>
      <c r="J3005" s="7" t="str">
        <f>IFERROR(__xludf.DUMMYFUNCTION("""COMPUTED_VALUE"""),"Semantics")</f>
        <v>Semantics</v>
      </c>
      <c r="K3005" s="7"/>
      <c r="L3005" s="8">
        <f>IFERROR(__xludf.DUMMYFUNCTION("""COMPUTED_VALUE"""),45866.0)</f>
        <v>45866</v>
      </c>
      <c r="M3005" s="7" t="str">
        <f>IFERROR(__xludf.DUMMYFUNCTION("""COMPUTED_VALUE"""),"14:00-15:30")</f>
        <v>14:00-15:30</v>
      </c>
      <c r="N3005" s="7">
        <f>IFERROR(__xludf.DUMMYFUNCTION("""COMPUTED_VALUE"""),8.0)</f>
        <v>8</v>
      </c>
    </row>
    <row r="3006">
      <c r="A3006" s="7" t="str">
        <f>IFERROR(__xludf.DUMMYFUNCTION("""COMPUTED_VALUE"""),"4009-MAIN")</f>
        <v>4009-MAIN</v>
      </c>
      <c r="B3006" s="7" t="str">
        <f>IFERROR(__xludf.DUMMYFUNCTION("""COMPUTED_VALUE"""),"Lexical Diversity-aware Relevance Assessment for Retrieval-Augmented Generation")</f>
        <v>Lexical Diversity-aware Relevance Assessment for Retrieval-Augmented Generation</v>
      </c>
      <c r="C3006" s="7" t="str">
        <f>IFERROR(__xludf.DUMMYFUNCTION("""COMPUTED_VALUE"""),"Retrieval-Augmented Generation (RAG) has proven effective in enhancing the factuality of LLMs' generation, making them a focal point of research. However, previous RAG approaches overlook the lexical diversity of queries, hindering their ability to achiev"&amp;"e a granular relevance assessment between queries and retrieved documents, resulting in suboptimal performance. In this paper, we introduce a Lexical Diversity-aware RAG (DRAG) method to address the biases in relevant information retrieval and utilization"&amp;" induced by lexical diversity. Specifically, a Diversity-sensitive Relevance Analyzer is proposed to decouple and assess the relevance of different query components (words, phrases) based on their levels of lexical diversity, ensuring precise and comprehe"&amp;"nsive document retrieval. Moreover, a Risk-guided Sparse Calibration strategy is further introduced to calibrate the generated tokens that is heavily affected by irrelevant content. Through these modules, DRAG is capable of effectively retrieving relevant"&amp;" documents and leverages their pertinent knowledge to refine the original results and generate meaningful outcomes. Extensive experiments on widely used benchmarks demonstrate the efficacy of our approach, yielding a 10.6% accuracy improvement on HotpotQA"&amp;".")</f>
        <v>Retrieval-Augmented Generation (RAG) has proven effective in enhancing the factuality of LLMs' generation, making them a focal point of research. However, previous RAG approaches overlook the lexical diversity of queries, hindering their ability to achieve a granular relevance assessment between queries and retrieved documents, resulting in suboptimal performance. In this paper, we introduce a Lexical Diversity-aware RAG (DRAG) method to address the biases in relevant information retrieval and utilization induced by lexical diversity. Specifically, a Diversity-sensitive Relevance Analyzer is proposed to decouple and assess the relevance of different query components (words, phrases) based on their levels of lexical diversity, ensuring precise and comprehensive document retrieval. Moreover, a Risk-guided Sparse Calibration strategy is further introduced to calibrate the generated tokens that is heavily affected by irrelevant content. Through these modules, DRAG is capable of effectively retrieving relevant documents and leverages their pertinent knowledge to refine the original results and generate meaningful outcomes. Extensive experiments on widely used benchmarks demonstrate the efficacy of our approach, yielding a 10.6% accuracy improvement on HotpotQA.</v>
      </c>
      <c r="D3006" s="7" t="str">
        <f>IFERROR(__xludf.DUMMYFUNCTION("""COMPUTED_VALUE"""),"Zhange Zhang")</f>
        <v>Zhange Zhang</v>
      </c>
      <c r="E3006" s="7" t="str">
        <f>IFERROR(__xludf.DUMMYFUNCTION("""COMPUTED_VALUE"""),"Yes")</f>
        <v>Yes</v>
      </c>
      <c r="F3006" s="7" t="str">
        <f>IFERROR(__xludf.DUMMYFUNCTION("""COMPUTED_VALUE"""),"IP-Poster")</f>
        <v>IP-Poster</v>
      </c>
      <c r="G3006" s="7" t="str">
        <f>IFERROR(__xludf.DUMMYFUNCTION("""COMPUTED_VALUE"""),"In-Person")</f>
        <v>In-Person</v>
      </c>
      <c r="H3006" s="7" t="str">
        <f>IFERROR(__xludf.DUMMYFUNCTION("""COMPUTED_VALUE"""),"Hall 4/5")</f>
        <v>Hall 4/5</v>
      </c>
      <c r="I3006" s="7" t="str">
        <f>IFERROR(__xludf.DUMMYFUNCTION("""COMPUTED_VALUE"""),"Session 10: IP-Posters")</f>
        <v>Session 10: IP-Posters</v>
      </c>
      <c r="J3006" s="7" t="str">
        <f>IFERROR(__xludf.DUMMYFUNCTION("""COMPUTED_VALUE"""),"Poster Session 3")</f>
        <v>Poster Session 3</v>
      </c>
      <c r="K3006" s="7"/>
      <c r="L3006" s="8">
        <f>IFERROR(__xludf.DUMMYFUNCTION("""COMPUTED_VALUE"""),45867.0)</f>
        <v>45867</v>
      </c>
      <c r="M3006" s="7" t="str">
        <f>IFERROR(__xludf.DUMMYFUNCTION("""COMPUTED_VALUE"""),"16:00-17:30")</f>
        <v>16:00-17:30</v>
      </c>
      <c r="N3006" s="7"/>
    </row>
    <row r="3007">
      <c r="A3007" s="7" t="str">
        <f>IFERROR(__xludf.DUMMYFUNCTION("""COMPUTED_VALUE"""),"4010-MAIN")</f>
        <v>4010-MAIN</v>
      </c>
      <c r="B3007" s="7" t="str">
        <f>IFERROR(__xludf.DUMMYFUNCTION("""COMPUTED_VALUE"""),"Weaving Context Across Images: Improving Vision-Language Models through Focus-Centric Visual Chains")</f>
        <v>Weaving Context Across Images: Improving Vision-Language Models through Focus-Centric Visual Chains</v>
      </c>
      <c r="C3007" s="7" t="str">
        <f>IFERROR(__xludf.DUMMYFUNCTION("""COMPUTED_VALUE"""),"Vision-language models (VLMs) achieve remarkable success in single-image tasks. However, real-world scenarios often involve intricate multi-image inputs, leading to a notable performance decline as models struggle to disentangle critical information scatt"&amp;"ered across complex visual features. In this work, we propose Focus-Centric Visual Chain, a novel paradigm that enhances VLMs’ perception, comprehension, and reasoning abilities in multi-image scenarios. To facilitate this paradigm, we propose Focus-Centr"&amp;"ic Data Synthesis, a scalable bottom-up approach for synthesizing high-quality data with elaborate reasoning paths. Through this approach, We construct VISC-150K, a large-scale dataset with reasoning data in the form of Focus-Centric Visual Chain, specifi"&amp;"cally designed for multi-image tasks. Experimental results on seven multi-image benchmarks demonstrate that our method achieves average performance gains of 3.16% and 2.24% across two distinct model architectures, without compromising the general vision-l"&amp;"anguage capabilities. Our study represents a significant step toward more robust and capable vision-language systems that can handle complex visual scenarios.")</f>
        <v>Vision-language models (VLMs) achieve remarkable success in single-image tasks. However, real-world scenarios often involve intricate multi-image inputs, leading to a notable performance decline as models struggle to disentangle critical information scattered across complex visual features. In this work, we propose Focus-Centric Visual Chain, a novel paradigm that enhances VLMs’ perception, comprehension, and reasoning abilities in multi-image scenarios. To facilitate this paradigm, we propose Focus-Centric Data Synthesis, a scalable bottom-up approach for synthesizing high-quality data with elaborate reasoning paths. Through this approach, We construct VISC-150K, a large-scale dataset with reasoning data in the form of Focus-Centric Visual Chain, specifically designed for multi-image tasks. Experimental results on seven multi-image benchmarks demonstrate that our method achieves average performance gains of 3.16% and 2.24% across two distinct model architectures, without compromising the general vision-language capabilities. Our study represents a significant step toward more robust and capable vision-language systems that can handle complex visual scenarios.</v>
      </c>
      <c r="D3007" s="7" t="str">
        <f>IFERROR(__xludf.DUMMYFUNCTION("""COMPUTED_VALUE"""),"Juntian Zhang")</f>
        <v>Juntian Zhang</v>
      </c>
      <c r="E3007" s="7" t="str">
        <f>IFERROR(__xludf.DUMMYFUNCTION("""COMPUTED_VALUE"""),"Yes")</f>
        <v>Yes</v>
      </c>
      <c r="F3007" s="7" t="str">
        <f>IFERROR(__xludf.DUMMYFUNCTION("""COMPUTED_VALUE"""),"IP-Poster")</f>
        <v>IP-Poster</v>
      </c>
      <c r="G3007" s="7" t="str">
        <f>IFERROR(__xludf.DUMMYFUNCTION("""COMPUTED_VALUE"""),"In-Person")</f>
        <v>In-Person</v>
      </c>
      <c r="H3007" s="7" t="str">
        <f>IFERROR(__xludf.DUMMYFUNCTION("""COMPUTED_VALUE"""),"Hall 4/5")</f>
        <v>Hall 4/5</v>
      </c>
      <c r="I3007" s="7" t="str">
        <f>IFERROR(__xludf.DUMMYFUNCTION("""COMPUTED_VALUE"""),"Session 2: IP-Posters ")</f>
        <v>Session 2: IP-Posters </v>
      </c>
      <c r="J3007" s="7" t="str">
        <f>IFERROR(__xludf.DUMMYFUNCTION("""COMPUTED_VALUE"""),"Poster Session 1")</f>
        <v>Poster Session 1</v>
      </c>
      <c r="K3007" s="7"/>
      <c r="L3007" s="8">
        <f>IFERROR(__xludf.DUMMYFUNCTION("""COMPUTED_VALUE"""),45866.0)</f>
        <v>45866</v>
      </c>
      <c r="M3007" s="7" t="str">
        <f>IFERROR(__xludf.DUMMYFUNCTION("""COMPUTED_VALUE"""),"11:00-12:30")</f>
        <v>11:00-12:30</v>
      </c>
      <c r="N3007" s="7"/>
    </row>
    <row r="3008">
      <c r="A3008" s="7" t="str">
        <f>IFERROR(__xludf.DUMMYFUNCTION("""COMPUTED_VALUE"""),"4011-MAIN")</f>
        <v>4011-MAIN</v>
      </c>
      <c r="B3008" s="7" t="str">
        <f>IFERROR(__xludf.DUMMYFUNCTION("""COMPUTED_VALUE"""),"Online Iterative Self-Alignment for Radiology Report Generation")</f>
        <v>Online Iterative Self-Alignment for Radiology Report Generation</v>
      </c>
      <c r="C3008" s="7" t="str">
        <f>IFERROR(__xludf.DUMMYFUNCTION("""COMPUTED_VALUE"""),"Radiology Report Generation (RRG) is an important research topic for relieving radiologists' heavy workload. Existing RRG models mainly rely on supervised fine-tuning (SFT) based on different model architectures using data pairs of radiological images and"&amp;" corresponding radiologist-annotated reports. Recent research has shifted focus to post-training improvements, aligning RRG model outputs with human preferences using reinforcement learning (RL). However, the limited data coverage of high-quality annotate"&amp;"d data poses risks of overfitting and generalization. This paper proposes a novel Online Iterative Self-Alignment (OISA) method for RRG that consists of four stages: self-generation of diverse data, self-evaluation for multi-objective preference data, sel"&amp;"f-alignment for multi-objective optimization and self-iteration for further improvement. Our approach allows for generating varied reports tailored to specific clinical objectives, enhancing the overall performance of the RRG model iteratively. Unlike exi"&amp;"sting methods, our framework significantly increases data quality and optimizes performance through iterative multi-objective optimization. Experimental results demonstrate that our method surpasses previous approaches, achieving state-of-the-art performa"&amp;"nce across multiple evaluation metrics.")</f>
        <v>Radiology Report Generation (RRG) is an important research topic for relieving radiologists' heavy workload. Existing RRG models mainly rely on supervised fine-tuning (SFT) based on different model architectures using data pairs of radiological images and corresponding radiologist-annotated reports. Recent research has shifted focus to post-training improvements, aligning RRG model outputs with human preferences using reinforcement learning (RL). However, the limited data coverage of high-quality annotated data poses risks of overfitting and generalization. This paper proposes a novel Online Iterative Self-Alignment (OISA) method for RRG that consists of four stages: self-generation of diverse data, self-evaluation for multi-objective preference data, self-alignment for multi-objective optimization and self-iteration for further improvement. Our approach allows for generating varied reports tailored to specific clinical objectives, enhancing the overall performance of the RRG model iteratively. Unlike existing methods, our framework significantly increases data quality and optimizes performance through iterative multi-objective optimization. Experimental results demonstrate that our method surpasses previous approaches, achieving state-of-the-art performance across multiple evaluation metrics.</v>
      </c>
      <c r="D3008" s="7" t="str">
        <f>IFERROR(__xludf.DUMMYFUNCTION("""COMPUTED_VALUE"""),"Lei Shi")</f>
        <v>Lei Shi</v>
      </c>
      <c r="E3008" s="7" t="str">
        <f>IFERROR(__xludf.DUMMYFUNCTION("""COMPUTED_VALUE"""),"Yes")</f>
        <v>Yes</v>
      </c>
      <c r="F3008" s="7" t="str">
        <f>IFERROR(__xludf.DUMMYFUNCTION("""COMPUTED_VALUE"""),"V-Presentation")</f>
        <v>V-Presentation</v>
      </c>
      <c r="G3008" s="7" t="str">
        <f>IFERROR(__xludf.DUMMYFUNCTION("""COMPUTED_VALUE"""),"Virtual/Gather")</f>
        <v>Virtual/Gather</v>
      </c>
      <c r="H3008" s="7" t="str">
        <f>IFERROR(__xludf.DUMMYFUNCTION("""COMPUTED_VALUE"""),"Zoom")</f>
        <v>Zoom</v>
      </c>
      <c r="I3008" s="7" t="str">
        <f>IFERROR(__xludf.DUMMYFUNCTION("""COMPUTED_VALUE"""),"Session 12: V-Presentations")</f>
        <v>Session 12: V-Presentations</v>
      </c>
      <c r="J3008" s="7" t="str">
        <f>IFERROR(__xludf.DUMMYFUNCTION("""COMPUTED_VALUE"""),"Virtual Presentations 4")</f>
        <v>Virtual Presentations 4</v>
      </c>
      <c r="K3008" s="7"/>
      <c r="L3008" s="8">
        <f>IFERROR(__xludf.DUMMYFUNCTION("""COMPUTED_VALUE"""),45868.0)</f>
        <v>45868</v>
      </c>
      <c r="M3008" s="7" t="str">
        <f>IFERROR(__xludf.DUMMYFUNCTION("""COMPUTED_VALUE"""),"11:00-12:30")</f>
        <v>11:00-12:30</v>
      </c>
      <c r="N3008" s="7"/>
    </row>
    <row r="3009">
      <c r="A3009" s="7" t="str">
        <f>IFERROR(__xludf.DUMMYFUNCTION("""COMPUTED_VALUE"""),"4015-MAIN")</f>
        <v>4015-MAIN</v>
      </c>
      <c r="B3009" s="7" t="str">
        <f>IFERROR(__xludf.DUMMYFUNCTION("""COMPUTED_VALUE"""),"Chinese Inertial GAN for Handwriting Signal Generation and Recognition")</f>
        <v>Chinese Inertial GAN for Handwriting Signal Generation and Recognition</v>
      </c>
      <c r="C3009" s="7" t="str">
        <f>IFERROR(__xludf.DUMMYFUNCTION("""COMPUTED_VALUE"""),"Keyboard-based interaction may not accommodate various needs, especially for individuals with disabilities. While inertial sensor-based writing recognition is promising due to the sensors' small size, wearability, and low cost, accurate recognition in the"&amp;" Chinese context is hampered by the difficulty of collecting extensive inertial signal samples for the vast number of characters. Therefore, we design a Chinese Inertial GAN (CI-GAN) containing Chinese glyph encoding (CGE), forced optimal transport (FOT),"&amp;" and semantic relevance alignment (SRA) to acquire unlimited high-quality training samples. Unlike existing vectorization methods focusing on the meaning of Chinese characters, CGE represents shape and stroke features, providing glyph guidance for writing"&amp;" signal generation. FOT establishes a triple-consistency constraint between the input prompt, output signal features, and real signal features, ensuring the authenticity and semantic accuracy of the generated signals. SRA aligns semantic relationships bet"&amp;"ween multiple outputs and their input prompts, ensuring that similar inputs correspond to similar outputs (and vice versa), alleviating model hallucination. The three modules guide the generator while also interacting with each other, forming a coupled sy"&amp;"stem. By utilizing the massive training samples provided by CI-GAN, the performance of six widely used classifiers is improved from 6.7\% to 98.4\%, indicating that CI-GAN constructs a flexible and efficient data platform for Chinese inertial writing reco"&amp;"gnition. Furthermore, we release the first Chinese inertial writing dataset on GitHub.")</f>
        <v>Keyboard-based interaction may not accommodate various needs, especially for individuals with disabilities. While inertial sensor-based writing recognition is promising due to the sensors' small size, wearability, and low cost, accurate recognition in the Chinese context is hampered by the difficulty of collecting extensive inertial signal samples for the vast number of characters. Therefore, we design a Chinese Inertial GAN (CI-GAN) containing Chinese glyph encoding (CGE), forced optimal transport (FOT), and semantic relevance alignment (SRA) to acquire unlimited high-quality training samples. Unlike existing vectorization methods focusing on the meaning of Chinese characters, CGE represents shape and stroke features, providing glyph guidance for writing signal generation. FOT establishes a triple-consistency constraint between the input prompt, output signal features, and real signal features, ensuring the authenticity and semantic accuracy of the generated signals. SRA aligns semantic relationships between multiple outputs and their input prompts, ensuring that similar inputs correspond to similar outputs (and vice versa), alleviating model hallucination. The three modules guide the generator while also interacting with each other, forming a coupled system. By utilizing the massive training samples provided by CI-GAN, the performance of six widely used classifiers is improved from 6.7\% to 98.4\%, indicating that CI-GAN constructs a flexible and efficient data platform for Chinese inertial writing recognition. Furthermore, we release the first Chinese inertial writing dataset on GitHub.</v>
      </c>
      <c r="D3009" s="7" t="str">
        <f>IFERROR(__xludf.DUMMYFUNCTION("""COMPUTED_VALUE"""),"Yifeng Wang")</f>
        <v>Yifeng Wang</v>
      </c>
      <c r="E3009" s="7" t="str">
        <f>IFERROR(__xludf.DUMMYFUNCTION("""COMPUTED_VALUE"""),"Yes")</f>
        <v>Yes</v>
      </c>
      <c r="F3009" s="7" t="str">
        <f>IFERROR(__xludf.DUMMYFUNCTION("""COMPUTED_VALUE"""),"IP-Oral")</f>
        <v>IP-Oral</v>
      </c>
      <c r="G3009" s="7" t="str">
        <f>IFERROR(__xludf.DUMMYFUNCTION("""COMPUTED_VALUE"""),"In-Person")</f>
        <v>In-Person</v>
      </c>
      <c r="H3009" s="7" t="str">
        <f>IFERROR(__xludf.DUMMYFUNCTION("""COMPUTED_VALUE"""),"Room 1.86")</f>
        <v>Room 1.86</v>
      </c>
      <c r="I3009" s="7" t="str">
        <f>IFERROR(__xludf.DUMMYFUNCTION("""COMPUTED_VALUE"""),"Session 9: IP-Orals")</f>
        <v>Session 9: IP-Orals</v>
      </c>
      <c r="J3009" s="7" t="str">
        <f>IFERROR(__xludf.DUMMYFUNCTION("""COMPUTED_VALUE"""),"Phonology, Morphology, and Syntax")</f>
        <v>Phonology, Morphology, and Syntax</v>
      </c>
      <c r="K3009" s="7"/>
      <c r="L3009" s="8">
        <f>IFERROR(__xludf.DUMMYFUNCTION("""COMPUTED_VALUE"""),45867.0)</f>
        <v>45867</v>
      </c>
      <c r="M3009" s="7" t="str">
        <f>IFERROR(__xludf.DUMMYFUNCTION("""COMPUTED_VALUE"""),"14:00-15:30")</f>
        <v>14:00-15:30</v>
      </c>
      <c r="N3009" s="7">
        <f>IFERROR(__xludf.DUMMYFUNCTION("""COMPUTED_VALUE"""),6.0)</f>
        <v>6</v>
      </c>
    </row>
    <row r="3010">
      <c r="A3010" s="7" t="str">
        <f>IFERROR(__xludf.DUMMYFUNCTION("""COMPUTED_VALUE"""),"4020-MAIN")</f>
        <v>4020-MAIN</v>
      </c>
      <c r="B3010" s="7" t="str">
        <f>IFERROR(__xludf.DUMMYFUNCTION("""COMPUTED_VALUE"""),"LLMs Caught in the Crossfire: Malware Requests and Jailbreak Challenges")</f>
        <v>LLMs Caught in the Crossfire: Malware Requests and Jailbreak Challenges</v>
      </c>
      <c r="C3010" s="7" t="str">
        <f>IFERROR(__xludf.DUMMYFUNCTION("""COMPUTED_VALUE"""),"The widespread adoption of Large Language Models (LLMs) has heightened concerns about their security, particularly their vulnerability to jailbreak attacks that leverage crafted prompts to generate malicious outputs. While prior research has been conducte"&amp;"d on general security capabilities of LLMs, their specific susceptibility to jailbreak attacks in code generation remains largely unexplored. To fill this gap, we propose MalwareBench, a benchmark dataset containing 3,520 jailbreaking prompts for maliciou"&amp;"s code-generation, designed to evaluate LLM robustness against such threats. MalwareBench is based on 320 manually crafted malicious code generation requirements, covering 11 jailbreak methods and 29 code functionality categories. Experiments show that ma"&amp;"instream LLMs exhibit limited ability to reject malicious code-generation requirements, and the combination of multiple jailbreak methods further reduces the model's security capabilities: specifically, the average rejection rate for malicious content is "&amp;"60.93%, dropping to 39.92% when combined with jailbreak attack algorithms. Our work highlights that the code security capabilities of LLMs still pose significant challenges.")</f>
        <v>The widespread adoption of Large Language Models (LLMs) has heightened concerns about their security, particularly their vulnerability to jailbreak attacks that leverage crafted prompts to generate malicious outputs. While prior research has been conducted on general security capabilities of LLMs, their specific susceptibility to jailbreak attacks in code generation remains largely unexplored. To fill this gap, we propose MalwareBench, a benchmark dataset containing 3,520 jailbreaking prompts for malicious code-generation, designed to evaluate LLM robustness against such threats. MalwareBench is based on 320 manually crafted malicious code generation requirements, covering 11 jailbreak methods and 29 code functionality categories. Experiments show that mainstream LLMs exhibit limited ability to reject malicious code-generation requirements, and the combination of multiple jailbreak methods further reduces the model's security capabilities: specifically, the average rejection rate for malicious content is 60.93%, dropping to 39.92% when combined with jailbreak attack algorithms. Our work highlights that the code security capabilities of LLMs still pose significant challenges.</v>
      </c>
      <c r="D3010" s="7" t="str">
        <f>IFERROR(__xludf.DUMMYFUNCTION("""COMPUTED_VALUE"""),"Zhiyuan Zhao")</f>
        <v>Zhiyuan Zhao</v>
      </c>
      <c r="E3010" s="7" t="str">
        <f>IFERROR(__xludf.DUMMYFUNCTION("""COMPUTED_VALUE"""),"Yes")</f>
        <v>Yes</v>
      </c>
      <c r="F3010" s="7" t="str">
        <f>IFERROR(__xludf.DUMMYFUNCTION("""COMPUTED_VALUE"""),"V-Presentation")</f>
        <v>V-Presentation</v>
      </c>
      <c r="G3010" s="7" t="str">
        <f>IFERROR(__xludf.DUMMYFUNCTION("""COMPUTED_VALUE"""),"Virtual/Gather")</f>
        <v>Virtual/Gather</v>
      </c>
      <c r="H3010" s="7" t="str">
        <f>IFERROR(__xludf.DUMMYFUNCTION("""COMPUTED_VALUE"""),"Zoom")</f>
        <v>Zoom</v>
      </c>
      <c r="I3010" s="7" t="str">
        <f>IFERROR(__xludf.DUMMYFUNCTION("""COMPUTED_VALUE"""),"Session 2: V-Presentations")</f>
        <v>Session 2: V-Presentations</v>
      </c>
      <c r="J3010" s="7" t="str">
        <f>IFERROR(__xludf.DUMMYFUNCTION("""COMPUTED_VALUE"""),"Virtual Presentations 1")</f>
        <v>Virtual Presentations 1</v>
      </c>
      <c r="K3010" s="7"/>
      <c r="L3010" s="8">
        <f>IFERROR(__xludf.DUMMYFUNCTION("""COMPUTED_VALUE"""),45866.0)</f>
        <v>45866</v>
      </c>
      <c r="M3010" s="7" t="str">
        <f>IFERROR(__xludf.DUMMYFUNCTION("""COMPUTED_VALUE"""),"11:00-12:30")</f>
        <v>11:00-12:30</v>
      </c>
      <c r="N3010" s="7"/>
    </row>
    <row r="3011">
      <c r="A3011" s="7" t="str">
        <f>IFERROR(__xludf.DUMMYFUNCTION("""COMPUTED_VALUE"""),"4021-MAIN")</f>
        <v>4021-MAIN</v>
      </c>
      <c r="B3011" s="7" t="str">
        <f>IFERROR(__xludf.DUMMYFUNCTION("""COMPUTED_VALUE"""),"Evaluating Sequence Labeling on the basis of Information Theory")</f>
        <v>Evaluating Sequence Labeling on the basis of Information Theory</v>
      </c>
      <c r="C3011" s="7" t="str">
        <f>IFERROR(__xludf.DUMMYFUNCTION("""COMPUTED_VALUE"""),"Various metrics exist for evaluating sequence labeling problems (strict span matching, token oriented metrics, token concurrence in sequences, etc.), each of them focusing on certain aspects of the task. In this paper, we define a comprehensive set of for"&amp;"mal properties that captures the strengths and weaknesses of the existing metric families and prove that none of them is able to satisfy all properties simultaneously. We argue that it is necessary to measure how much information (correct or noisy) each t"&amp;"oken in the sequence contributes depending on different aspects such as sequence length, number of tokens annotated by the system, token specificity, etc. On this basis, we introduce the {\bf S}equence {\bf L}abelling {\bf I}nformation {\bf C}ontrast {\bf"&amp;" M}odel (SL-ICM), a novel metric based on information theory for evaluating sequence labeling tasks. Our formal analysis and experimentation show that the proposed metric satisfies all properties simultaneously")</f>
        <v>Various metrics exist for evaluating sequence labeling problems (strict span matching, token oriented metrics, token concurrence in sequences, etc.), each of them focusing on certain aspects of the task. In this paper, we define a comprehensive set of formal properties that captures the strengths and weaknesses of the existing metric families and prove that none of them is able to satisfy all properties simultaneously. We argue that it is necessary to measure how much information (correct or noisy) each token in the sequence contributes depending on different aspects such as sequence length, number of tokens annotated by the system, token specificity, etc. On this basis, we introduce the {\bf S}equence {\bf L}abelling {\bf I}nformation {\bf C}ontrast {\bf M}odel (SL-ICM), a novel metric based on information theory for evaluating sequence labeling tasks. Our formal analysis and experimentation show that the proposed metric satisfies all properties simultaneously</v>
      </c>
      <c r="D3011" s="7" t="str">
        <f>IFERROR(__xludf.DUMMYFUNCTION("""COMPUTED_VALUE"""),"Enrique Amigó")</f>
        <v>Enrique Amigó</v>
      </c>
      <c r="E3011" s="7" t="str">
        <f>IFERROR(__xludf.DUMMYFUNCTION("""COMPUTED_VALUE"""),"Yes")</f>
        <v>Yes</v>
      </c>
      <c r="F3011" s="7" t="str">
        <f>IFERROR(__xludf.DUMMYFUNCTION("""COMPUTED_VALUE"""),"IP-Poster")</f>
        <v>IP-Poster</v>
      </c>
      <c r="G3011" s="7" t="str">
        <f>IFERROR(__xludf.DUMMYFUNCTION("""COMPUTED_VALUE"""),"In-Person")</f>
        <v>In-Person</v>
      </c>
      <c r="H3011" s="7" t="str">
        <f>IFERROR(__xludf.DUMMYFUNCTION("""COMPUTED_VALUE"""),"Hall 4/5")</f>
        <v>Hall 4/5</v>
      </c>
      <c r="I3011" s="7" t="str">
        <f>IFERROR(__xludf.DUMMYFUNCTION("""COMPUTED_VALUE"""),"Session 12: IP-Posters")</f>
        <v>Session 12: IP-Posters</v>
      </c>
      <c r="J3011" s="7" t="str">
        <f>IFERROR(__xludf.DUMMYFUNCTION("""COMPUTED_VALUE"""),"Poster Session 4")</f>
        <v>Poster Session 4</v>
      </c>
      <c r="K3011" s="7"/>
      <c r="L3011" s="8">
        <f>IFERROR(__xludf.DUMMYFUNCTION("""COMPUTED_VALUE"""),45868.0)</f>
        <v>45868</v>
      </c>
      <c r="M3011" s="7" t="str">
        <f>IFERROR(__xludf.DUMMYFUNCTION("""COMPUTED_VALUE"""),"11:00-12:30")</f>
        <v>11:00-12:30</v>
      </c>
      <c r="N3011" s="7"/>
    </row>
    <row r="3012">
      <c r="A3012" s="7" t="str">
        <f>IFERROR(__xludf.DUMMYFUNCTION("""COMPUTED_VALUE"""),"4023-MAIN")</f>
        <v>4023-MAIN</v>
      </c>
      <c r="B3012" s="7" t="str">
        <f>IFERROR(__xludf.DUMMYFUNCTION("""COMPUTED_VALUE"""),"GRAT: Guiding Retrieval-Augmented Reasoning through Process Rewards Tree Search")</f>
        <v>GRAT: Guiding Retrieval-Augmented Reasoning through Process Rewards Tree Search</v>
      </c>
      <c r="C3012" s="7" t="str">
        <f>IFERROR(__xludf.DUMMYFUNCTION("""COMPUTED_VALUE"""),"Enhancing large models for complex multi-hop question-answering has become a research focus in the Retrieval-augmented generation (RAG) area. Many existing approaches aim to mimic human thought processes by enabling large models to perform retrieval-augme"&amp;"nted generation step by step. However, these methods can only perform single chain reasoning, which lacks the ability for multi-path exploration, strategic look-ahead, stepwise evaluation, and global selection. In addition, to effectively decompose comple"&amp;"x problems, these methods can only rely on labor-intensive intermediate annotations for supervised fine-tuning. To address these issues, we propose GRAT, an algorithm guided by Monte Carlo Tree Search (MCTS) and process rewards. GRAT not only enables self"&amp;"-evaluation and self-correction but also assigns fine-grained rewards to each intermediate step in the search path. These fine-grained annotations can be used for model self-training, which enables GRAT to continuously self-update its problem analysis and"&amp;" reasoning capabilities. We conducted experiments on four multihop QA datasets: HotPotQA, 2WikiMultiHopQA, MuSiQue, and Bamboogle, demonstrating that GRAT outperforms various RAG-based methods. Additionally, incorporating self-training significantly enhan"&amp;"ces GRAT's reasoning performance.")</f>
        <v>Enhancing large models for complex multi-hop question-answering has become a research focus in the Retrieval-augmented generation (RAG) area. Many existing approaches aim to mimic human thought processes by enabling large models to perform retrieval-augmented generation step by step. However, these methods can only perform single chain reasoning, which lacks the ability for multi-path exploration, strategic look-ahead, stepwise evaluation, and global selection. In addition, to effectively decompose complex problems, these methods can only rely on labor-intensive intermediate annotations for supervised fine-tuning. To address these issues, we propose GRAT, an algorithm guided by Monte Carlo Tree Search (MCTS) and process rewards. GRAT not only enables self-evaluation and self-correction but also assigns fine-grained rewards to each intermediate step in the search path. These fine-grained annotations can be used for model self-training, which enables GRAT to continuously self-update its problem analysis and reasoning capabilities. We conducted experiments on four multihop QA datasets: HotPotQA, 2WikiMultiHopQA, MuSiQue, and Bamboogle, demonstrating that GRAT outperforms various RAG-based methods. Additionally, incorporating self-training significantly enhances GRAT's reasoning performance.</v>
      </c>
      <c r="D3012" s="7" t="str">
        <f>IFERROR(__xludf.DUMMYFUNCTION("""COMPUTED_VALUE"""),"Xianshu Peng")</f>
        <v>Xianshu Peng</v>
      </c>
      <c r="E3012" s="7" t="str">
        <f>IFERROR(__xludf.DUMMYFUNCTION("""COMPUTED_VALUE"""),"Yes")</f>
        <v>Yes</v>
      </c>
      <c r="F3012" s="7" t="str">
        <f>IFERROR(__xludf.DUMMYFUNCTION("""COMPUTED_VALUE"""),"IP-Poster")</f>
        <v>IP-Poster</v>
      </c>
      <c r="G3012" s="7" t="str">
        <f>IFERROR(__xludf.DUMMYFUNCTION("""COMPUTED_VALUE"""),"In-Person")</f>
        <v>In-Person</v>
      </c>
      <c r="H3012" s="7" t="str">
        <f>IFERROR(__xludf.DUMMYFUNCTION("""COMPUTED_VALUE"""),"Hall 4/5")</f>
        <v>Hall 4/5</v>
      </c>
      <c r="I3012" s="7" t="str">
        <f>IFERROR(__xludf.DUMMYFUNCTION("""COMPUTED_VALUE"""),"Session 12: IP-Posters")</f>
        <v>Session 12: IP-Posters</v>
      </c>
      <c r="J3012" s="7" t="str">
        <f>IFERROR(__xludf.DUMMYFUNCTION("""COMPUTED_VALUE"""),"Poster Session 4")</f>
        <v>Poster Session 4</v>
      </c>
      <c r="K3012" s="7"/>
      <c r="L3012" s="8">
        <f>IFERROR(__xludf.DUMMYFUNCTION("""COMPUTED_VALUE"""),45868.0)</f>
        <v>45868</v>
      </c>
      <c r="M3012" s="7" t="str">
        <f>IFERROR(__xludf.DUMMYFUNCTION("""COMPUTED_VALUE"""),"11:00-12:30")</f>
        <v>11:00-12:30</v>
      </c>
      <c r="N3012" s="7"/>
    </row>
    <row r="3013">
      <c r="A3013" s="7" t="str">
        <f>IFERROR(__xludf.DUMMYFUNCTION("""COMPUTED_VALUE"""),"4025-MAIN")</f>
        <v>4025-MAIN</v>
      </c>
      <c r="B3013" s="7" t="str">
        <f>IFERROR(__xludf.DUMMYFUNCTION("""COMPUTED_VALUE"""),"T-REG: Preference Optimization with Token-Level Reward Regularization")</f>
        <v>T-REG: Preference Optimization with Token-Level Reward Regularization</v>
      </c>
      <c r="C3013" s="7" t="str">
        <f>IFERROR(__xludf.DUMMYFUNCTION("""COMPUTED_VALUE"""),"Reinforcement Learning from Human Feedback (RLHF) has been pivotal in enabling Large Language Models (LLMs) to effectively follow instructions and produce meaningful alignment by leveraging human preference data. Traditionally, RLHF involves generating re"&amp;"sponses to a query and using a separate reward model to assign a score to the entire completion. This approach, however, presents challenges, as it provides a single, sparse reward at the end of a sequence, making optimization difficult for the model, in "&amp;"which both training and generation occur auto-regressively at token levels. While recent methods have attempted to address this by assigning token-level discrete or continuous rewards, these often rely on either a trained credit assignment model or AI ann"&amp;"otators, which raises concerns about the quality and reliability of the token-level rewards. In this paper, we propose T-REG, which utilizes both sequence-level and token-level rewards for preference optimization. T-REG employs self-generated token-level "&amp;"rewards, derived through opposite prompting, as a weak supervision signal to guide the model in distributing sequence-level rewards at the token level, thereby achieving more effective token-level credit assignment and improving alignment performance. Exp"&amp;"eriments on the instruction following benchmarks, including Alpaca Eval 2 and Arena-Hard, show that our method consistently outperforms baseline methods by up to 3.8% and 4.4%, respectively.")</f>
        <v>Reinforcement Learning from Human Feedback (RLHF) has been pivotal in enabling Large Language Models (LLMs) to effectively follow instructions and produce meaningful alignment by leveraging human preference data. Traditionally, RLHF involves generating responses to a query and using a separate reward model to assign a score to the entire completion. This approach, however, presents challenges, as it provides a single, sparse reward at the end of a sequence, making optimization difficult for the model, in which both training and generation occur auto-regressively at token levels. While recent methods have attempted to address this by assigning token-level discrete or continuous rewards, these often rely on either a trained credit assignment model or AI annotators, which raises concerns about the quality and reliability of the token-level rewards. In this paper, we propose T-REG, which utilizes both sequence-level and token-level rewards for preference optimization. T-REG employs self-generated token-level rewards, derived through opposite prompting, as a weak supervision signal to guide the model in distributing sequence-level rewards at the token level, thereby achieving more effective token-level credit assignment and improving alignment performance. Experiments on the instruction following benchmarks, including Alpaca Eval 2 and Arena-Hard, show that our method consistently outperforms baseline methods by up to 3.8% and 4.4%, respectively.</v>
      </c>
      <c r="D3013" s="7" t="str">
        <f>IFERROR(__xludf.DUMMYFUNCTION("""COMPUTED_VALUE"""),"Wenxuan Zhou")</f>
        <v>Wenxuan Zhou</v>
      </c>
      <c r="E3013" s="7" t="str">
        <f>IFERROR(__xludf.DUMMYFUNCTION("""COMPUTED_VALUE"""),"yes")</f>
        <v>yes</v>
      </c>
      <c r="F3013" s="7" t="str">
        <f>IFERROR(__xludf.DUMMYFUNCTION("""COMPUTED_VALUE"""),"V-Presentation")</f>
        <v>V-Presentation</v>
      </c>
      <c r="G3013" s="7" t="str">
        <f>IFERROR(__xludf.DUMMYFUNCTION("""COMPUTED_VALUE"""),"Virtual/Gather")</f>
        <v>Virtual/Gather</v>
      </c>
      <c r="H3013" s="7" t="str">
        <f>IFERROR(__xludf.DUMMYFUNCTION("""COMPUTED_VALUE"""),"Zoom")</f>
        <v>Zoom</v>
      </c>
      <c r="I3013" s="7" t="str">
        <f>IFERROR(__xludf.DUMMYFUNCTION("""COMPUTED_VALUE"""),"Session 2: V-Presentations")</f>
        <v>Session 2: V-Presentations</v>
      </c>
      <c r="J3013" s="7" t="str">
        <f>IFERROR(__xludf.DUMMYFUNCTION("""COMPUTED_VALUE"""),"Virtual Presentations 1")</f>
        <v>Virtual Presentations 1</v>
      </c>
      <c r="K3013" s="7"/>
      <c r="L3013" s="8">
        <f>IFERROR(__xludf.DUMMYFUNCTION("""COMPUTED_VALUE"""),45866.0)</f>
        <v>45866</v>
      </c>
      <c r="M3013" s="7" t="str">
        <f>IFERROR(__xludf.DUMMYFUNCTION("""COMPUTED_VALUE"""),"11:00-12:30")</f>
        <v>11:00-12:30</v>
      </c>
      <c r="N3013" s="7"/>
    </row>
    <row r="3014">
      <c r="A3014" s="7" t="str">
        <f>IFERROR(__xludf.DUMMYFUNCTION("""COMPUTED_VALUE"""),"4027-MAIN")</f>
        <v>4027-MAIN</v>
      </c>
      <c r="B3014" s="7" t="str">
        <f>IFERROR(__xludf.DUMMYFUNCTION("""COMPUTED_VALUE"""),"Enhancing Input-Label Mapping in In-Context Learning with Contrastive Decoding")</f>
        <v>Enhancing Input-Label Mapping in In-Context Learning with Contrastive Decoding</v>
      </c>
      <c r="C3014" s="7" t="str">
        <f>IFERROR(__xludf.DUMMYFUNCTION("""COMPUTED_VALUE"""),"Large language models (LLMs) excel at a range of tasks through in-context learning (ICL), where only a few task examples guide their predictions. However, prior research highlights that LLMs often overlook input-label mapping information in ICL, relying m"&amp;"ore on their pre-trained knowledge. To address this issue, we introduce In-Context Contrastive Decoding (ICCD), a novel method that emphasizes input-label mapping by contrasting the output distributions between positive and negative in-context examples. E"&amp;"xperiments on 7 natural language understanding (NLU) tasks show that our ICCD method brings consistent and significant improvement (up to +1.8 improvement on average) upon 6 different scales of LLMs without requiring additional training. Our approach is v"&amp;"ersatile, enhancing performance with various demonstration selection methods, demonstrating its broad applicability and effectiveness. The code and scripts are released at https://github.com/Romainpkq/CD_ICL.")</f>
        <v>Large language models (LLMs) excel at a range of tasks through in-context learning (ICL), where only a few task examples guide their predictions. However, prior research highlights that LLMs often overlook input-label mapping information in ICL, relying more on their pre-trained knowledge. To address this issue, we introduce In-Context Contrastive Decoding (ICCD), a novel method that emphasizes input-label mapping by contrasting the output distributions between positive and negative in-context examples. Experiments on 7 natural language understanding (NLU) tasks show that our ICCD method brings consistent and significant improvement (up to +1.8 improvement on average) upon 6 different scales of LLMs without requiring additional training. Our approach is versatile, enhancing performance with various demonstration selection methods, demonstrating its broad applicability and effectiveness. The code and scripts are released at https://github.com/Romainpkq/CD_ICL.</v>
      </c>
      <c r="D3014" s="7" t="str">
        <f>IFERROR(__xludf.DUMMYFUNCTION("""COMPUTED_VALUE"""),"Keqin Peng")</f>
        <v>Keqin Peng</v>
      </c>
      <c r="E3014" s="7" t="str">
        <f>IFERROR(__xludf.DUMMYFUNCTION("""COMPUTED_VALUE"""),"Yes")</f>
        <v>Yes</v>
      </c>
      <c r="F3014" s="7" t="str">
        <f>IFERROR(__xludf.DUMMYFUNCTION("""COMPUTED_VALUE"""),"V-Presentation")</f>
        <v>V-Presentation</v>
      </c>
      <c r="G3014" s="7" t="str">
        <f>IFERROR(__xludf.DUMMYFUNCTION("""COMPUTED_VALUE"""),"Virtual/Gather")</f>
        <v>Virtual/Gather</v>
      </c>
      <c r="H3014" s="7" t="str">
        <f>IFERROR(__xludf.DUMMYFUNCTION("""COMPUTED_VALUE"""),"Zoom")</f>
        <v>Zoom</v>
      </c>
      <c r="I3014" s="7" t="str">
        <f>IFERROR(__xludf.DUMMYFUNCTION("""COMPUTED_VALUE"""),"Session 10: V-Presenations")</f>
        <v>Session 10: V-Presenations</v>
      </c>
      <c r="J3014" s="7" t="str">
        <f>IFERROR(__xludf.DUMMYFUNCTION("""COMPUTED_VALUE"""),"Virtual Presentations 3")</f>
        <v>Virtual Presentations 3</v>
      </c>
      <c r="K3014" s="7"/>
      <c r="L3014" s="8">
        <f>IFERROR(__xludf.DUMMYFUNCTION("""COMPUTED_VALUE"""),45867.0)</f>
        <v>45867</v>
      </c>
      <c r="M3014" s="7" t="str">
        <f>IFERROR(__xludf.DUMMYFUNCTION("""COMPUTED_VALUE"""),"16:00-17:30")</f>
        <v>16:00-17:30</v>
      </c>
      <c r="N3014" s="7"/>
    </row>
    <row r="3015">
      <c r="A3015" s="7" t="str">
        <f>IFERROR(__xludf.DUMMYFUNCTION("""COMPUTED_VALUE"""),"4029-MAIN")</f>
        <v>4029-MAIN</v>
      </c>
      <c r="B3015" s="7" t="str">
        <f>IFERROR(__xludf.DUMMYFUNCTION("""COMPUTED_VALUE"""),"Gödel Agent: A Self-Referential Agent Framework for Recursively Self-Improvement")</f>
        <v>Gödel Agent: A Self-Referential Agent Framework for Recursively Self-Improvement</v>
      </c>
      <c r="C3015" s="7" t="str">
        <f>IFERROR(__xludf.DUMMYFUNCTION("""COMPUTED_VALUE"""),"The rapid advancement of large language models (LLMs) has significantly enhanced the capabilities of agents across various tasks. However, existing agentic systems, whether based on fixed pipeline algorithms or pre-defined meta-learning frameworks, cannot"&amp;" search the whole agent design space due to the restriction of human-designed components, and thus might miss the more optimal agent design. In this paper, we introduce Gödel Agent, a self-evolving framework inspired by the Gödel Machine, enabling agents "&amp;"to recursively improve themselves without relying on predefined routines or fixed optimization algorithms. Gödel Agent leverages LLMs to dynamically modify its own logic and behavior, guided solely by high-level objectives through prompting. Experimental "&amp;"results on multiple domains demonstrate that the implementation of Gödel Agent can achieve continuous self-improvement, surpassing manually crafted agents in performance, efficiency, and generalizability.")</f>
        <v>The rapid advancement of large language models (LLMs) has significantly enhanced the capabilities of agents across various tasks. However, existing agentic systems, whether based on fixed pipeline algorithms or pre-defined meta-learning frameworks, cannot search the whole agent design space due to the restriction of human-designed components, and thus might miss the more optimal agent design. In this paper, we introduce Gödel Agent, a self-evolving framework inspired by the Gödel Machine, enabling agents to recursively improve themselves without relying on predefined routines or fixed optimization algorithms. Gödel Agent leverages LLMs to dynamically modify its own logic and behavior, guided solely by high-level objectives through prompting. Experimental results on multiple domains demonstrate that the implementation of Gödel Agent can achieve continuous self-improvement, surpassing manually crafted agents in performance, efficiency, and generalizability.</v>
      </c>
      <c r="D3015" s="7" t="str">
        <f>IFERROR(__xludf.DUMMYFUNCTION("""COMPUTED_VALUE"""),"Xunjian Yin")</f>
        <v>Xunjian Yin</v>
      </c>
      <c r="E3015" s="7" t="str">
        <f>IFERROR(__xludf.DUMMYFUNCTION("""COMPUTED_VALUE"""),"Yes")</f>
        <v>Yes</v>
      </c>
      <c r="F3015" s="7" t="str">
        <f>IFERROR(__xludf.DUMMYFUNCTION("""COMPUTED_VALUE"""),"IP-Poster")</f>
        <v>IP-Poster</v>
      </c>
      <c r="G3015" s="7" t="str">
        <f>IFERROR(__xludf.DUMMYFUNCTION("""COMPUTED_VALUE"""),"In-Person")</f>
        <v>In-Person</v>
      </c>
      <c r="H3015" s="7" t="str">
        <f>IFERROR(__xludf.DUMMYFUNCTION("""COMPUTED_VALUE"""),"Hall 4/5")</f>
        <v>Hall 4/5</v>
      </c>
      <c r="I3015" s="7" t="str">
        <f>IFERROR(__xludf.DUMMYFUNCTION("""COMPUTED_VALUE"""),"Session 12: IP-Posters")</f>
        <v>Session 12: IP-Posters</v>
      </c>
      <c r="J3015" s="7" t="str">
        <f>IFERROR(__xludf.DUMMYFUNCTION("""COMPUTED_VALUE"""),"Poster Session 4")</f>
        <v>Poster Session 4</v>
      </c>
      <c r="K3015" s="7"/>
      <c r="L3015" s="8">
        <f>IFERROR(__xludf.DUMMYFUNCTION("""COMPUTED_VALUE"""),45868.0)</f>
        <v>45868</v>
      </c>
      <c r="M3015" s="7" t="str">
        <f>IFERROR(__xludf.DUMMYFUNCTION("""COMPUTED_VALUE"""),"11:00-12:30")</f>
        <v>11:00-12:30</v>
      </c>
      <c r="N3015" s="7"/>
    </row>
    <row r="3016">
      <c r="A3016" s="7" t="str">
        <f>IFERROR(__xludf.DUMMYFUNCTION("""COMPUTED_VALUE"""),"4030-MAIN")</f>
        <v>4030-MAIN</v>
      </c>
      <c r="B3016" s="7" t="str">
        <f>IFERROR(__xludf.DUMMYFUNCTION("""COMPUTED_VALUE"""),"AgentGym: Evaluating and Training Large Language Model-based Agents across Diverse Environments")</f>
        <v>AgentGym: Evaluating and Training Large Language Model-based Agents across Diverse Environments</v>
      </c>
      <c r="C3016" s="7" t="str">
        <f>IFERROR(__xludf.DUMMYFUNCTION("""COMPUTED_VALUE"""),"Large language models (LLMs) have emerged as a promising foundation to build generally-capable agents (LLM-based agents) that can handle multi-turn decision-making tasks across various environments. However, the community lacks a unified interactive frame"&amp;"work that covers diverse environments for comprehensive evaluation of agents, and enables exploration and learning for their self-improvement. To address this, we propose AgentGym, a framework featuring $7$ real-world scenarios, $14$ environments, and $89"&amp;"$ tasks for unified, real-time, and concurrent agent interaction. We construct expanded instruction set, high-quality trajectories, and comprehensive benchmarking suite for developing LLM-based agents. Moreover, AgentGym supports interactive exploration a"&amp;"nd learning for agents through multi-turn interactions and real-time feedback. Based on AgentGym, we take the initial step to develop LLM-based agents that can handle diverse tasks via methods like self-improvement or reinforcement learning. Experimental "&amp;"results show that the trained agents can achieve results comparable to commercial models. We hope our work can help the community develop more advanced LLM-based agents. We release the code, dataset, benchmark, and checkpoints at https://agentgym.github.i"&amp;"o/.")</f>
        <v>Large language models (LLMs) have emerged as a promising foundation to build generally-capable agents (LLM-based agents) that can handle multi-turn decision-making tasks across various environments. However, the community lacks a unified interactive framework that covers diverse environments for comprehensive evaluation of agents, and enables exploration and learning for their self-improvement. To address this, we propose AgentGym, a framework featuring $7$ real-world scenarios, $14$ environments, and $89$ tasks for unified, real-time, and concurrent agent interaction. We construct expanded instruction set, high-quality trajectories, and comprehensive benchmarking suite for developing LLM-based agents. Moreover, AgentGym supports interactive exploration and learning for agents through multi-turn interactions and real-time feedback. Based on AgentGym, we take the initial step to develop LLM-based agents that can handle diverse tasks via methods like self-improvement or reinforcement learning. Experimental results show that the trained agents can achieve results comparable to commercial models. We hope our work can help the community develop more advanced LLM-based agents. We release the code, dataset, benchmark, and checkpoints at https://agentgym.github.io/.</v>
      </c>
      <c r="D3016" s="7" t="str">
        <f>IFERROR(__xludf.DUMMYFUNCTION("""COMPUTED_VALUE"""),"Zhiheng Xi")</f>
        <v>Zhiheng Xi</v>
      </c>
      <c r="E3016" s="7" t="str">
        <f>IFERROR(__xludf.DUMMYFUNCTION("""COMPUTED_VALUE"""),"Yes")</f>
        <v>Yes</v>
      </c>
      <c r="F3016" s="7" t="str">
        <f>IFERROR(__xludf.DUMMYFUNCTION("""COMPUTED_VALUE"""),"IP-Poster")</f>
        <v>IP-Poster</v>
      </c>
      <c r="G3016" s="7" t="str">
        <f>IFERROR(__xludf.DUMMYFUNCTION("""COMPUTED_VALUE"""),"In-Person")</f>
        <v>In-Person</v>
      </c>
      <c r="H3016" s="7" t="str">
        <f>IFERROR(__xludf.DUMMYFUNCTION("""COMPUTED_VALUE"""),"Hall 4/5")</f>
        <v>Hall 4/5</v>
      </c>
      <c r="I3016" s="7" t="str">
        <f>IFERROR(__xludf.DUMMYFUNCTION("""COMPUTED_VALUE"""),"Session 12: IP-Posters")</f>
        <v>Session 12: IP-Posters</v>
      </c>
      <c r="J3016" s="7" t="str">
        <f>IFERROR(__xludf.DUMMYFUNCTION("""COMPUTED_VALUE"""),"Poster Session 4")</f>
        <v>Poster Session 4</v>
      </c>
      <c r="K3016" s="7"/>
      <c r="L3016" s="8">
        <f>IFERROR(__xludf.DUMMYFUNCTION("""COMPUTED_VALUE"""),45868.0)</f>
        <v>45868</v>
      </c>
      <c r="M3016" s="7" t="str">
        <f>IFERROR(__xludf.DUMMYFUNCTION("""COMPUTED_VALUE"""),"11:00-12:30")</f>
        <v>11:00-12:30</v>
      </c>
      <c r="N3016" s="7"/>
    </row>
    <row r="3017">
      <c r="A3017" s="7" t="str">
        <f>IFERROR(__xludf.DUMMYFUNCTION("""COMPUTED_VALUE"""),"4035-MAIN")</f>
        <v>4035-MAIN</v>
      </c>
      <c r="B3017" s="7" t="str">
        <f>IFERROR(__xludf.DUMMYFUNCTION("""COMPUTED_VALUE"""),"Rethinking the Role of Prompting Strategies in LLM Test-Time Scaling: A Perspective of Probability Theory")</f>
        <v>Rethinking the Role of Prompting Strategies in LLM Test-Time Scaling: A Perspective of Probability Theory</v>
      </c>
      <c r="C3017" s="7" t="str">
        <f>IFERROR(__xludf.DUMMYFUNCTION("""COMPUTED_VALUE"""),"Recently, scaling test-time compute on Large Language Models (LLM) has garnered wide attention. However, there has been limited investigation of how various reasoning prompting strategies perform as scaling. In this paper, we focus on a standard and reali"&amp;"stic scaling setting: majority voting. We systematically conduct experiments on 6 LLMs $\times$ 8 prompting strategies $\times$ 6 benchmarks. 
Experiment results consistently show that as the sampling time and computational overhead increase, complicated "&amp;"prompting strategies with superior initial performance gradually fall behind simple Chain-of-Thought.
We analyze this phenomenon and provide theoretical proofs. 
Additionally, we propose a probabilistic method to efficiently predict scaling performance an"&amp;"d identify the best prompting strategy under large sampling times, eliminating the need for resource-intensive inference processes in practical applications.
Furthermore, we introduce two ways derived from our theoretical analysis to significantly improve"&amp;" the scaling performance. We hope that our research can promote to re-examine the role of complicated prompting, unleash the potential of simple prompting strategies, and provide new insights for enhancing test-time scaling performance. Code is available "&amp;"at https://github.com/MraDonkey/rethinking_prompting.")</f>
        <v>Recently, scaling test-time compute on Large Language Models (LLM) has garnered wide attention. However, there has been limited investigation of how various reasoning prompting strategies perform as scaling. In this paper, we focus on a standard and realistic scaling setting: majority voting. We systematically conduct experiments on 6 LLMs $\times$ 8 prompting strategies $\times$ 6 benchmarks. 
Experiment results consistently show that as the sampling time and computational overhead increase, complicated prompting strategies with superior initial performance gradually fall behind simple Chain-of-Thought.
We analyze this phenomenon and provide theoretical proofs. 
Additionally, we propose a probabilistic method to efficiently predict scaling performance and identify the best prompting strategy under large sampling times, eliminating the need for resource-intensive inference processes in practical applications.
Furthermore, we introduce two ways derived from our theoretical analysis to significantly improve the scaling performance. We hope that our research can promote to re-examine the role of complicated prompting, unleash the potential of simple prompting strategies, and provide new insights for enhancing test-time scaling performance. Code is available at https://github.com/MraDonkey/rethinking_prompting.</v>
      </c>
      <c r="D3017" s="7" t="str">
        <f>IFERROR(__xludf.DUMMYFUNCTION("""COMPUTED_VALUE"""),"Yexiang Liu")</f>
        <v>Yexiang Liu</v>
      </c>
      <c r="E3017" s="7" t="str">
        <f>IFERROR(__xludf.DUMMYFUNCTION("""COMPUTED_VALUE"""),"Yes")</f>
        <v>Yes</v>
      </c>
      <c r="F3017" s="7" t="str">
        <f>IFERROR(__xludf.DUMMYFUNCTION("""COMPUTED_VALUE"""),"IP-Poster")</f>
        <v>IP-Poster</v>
      </c>
      <c r="G3017" s="7" t="str">
        <f>IFERROR(__xludf.DUMMYFUNCTION("""COMPUTED_VALUE"""),"In-Person")</f>
        <v>In-Person</v>
      </c>
      <c r="H3017" s="7" t="str">
        <f>IFERROR(__xludf.DUMMYFUNCTION("""COMPUTED_VALUE"""),"Hall 4/5")</f>
        <v>Hall 4/5</v>
      </c>
      <c r="I3017" s="7" t="str">
        <f>IFERROR(__xludf.DUMMYFUNCTION("""COMPUTED_VALUE"""),"Session 2: IP-Posters ")</f>
        <v>Session 2: IP-Posters </v>
      </c>
      <c r="J3017" s="7" t="str">
        <f>IFERROR(__xludf.DUMMYFUNCTION("""COMPUTED_VALUE"""),"Poster Session 1")</f>
        <v>Poster Session 1</v>
      </c>
      <c r="K3017" s="7"/>
      <c r="L3017" s="8">
        <f>IFERROR(__xludf.DUMMYFUNCTION("""COMPUTED_VALUE"""),45866.0)</f>
        <v>45866</v>
      </c>
      <c r="M3017" s="7" t="str">
        <f>IFERROR(__xludf.DUMMYFUNCTION("""COMPUTED_VALUE"""),"11:00-12:30")</f>
        <v>11:00-12:30</v>
      </c>
      <c r="N3017" s="7"/>
    </row>
    <row r="3018">
      <c r="A3018" s="7" t="str">
        <f>IFERROR(__xludf.DUMMYFUNCTION("""COMPUTED_VALUE"""),"4036-MAIN")</f>
        <v>4036-MAIN</v>
      </c>
      <c r="B3018" s="7" t="str">
        <f>IFERROR(__xludf.DUMMYFUNCTION("""COMPUTED_VALUE"""),"Learnability on the Information-Theoretic Continuum: Inductive Bias for Information Locality in Neural Language Models")</f>
        <v>Learnability on the Information-Theoretic Continuum: Inductive Bias for Information Locality in Neural Language Models</v>
      </c>
      <c r="C3018" s="7" t="str">
        <f>IFERROR(__xludf.DUMMYFUNCTION("""COMPUTED_VALUE"""),"Inductive biases are inherent in every machine learning system, shaping how models generalize from finite data. In the case of neural language models (LMs), debates persist as to whether these biases align with or diverge from human processing constraints"&amp;". To address this issue, we propose a quantitative framework that allows for controlled investigations into the nature of these biases. Within our framework, we introduce 
$m$-local entropy—an information-theoretic measure derived from average lossy-conte"&amp;"xt surprisal—that captures the local uncertainty of a language by quantifying how effectively the preceding symbols disambiguate the next symbol. In experiments on both perturbed natural language corpora and languages defined by probabilistic finite-state"&amp;" automata (PFSA), we show that languages with higher $m$-local entropy are more difficult for Transformer and LSTM LMs to learn. These results suggest that neural LMs, much like humans, are highly sensitive to the local statistical structure of a language"&amp;".")</f>
        <v>Inductive biases are inherent in every machine learning system, shaping how models generalize from finite data. In the case of neural language models (LMs), debates persist as to whether these biases align with or diverge from human processing constraints. To address this issue, we propose a quantitative framework that allows for controlled investigations into the nature of these biases. Within our framework, we introduce 
$m$-local entropy—an information-theoretic measure derived from average lossy-context surprisal—that captures the local uncertainty of a language by quantifying how effectively the preceding symbols disambiguate the next symbol. In experiments on both perturbed natural language corpora and languages defined by probabilistic finite-state automata (PFSA), we show that languages with higher $m$-local entropy are more difficult for Transformer and LSTM LMs to learn. These results suggest that neural LMs, much like humans, are highly sensitive to the local statistical structure of a language.</v>
      </c>
      <c r="D3018" s="7" t="str">
        <f>IFERROR(__xludf.DUMMYFUNCTION("""COMPUTED_VALUE"""),"Taiga Someya")</f>
        <v>Taiga Someya</v>
      </c>
      <c r="E3018" s="7" t="str">
        <f>IFERROR(__xludf.DUMMYFUNCTION("""COMPUTED_VALUE"""),"Yes")</f>
        <v>Yes</v>
      </c>
      <c r="F3018" s="7" t="str">
        <f>IFERROR(__xludf.DUMMYFUNCTION("""COMPUTED_VALUE"""),"IP-Oral")</f>
        <v>IP-Oral</v>
      </c>
      <c r="G3018" s="7" t="str">
        <f>IFERROR(__xludf.DUMMYFUNCTION("""COMPUTED_VALUE"""),"In-Person")</f>
        <v>In-Person</v>
      </c>
      <c r="H3018" s="7" t="str">
        <f>IFERROR(__xludf.DUMMYFUNCTION("""COMPUTED_VALUE"""),"Hall N.1")</f>
        <v>Hall N.1</v>
      </c>
      <c r="I3018" s="7" t="str">
        <f>IFERROR(__xludf.DUMMYFUNCTION("""COMPUTED_VALUE"""),"Session 11: IP-Orals ")</f>
        <v>Session 11: IP-Orals </v>
      </c>
      <c r="J3018" s="7" t="str">
        <f>IFERROR(__xludf.DUMMYFUNCTION("""COMPUTED_VALUE"""),"Panel 4: Interpretability and model analysis")</f>
        <v>Panel 4: Interpretability and model analysis</v>
      </c>
      <c r="K3018" s="7"/>
      <c r="L3018" s="8">
        <f>IFERROR(__xludf.DUMMYFUNCTION("""COMPUTED_VALUE"""),45868.0)</f>
        <v>45868</v>
      </c>
      <c r="M3018" s="7" t="str">
        <f>IFERROR(__xludf.DUMMYFUNCTION("""COMPUTED_VALUE"""),"09:00-10:30")</f>
        <v>09:00-10:30</v>
      </c>
      <c r="N3018" s="7">
        <f>IFERROR(__xludf.DUMMYFUNCTION("""COMPUTED_VALUE"""),3.0)</f>
        <v>3</v>
      </c>
    </row>
    <row r="3019">
      <c r="A3019" s="7" t="str">
        <f>IFERROR(__xludf.DUMMYFUNCTION("""COMPUTED_VALUE"""),"4038-MAIN")</f>
        <v>4038-MAIN</v>
      </c>
      <c r="B3019" s="7" t="str">
        <f>IFERROR(__xludf.DUMMYFUNCTION("""COMPUTED_VALUE"""),"Learning to Reason Over Time: Timeline Self-Reflection for Improved Temporal Reasoning in Language Models")</f>
        <v>Learning to Reason Over Time: Timeline Self-Reflection for Improved Temporal Reasoning in Language Models</v>
      </c>
      <c r="C3019" s="7" t="str">
        <f>IFERROR(__xludf.DUMMYFUNCTION("""COMPUTED_VALUE"""),"Large Language Models (LLMs) have emerged as powerful tools for generating coherent text, understanding context, and performing reasoning tasks. However, they struggle with temporal reasoning, which requires processing time-related information such as eve"&amp;"nt sequencing, durations, and inter-temporal relationships. These capabilities are critical for applications including question answering, scheduling, and historical analysis. In this paper, we introduce TISER, a novel framework that enhances the temporal"&amp;" reasoning abilities of LLMs through a multi-stage process that combines timeline construction with iterative self-reflection. Our approach leverages test-time scaling to extend the length of reasoning traces, enabling models to capture complex temporal d"&amp;"ependencies more effectively. This strategy not only boosts reasoning accuracy but also improves the traceability of the inference process. Experimental results demonstrate state-of-the-art performance across multiple benchmarks, including out-of-distribu"&amp;"tion test sets, and reveal that TISER enables smaller open-source models to surpass larger closed-weight models on challenging temporal reasoning tasks.")</f>
        <v>Large Language Models (LLMs) have emerged as powerful tools for generating coherent text, understanding context, and performing reasoning tasks. However, they struggle with temporal reasoning, which requires processing time-related information such as event sequencing, durations, and inter-temporal relationships. These capabilities are critical for applications including question answering, scheduling, and historical analysis. In this paper, we introduce TISER, a novel framework that enhances the temporal reasoning abilities of LLMs through a multi-stage process that combines timeline construction with iterative self-reflection. Our approach leverages test-time scaling to extend the length of reasoning traces, enabling models to capture complex temporal dependencies more effectively. This strategy not only boosts reasoning accuracy but also improves the traceability of the inference process. Experimental results demonstrate state-of-the-art performance across multiple benchmarks, including out-of-distribution test sets, and reveal that TISER enables smaller open-source models to surpass larger closed-weight models on challenging temporal reasoning tasks.</v>
      </c>
      <c r="D3019" s="7" t="str">
        <f>IFERROR(__xludf.DUMMYFUNCTION("""COMPUTED_VALUE"""),"Adrian Bazaga")</f>
        <v>Adrian Bazaga</v>
      </c>
      <c r="E3019" s="7" t="str">
        <f>IFERROR(__xludf.DUMMYFUNCTION("""COMPUTED_VALUE"""),"Yes")</f>
        <v>Yes</v>
      </c>
      <c r="F3019" s="7" t="str">
        <f>IFERROR(__xludf.DUMMYFUNCTION("""COMPUTED_VALUE"""),"IP-Poster")</f>
        <v>IP-Poster</v>
      </c>
      <c r="G3019" s="7" t="str">
        <f>IFERROR(__xludf.DUMMYFUNCTION("""COMPUTED_VALUE"""),"In-Person")</f>
        <v>In-Person</v>
      </c>
      <c r="H3019" s="7" t="str">
        <f>IFERROR(__xludf.DUMMYFUNCTION("""COMPUTED_VALUE"""),"Hall 4/5")</f>
        <v>Hall 4/5</v>
      </c>
      <c r="I3019" s="7" t="str">
        <f>IFERROR(__xludf.DUMMYFUNCTION("""COMPUTED_VALUE"""),"Session 7: IP-Posters")</f>
        <v>Session 7: IP-Posters</v>
      </c>
      <c r="J3019" s="7" t="str">
        <f>IFERROR(__xludf.DUMMYFUNCTION("""COMPUTED_VALUE"""),"Poster Session 2")</f>
        <v>Poster Session 2</v>
      </c>
      <c r="K3019" s="7"/>
      <c r="L3019" s="8">
        <f>IFERROR(__xludf.DUMMYFUNCTION("""COMPUTED_VALUE"""),45867.0)</f>
        <v>45867</v>
      </c>
      <c r="M3019" s="7" t="str">
        <f>IFERROR(__xludf.DUMMYFUNCTION("""COMPUTED_VALUE"""),"10:30-12:00")</f>
        <v>10:30-12:00</v>
      </c>
      <c r="N3019" s="7"/>
    </row>
    <row r="3020">
      <c r="A3020" s="7" t="str">
        <f>IFERROR(__xludf.DUMMYFUNCTION("""COMPUTED_VALUE"""),"4039-MAIN")</f>
        <v>4039-MAIN</v>
      </c>
      <c r="B3020" s="7" t="str">
        <f>IFERROR(__xludf.DUMMYFUNCTION("""COMPUTED_VALUE"""),"Query-driven Document-level Scientific Evidence Extraction from Biomedical Studies")</f>
        <v>Query-driven Document-level Scientific Evidence Extraction from Biomedical Studies</v>
      </c>
      <c r="C3020" s="7" t="str">
        <f>IFERROR(__xludf.DUMMYFUNCTION("""COMPUTED_VALUE"""),"Extracting scientific evidence from biomedical studies for clinical research questions (e.g., Does stem cell transplantation improve quality of life in patients with medically refractory Crohn's disease compared to placebo?) is a crucial step in synthesis"&amp;"ing biomedical evidence. In this paper, we focus on the task of document-level scientific evidence extraction for clinical questions with conflicting evidence. To support this task, we create a dataset called CochraneForest leveraging forest plots from Co"&amp;"chrane systematic reviews. It comprises 202 annotated forest plots, associated clinical research questions, full texts of studies, and study-specific conclusions. Building on CochraneForest, we propose URCA (Uniform Retrieval Clustered Augmentation), a re"&amp;"trieval-augmented generation framework designed to tackle the unique challenges of evidence extraction. Our experiments show that URCA outperforms the best existing methods by up to 10.3% in F1 score on this task. However, the results also underscore the "&amp;"complexity of CochraneForest, establishing it as a challenging testbed for advancing automated evidence synthesis systems.")</f>
        <v>Extracting scientific evidence from biomedical studies for clinical research questions (e.g., Does stem cell transplantation improve quality of life in patients with medically refractory Crohn's disease compared to placebo?) is a crucial step in synthesising biomedical evidence. In this paper, we focus on the task of document-level scientific evidence extraction for clinical questions with conflicting evidence. To support this task, we create a dataset called CochraneForest leveraging forest plots from Cochrane systematic reviews. It comprises 202 annotated forest plots, associated clinical research questions, full texts of studies, and study-specific conclusions. Building on CochraneForest, we propose URCA (Uniform Retrieval Clustered Augmentation), a retrieval-augmented generation framework designed to tackle the unique challenges of evidence extraction. Our experiments show that URCA outperforms the best existing methods by up to 10.3% in F1 score on this task. However, the results also underscore the complexity of CochraneForest, establishing it as a challenging testbed for advancing automated evidence synthesis systems.</v>
      </c>
      <c r="D3020" s="7" t="str">
        <f>IFERROR(__xludf.DUMMYFUNCTION("""COMPUTED_VALUE"""),"Massimiliano Pronesti")</f>
        <v>Massimiliano Pronesti</v>
      </c>
      <c r="E3020" s="7" t="str">
        <f>IFERROR(__xludf.DUMMYFUNCTION("""COMPUTED_VALUE"""),"Yes")</f>
        <v>Yes</v>
      </c>
      <c r="F3020" s="7" t="str">
        <f>IFERROR(__xludf.DUMMYFUNCTION("""COMPUTED_VALUE"""),"IP-Poster")</f>
        <v>IP-Poster</v>
      </c>
      <c r="G3020" s="7" t="str">
        <f>IFERROR(__xludf.DUMMYFUNCTION("""COMPUTED_VALUE"""),"In-Person")</f>
        <v>In-Person</v>
      </c>
      <c r="H3020" s="7" t="str">
        <f>IFERROR(__xludf.DUMMYFUNCTION("""COMPUTED_VALUE"""),"Hall 4/5")</f>
        <v>Hall 4/5</v>
      </c>
      <c r="I3020" s="7" t="str">
        <f>IFERROR(__xludf.DUMMYFUNCTION("""COMPUTED_VALUE"""),"Session 7: IP-Posters")</f>
        <v>Session 7: IP-Posters</v>
      </c>
      <c r="J3020" s="7" t="str">
        <f>IFERROR(__xludf.DUMMYFUNCTION("""COMPUTED_VALUE"""),"Poster Session 2")</f>
        <v>Poster Session 2</v>
      </c>
      <c r="K3020" s="7"/>
      <c r="L3020" s="8">
        <f>IFERROR(__xludf.DUMMYFUNCTION("""COMPUTED_VALUE"""),45867.0)</f>
        <v>45867</v>
      </c>
      <c r="M3020" s="7" t="str">
        <f>IFERROR(__xludf.DUMMYFUNCTION("""COMPUTED_VALUE"""),"10:30-12:00")</f>
        <v>10:30-12:00</v>
      </c>
      <c r="N3020" s="7"/>
    </row>
    <row r="3021">
      <c r="A3021" s="7" t="str">
        <f>IFERROR(__xludf.DUMMYFUNCTION("""COMPUTED_VALUE"""),"4049-MAIN")</f>
        <v>4049-MAIN</v>
      </c>
      <c r="B3021" s="7" t="str">
        <f>IFERROR(__xludf.DUMMYFUNCTION("""COMPUTED_VALUE"""),"Towards Robust Universal Information Extraction: Dataset, Evaluation, and Solution")</f>
        <v>Towards Robust Universal Information Extraction: Dataset, Evaluation, and Solution</v>
      </c>
      <c r="C3021" s="7" t="str">
        <f>IFERROR(__xludf.DUMMYFUNCTION("""COMPUTED_VALUE"""),"In this paper, we aim to enhance the robustness of Universal Information Extraction (UIE) by introducing a new benchmark dataset, a comprehensive evaluation, and a feasible solution. Existing robust benchmark datasets have two key limitations: 1) They gen"&amp;"erate only a limited range of perturbations for a single Information Extraction (IE) task, which fails to evaluate the robustness of UIE models effectively; 2) They rely on small models or handcrafted rules to generate perturbations, often resulting in un"&amp;"natural adversarial examples. Considering the powerful generation capabilities of Large Language Models (LLMs), we introduce a new benchmark dataset for Robust UIE, called RUIE-Bench, which utilizes LLMs to generate more diverse and realistic perturbation"&amp;"s across different IE tasks. Based on this dataset, we comprehensively evaluate existing UIE models and reveal that both LLM-based models and other models suffer from significant performance drops. To improve robustness and reduce training costs, we propo"&amp;"se a data-augmentation solution that dynamically selects hard samples for iterative training based on the model's inference loss. Experimental results show that training with only $\textbf{15}$\% of the data leads to an average $\textbf{8.1}$\% relative p"&amp;"erformance improvement across three IE tasks. Our code and dataset are available at: 
https://github.com/ICT-GoKnow/RobustUIE.")</f>
        <v>In this paper, we aim to enhance the robustness of Universal Information Extraction (UIE) by introducing a new benchmark dataset, a comprehensive evaluation, and a feasible solution. Existing robust benchmark datasets have two key limitations: 1) They generate only a limited range of perturbations for a single Information Extraction (IE) task, which fails to evaluate the robustness of UIE models effectively; 2) They rely on small models or handcrafted rules to generate perturbations, often resulting in unnatural adversarial examples. Considering the powerful generation capabilities of Large Language Models (LLMs), we introduce a new benchmark dataset for Robust UIE, called RUIE-Bench, which utilizes LLMs to generate more diverse and realistic perturbations across different IE tasks. Based on this dataset, we comprehensively evaluate existing UIE models and reveal that both LLM-based models and other models suffer from significant performance drops. To improve robustness and reduce training costs, we propose a data-augmentation solution that dynamically selects hard samples for iterative training based on the model's inference loss. Experimental results show that training with only $\textbf{15}$\% of the data leads to an average $\textbf{8.1}$\% relative performance improvement across three IE tasks. Our code and dataset are available at: 
https://github.com/ICT-GoKnow/RobustUIE.</v>
      </c>
      <c r="D3021" s="7" t="str">
        <f>IFERROR(__xludf.DUMMYFUNCTION("""COMPUTED_VALUE"""),"Zixuan Li")</f>
        <v>Zixuan Li</v>
      </c>
      <c r="E3021" s="7" t="str">
        <f>IFERROR(__xludf.DUMMYFUNCTION("""COMPUTED_VALUE"""),"Yes")</f>
        <v>Yes</v>
      </c>
      <c r="F3021" s="7" t="str">
        <f>IFERROR(__xludf.DUMMYFUNCTION("""COMPUTED_VALUE"""),"IP-Poster")</f>
        <v>IP-Poster</v>
      </c>
      <c r="G3021" s="7" t="str">
        <f>IFERROR(__xludf.DUMMYFUNCTION("""COMPUTED_VALUE"""),"In-Person")</f>
        <v>In-Person</v>
      </c>
      <c r="H3021" s="7" t="str">
        <f>IFERROR(__xludf.DUMMYFUNCTION("""COMPUTED_VALUE"""),"Hall 4/5")</f>
        <v>Hall 4/5</v>
      </c>
      <c r="I3021" s="7" t="str">
        <f>IFERROR(__xludf.DUMMYFUNCTION("""COMPUTED_VALUE"""),"Session 7: IP-Posters")</f>
        <v>Session 7: IP-Posters</v>
      </c>
      <c r="J3021" s="7" t="str">
        <f>IFERROR(__xludf.DUMMYFUNCTION("""COMPUTED_VALUE"""),"Poster Session 2")</f>
        <v>Poster Session 2</v>
      </c>
      <c r="K3021" s="7"/>
      <c r="L3021" s="8">
        <f>IFERROR(__xludf.DUMMYFUNCTION("""COMPUTED_VALUE"""),45867.0)</f>
        <v>45867</v>
      </c>
      <c r="M3021" s="7" t="str">
        <f>IFERROR(__xludf.DUMMYFUNCTION("""COMPUTED_VALUE"""),"10:30-12:00")</f>
        <v>10:30-12:00</v>
      </c>
      <c r="N3021" s="7"/>
    </row>
    <row r="3022">
      <c r="A3022" s="7" t="str">
        <f>IFERROR(__xludf.DUMMYFUNCTION("""COMPUTED_VALUE"""),"4051-MAIN")</f>
        <v>4051-MAIN</v>
      </c>
      <c r="B3022" s="7" t="str">
        <f>IFERROR(__xludf.DUMMYFUNCTION("""COMPUTED_VALUE"""),"Multi-perspective Alignment for Increasing Naturalness in Neural Machine Translation")</f>
        <v>Multi-perspective Alignment for Increasing Naturalness in Neural Machine Translation</v>
      </c>
      <c r="C3022" s="7" t="str">
        <f>IFERROR(__xludf.DUMMYFUNCTION("""COMPUTED_VALUE"""),"Neural machine translation (NMT) systems amplify lexical biases present in their training data, leading to artificially impoverished language in output translations. These language-level characteristics render automatic translations different from text or"&amp;"iginally written in a language and human translations, which hinders their usefulness in for example creating evaluation datasets. Attempts to increase naturalness in NMT can fall short in terms of content preservation, where increased lexical diversity c"&amp;"omes at the cost of translation accuracy. Inspired by the reinforcement learning from human feedback framework, we introduce a novel method that rewards both naturalness and content preservation. We experiment with multiple perspectives to produce more na"&amp;"tural translations, aiming at reducing machine and human translationese. We evaluate our method on English-to-Dutch literary translation, and find that our best model produces translations that are lexically richer and exhibit more properties of human-wri"&amp;"tten language, without loss in translation accuracy.")</f>
        <v>Neural machine translation (NMT) systems amplify lexical biases present in their training data, leading to artificially impoverished language in output translations. These language-level characteristics render automatic translations different from text originally written in a language and human translations, which hinders their usefulness in for example creating evaluation datasets. Attempts to increase naturalness in NMT can fall short in terms of content preservation, where increased lexical diversity comes at the cost of translation accuracy. Inspired by the reinforcement learning from human feedback framework, we introduce a novel method that rewards both naturalness and content preservation. We experiment with multiple perspectives to produce more natural translations, aiming at reducing machine and human translationese. We evaluate our method on English-to-Dutch literary translation, and find that our best model produces translations that are lexically richer and exhibit more properties of human-written language, without loss in translation accuracy.</v>
      </c>
      <c r="D3022" s="7" t="str">
        <f>IFERROR(__xludf.DUMMYFUNCTION("""COMPUTED_VALUE"""),"Huiyuan Lai")</f>
        <v>Huiyuan Lai</v>
      </c>
      <c r="E3022" s="7" t="str">
        <f>IFERROR(__xludf.DUMMYFUNCTION("""COMPUTED_VALUE"""),"Yes")</f>
        <v>Yes</v>
      </c>
      <c r="F3022" s="7" t="str">
        <f>IFERROR(__xludf.DUMMYFUNCTION("""COMPUTED_VALUE"""),"IP-Poster")</f>
        <v>IP-Poster</v>
      </c>
      <c r="G3022" s="7" t="str">
        <f>IFERROR(__xludf.DUMMYFUNCTION("""COMPUTED_VALUE"""),"In-Person")</f>
        <v>In-Person</v>
      </c>
      <c r="H3022" s="7" t="str">
        <f>IFERROR(__xludf.DUMMYFUNCTION("""COMPUTED_VALUE"""),"Hall 4/5")</f>
        <v>Hall 4/5</v>
      </c>
      <c r="I3022" s="7" t="str">
        <f>IFERROR(__xludf.DUMMYFUNCTION("""COMPUTED_VALUE"""),"Session 10: IP-Posters")</f>
        <v>Session 10: IP-Posters</v>
      </c>
      <c r="J3022" s="7" t="str">
        <f>IFERROR(__xludf.DUMMYFUNCTION("""COMPUTED_VALUE"""),"Poster Session 3")</f>
        <v>Poster Session 3</v>
      </c>
      <c r="K3022" s="7"/>
      <c r="L3022" s="8">
        <f>IFERROR(__xludf.DUMMYFUNCTION("""COMPUTED_VALUE"""),45867.0)</f>
        <v>45867</v>
      </c>
      <c r="M3022" s="7" t="str">
        <f>IFERROR(__xludf.DUMMYFUNCTION("""COMPUTED_VALUE"""),"16:00-17:30")</f>
        <v>16:00-17:30</v>
      </c>
      <c r="N3022" s="7"/>
    </row>
    <row r="3023">
      <c r="A3023" s="7" t="str">
        <f>IFERROR(__xludf.DUMMYFUNCTION("""COMPUTED_VALUE"""),"4061-MAIN")</f>
        <v>4061-MAIN</v>
      </c>
      <c r="B3023" s="7" t="str">
        <f>IFERROR(__xludf.DUMMYFUNCTION("""COMPUTED_VALUE"""),"Temporal reasoning for timeline summarisation in social media")</f>
        <v>Temporal reasoning for timeline summarisation in social media</v>
      </c>
      <c r="C3023" s="7" t="str">
        <f>IFERROR(__xludf.DUMMYFUNCTION("""COMPUTED_VALUE"""),"This paper explores whether enhancing temporal reasoning capabilities in Large Language Models (LLMs) can improve the quality of timeline summarisation, the task of summarising long texts containing sequences of events, such as social media threads. We fi"&amp;"rst introduce NarrativeReason, a novel dataset focused on temporal relationships among sequential events within narratives, distinguishing it from existing temporal reasoning datasets that primarily address pair-wise event relationships. Our approach then"&amp;" combines temporal reasoning with timeline summarisation through a knowledge distillation framework, where we first fine-tune a teacher model on temporal reasoning tasks and then distill this knowledge into a student model while simultaneously training it"&amp;" for the task of timeline summarisation. Experimental results demonstrate that our model achieves superior performance on out-of-domain mental health-related timeline summarisation tasks, which involve long social media threads with repetitions of events "&amp;"and a mix of emotions, highlighting the importance and generalisability of leveraging temporal reasoning to improve timeline summarisation.")</f>
        <v>This paper explores whether enhancing temporal reasoning capabilities in Large Language Models (LLMs) can improve the quality of timeline summarisation, the task of summarising long texts containing sequences of events, such as social media threads. We first introduce NarrativeReason, a novel dataset focused on temporal relationships among sequential events within narratives, distinguishing it from existing temporal reasoning datasets that primarily address pair-wise event relationships. Our approach then combines temporal reasoning with timeline summarisation through a knowledge distillation framework, where we first fine-tune a teacher model on temporal reasoning tasks and then distill this knowledge into a student model while simultaneously training it for the task of timeline summarisation. Experimental results demonstrate that our model achieves superior performance on out-of-domain mental health-related timeline summarisation tasks, which involve long social media threads with repetitions of events and a mix of emotions, highlighting the importance and generalisability of leveraging temporal reasoning to improve timeline summarisation.</v>
      </c>
      <c r="D3023" s="7" t="str">
        <f>IFERROR(__xludf.DUMMYFUNCTION("""COMPUTED_VALUE"""),"Mahmud Elahi Akhter")</f>
        <v>Mahmud Elahi Akhter</v>
      </c>
      <c r="E3023" s="7" t="str">
        <f>IFERROR(__xludf.DUMMYFUNCTION("""COMPUTED_VALUE"""),"Yes")</f>
        <v>Yes</v>
      </c>
      <c r="F3023" s="7" t="str">
        <f>IFERROR(__xludf.DUMMYFUNCTION("""COMPUTED_VALUE"""),"IP-Poster")</f>
        <v>IP-Poster</v>
      </c>
      <c r="G3023" s="7" t="str">
        <f>IFERROR(__xludf.DUMMYFUNCTION("""COMPUTED_VALUE"""),"In-Person")</f>
        <v>In-Person</v>
      </c>
      <c r="H3023" s="7" t="str">
        <f>IFERROR(__xludf.DUMMYFUNCTION("""COMPUTED_VALUE"""),"Hall 4/5")</f>
        <v>Hall 4/5</v>
      </c>
      <c r="I3023" s="7" t="str">
        <f>IFERROR(__xludf.DUMMYFUNCTION("""COMPUTED_VALUE"""),"Session 2: IP-Posters ")</f>
        <v>Session 2: IP-Posters </v>
      </c>
      <c r="J3023" s="7" t="str">
        <f>IFERROR(__xludf.DUMMYFUNCTION("""COMPUTED_VALUE"""),"Poster Session 1")</f>
        <v>Poster Session 1</v>
      </c>
      <c r="K3023" s="7"/>
      <c r="L3023" s="8">
        <f>IFERROR(__xludf.DUMMYFUNCTION("""COMPUTED_VALUE"""),45866.0)</f>
        <v>45866</v>
      </c>
      <c r="M3023" s="7" t="str">
        <f>IFERROR(__xludf.DUMMYFUNCTION("""COMPUTED_VALUE"""),"11:00-12:30")</f>
        <v>11:00-12:30</v>
      </c>
      <c r="N3023" s="7"/>
    </row>
    <row r="3024">
      <c r="A3024" s="7" t="str">
        <f>IFERROR(__xludf.DUMMYFUNCTION("""COMPUTED_VALUE"""),"4069-MAIN")</f>
        <v>4069-MAIN</v>
      </c>
      <c r="B3024" s="7" t="str">
        <f>IFERROR(__xludf.DUMMYFUNCTION("""COMPUTED_VALUE"""),"Beyond Negative Stereotypes – Non-Negative Abusive Utterances about Identity Groups and Their Semantic Variants")</f>
        <v>Beyond Negative Stereotypes – Non-Negative Abusive Utterances about Identity Groups and Their Semantic Variants</v>
      </c>
      <c r="C3024" s="7" t="str">
        <f>IFERROR(__xludf.DUMMYFUNCTION("""COMPUTED_VALUE"""),"We study a subtype of implicitly abusive language, namely non-negative sentences about identity groups (e.g. ""Women make good cooks""), and introduce a novel dataset of such utterances. Not only do we profile such abusive sentences, but since our dataset"&amp;" includes different semantic variants of the same characteristic attributed to an identity group, we can also systematically study the impact of varying degrees of generalization and perspective framing. Similarly, we switch identity groups to assess whet"&amp;"her the characteristic described in a sentence is inherently abusive. We also report on classification experiments.")</f>
        <v>We study a subtype of implicitly abusive language, namely non-negative sentences about identity groups (e.g. "Women make good cooks"), and introduce a novel dataset of such utterances. Not only do we profile such abusive sentences, but since our dataset includes different semantic variants of the same characteristic attributed to an identity group, we can also systematically study the impact of varying degrees of generalization and perspective framing. Similarly, we switch identity groups to assess whether the characteristic described in a sentence is inherently abusive. We also report on classification experiments.</v>
      </c>
      <c r="D3024" s="7" t="str">
        <f>IFERROR(__xludf.DUMMYFUNCTION("""COMPUTED_VALUE"""),"Michael Wiegand")</f>
        <v>Michael Wiegand</v>
      </c>
      <c r="E3024" s="7" t="str">
        <f>IFERROR(__xludf.DUMMYFUNCTION("""COMPUTED_VALUE"""),"Yes")</f>
        <v>Yes</v>
      </c>
      <c r="F3024" s="7" t="str">
        <f>IFERROR(__xludf.DUMMYFUNCTION("""COMPUTED_VALUE"""),"IP-Poster")</f>
        <v>IP-Poster</v>
      </c>
      <c r="G3024" s="7" t="str">
        <f>IFERROR(__xludf.DUMMYFUNCTION("""COMPUTED_VALUE"""),"In-Person")</f>
        <v>In-Person</v>
      </c>
      <c r="H3024" s="7" t="str">
        <f>IFERROR(__xludf.DUMMYFUNCTION("""COMPUTED_VALUE"""),"Hall 4/5")</f>
        <v>Hall 4/5</v>
      </c>
      <c r="I3024" s="7" t="str">
        <f>IFERROR(__xludf.DUMMYFUNCTION("""COMPUTED_VALUE"""),"Session 12: IP-Posters")</f>
        <v>Session 12: IP-Posters</v>
      </c>
      <c r="J3024" s="7" t="str">
        <f>IFERROR(__xludf.DUMMYFUNCTION("""COMPUTED_VALUE"""),"Poster Session 4")</f>
        <v>Poster Session 4</v>
      </c>
      <c r="K3024" s="7"/>
      <c r="L3024" s="8">
        <f>IFERROR(__xludf.DUMMYFUNCTION("""COMPUTED_VALUE"""),45868.0)</f>
        <v>45868</v>
      </c>
      <c r="M3024" s="7" t="str">
        <f>IFERROR(__xludf.DUMMYFUNCTION("""COMPUTED_VALUE"""),"11:00-12:30")</f>
        <v>11:00-12:30</v>
      </c>
      <c r="N3024" s="7"/>
    </row>
    <row r="3025">
      <c r="A3025" s="7" t="str">
        <f>IFERROR(__xludf.DUMMYFUNCTION("""COMPUTED_VALUE"""),"4074-MAIN")</f>
        <v>4074-MAIN</v>
      </c>
      <c r="B3025" s="7" t="str">
        <f>IFERROR(__xludf.DUMMYFUNCTION("""COMPUTED_VALUE"""),"Persistent Homology of Topic Networks for the Prediction of Reader Curiosity")</f>
        <v>Persistent Homology of Topic Networks for the Prediction of Reader Curiosity</v>
      </c>
      <c r="C3025" s="7" t="str">
        <f>IFERROR(__xludf.DUMMYFUNCTION("""COMPUTED_VALUE"""),"Reader curiosity, the drive to seek information, is crucial for textual engagement, yet remains relatively underexplored in NLP. Building on Loewenstein’s Information Gap Theory, we introduce a framework that models reader curiosity by quantifying semanti"&amp;"c information gaps within a text’s semantic structure. Our approach leverages BERTopic-inspired topic modeling and persistent homology to analyze the evolving topology (connected components, cycles, voids) of a dynamic semantic network derived from text s"&amp;"egments, treating these features as proxies for information gaps. To empirically evaluate this pipeline, we collect reader curiosity ratings from participants (*n* = 49) as they read S. Collins’s “The Hunger Games” novel. We then use the topological featu"&amp;"res from our pipeline as independent variables to predict these ratings, and experimentally show that they significantly improve curiosity prediction compared to a baseline model (73% vs. 30% explained deviance), validating our approach. This pipeline off"&amp;"ers a new computational method for analyzing text structure and its relation to reader engagement.")</f>
        <v>Reader curiosity, the drive to seek information, is crucial for textual engagement, yet remains relatively underexplored in NLP. Building on Loewenstein’s Information Gap Theory, we introduce a framework that models reader curiosity by quantifying semantic information gaps within a text’s semantic structure. Our approach leverages BERTopic-inspired topic modeling and persistent homology to analyze the evolving topology (connected components, cycles, voids) of a dynamic semantic network derived from text segments, treating these features as proxies for information gaps. To empirically evaluate this pipeline, we collect reader curiosity ratings from participants (*n* = 49) as they read S. Collins’s “The Hunger Games” novel. We then use the topological features from our pipeline as independent variables to predict these ratings, and experimentally show that they significantly improve curiosity prediction compared to a baseline model (73% vs. 30% explained deviance), validating our approach. This pipeline offers a new computational method for analyzing text structure and its relation to reader engagement.</v>
      </c>
      <c r="D3025" s="7" t="str">
        <f>IFERROR(__xludf.DUMMYFUNCTION("""COMPUTED_VALUE"""),"Manuel D. S. Hopp")</f>
        <v>Manuel D. S. Hopp</v>
      </c>
      <c r="E3025" s="7" t="str">
        <f>IFERROR(__xludf.DUMMYFUNCTION("""COMPUTED_VALUE"""),"Yes")</f>
        <v>Yes</v>
      </c>
      <c r="F3025" s="7" t="str">
        <f>IFERROR(__xludf.DUMMYFUNCTION("""COMPUTED_VALUE"""),"V-Presentation")</f>
        <v>V-Presentation</v>
      </c>
      <c r="G3025" s="7" t="str">
        <f>IFERROR(__xludf.DUMMYFUNCTION("""COMPUTED_VALUE"""),"Virtual/Gather")</f>
        <v>Virtual/Gather</v>
      </c>
      <c r="H3025" s="7" t="str">
        <f>IFERROR(__xludf.DUMMYFUNCTION("""COMPUTED_VALUE"""),"Zoom")</f>
        <v>Zoom</v>
      </c>
      <c r="I3025" s="7" t="str">
        <f>IFERROR(__xludf.DUMMYFUNCTION("""COMPUTED_VALUE"""),"Session 2: V-Presentations")</f>
        <v>Session 2: V-Presentations</v>
      </c>
      <c r="J3025" s="7" t="str">
        <f>IFERROR(__xludf.DUMMYFUNCTION("""COMPUTED_VALUE"""),"Virtual Presentations 1")</f>
        <v>Virtual Presentations 1</v>
      </c>
      <c r="K3025" s="7"/>
      <c r="L3025" s="8">
        <f>IFERROR(__xludf.DUMMYFUNCTION("""COMPUTED_VALUE"""),45866.0)</f>
        <v>45866</v>
      </c>
      <c r="M3025" s="7" t="str">
        <f>IFERROR(__xludf.DUMMYFUNCTION("""COMPUTED_VALUE"""),"11:00-12:30")</f>
        <v>11:00-12:30</v>
      </c>
      <c r="N3025" s="7"/>
    </row>
    <row r="3026">
      <c r="A3026" s="7" t="str">
        <f>IFERROR(__xludf.DUMMYFUNCTION("""COMPUTED_VALUE"""),"4076-MAIN")</f>
        <v>4076-MAIN</v>
      </c>
      <c r="B3026" s="7" t="str">
        <f>IFERROR(__xludf.DUMMYFUNCTION("""COMPUTED_VALUE"""),"Tokenisation is NP-Complete")</f>
        <v>Tokenisation is NP-Complete</v>
      </c>
      <c r="C3026" s="7" t="str">
        <f>IFERROR(__xludf.DUMMYFUNCTION("""COMPUTED_VALUE"""),"In this work, we prove the NP-completeness of two variants of tokenisation, defined here as the problem of compressing a dataset to at most $\delta$ symbols by either finding a vocabulary directly (_direct_ tokenisation), or selecting a sequence of merge "&amp;"operations (_bottom-up_ tokenisation).")</f>
        <v>In this work, we prove the NP-completeness of two variants of tokenisation, defined here as the problem of compressing a dataset to at most $\delta$ symbols by either finding a vocabulary directly (_direct_ tokenisation), or selecting a sequence of merge operations (_bottom-up_ tokenisation).</v>
      </c>
      <c r="D3026" s="7" t="str">
        <f>IFERROR(__xludf.DUMMYFUNCTION("""COMPUTED_VALUE"""),"Philip Whittington")</f>
        <v>Philip Whittington</v>
      </c>
      <c r="E3026" s="7" t="str">
        <f>IFERROR(__xludf.DUMMYFUNCTION("""COMPUTED_VALUE"""),"Yes")</f>
        <v>Yes</v>
      </c>
      <c r="F3026" s="7" t="str">
        <f>IFERROR(__xludf.DUMMYFUNCTION("""COMPUTED_VALUE"""),"IP-Oral")</f>
        <v>IP-Oral</v>
      </c>
      <c r="G3026" s="7" t="str">
        <f>IFERROR(__xludf.DUMMYFUNCTION("""COMPUTED_VALUE"""),"In-Person")</f>
        <v>In-Person</v>
      </c>
      <c r="H3026" s="7" t="str">
        <f>IFERROR(__xludf.DUMMYFUNCTION("""COMPUTED_VALUE"""),"Room 1.15-16")</f>
        <v>Room 1.15-16</v>
      </c>
      <c r="I3026" s="7" t="str">
        <f>IFERROR(__xludf.DUMMYFUNCTION("""COMPUTED_VALUE"""),"Session 11: IP-Orals ")</f>
        <v>Session 11: IP-Orals </v>
      </c>
      <c r="J3026" s="7" t="str">
        <f>IFERROR(__xludf.DUMMYFUNCTION("""COMPUTED_VALUE"""),"Language Modeling 2")</f>
        <v>Language Modeling 2</v>
      </c>
      <c r="K3026" s="7"/>
      <c r="L3026" s="8">
        <f>IFERROR(__xludf.DUMMYFUNCTION("""COMPUTED_VALUE"""),45868.0)</f>
        <v>45868</v>
      </c>
      <c r="M3026" s="7" t="str">
        <f>IFERROR(__xludf.DUMMYFUNCTION("""COMPUTED_VALUE"""),"09:00-10:30")</f>
        <v>09:00-10:30</v>
      </c>
      <c r="N3026" s="7">
        <f>IFERROR(__xludf.DUMMYFUNCTION("""COMPUTED_VALUE"""),7.0)</f>
        <v>7</v>
      </c>
    </row>
    <row r="3027">
      <c r="A3027" s="7" t="str">
        <f>IFERROR(__xludf.DUMMYFUNCTION("""COMPUTED_VALUE"""),"4082-MAIN")</f>
        <v>4082-MAIN</v>
      </c>
      <c r="B3027" s="7" t="str">
        <f>IFERROR(__xludf.DUMMYFUNCTION("""COMPUTED_VALUE"""),"Understanding Language Model Scaling Laws in Terms of Training Dynamics via Loss Deceleration and Zero-Sum Learning")</f>
        <v>Understanding Language Model Scaling Laws in Terms of Training Dynamics via Loss Deceleration and Zero-Sum Learning</v>
      </c>
      <c r="C3027" s="7" t="str">
        <f>IFERROR(__xludf.DUMMYFUNCTION("""COMPUTED_VALUE"""),"This work aims to understand how scaling improves language models, specifically in terms of training dynamics. We find that language models undergo loss deceleration early in training—an abrupt slowdown in the rate of loss improvement, resulting in piecew"&amp;"ise linear behaviour of the loss curve in log-log space. Scaling up the model mitigates this transition by (1) decreasing the loss at which deceleration occurs, and (2) improving the log-log rate of loss improvement after deceleration. We attribute loss d"&amp;"eceleration to a type of degenerate training dynamics we term zero-sum learning (ZSL). In ZSL, per-example gradients become systematically opposed, leading to destructive interference in per-example changes in loss. As a result, improving loss on one subs"&amp;"et of examples degrades it on another, bottlenecking overall progress. Loss deceleration and ZSL provide new insights into the training dynamics underlying language model scaling laws, and could potentially be targeted directly to improve language models "&amp;"independent of scale. We make our code and artefacts available at: https://github.com/mirandrom/zsl")</f>
        <v>This work aims to understand how scaling improves language models, specifically in terms of training dynamics. We find that language models undergo loss deceleration early in training—an abrupt slowdown in the rate of loss improvement, resulting in piecewise linear behaviour of the loss curve in log-log space. Scaling up the model mitigates this transition by (1) decreasing the loss at which deceleration occurs, and (2) improving the log-log rate of loss improvement after deceleration. We attribute loss deceleration to a type of degenerate training dynamics we term zero-sum learning (ZSL). In ZSL, per-example gradients become systematically opposed, leading to destructive interference in per-example changes in loss. As a result, improving loss on one subset of examples degrades it on another, bottlenecking overall progress. Loss deceleration and ZSL provide new insights into the training dynamics underlying language model scaling laws, and could potentially be targeted directly to improve language models independent of scale. We make our code and artefacts available at: https://github.com/mirandrom/zsl</v>
      </c>
      <c r="D3027" s="7" t="str">
        <f>IFERROR(__xludf.DUMMYFUNCTION("""COMPUTED_VALUE"""),"Andrei Mircea")</f>
        <v>Andrei Mircea</v>
      </c>
      <c r="E3027" s="7" t="str">
        <f>IFERROR(__xludf.DUMMYFUNCTION("""COMPUTED_VALUE"""),"Yes")</f>
        <v>Yes</v>
      </c>
      <c r="F3027" s="7" t="str">
        <f>IFERROR(__xludf.DUMMYFUNCTION("""COMPUTED_VALUE"""),"IP-Oral")</f>
        <v>IP-Oral</v>
      </c>
      <c r="G3027" s="7" t="str">
        <f>IFERROR(__xludf.DUMMYFUNCTION("""COMPUTED_VALUE"""),"In-Person")</f>
        <v>In-Person</v>
      </c>
      <c r="H3027" s="7" t="str">
        <f>IFERROR(__xludf.DUMMYFUNCTION("""COMPUTED_VALUE"""),"Hall C")</f>
        <v>Hall C</v>
      </c>
      <c r="I3027" s="7" t="str">
        <f>IFERROR(__xludf.DUMMYFUNCTION("""COMPUTED_VALUE"""),"Session 9: IP-Orals")</f>
        <v>Session 9: IP-Orals</v>
      </c>
      <c r="J3027" s="7" t="str">
        <f>IFERROR(__xludf.DUMMYFUNCTION("""COMPUTED_VALUE"""),"Language Modeling 1")</f>
        <v>Language Modeling 1</v>
      </c>
      <c r="K3027" s="7"/>
      <c r="L3027" s="8">
        <f>IFERROR(__xludf.DUMMYFUNCTION("""COMPUTED_VALUE"""),45867.0)</f>
        <v>45867</v>
      </c>
      <c r="M3027" s="7" t="str">
        <f>IFERROR(__xludf.DUMMYFUNCTION("""COMPUTED_VALUE"""),"14:00-15:30")</f>
        <v>14:00-15:30</v>
      </c>
      <c r="N3027" s="7">
        <f>IFERROR(__xludf.DUMMYFUNCTION("""COMPUTED_VALUE"""),6.0)</f>
        <v>6</v>
      </c>
    </row>
    <row r="3028">
      <c r="A3028" s="7" t="str">
        <f>IFERROR(__xludf.DUMMYFUNCTION("""COMPUTED_VALUE"""),"4085-MAIN")</f>
        <v>4085-MAIN</v>
      </c>
      <c r="B3028" s="7" t="str">
        <f>IFERROR(__xludf.DUMMYFUNCTION("""COMPUTED_VALUE"""),"Parameter-Aware Contrastive Knowledge Editing: Tracing and Rectifying based on Critical Transmission Paths")</f>
        <v>Parameter-Aware Contrastive Knowledge Editing: Tracing and Rectifying based on Critical Transmission Paths</v>
      </c>
      <c r="C3028" s="7" t="str">
        <f>IFERROR(__xludf.DUMMYFUNCTION("""COMPUTED_VALUE"""),"Large language models (LLMs) have encoded vast amounts of knowledge in their parameters, but the acquired knowledge can sometimes be incorrect or outdated over time, necessitating rectification after pre-training. Traditional localized methods in knowledg"&amp;"e-based model editing (KME) typically assume that knowledge is stored in particular intermediate layers. However, recent research suggests that these methods do not identify the optimal locations for parameter editing, as knowledge gradually accumulates a"&amp;"cross all layers in LLMs during the forward pass rather than being stored in specific layers. This paper, for the first time, introduces the concept of critical transmission paths into KME for parameter updating. Specifically, these paths capture the key "&amp;"information flows that significantly influence the model predictions for the editing process. To facilitate this process, we also design a parameter-aware contrastive rectifying algorithm that considers less important paths as contrastive examples. Experi"&amp;"ments on two prominent datasets and three widely used LLMs demonstrate the superiority of our method in editing performance.")</f>
        <v>Large language models (LLMs) have encoded vast amounts of knowledge in their parameters, but the acquired knowledge can sometimes be incorrect or outdated over time, necessitating rectification after pre-training. Traditional localized methods in knowledge-based model editing (KME) typically assume that knowledge is stored in particular intermediate layers. However, recent research suggests that these methods do not identify the optimal locations for parameter editing, as knowledge gradually accumulates across all layers in LLMs during the forward pass rather than being stored in specific layers. This paper, for the first time, introduces the concept of critical transmission paths into KME for parameter updating. Specifically, these paths capture the key information flows that significantly influence the model predictions for the editing process. To facilitate this process, we also design a parameter-aware contrastive rectifying algorithm that considers less important paths as contrastive examples. Experiments on two prominent datasets and three widely used LLMs demonstrate the superiority of our method in editing performance.</v>
      </c>
      <c r="D3028" s="7" t="str">
        <f>IFERROR(__xludf.DUMMYFUNCTION("""COMPUTED_VALUE"""),"Songlin Zhai")</f>
        <v>Songlin Zhai</v>
      </c>
      <c r="E3028" s="7" t="str">
        <f>IFERROR(__xludf.DUMMYFUNCTION("""COMPUTED_VALUE"""),"Yes")</f>
        <v>Yes</v>
      </c>
      <c r="F3028" s="7" t="str">
        <f>IFERROR(__xludf.DUMMYFUNCTION("""COMPUTED_VALUE"""),"V-Presentation")</f>
        <v>V-Presentation</v>
      </c>
      <c r="G3028" s="7" t="str">
        <f>IFERROR(__xludf.DUMMYFUNCTION("""COMPUTED_VALUE"""),"Virtual/Gather")</f>
        <v>Virtual/Gather</v>
      </c>
      <c r="H3028" s="7" t="str">
        <f>IFERROR(__xludf.DUMMYFUNCTION("""COMPUTED_VALUE"""),"Zoom")</f>
        <v>Zoom</v>
      </c>
      <c r="I3028" s="7" t="str">
        <f>IFERROR(__xludf.DUMMYFUNCTION("""COMPUTED_VALUE"""),"Session 12: V-Presentations")</f>
        <v>Session 12: V-Presentations</v>
      </c>
      <c r="J3028" s="7" t="str">
        <f>IFERROR(__xludf.DUMMYFUNCTION("""COMPUTED_VALUE"""),"Virtual Presentations 4")</f>
        <v>Virtual Presentations 4</v>
      </c>
      <c r="K3028" s="7"/>
      <c r="L3028" s="8">
        <f>IFERROR(__xludf.DUMMYFUNCTION("""COMPUTED_VALUE"""),45868.0)</f>
        <v>45868</v>
      </c>
      <c r="M3028" s="7" t="str">
        <f>IFERROR(__xludf.DUMMYFUNCTION("""COMPUTED_VALUE"""),"11:00-12:30")</f>
        <v>11:00-12:30</v>
      </c>
      <c r="N3028" s="7"/>
    </row>
    <row r="3029">
      <c r="A3029" s="7" t="str">
        <f>IFERROR(__xludf.DUMMYFUNCTION("""COMPUTED_VALUE"""),"4086-MAIN")</f>
        <v>4086-MAIN</v>
      </c>
      <c r="B3029" s="7" t="str">
        <f>IFERROR(__xludf.DUMMYFUNCTION("""COMPUTED_VALUE"""),"Many Heads Are Better Than One: Improved Scientific Idea Generation by A LLM-Based Multi-Agent System")</f>
        <v>Many Heads Are Better Than One: Improved Scientific Idea Generation by A LLM-Based Multi-Agent System</v>
      </c>
      <c r="C3029" s="7" t="str">
        <f>IFERROR(__xludf.DUMMYFUNCTION("""COMPUTED_VALUE"""),"The rapid advancement of scientific progress requires innovative tools that can accelerate knowledge discovery. Although recent AI methods, particularly large language models (LLMs), have shown promise in tasks such as hypothesis generation and experiment"&amp;"al design, they fall short of replicating the collaborative nature of real-world scientific practices, where diverse experts work together in teams to tackle complex problems. To address the limitations, we propose an LLM-based multi-agent system, i.e., V"&amp;"irtual Scientists (VIRSCI), designed to mimic the teamwork inherent in scientific research. VIRSCI organizes a team of agents to collaboratively generate, evaluate, and refine research ideas. Through comprehensive experiments, we demonstrate that this mul"&amp;"ti-agent approach outperforms the state-of-the-art method in producing novel scientific ideas. We further investigate the collaboration mechanisms that contribute to its tendency to produce ideas with higher novelty, offering valuable insights to guide fu"&amp;"ture research and illuminating pathways toward building a robust system for autonomous scientific discovery. The code is available at https://github.com/open-sciencelab/Virtual-Scientists.")</f>
        <v>The rapid advancement of scientific progress requires innovative tools that can accelerate knowledge discovery. Although recent AI methods, particularly large language models (LLMs), have shown promise in tasks such as hypothesis generation and experimental design, they fall short of replicating the collaborative nature of real-world scientific practices, where diverse experts work together in teams to tackle complex problems. To address the limitations, we propose an LLM-based multi-agent system, i.e., Virtual Scientists (VIRSCI), designed to mimic the teamwork inherent in scientific research. VIRSCI organizes a team of agents to collaboratively generate, evaluate, and refine research ideas. Through comprehensive experiments, we demonstrate that this multi-agent approach outperforms the state-of-the-art method in producing novel scientific ideas. We further investigate the collaboration mechanisms that contribute to its tendency to produce ideas with higher novelty, offering valuable insights to guide future research and illuminating pathways toward building a robust system for autonomous scientific discovery. The code is available at https://github.com/open-sciencelab/Virtual-Scientists.</v>
      </c>
      <c r="D3029" s="7" t="str">
        <f>IFERROR(__xludf.DUMMYFUNCTION("""COMPUTED_VALUE"""),"Haoyang Su")</f>
        <v>Haoyang Su</v>
      </c>
      <c r="E3029" s="7" t="str">
        <f>IFERROR(__xludf.DUMMYFUNCTION("""COMPUTED_VALUE"""),"Yes")</f>
        <v>Yes</v>
      </c>
      <c r="F3029" s="7" t="str">
        <f>IFERROR(__xludf.DUMMYFUNCTION("""COMPUTED_VALUE"""),"V-Presentation")</f>
        <v>V-Presentation</v>
      </c>
      <c r="G3029" s="7" t="str">
        <f>IFERROR(__xludf.DUMMYFUNCTION("""COMPUTED_VALUE"""),"Virtual/Gather")</f>
        <v>Virtual/Gather</v>
      </c>
      <c r="H3029" s="7" t="str">
        <f>IFERROR(__xludf.DUMMYFUNCTION("""COMPUTED_VALUE"""),"Zoom")</f>
        <v>Zoom</v>
      </c>
      <c r="I3029" s="7" t="str">
        <f>IFERROR(__xludf.DUMMYFUNCTION("""COMPUTED_VALUE"""),"Session 12: V-Presentations")</f>
        <v>Session 12: V-Presentations</v>
      </c>
      <c r="J3029" s="7" t="str">
        <f>IFERROR(__xludf.DUMMYFUNCTION("""COMPUTED_VALUE"""),"Virtual Presentations 4")</f>
        <v>Virtual Presentations 4</v>
      </c>
      <c r="K3029" s="7"/>
      <c r="L3029" s="8">
        <f>IFERROR(__xludf.DUMMYFUNCTION("""COMPUTED_VALUE"""),45868.0)</f>
        <v>45868</v>
      </c>
      <c r="M3029" s="7" t="str">
        <f>IFERROR(__xludf.DUMMYFUNCTION("""COMPUTED_VALUE"""),"11:00-12:30")</f>
        <v>11:00-12:30</v>
      </c>
      <c r="N3029" s="7"/>
    </row>
    <row r="3030">
      <c r="A3030" s="7" t="str">
        <f>IFERROR(__xludf.DUMMYFUNCTION("""COMPUTED_VALUE"""),"4087-MAIN")</f>
        <v>4087-MAIN</v>
      </c>
      <c r="B3030" s="7" t="str">
        <f>IFERROR(__xludf.DUMMYFUNCTION("""COMPUTED_VALUE"""),"Inner Thinking Transformer: Leveraging Dynamic Depth Scaling to Foster Adaptive Internal Thinking")</f>
        <v>Inner Thinking Transformer: Leveraging Dynamic Depth Scaling to Foster Adaptive Internal Thinking</v>
      </c>
      <c r="C3030" s="7" t="str">
        <f>IFERROR(__xludf.DUMMYFUNCTION("""COMPUTED_VALUE"""),"Large language models (LLMs) face inherent performance bottlenecks under parameter constraints, particularly in processing critical tokens that demand complex reasoning. Empirical analysis reveals challenging tokens induce abrupt gradient spikes across la"&amp;"yers, exposing architectural stress points in standard Transformers. Building on this insight, we propose Inner Thinking Transformer (ITT), which reimagines layer computations as implicit thinking steps. ITT dynamically allocates computation through Adapt"&amp;"ive Token Routing, iteratively refines representations via Residual Thinking Connections, and distinguishes reasoning phases using Thinking Step Encoding. ITT enables deeper processing of critical tokens without parameter expansion. Evaluations across 162"&amp;"M-466M parameter models show ITT achieves 96.5% performance of a 466M Transformer using only 162M parameters, reduces training data by 43.2%, and outperforms Transformer/Loop variants in 11 benchmarks. By enabling elastic computation allocation during inf"&amp;"erence, ITT balances performance and efficiency through architecture-aware optimization of implicit thinking pathways.")</f>
        <v>Large language models (LLMs) face inherent performance bottlenecks under parameter constraints, particularly in processing critical tokens that demand complex reasoning. Empirical analysis reveals challenging tokens induce abrupt gradient spikes across layers, exposing architectural stress points in standard Transformers. Building on this insight, we propose Inner Thinking Transformer (ITT), which reimagines layer computations as implicit thinking steps. ITT dynamically allocates computation through Adaptive Token Routing, iteratively refines representations via Residual Thinking Connections, and distinguishes reasoning phases using Thinking Step Encoding. ITT enables deeper processing of critical tokens without parameter expansion. Evaluations across 162M-466M parameter models show ITT achieves 96.5% performance of a 466M Transformer using only 162M parameters, reduces training data by 43.2%, and outperforms Transformer/Loop variants in 11 benchmarks. By enabling elastic computation allocation during inference, ITT balances performance and efficiency through architecture-aware optimization of implicit thinking pathways.</v>
      </c>
      <c r="D3030" s="7" t="str">
        <f>IFERROR(__xludf.DUMMYFUNCTION("""COMPUTED_VALUE"""),"Yilong Chen")</f>
        <v>Yilong Chen</v>
      </c>
      <c r="E3030" s="7" t="str">
        <f>IFERROR(__xludf.DUMMYFUNCTION("""COMPUTED_VALUE"""),"Yes")</f>
        <v>Yes</v>
      </c>
      <c r="F3030" s="7" t="str">
        <f>IFERROR(__xludf.DUMMYFUNCTION("""COMPUTED_VALUE"""),"IP-Poster")</f>
        <v>IP-Poster</v>
      </c>
      <c r="G3030" s="7" t="str">
        <f>IFERROR(__xludf.DUMMYFUNCTION("""COMPUTED_VALUE"""),"In-Person")</f>
        <v>In-Person</v>
      </c>
      <c r="H3030" s="7" t="str">
        <f>IFERROR(__xludf.DUMMYFUNCTION("""COMPUTED_VALUE"""),"Hall 4/5")</f>
        <v>Hall 4/5</v>
      </c>
      <c r="I3030" s="7" t="str">
        <f>IFERROR(__xludf.DUMMYFUNCTION("""COMPUTED_VALUE"""),"Session 2: IP-Posters ")</f>
        <v>Session 2: IP-Posters </v>
      </c>
      <c r="J3030" s="7" t="str">
        <f>IFERROR(__xludf.DUMMYFUNCTION("""COMPUTED_VALUE"""),"Poster Session 1")</f>
        <v>Poster Session 1</v>
      </c>
      <c r="K3030" s="7"/>
      <c r="L3030" s="8">
        <f>IFERROR(__xludf.DUMMYFUNCTION("""COMPUTED_VALUE"""),45866.0)</f>
        <v>45866</v>
      </c>
      <c r="M3030" s="7" t="str">
        <f>IFERROR(__xludf.DUMMYFUNCTION("""COMPUTED_VALUE"""),"11:00-12:30")</f>
        <v>11:00-12:30</v>
      </c>
      <c r="N3030" s="7"/>
    </row>
    <row r="3031">
      <c r="A3031" s="7" t="str">
        <f>IFERROR(__xludf.DUMMYFUNCTION("""COMPUTED_VALUE"""),"4089-MAIN")</f>
        <v>4089-MAIN</v>
      </c>
      <c r="B3031" s="7" t="str">
        <f>IFERROR(__xludf.DUMMYFUNCTION("""COMPUTED_VALUE"""),"Document-Level Text Generation with Minimum Bayes Risk Decoding using Optimal Transport")</f>
        <v>Document-Level Text Generation with Minimum Bayes Risk Decoding using Optimal Transport</v>
      </c>
      <c r="C3031" s="7" t="str">
        <f>IFERROR(__xludf.DUMMYFUNCTION("""COMPUTED_VALUE"""),"Document-level text generation tasks are known to be more difficult than sentence-level text generation tasks as they require an understanding of longer context to generate high-quality texts. In this paper, we investigate the adaptation of Minimum Bayes "&amp;"Risk (MBR) decoding for document-level text generation tasks. MBR decoding makes use of a utility function to estimate the output with the highest expected utility from a set of candidate outputs. Although MBR decoding is shown to be effective in a wide r"&amp;"ange of sentence-level text generation tasks, its performance on document-level text generation tasks is limited, as many of the utility functions are designed for evaluating the utility of sentences. To this end, we propose MBR-OT, a variant of MBR decod"&amp;"ing using Wasserstein distance to compute the utility of a document using a sentence-level utility function. The experimental result shows that the performance of MBR-OT outperforms that of the standard MBR in document-level machine translation, text simp"&amp;"lification, and dense image captioning tasks.")</f>
        <v>Document-level text generation tasks are known to be more difficult than sentence-level text generation tasks as they require an understanding of longer context to generate high-quality texts. In this paper, we investigate the adaptation of Minimum Bayes Risk (MBR) decoding for document-level text generation tasks. MBR decoding makes use of a utility function to estimate the output with the highest expected utility from a set of candidate outputs. Although MBR decoding is shown to be effective in a wide range of sentence-level text generation tasks, its performance on document-level text generation tasks is limited, as many of the utility functions are designed for evaluating the utility of sentences. To this end, we propose MBR-OT, a variant of MBR decoding using Wasserstein distance to compute the utility of a document using a sentence-level utility function. The experimental result shows that the performance of MBR-OT outperforms that of the standard MBR in document-level machine translation, text simplification, and dense image captioning tasks.</v>
      </c>
      <c r="D3031" s="7" t="str">
        <f>IFERROR(__xludf.DUMMYFUNCTION("""COMPUTED_VALUE"""),"Yuu Jinnai")</f>
        <v>Yuu Jinnai</v>
      </c>
      <c r="E3031" s="7" t="str">
        <f>IFERROR(__xludf.DUMMYFUNCTION("""COMPUTED_VALUE"""),"Yes")</f>
        <v>Yes</v>
      </c>
      <c r="F3031" s="7" t="str">
        <f>IFERROR(__xludf.DUMMYFUNCTION("""COMPUTED_VALUE"""),"IP-Poster")</f>
        <v>IP-Poster</v>
      </c>
      <c r="G3031" s="7" t="str">
        <f>IFERROR(__xludf.DUMMYFUNCTION("""COMPUTED_VALUE"""),"In-Person")</f>
        <v>In-Person</v>
      </c>
      <c r="H3031" s="7" t="str">
        <f>IFERROR(__xludf.DUMMYFUNCTION("""COMPUTED_VALUE"""),"Hall 4/5")</f>
        <v>Hall 4/5</v>
      </c>
      <c r="I3031" s="7" t="str">
        <f>IFERROR(__xludf.DUMMYFUNCTION("""COMPUTED_VALUE"""),"Session 10: IP-Posters")</f>
        <v>Session 10: IP-Posters</v>
      </c>
      <c r="J3031" s="7" t="str">
        <f>IFERROR(__xludf.DUMMYFUNCTION("""COMPUTED_VALUE"""),"Poster Session 3")</f>
        <v>Poster Session 3</v>
      </c>
      <c r="K3031" s="7"/>
      <c r="L3031" s="8">
        <f>IFERROR(__xludf.DUMMYFUNCTION("""COMPUTED_VALUE"""),45867.0)</f>
        <v>45867</v>
      </c>
      <c r="M3031" s="7" t="str">
        <f>IFERROR(__xludf.DUMMYFUNCTION("""COMPUTED_VALUE"""),"16:00-17:30")</f>
        <v>16:00-17:30</v>
      </c>
      <c r="N3031" s="7"/>
    </row>
    <row r="3032">
      <c r="A3032" s="7" t="str">
        <f>IFERROR(__xludf.DUMMYFUNCTION("""COMPUTED_VALUE"""),"4091-MAIN")</f>
        <v>4091-MAIN</v>
      </c>
      <c r="B3032" s="7" t="str">
        <f>IFERROR(__xludf.DUMMYFUNCTION("""COMPUTED_VALUE"""),"Opt-Out: Investigating Entity-Level Unlearning for Large Language Models via Optimal Transport")</f>
        <v>Opt-Out: Investigating Entity-Level Unlearning for Large Language Models via Optimal Transport</v>
      </c>
      <c r="C3032" s="7" t="str">
        <f>IFERROR(__xludf.DUMMYFUNCTION("""COMPUTED_VALUE"""),"Instruction-following large language models (LLMs), such as ChatGPT, have become widely popular among everyday users. However, these models inadvertently disclose private, sensitive information to their users, underscoring the need for machine unlearning "&amp;"techniques to remove selective information from the models. While prior work has focused on forgetting small, random subsets of training data at the instance-level, we argue that real-world scenarios often require the removal of an entire user data, which"&amp;" may require a more careful maneuver. In this study, we explore entity-level unlearning, which aims to erase all knowledge related to a target entity while preserving the remaining model capabilities. To address this, we introduce Opt-Out, an optimal tran"&amp;"sport-based unlearning method that utilizes the Wasserstein distance from the model's initial parameters to achieve more effective and fine-grained unlearning. We also present the first Entity-Level Unlearning Dataset (ELUDe) designed to evaluate entity-l"&amp;"evel unlearning. Our empirical results demonstrate that Opt-Out surpasses existing methods, establishing a new standard for secure and adaptable LLMs that can accommodate user data removal requests without the need for full retraining.")</f>
        <v>Instruction-following large language models (LLMs), such as ChatGPT, have become widely popular among everyday users. However, these models inadvertently disclose private, sensitive information to their users, underscoring the need for machine unlearning techniques to remove selective information from the models. While prior work has focused on forgetting small, random subsets of training data at the instance-level, we argue that real-world scenarios often require the removal of an entire user data, which may require a more careful maneuver. In this study, we explore entity-level unlearning, which aims to erase all knowledge related to a target entity while preserving the remaining model capabilities. To address this, we introduce Opt-Out, an optimal transport-based unlearning method that utilizes the Wasserstein distance from the model's initial parameters to achieve more effective and fine-grained unlearning. We also present the first Entity-Level Unlearning Dataset (ELUDe) designed to evaluate entity-level unlearning. Our empirical results demonstrate that Opt-Out surpasses existing methods, establishing a new standard for secure and adaptable LLMs that can accommodate user data removal requests without the need for full retraining.</v>
      </c>
      <c r="D3032" s="7" t="str">
        <f>IFERROR(__xludf.DUMMYFUNCTION("""COMPUTED_VALUE"""),"Minseok Choi")</f>
        <v>Minseok Choi</v>
      </c>
      <c r="E3032" s="7" t="str">
        <f>IFERROR(__xludf.DUMMYFUNCTION("""COMPUTED_VALUE"""),"Yes")</f>
        <v>Yes</v>
      </c>
      <c r="F3032" s="7" t="str">
        <f>IFERROR(__xludf.DUMMYFUNCTION("""COMPUTED_VALUE"""),"IP-Poster")</f>
        <v>IP-Poster</v>
      </c>
      <c r="G3032" s="7" t="str">
        <f>IFERROR(__xludf.DUMMYFUNCTION("""COMPUTED_VALUE"""),"In-Person")</f>
        <v>In-Person</v>
      </c>
      <c r="H3032" s="7" t="str">
        <f>IFERROR(__xludf.DUMMYFUNCTION("""COMPUTED_VALUE"""),"Hall 4/5")</f>
        <v>Hall 4/5</v>
      </c>
      <c r="I3032" s="7" t="str">
        <f>IFERROR(__xludf.DUMMYFUNCTION("""COMPUTED_VALUE"""),"Session 2: IP-Posters ")</f>
        <v>Session 2: IP-Posters </v>
      </c>
      <c r="J3032" s="7" t="str">
        <f>IFERROR(__xludf.DUMMYFUNCTION("""COMPUTED_VALUE"""),"Poster Session 1")</f>
        <v>Poster Session 1</v>
      </c>
      <c r="K3032" s="7"/>
      <c r="L3032" s="8">
        <f>IFERROR(__xludf.DUMMYFUNCTION("""COMPUTED_VALUE"""),45866.0)</f>
        <v>45866</v>
      </c>
      <c r="M3032" s="7" t="str">
        <f>IFERROR(__xludf.DUMMYFUNCTION("""COMPUTED_VALUE"""),"11:00-12:30")</f>
        <v>11:00-12:30</v>
      </c>
      <c r="N3032" s="7"/>
    </row>
    <row r="3033">
      <c r="A3033" s="7" t="str">
        <f>IFERROR(__xludf.DUMMYFUNCTION("""COMPUTED_VALUE"""),"4093-MAIN")</f>
        <v>4093-MAIN</v>
      </c>
      <c r="B3033" s="7" t="str">
        <f>IFERROR(__xludf.DUMMYFUNCTION("""COMPUTED_VALUE"""),"Mixture of Small and Large Models for Chinese Spelling Check")</f>
        <v>Mixture of Small and Large Models for Chinese Spelling Check</v>
      </c>
      <c r="C3033" s="7" t="str">
        <f>IFERROR(__xludf.DUMMYFUNCTION("""COMPUTED_VALUE"""),"In the era of large language models (LLMs), the Chinese Spelling Check (CSC) task has seen various LLM methods developed, yet their performance remains unsatisfactory. In contrast, fine-tuned BERT-based models, relying on high-quality in-domain data, show"&amp;" excellent performance but suffer from edit pattern overfitting. This paper proposes a novel dynamic mixture approach that effectively combines the probability distributions of small models and LLMs during the beam search decoding phase, achieving a balan"&amp;"ced enhancement of precise corrections from small models and the fluency of LLMs. This approach also eliminates the need for fine-tuning LLMs, saving significant time and resources, and facilitating domain adaptation. Comprehensive experiments demonstrate"&amp;" that our mixture approach significantly boosts error correction capabilities, achieving state-of-the-art results across multiple datasets. Our code is available at https://github.com/zhqiao-nlp/MSLLM.")</f>
        <v>In the era of large language models (LLMs), the Chinese Spelling Check (CSC) task has seen various LLM methods developed, yet their performance remains unsatisfactory. In contrast, fine-tuned BERT-based models, relying on high-quality in-domain data, show excellent performance but suffer from edit pattern overfitting. This paper proposes a novel dynamic mixture approach that effectively combines the probability distributions of small models and LLMs during the beam search decoding phase, achieving a balanced enhancement of precise corrections from small models and the fluency of LLMs. This approach also eliminates the need for fine-tuning LLMs, saving significant time and resources, and facilitating domain adaptation. Comprehensive experiments demonstrate that our mixture approach significantly boosts error correction capabilities, achieving state-of-the-art results across multiple datasets. Our code is available at https://github.com/zhqiao-nlp/MSLLM.</v>
      </c>
      <c r="D3033" s="7" t="str">
        <f>IFERROR(__xludf.DUMMYFUNCTION("""COMPUTED_VALUE"""),"Ziheng Qiao")</f>
        <v>Ziheng Qiao</v>
      </c>
      <c r="E3033" s="7" t="str">
        <f>IFERROR(__xludf.DUMMYFUNCTION("""COMPUTED_VALUE"""),"Yes")</f>
        <v>Yes</v>
      </c>
      <c r="F3033" s="7" t="str">
        <f>IFERROR(__xludf.DUMMYFUNCTION("""COMPUTED_VALUE"""),"IP-Poster")</f>
        <v>IP-Poster</v>
      </c>
      <c r="G3033" s="7" t="str">
        <f>IFERROR(__xludf.DUMMYFUNCTION("""COMPUTED_VALUE"""),"In-Person")</f>
        <v>In-Person</v>
      </c>
      <c r="H3033" s="7" t="str">
        <f>IFERROR(__xludf.DUMMYFUNCTION("""COMPUTED_VALUE"""),"Hall 4/5")</f>
        <v>Hall 4/5</v>
      </c>
      <c r="I3033" s="7" t="str">
        <f>IFERROR(__xludf.DUMMYFUNCTION("""COMPUTED_VALUE"""),"Session 12: IP-Posters")</f>
        <v>Session 12: IP-Posters</v>
      </c>
      <c r="J3033" s="7" t="str">
        <f>IFERROR(__xludf.DUMMYFUNCTION("""COMPUTED_VALUE"""),"Poster Session 4")</f>
        <v>Poster Session 4</v>
      </c>
      <c r="K3033" s="7"/>
      <c r="L3033" s="8">
        <f>IFERROR(__xludf.DUMMYFUNCTION("""COMPUTED_VALUE"""),45868.0)</f>
        <v>45868</v>
      </c>
      <c r="M3033" s="7" t="str">
        <f>IFERROR(__xludf.DUMMYFUNCTION("""COMPUTED_VALUE"""),"11:00-12:30")</f>
        <v>11:00-12:30</v>
      </c>
      <c r="N3033" s="7"/>
    </row>
    <row r="3034">
      <c r="A3034" s="7" t="str">
        <f>IFERROR(__xludf.DUMMYFUNCTION("""COMPUTED_VALUE"""),"4099-MAIN")</f>
        <v>4099-MAIN</v>
      </c>
      <c r="B3034" s="7" t="str">
        <f>IFERROR(__xludf.DUMMYFUNCTION("""COMPUTED_VALUE"""),"DISC: Plug-and-Play Decoding Intervention with Similarity of Characters for Chinese Spelling Check")</f>
        <v>DISC: Plug-and-Play Decoding Intervention with Similarity of Characters for Chinese Spelling Check</v>
      </c>
      <c r="C3034" s="7" t="str">
        <f>IFERROR(__xludf.DUMMYFUNCTION("""COMPUTED_VALUE"""),"One key characteristic of the Chinese spelling check (CSC) task is that incorrect characters are usually similar to the correct ones in either phonetics or glyph. To accommodate this, previous works usually leverage confusion sets, which suffer from two p"&amp;"roblems, i.e., difficulty in determining which character pairs to include and lack of probabilities to distinguish items in the set. In this paper, we propose a light-weight plug-and-play DISC (i.e., decoding intervention with similarity of characters) mo"&amp;"dule for CSC models. DISC measures phonetic and glyph similarities between characters and incorporates this similarity information only during the inference phase. This method can be easily integrated into various existing CSC models, such as ReaLiSe, SCO"&amp;"PE, and ReLM, without additional training costs. Experiments on three CSC benchmarks demonstrate that our proposed method significantly improves model performance, approaching and even surpassing the current state-of-the-art models.")</f>
        <v>One key characteristic of the Chinese spelling check (CSC) task is that incorrect characters are usually similar to the correct ones in either phonetics or glyph. To accommodate this, previous works usually leverage confusion sets, which suffer from two problems, i.e., difficulty in determining which character pairs to include and lack of probabilities to distinguish items in the set. In this paper, we propose a light-weight plug-and-play DISC (i.e., decoding intervention with similarity of characters) module for CSC models. DISC measures phonetic and glyph similarities between characters and incorporates this similarity information only during the inference phase. This method can be easily integrated into various existing CSC models, such as ReaLiSe, SCOPE, and ReLM, without additional training costs. Experiments on three CSC benchmarks demonstrate that our proposed method significantly improves model performance, approaching and even surpassing the current state-of-the-art models.</v>
      </c>
      <c r="D3034" s="7" t="str">
        <f>IFERROR(__xludf.DUMMYFUNCTION("""COMPUTED_VALUE"""),"Ziheng Qiao")</f>
        <v>Ziheng Qiao</v>
      </c>
      <c r="E3034" s="7" t="str">
        <f>IFERROR(__xludf.DUMMYFUNCTION("""COMPUTED_VALUE"""),"Yes")</f>
        <v>Yes</v>
      </c>
      <c r="F3034" s="7" t="str">
        <f>IFERROR(__xludf.DUMMYFUNCTION("""COMPUTED_VALUE"""),"IP-Poster")</f>
        <v>IP-Poster</v>
      </c>
      <c r="G3034" s="7" t="str">
        <f>IFERROR(__xludf.DUMMYFUNCTION("""COMPUTED_VALUE"""),"In-Person")</f>
        <v>In-Person</v>
      </c>
      <c r="H3034" s="7" t="str">
        <f>IFERROR(__xludf.DUMMYFUNCTION("""COMPUTED_VALUE"""),"Hall 4/5")</f>
        <v>Hall 4/5</v>
      </c>
      <c r="I3034" s="7" t="str">
        <f>IFERROR(__xludf.DUMMYFUNCTION("""COMPUTED_VALUE"""),"Session 2: IP-Posters ")</f>
        <v>Session 2: IP-Posters </v>
      </c>
      <c r="J3034" s="7" t="str">
        <f>IFERROR(__xludf.DUMMYFUNCTION("""COMPUTED_VALUE"""),"Poster Session 1")</f>
        <v>Poster Session 1</v>
      </c>
      <c r="K3034" s="7"/>
      <c r="L3034" s="8">
        <f>IFERROR(__xludf.DUMMYFUNCTION("""COMPUTED_VALUE"""),45866.0)</f>
        <v>45866</v>
      </c>
      <c r="M3034" s="7" t="str">
        <f>IFERROR(__xludf.DUMMYFUNCTION("""COMPUTED_VALUE"""),"11:00-12:30")</f>
        <v>11:00-12:30</v>
      </c>
      <c r="N3034" s="7"/>
    </row>
    <row r="3035">
      <c r="A3035" s="7" t="str">
        <f>IFERROR(__xludf.DUMMYFUNCTION("""COMPUTED_VALUE"""),"4101-MAIN")</f>
        <v>4101-MAIN</v>
      </c>
      <c r="B3035" s="7" t="str">
        <f>IFERROR(__xludf.DUMMYFUNCTION("""COMPUTED_VALUE"""),"Causal Estimation of Tokenisation Bias")</f>
        <v>Causal Estimation of Tokenisation Bias</v>
      </c>
      <c r="C3035" s="7" t="str">
        <f>IFERROR(__xludf.DUMMYFUNCTION("""COMPUTED_VALUE"""),"Modern language models are typically trained over subword sequences, but ultimately define probabilities over character-strings. Ideally, the choice of the tokeniser---which maps character-strings to subwords---should not affect the probability assigned t"&amp;"o the underlying character-string; in practice, it does. We define this mismatch as **tokenisation bias**. In this work, we quantify one particular type of tokenisation bias: the effect of including or not a subword (e.g., $\langle$ hello $\rangle$) in a "&amp;"tokeniser’s vocabulary on the probability a trained model assigns to the corresponding characters (i.e., ""hello''). Estimating this effect is challenging because each model is trained with only one tokeniser. We address this by framing tokenisation bias "&amp;"as a causal effect and estimating it using the regression discontinuity design. Specifically, we exploit the fact that tokenisation algorithms rank subwords and add the first $K$ to a tokeniser's vocabulary, where $K$ is an arbitrary cutoff point. As such"&amp;", we can estimate a causal effect by comparing similar subwords around this cutoff. Experimentally, we find that tokenisation consistently affects models' outputs across scales, vocabularies, and tokenisers. Notably, a subword's presence in a small model'"&amp;"s vocabulary may increase its characters' probability by up to 17 times, highlighting tokenisation as a key design choice in language modelling.")</f>
        <v>Modern language models are typically trained over subword sequences, but ultimately define probabilities over character-strings. Ideally, the choice of the tokeniser---which maps character-strings to subwords---should not affect the probability assigned to the underlying character-string; in practice, it does. We define this mismatch as **tokenisation bias**. In this work, we quantify one particular type of tokenisation bias: the effect of including or not a subword (e.g., $\langle$ hello $\rangle$) in a tokeniser’s vocabulary on the probability a trained model assigns to the corresponding characters (i.e., "hello''). Estimating this effect is challenging because each model is trained with only one tokeniser. We address this by framing tokenisation bias as a causal effect and estimating it using the regression discontinuity design. Specifically, we exploit the fact that tokenisation algorithms rank subwords and add the first $K$ to a tokeniser's vocabulary, where $K$ is an arbitrary cutoff point. As such, we can estimate a causal effect by comparing similar subwords around this cutoff. Experimentally, we find that tokenisation consistently affects models' outputs across scales, vocabularies, and tokenisers. Notably, a subword's presence in a small model's vocabulary may increase its characters' probability by up to 17 times, highlighting tokenisation as a key design choice in language modelling.</v>
      </c>
      <c r="D3035" s="7" t="str">
        <f>IFERROR(__xludf.DUMMYFUNCTION("""COMPUTED_VALUE"""),"Pietro Lesci")</f>
        <v>Pietro Lesci</v>
      </c>
      <c r="E3035" s="7" t="str">
        <f>IFERROR(__xludf.DUMMYFUNCTION("""COMPUTED_VALUE"""),"Yes")</f>
        <v>Yes</v>
      </c>
      <c r="F3035" s="7" t="str">
        <f>IFERROR(__xludf.DUMMYFUNCTION("""COMPUTED_VALUE"""),"IP-Poster")</f>
        <v>IP-Poster</v>
      </c>
      <c r="G3035" s="7" t="str">
        <f>IFERROR(__xludf.DUMMYFUNCTION("""COMPUTED_VALUE"""),"In-Person")</f>
        <v>In-Person</v>
      </c>
      <c r="H3035" s="7" t="str">
        <f>IFERROR(__xludf.DUMMYFUNCTION("""COMPUTED_VALUE"""),"Hall 4/5")</f>
        <v>Hall 4/5</v>
      </c>
      <c r="I3035" s="7" t="str">
        <f>IFERROR(__xludf.DUMMYFUNCTION("""COMPUTED_VALUE"""),"Session 12: IP-Posters")</f>
        <v>Session 12: IP-Posters</v>
      </c>
      <c r="J3035" s="7" t="str">
        <f>IFERROR(__xludf.DUMMYFUNCTION("""COMPUTED_VALUE"""),"Poster Session 4")</f>
        <v>Poster Session 4</v>
      </c>
      <c r="K3035" s="7"/>
      <c r="L3035" s="8">
        <f>IFERROR(__xludf.DUMMYFUNCTION("""COMPUTED_VALUE"""),45868.0)</f>
        <v>45868</v>
      </c>
      <c r="M3035" s="7" t="str">
        <f>IFERROR(__xludf.DUMMYFUNCTION("""COMPUTED_VALUE"""),"11:00-12:30")</f>
        <v>11:00-12:30</v>
      </c>
      <c r="N3035" s="7"/>
    </row>
    <row r="3036">
      <c r="A3036" s="7" t="str">
        <f>IFERROR(__xludf.DUMMYFUNCTION("""COMPUTED_VALUE"""),"4109-MAIN")</f>
        <v>4109-MAIN</v>
      </c>
      <c r="B3036" s="7" t="str">
        <f>IFERROR(__xludf.DUMMYFUNCTION("""COMPUTED_VALUE"""),"Value Residual Learning")</f>
        <v>Value Residual Learning</v>
      </c>
      <c r="C3036" s="7" t="str">
        <f>IFERROR(__xludf.DUMMYFUNCTION("""COMPUTED_VALUE"""),"While Transformer models have achieved remarkable success in various domains, the effectiveness of information propagation through deep networks remains a critical challenge. Standard hidden state residuals often fail to adequately preserve initial token-"&amp;"level information in deeper layers. This paper introduces ResFormer, a novel architecture that enhances information flow by incorporating value residual connections in addition to hidden state residuals. And a variant is SVFormer, where all layers share t"&amp;"he first layer's value embedding. Comprehensive empirical evidence demonstrates ResFormer achieves equivalent validation loss with 16.11\% fewer model parameters and 20.3\% less training data compared to Transformer, while maintaining similar memory usage"&amp;" and computational cost. Besides, SVFormer reduces KV cache size by nearly half with only a small performance penalty and can be integrated with other KV-efficient methods, yielding further reductions in KV cache, with performance influenced by sequence l"&amp;"ength and cumulative learning rate.")</f>
        <v>While Transformer models have achieved remarkable success in various domains, the effectiveness of information propagation through deep networks remains a critical challenge. Standard hidden state residuals often fail to adequately preserve initial token-level information in deeper layers. This paper introduces ResFormer, a novel architecture that enhances information flow by incorporating value residual connections in addition to hidden state residuals. And a variant is SVFormer, where all layers share the first layer's value embedding. Comprehensive empirical evidence demonstrates ResFormer achieves equivalent validation loss with 16.11\% fewer model parameters and 20.3\% less training data compared to Transformer, while maintaining similar memory usage and computational cost. Besides, SVFormer reduces KV cache size by nearly half with only a small performance penalty and can be integrated with other KV-efficient methods, yielding further reductions in KV cache, with performance influenced by sequence length and cumulative learning rate.</v>
      </c>
      <c r="D3036" s="7" t="str">
        <f>IFERROR(__xludf.DUMMYFUNCTION("""COMPUTED_VALUE"""),"Zhanchao Zhou")</f>
        <v>Zhanchao Zhou</v>
      </c>
      <c r="E3036" s="7" t="str">
        <f>IFERROR(__xludf.DUMMYFUNCTION("""COMPUTED_VALUE"""),"Yes")</f>
        <v>Yes</v>
      </c>
      <c r="F3036" s="7" t="str">
        <f>IFERROR(__xludf.DUMMYFUNCTION("""COMPUTED_VALUE"""),"V-Presentation")</f>
        <v>V-Presentation</v>
      </c>
      <c r="G3036" s="7" t="str">
        <f>IFERROR(__xludf.DUMMYFUNCTION("""COMPUTED_VALUE"""),"Virtual/Gather")</f>
        <v>Virtual/Gather</v>
      </c>
      <c r="H3036" s="7" t="str">
        <f>IFERROR(__xludf.DUMMYFUNCTION("""COMPUTED_VALUE"""),"Zoom")</f>
        <v>Zoom</v>
      </c>
      <c r="I3036" s="7" t="str">
        <f>IFERROR(__xludf.DUMMYFUNCTION("""COMPUTED_VALUE"""),"Session 10: V-Presenations")</f>
        <v>Session 10: V-Presenations</v>
      </c>
      <c r="J3036" s="7" t="str">
        <f>IFERROR(__xludf.DUMMYFUNCTION("""COMPUTED_VALUE"""),"Virtual Presentations 3")</f>
        <v>Virtual Presentations 3</v>
      </c>
      <c r="K3036" s="7"/>
      <c r="L3036" s="8">
        <f>IFERROR(__xludf.DUMMYFUNCTION("""COMPUTED_VALUE"""),45867.0)</f>
        <v>45867</v>
      </c>
      <c r="M3036" s="7" t="str">
        <f>IFERROR(__xludf.DUMMYFUNCTION("""COMPUTED_VALUE"""),"16:00-17:30")</f>
        <v>16:00-17:30</v>
      </c>
      <c r="N3036" s="7"/>
    </row>
    <row r="3037">
      <c r="A3037" s="7" t="str">
        <f>IFERROR(__xludf.DUMMYFUNCTION("""COMPUTED_VALUE"""),"4110-MAIN")</f>
        <v>4110-MAIN</v>
      </c>
      <c r="B3037" s="7" t="str">
        <f>IFERROR(__xludf.DUMMYFUNCTION("""COMPUTED_VALUE"""),"SGIC: A Self-Guided Iterative Calibration Framework for RAG")</f>
        <v>SGIC: A Self-Guided Iterative Calibration Framework for RAG</v>
      </c>
      <c r="C3037" s="7" t="str">
        <f>IFERROR(__xludf.DUMMYFUNCTION("""COMPUTED_VALUE"""),"Recent research in retrieval-augmented generation (RAG) has concentrated on retrieving useful information from candidate documents. However, numerous methodologies frequently neglect the calibration capabilities of large language models (LLMs), which capi"&amp;"talize on their robust in-context reasoning prowess. This work illustrates that providing LLMs with specific cues substantially improves their calibration efficacy, especially in multi-round calibrations. We present a new SGIC: Self-Guided Iterative Calib"&amp;"ration Framework that employs uncertainty scores as a tool. Initially, this framework calculates uncertainty scores to determine both the relevance of each document to the query and the confidence level in the responses produced by the LLMs. Subsequently,"&amp;" it reevaluates these scores iteratively, amalgamating them with prior responses to refine calibration. Furthermore, we introduce an innovative approach for constructing an iterative self-calibration training set, which optimizes LLMs to efficiently harne"&amp;"ss uncertainty scores for capturing critical information and enhancing response accuracy. Our proposed framework significantly improves performance on both closed-source and open-source LLMs.")</f>
        <v>Recent research in retrieval-augmented generation (RAG) has concentrated on retrieving useful information from candidate documents. However, numerous methodologies frequently neglect the calibration capabilities of large language models (LLMs), which capitalize on their robust in-context reasoning prowess. This work illustrates that providing LLMs with specific cues substantially improves their calibration efficacy, especially in multi-round calibrations. We present a new SGIC: Self-Guided Iterative Calibration Framework that employs uncertainty scores as a tool. Initially, this framework calculates uncertainty scores to determine both the relevance of each document to the query and the confidence level in the responses produced by the LLMs. Subsequently, it reevaluates these scores iteratively, amalgamating them with prior responses to refine calibration. Furthermore, we introduce an innovative approach for constructing an iterative self-calibration training set, which optimizes LLMs to efficiently harness uncertainty scores for capturing critical information and enhancing response accuracy. Our proposed framework significantly improves performance on both closed-source and open-source LLMs.</v>
      </c>
      <c r="D3037" s="7" t="str">
        <f>IFERROR(__xludf.DUMMYFUNCTION("""COMPUTED_VALUE"""),"GUANHUA CHEN")</f>
        <v>GUANHUA CHEN</v>
      </c>
      <c r="E3037" s="7" t="str">
        <f>IFERROR(__xludf.DUMMYFUNCTION("""COMPUTED_VALUE"""),"Yes")</f>
        <v>Yes</v>
      </c>
      <c r="F3037" s="7" t="str">
        <f>IFERROR(__xludf.DUMMYFUNCTION("""COMPUTED_VALUE"""),"IP-Poster")</f>
        <v>IP-Poster</v>
      </c>
      <c r="G3037" s="7" t="str">
        <f>IFERROR(__xludf.DUMMYFUNCTION("""COMPUTED_VALUE"""),"In-Person")</f>
        <v>In-Person</v>
      </c>
      <c r="H3037" s="7" t="str">
        <f>IFERROR(__xludf.DUMMYFUNCTION("""COMPUTED_VALUE"""),"Hall 4/5")</f>
        <v>Hall 4/5</v>
      </c>
      <c r="I3037" s="7" t="str">
        <f>IFERROR(__xludf.DUMMYFUNCTION("""COMPUTED_VALUE"""),"Session 12: IP-Posters")</f>
        <v>Session 12: IP-Posters</v>
      </c>
      <c r="J3037" s="7" t="str">
        <f>IFERROR(__xludf.DUMMYFUNCTION("""COMPUTED_VALUE"""),"Poster Session 4")</f>
        <v>Poster Session 4</v>
      </c>
      <c r="K3037" s="7"/>
      <c r="L3037" s="8">
        <f>IFERROR(__xludf.DUMMYFUNCTION("""COMPUTED_VALUE"""),45868.0)</f>
        <v>45868</v>
      </c>
      <c r="M3037" s="7" t="str">
        <f>IFERROR(__xludf.DUMMYFUNCTION("""COMPUTED_VALUE"""),"11:00-12:30")</f>
        <v>11:00-12:30</v>
      </c>
      <c r="N3037" s="7"/>
    </row>
    <row r="3038">
      <c r="A3038" s="7" t="str">
        <f>IFERROR(__xludf.DUMMYFUNCTION("""COMPUTED_VALUE"""),"4115-MAIN")</f>
        <v>4115-MAIN</v>
      </c>
      <c r="B3038" s="7" t="str">
        <f>IFERROR(__xludf.DUMMYFUNCTION("""COMPUTED_VALUE"""),"NusaAksara: A Multimodal and Multilingual Benchmark for Preserving Indonesian Indigenous Scripts")</f>
        <v>NusaAksara: A Multimodal and Multilingual Benchmark for Preserving Indonesian Indigenous Scripts</v>
      </c>
      <c r="C3038" s="7" t="str">
        <f>IFERROR(__xludf.DUMMYFUNCTION("""COMPUTED_VALUE"""),"Indonesia is rich in languages and scripts. However, most NLP progress has been made using romanized text. In this paper, we present NusaAksara, a novel public benchmark for Indonesian languages that includes their original scripts. Our benchmark covers b"&amp;"oth text and image modalities and encompasses diverse tasks such as image segmentation, OCR, transliteration, translation, and language identification. Our data is constructed by human experts through rigorous steps. NusaAksara covers 8 scripts across 7 l"&amp;"anguages, including low-resource languages not commonly seen in NLP benchmarks. Although unsupported by Unicode, the Lampung script is included in this dataset. We benchmark our data across several models, from LLMs and VLMs such as GPT-4o, Llama 3.2, and"&amp;" Aya 23 to task-specific systems such as PP-OCR and LangID, and show that most NLP technologies cannot handle Indonesia's local scripts, with many achieving near-zero performance.")</f>
        <v>Indonesia is rich in languages and scripts. However, most NLP progress has been made using romanized text. In this paper, we present NusaAksara, a novel public benchmark for Indonesian languages that includes their original scripts. Our benchmark covers both text and image modalities and encompasses diverse tasks such as image segmentation, OCR, transliteration, translation, and language identification. Our data is constructed by human experts through rigorous steps. NusaAksara covers 8 scripts across 7 languages, including low-resource languages not commonly seen in NLP benchmarks. Although unsupported by Unicode, the Lampung script is included in this dataset. We benchmark our data across several models, from LLMs and VLMs such as GPT-4o, Llama 3.2, and Aya 23 to task-specific systems such as PP-OCR and LangID, and show that most NLP technologies cannot handle Indonesia's local scripts, with many achieving near-zero performance.</v>
      </c>
      <c r="D3038" s="7" t="str">
        <f>IFERROR(__xludf.DUMMYFUNCTION("""COMPUTED_VALUE"""),"Muhammad Farid Adilazuarda")</f>
        <v>Muhammad Farid Adilazuarda</v>
      </c>
      <c r="E3038" s="7" t="str">
        <f>IFERROR(__xludf.DUMMYFUNCTION("""COMPUTED_VALUE"""),"Yes")</f>
        <v>Yes</v>
      </c>
      <c r="F3038" s="7" t="str">
        <f>IFERROR(__xludf.DUMMYFUNCTION("""COMPUTED_VALUE"""),"IP-Poster")</f>
        <v>IP-Poster</v>
      </c>
      <c r="G3038" s="7" t="str">
        <f>IFERROR(__xludf.DUMMYFUNCTION("""COMPUTED_VALUE"""),"In-Person")</f>
        <v>In-Person</v>
      </c>
      <c r="H3038" s="7" t="str">
        <f>IFERROR(__xludf.DUMMYFUNCTION("""COMPUTED_VALUE"""),"Hall 4/5")</f>
        <v>Hall 4/5</v>
      </c>
      <c r="I3038" s="7" t="str">
        <f>IFERROR(__xludf.DUMMYFUNCTION("""COMPUTED_VALUE"""),"Session 7: IP-Posters")</f>
        <v>Session 7: IP-Posters</v>
      </c>
      <c r="J3038" s="7" t="str">
        <f>IFERROR(__xludf.DUMMYFUNCTION("""COMPUTED_VALUE"""),"Poster Session 2")</f>
        <v>Poster Session 2</v>
      </c>
      <c r="K3038" s="7"/>
      <c r="L3038" s="8">
        <f>IFERROR(__xludf.DUMMYFUNCTION("""COMPUTED_VALUE"""),45867.0)</f>
        <v>45867</v>
      </c>
      <c r="M3038" s="7" t="str">
        <f>IFERROR(__xludf.DUMMYFUNCTION("""COMPUTED_VALUE"""),"10:30-12:00")</f>
        <v>10:30-12:00</v>
      </c>
      <c r="N3038" s="7"/>
    </row>
    <row r="3039">
      <c r="A3039" s="7" t="str">
        <f>IFERROR(__xludf.DUMMYFUNCTION("""COMPUTED_VALUE"""),"4116-MAIN")</f>
        <v>4116-MAIN</v>
      </c>
      <c r="B3039" s="7" t="str">
        <f>IFERROR(__xludf.DUMMYFUNCTION("""COMPUTED_VALUE"""),"LLM-based Rumor Detection via Influence Guided Sample Selection and Game-based Perspective Analysis")</f>
        <v>LLM-based Rumor Detection via Influence Guided Sample Selection and Game-based Perspective Analysis</v>
      </c>
      <c r="C3039" s="7" t="str">
        <f>IFERROR(__xludf.DUMMYFUNCTION("""COMPUTED_VALUE"""),"Rumor detection on social media has become an emerging topic. Traditional deep learning-based methods model rumors based on content, propagation structure, or user behavior, but these approaches are constrained by limited modeling capacity and insufficien"&amp;"t training corpora. Recent studies have explored using LLMs for rumor detection through supervised fine-tuning (SFT), but face two issues: 1) unreliable samples sometimes mislead the model learning; 2) the model only learns the most salient input-output m"&amp;"apping and skips in-depth analyses of the rumored content for convenience. To address these issues, we propose an SFT-based LLM rumor detection model with Influence guided Sample selection and Game-based multi-perspective Analysis (ISGA). Specifically, we"&amp;" first introduce the Influence Score (IS) to assess the impact of samples on model predictions and select samples for SFT. We also approximate IS via Taylor expansion to reduce computational complexity. Next, we use LLMs to generate in-depth analyses of n"&amp;"ews content from multiple perspectives and model their collaborative process for prediction as a cooperative game. Then we utilize the Shapley value to quantify the contribution of each perspective for selecting informative perspective analyses. Experimen"&amp;"ts show that ISGA excels existing SOTA on three datasets.")</f>
        <v>Rumor detection on social media has become an emerging topic. Traditional deep learning-based methods model rumors based on content, propagation structure, or user behavior, but these approaches are constrained by limited modeling capacity and insufficient training corpora. Recent studies have explored using LLMs for rumor detection through supervised fine-tuning (SFT), but face two issues: 1) unreliable samples sometimes mislead the model learning; 2) the model only learns the most salient input-output mapping and skips in-depth analyses of the rumored content for convenience. To address these issues, we propose an SFT-based LLM rumor detection model with Influence guided Sample selection and Game-based multi-perspective Analysis (ISGA). Specifically, we first introduce the Influence Score (IS) to assess the impact of samples on model predictions and select samples for SFT. We also approximate IS via Taylor expansion to reduce computational complexity. Next, we use LLMs to generate in-depth analyses of news content from multiple perspectives and model their collaborative process for prediction as a cooperative game. Then we utilize the Shapley value to quantify the contribution of each perspective for selecting informative perspective analyses. Experiments show that ISGA excels existing SOTA on three datasets.</v>
      </c>
      <c r="D3039" s="7" t="str">
        <f>IFERROR(__xludf.DUMMYFUNCTION("""COMPUTED_VALUE"""),"Jingyuan Huang")</f>
        <v>Jingyuan Huang</v>
      </c>
      <c r="E3039" s="7" t="str">
        <f>IFERROR(__xludf.DUMMYFUNCTION("""COMPUTED_VALUE"""),"Yes")</f>
        <v>Yes</v>
      </c>
      <c r="F3039" s="7" t="str">
        <f>IFERROR(__xludf.DUMMYFUNCTION("""COMPUTED_VALUE"""),"V-Presentation")</f>
        <v>V-Presentation</v>
      </c>
      <c r="G3039" s="7" t="str">
        <f>IFERROR(__xludf.DUMMYFUNCTION("""COMPUTED_VALUE"""),"Virtual/Gather")</f>
        <v>Virtual/Gather</v>
      </c>
      <c r="H3039" s="7" t="str">
        <f>IFERROR(__xludf.DUMMYFUNCTION("""COMPUTED_VALUE"""),"Zoom")</f>
        <v>Zoom</v>
      </c>
      <c r="I3039" s="7" t="str">
        <f>IFERROR(__xludf.DUMMYFUNCTION("""COMPUTED_VALUE"""),"Session 12: V-Presentations")</f>
        <v>Session 12: V-Presentations</v>
      </c>
      <c r="J3039" s="7" t="str">
        <f>IFERROR(__xludf.DUMMYFUNCTION("""COMPUTED_VALUE"""),"Virtual Presentations 4")</f>
        <v>Virtual Presentations 4</v>
      </c>
      <c r="K3039" s="7"/>
      <c r="L3039" s="8">
        <f>IFERROR(__xludf.DUMMYFUNCTION("""COMPUTED_VALUE"""),45868.0)</f>
        <v>45868</v>
      </c>
      <c r="M3039" s="7" t="str">
        <f>IFERROR(__xludf.DUMMYFUNCTION("""COMPUTED_VALUE"""),"11:00-12:30")</f>
        <v>11:00-12:30</v>
      </c>
      <c r="N3039" s="7"/>
    </row>
    <row r="3040">
      <c r="A3040" s="7" t="str">
        <f>IFERROR(__xludf.DUMMYFUNCTION("""COMPUTED_VALUE"""),"4118-MAIN")</f>
        <v>4118-MAIN</v>
      </c>
      <c r="B3040" s="7" t="str">
        <f>IFERROR(__xludf.DUMMYFUNCTION("""COMPUTED_VALUE"""),"Hierarchical-Task-Aware Multi-modal Mixture of Incremental LoRA Experts for Embodied Continual Learning")</f>
        <v>Hierarchical-Task-Aware Multi-modal Mixture of Incremental LoRA Experts for Embodied Continual Learning</v>
      </c>
      <c r="C3040" s="7" t="str">
        <f>IFERROR(__xludf.DUMMYFUNCTION("""COMPUTED_VALUE"""),"Previous continual learning setups for embodied intelligence focused on executing low-level actions based on human commands, neglecting the ability to learn high-level planning and multi-level knowledge. To address these issues, we propose the Hierarchica"&amp;"l Embodied Continual Learning Setups (HEC) that divide the agent's continual learning process into two layers: high-level instructions and low-level actions, and define five embodied continual learning sub-setups. Building on these setups, we introduce th"&amp;"e Task-aware $\textbf{M}$ixture $\textbf{o}$f $\textbf{I}$ncremental $\textbf{L}$oRA $\textbf{E}$xperts (Task-aware MoILE) method. This approach achieves task recognition by clustering visual-text embeddings and uses both a task-level router and a token-l"&amp;"evel router to select the appropriate LoRA experts. To effectively address the issue of catastrophic forgetting, we apply Singular Value Decomposition (SVD) to the LoRA parameters obtained from prior tasks, preserving key components while orthogonally tra"&amp;"ining the remaining parts. The experimental results show that our method stands out in reducing the forgetting of old tasks compared to other methods, effectively supporting agents in retaining prior knowledge while continuously learning new tasks.")</f>
        <v>Previous continual learning setups for embodied intelligence focused on executing low-level actions based on human commands, neglecting the ability to learn high-level planning and multi-level knowledge. To address these issues, we propose the Hierarchical Embodied Continual Learning Setups (HEC) that divide the agent's continual learning process into two layers: high-level instructions and low-level actions, and define five embodied continual learning sub-setups. Building on these setups, we introduce the Task-aware $\textbf{M}$ixture $\textbf{o}$f $\textbf{I}$ncremental $\textbf{L}$oRA $\textbf{E}$xperts (Task-aware MoILE) method. This approach achieves task recognition by clustering visual-text embeddings and uses both a task-level router and a token-level router to select the appropriate LoRA experts. To effectively address the issue of catastrophic forgetting, we apply Singular Value Decomposition (SVD) to the LoRA parameters obtained from prior tasks, preserving key components while orthogonally training the remaining parts. The experimental results show that our method stands out in reducing the forgetting of old tasks compared to other methods, effectively supporting agents in retaining prior knowledge while continuously learning new tasks.</v>
      </c>
      <c r="D3040" s="7" t="str">
        <f>IFERROR(__xludf.DUMMYFUNCTION("""COMPUTED_VALUE"""),"Ziqi Jia")</f>
        <v>Ziqi Jia</v>
      </c>
      <c r="E3040" s="7" t="str">
        <f>IFERROR(__xludf.DUMMYFUNCTION("""COMPUTED_VALUE"""),"Yes")</f>
        <v>Yes</v>
      </c>
      <c r="F3040" s="7" t="str">
        <f>IFERROR(__xludf.DUMMYFUNCTION("""COMPUTED_VALUE"""),"V-Presentation")</f>
        <v>V-Presentation</v>
      </c>
      <c r="G3040" s="7" t="str">
        <f>IFERROR(__xludf.DUMMYFUNCTION("""COMPUTED_VALUE"""),"Virtual/Gather")</f>
        <v>Virtual/Gather</v>
      </c>
      <c r="H3040" s="7" t="str">
        <f>IFERROR(__xludf.DUMMYFUNCTION("""COMPUTED_VALUE"""),"Zoom")</f>
        <v>Zoom</v>
      </c>
      <c r="I3040" s="7" t="str">
        <f>IFERROR(__xludf.DUMMYFUNCTION("""COMPUTED_VALUE"""),"Session 2: V-Presentations")</f>
        <v>Session 2: V-Presentations</v>
      </c>
      <c r="J3040" s="7" t="str">
        <f>IFERROR(__xludf.DUMMYFUNCTION("""COMPUTED_VALUE"""),"Virtual Presentations 1")</f>
        <v>Virtual Presentations 1</v>
      </c>
      <c r="K3040" s="7"/>
      <c r="L3040" s="8">
        <f>IFERROR(__xludf.DUMMYFUNCTION("""COMPUTED_VALUE"""),45866.0)</f>
        <v>45866</v>
      </c>
      <c r="M3040" s="7" t="str">
        <f>IFERROR(__xludf.DUMMYFUNCTION("""COMPUTED_VALUE"""),"11:00-12:30")</f>
        <v>11:00-12:30</v>
      </c>
      <c r="N3040" s="7"/>
    </row>
    <row r="3041">
      <c r="A3041" s="7" t="str">
        <f>IFERROR(__xludf.DUMMYFUNCTION("""COMPUTED_VALUE"""),"4120-MAIN")</f>
        <v>4120-MAIN</v>
      </c>
      <c r="B3041" s="7" t="str">
        <f>IFERROR(__xludf.DUMMYFUNCTION("""COMPUTED_VALUE"""),"SpindleKV: A Novel KV Cache Reduction Method Balancing Both Shallow and Deep Layers")</f>
        <v>SpindleKV: A Novel KV Cache Reduction Method Balancing Both Shallow and Deep Layers</v>
      </c>
      <c r="C3041" s="7" t="str">
        <f>IFERROR(__xludf.DUMMYFUNCTION("""COMPUTED_VALUE"""),"Large Language Models (LLMs) have achieved impressive accomplishments in recent years. However, the increasing memory consumption of KV cache has possessed a significant challenge to the inference system. Eviction methods have revealed the inherent redund"&amp;"ancy within the KV cache, demonstrating its potential for reduction, particularly in deeper layers. However, KV cache reduction for shallower layers has been found to be insufficient. Based on our observation that, the KV cache exhibits a high degree of s"&amp;"imilarity. Based on this observation, we proposed a novel KV cache reduction method, SpindleKV, which balances both shallow and deep layers. For deep layers, we employ an attention weight based eviction method, while for shallow layers, we apply a codeboo"&amp;"k based replacement approach which is learnt by similarity and merging policy. Moreover, SpindleKV addressed the Grouped-Query Attention (GQA) dilemma faced by other attention based eviction methods. Experiments on two common benchmarks with three differe"&amp;"nt LLMs shown that SpindleKV obtained better KV cache reduction effect compared to baseline methods, while preserving similar or even better model performance.")</f>
        <v>Large Language Models (LLMs) have achieved impressive accomplishments in recent years. However, the increasing memory consumption of KV cache has possessed a significant challenge to the inference system. Eviction methods have revealed the inherent redundancy within the KV cache, demonstrating its potential for reduction, particularly in deeper layers. However, KV cache reduction for shallower layers has been found to be insufficient. Based on our observation that, the KV cache exhibits a high degree of similarity. Based on this observation, we proposed a novel KV cache reduction method, SpindleKV, which balances both shallow and deep layers. For deep layers, we employ an attention weight based eviction method, while for shallow layers, we apply a codebook based replacement approach which is learnt by similarity and merging policy. Moreover, SpindleKV addressed the Grouped-Query Attention (GQA) dilemma faced by other attention based eviction methods. Experiments on two common benchmarks with three different LLMs shown that SpindleKV obtained better KV cache reduction effect compared to baseline methods, while preserving similar or even better model performance.</v>
      </c>
      <c r="D3041" s="7" t="str">
        <f>IFERROR(__xludf.DUMMYFUNCTION("""COMPUTED_VALUE"""),"Zicong Tang")</f>
        <v>Zicong Tang</v>
      </c>
      <c r="E3041" s="7" t="str">
        <f>IFERROR(__xludf.DUMMYFUNCTION("""COMPUTED_VALUE"""),"Yes")</f>
        <v>Yes</v>
      </c>
      <c r="F3041" s="7" t="str">
        <f>IFERROR(__xludf.DUMMYFUNCTION("""COMPUTED_VALUE"""),"IP-Poster")</f>
        <v>IP-Poster</v>
      </c>
      <c r="G3041" s="7" t="str">
        <f>IFERROR(__xludf.DUMMYFUNCTION("""COMPUTED_VALUE"""),"In-Person")</f>
        <v>In-Person</v>
      </c>
      <c r="H3041" s="7" t="str">
        <f>IFERROR(__xludf.DUMMYFUNCTION("""COMPUTED_VALUE"""),"Hall 4/5")</f>
        <v>Hall 4/5</v>
      </c>
      <c r="I3041" s="7" t="str">
        <f>IFERROR(__xludf.DUMMYFUNCTION("""COMPUTED_VALUE"""),"Session 2: IP-Posters ")</f>
        <v>Session 2: IP-Posters </v>
      </c>
      <c r="J3041" s="7" t="str">
        <f>IFERROR(__xludf.DUMMYFUNCTION("""COMPUTED_VALUE"""),"Poster Session 1")</f>
        <v>Poster Session 1</v>
      </c>
      <c r="K3041" s="7"/>
      <c r="L3041" s="8">
        <f>IFERROR(__xludf.DUMMYFUNCTION("""COMPUTED_VALUE"""),45866.0)</f>
        <v>45866</v>
      </c>
      <c r="M3041" s="7" t="str">
        <f>IFERROR(__xludf.DUMMYFUNCTION("""COMPUTED_VALUE"""),"11:00-12:30")</f>
        <v>11:00-12:30</v>
      </c>
      <c r="N3041" s="7"/>
    </row>
    <row r="3042">
      <c r="A3042" s="7" t="str">
        <f>IFERROR(__xludf.DUMMYFUNCTION("""COMPUTED_VALUE"""),"4121-MAIN")</f>
        <v>4121-MAIN</v>
      </c>
      <c r="B3042" s="7" t="str">
        <f>IFERROR(__xludf.DUMMYFUNCTION("""COMPUTED_VALUE"""),"Medical Graph RAG: Evidence-based Medical Large Language Model via Graph Retrieval-Augmented Generation")</f>
        <v>Medical Graph RAG: Evidence-based Medical Large Language Model via Graph Retrieval-Augmented Generation</v>
      </c>
      <c r="C3042" s="7" t="str">
        <f>IFERROR(__xludf.DUMMYFUNCTION("""COMPUTED_VALUE"""),"We introduce MedGraphRAG, a novel graph-based Retrieval-Augmented Generation (RAG) framework designed to enhance LLMs in generating evidence-based medical responses, improving safety and reliability with private medical data. We introduce Triple Graph Con"&amp;"struction and U-Retrieval to enhance GraphRAG, enabling holistic insights and evidence-based response generation for medical applications. Specifically, we connect user documents to credible medical sources and integrate Top-down Precise Retrieval with Bo"&amp;"ttom-up Response Refinement for balanced context awareness and precise indexing. Validated on 9 medical Q&amp;A benchmarks, 2 health fact-checking datasets, and a long-form generation test set, MedGraphRAG outperforms state-of-the-art models while ensuring cr"&amp;"edible sourcing. Our code is publicly available.")</f>
        <v>We introduce MedGraphRAG, a novel graph-based Retrieval-Augmented Generation (RAG) framework designed to enhance LLMs in generating evidence-based medical responses, improving safety and reliability with private medical data. We introduce Triple Graph Construction and U-Retrieval to enhance GraphRAG, enabling holistic insights and evidence-based response generation for medical applications. Specifically, we connect user documents to credible medical sources and integrate Top-down Precise Retrieval with Bottom-up Response Refinement for balanced context awareness and precise indexing. Validated on 9 medical Q&amp;A benchmarks, 2 health fact-checking datasets, and a long-form generation test set, MedGraphRAG outperforms state-of-the-art models while ensuring credible sourcing. Our code is publicly available.</v>
      </c>
      <c r="D3042" s="7" t="str">
        <f>IFERROR(__xludf.DUMMYFUNCTION("""COMPUTED_VALUE"""),"Junde Wu")</f>
        <v>Junde Wu</v>
      </c>
      <c r="E3042" s="7" t="str">
        <f>IFERROR(__xludf.DUMMYFUNCTION("""COMPUTED_VALUE"""),"Yes")</f>
        <v>Yes</v>
      </c>
      <c r="F3042" s="7" t="str">
        <f>IFERROR(__xludf.DUMMYFUNCTION("""COMPUTED_VALUE"""),"IP-Poster")</f>
        <v>IP-Poster</v>
      </c>
      <c r="G3042" s="7" t="str">
        <f>IFERROR(__xludf.DUMMYFUNCTION("""COMPUTED_VALUE"""),"In-Person")</f>
        <v>In-Person</v>
      </c>
      <c r="H3042" s="7" t="str">
        <f>IFERROR(__xludf.DUMMYFUNCTION("""COMPUTED_VALUE"""),"Hall 4/5")</f>
        <v>Hall 4/5</v>
      </c>
      <c r="I3042" s="7" t="str">
        <f>IFERROR(__xludf.DUMMYFUNCTION("""COMPUTED_VALUE"""),"Session 12: IP-Posters")</f>
        <v>Session 12: IP-Posters</v>
      </c>
      <c r="J3042" s="7" t="str">
        <f>IFERROR(__xludf.DUMMYFUNCTION("""COMPUTED_VALUE"""),"Poster Session 4")</f>
        <v>Poster Session 4</v>
      </c>
      <c r="K3042" s="7"/>
      <c r="L3042" s="8">
        <f>IFERROR(__xludf.DUMMYFUNCTION("""COMPUTED_VALUE"""),45868.0)</f>
        <v>45868</v>
      </c>
      <c r="M3042" s="7" t="str">
        <f>IFERROR(__xludf.DUMMYFUNCTION("""COMPUTED_VALUE"""),"11:00-12:30")</f>
        <v>11:00-12:30</v>
      </c>
      <c r="N3042" s="7"/>
    </row>
    <row r="3043">
      <c r="A3043" s="7" t="str">
        <f>IFERROR(__xludf.DUMMYFUNCTION("""COMPUTED_VALUE"""),"4124-MAIN")</f>
        <v>4124-MAIN</v>
      </c>
      <c r="B3043" s="7" t="str">
        <f>IFERROR(__xludf.DUMMYFUNCTION("""COMPUTED_VALUE"""),"Unifying Uniform and Binary-coding Quantization for Accurate Compression of Large Language Models")</f>
        <v>Unifying Uniform and Binary-coding Quantization for Accurate Compression of Large Language Models</v>
      </c>
      <c r="C3043" s="7" t="str">
        <f>IFERROR(__xludf.DUMMYFUNCTION("""COMPUTED_VALUE"""),"How can we quantize large language models while preserving accuracy? Quantization is essential for deploying large language models (LLMs) efficiently. Binary-coding quantization (BCQ) and uniform quantization (UQ) are promising quantization schemes that h"&amp;"ave strong expressiveness and optimizability, respectively. However, neither scheme leverages both advantages. In this paper, we propose UniQuan$_F$ (Unified Quantization with Flexible Mapping), an accurate quantization method for LLMs. UniQuan$_F$ harnes"&amp;"ses both strong expressiveness and optimizability by unifying the flexible mapping technique in UQ and BCQ’s non-uniform quantization levels. We propose unified initialization, and local and periodic mapping techniques to optimize the parameters in UniQua"&amp;"n$_F$ precisely. After optimization, our unification theorem removes computational and memory overhead, allowing us to utilize the superior accuracy of UniQuan$_F$ without extra deployment costs induced by the unification. Experimental results demonstrate"&amp;" that UniQuan$_F$ outperforms existing UQ and BCQ methods, achieving up to 4.60% higher accuracy on GSM8K benchmark.")</f>
        <v>How can we quantize large language models while preserving accuracy? Quantization is essential for deploying large language models (LLMs) efficiently. Binary-coding quantization (BCQ) and uniform quantization (UQ) are promising quantization schemes that have strong expressiveness and optimizability, respectively. However, neither scheme leverages both advantages. In this paper, we propose UniQuan$_F$ (Unified Quantization with Flexible Mapping), an accurate quantization method for LLMs. UniQuan$_F$ harnesses both strong expressiveness and optimizability by unifying the flexible mapping technique in UQ and BCQ’s non-uniform quantization levels. We propose unified initialization, and local and periodic mapping techniques to optimize the parameters in UniQuan$_F$ precisely. After optimization, our unification theorem removes computational and memory overhead, allowing us to utilize the superior accuracy of UniQuan$_F$ without extra deployment costs induced by the unification. Experimental results demonstrate that UniQuan$_F$ outperforms existing UQ and BCQ methods, achieving up to 4.60% higher accuracy on GSM8K benchmark.</v>
      </c>
      <c r="D3043" s="7" t="str">
        <f>IFERROR(__xludf.DUMMYFUNCTION("""COMPUTED_VALUE"""),"Seungcheol Park")</f>
        <v>Seungcheol Park</v>
      </c>
      <c r="E3043" s="7" t="str">
        <f>IFERROR(__xludf.DUMMYFUNCTION("""COMPUTED_VALUE"""),"Yes")</f>
        <v>Yes</v>
      </c>
      <c r="F3043" s="7" t="str">
        <f>IFERROR(__xludf.DUMMYFUNCTION("""COMPUTED_VALUE"""),"IP-Poster")</f>
        <v>IP-Poster</v>
      </c>
      <c r="G3043" s="7" t="str">
        <f>IFERROR(__xludf.DUMMYFUNCTION("""COMPUTED_VALUE"""),"In-Person")</f>
        <v>In-Person</v>
      </c>
      <c r="H3043" s="7" t="str">
        <f>IFERROR(__xludf.DUMMYFUNCTION("""COMPUTED_VALUE"""),"Hall 4/5")</f>
        <v>Hall 4/5</v>
      </c>
      <c r="I3043" s="7" t="str">
        <f>IFERROR(__xludf.DUMMYFUNCTION("""COMPUTED_VALUE"""),"Session 2: IP-Posters ")</f>
        <v>Session 2: IP-Posters </v>
      </c>
      <c r="J3043" s="7" t="str">
        <f>IFERROR(__xludf.DUMMYFUNCTION("""COMPUTED_VALUE"""),"Poster Session 1")</f>
        <v>Poster Session 1</v>
      </c>
      <c r="K3043" s="7"/>
      <c r="L3043" s="8">
        <f>IFERROR(__xludf.DUMMYFUNCTION("""COMPUTED_VALUE"""),45866.0)</f>
        <v>45866</v>
      </c>
      <c r="M3043" s="7" t="str">
        <f>IFERROR(__xludf.DUMMYFUNCTION("""COMPUTED_VALUE"""),"11:00-12:30")</f>
        <v>11:00-12:30</v>
      </c>
      <c r="N3043" s="7"/>
    </row>
    <row r="3044">
      <c r="A3044" s="7" t="str">
        <f>IFERROR(__xludf.DUMMYFUNCTION("""COMPUTED_VALUE"""),"4126-MAIN")</f>
        <v>4126-MAIN</v>
      </c>
      <c r="B3044" s="7" t="str">
        <f>IFERROR(__xludf.DUMMYFUNCTION("""COMPUTED_VALUE"""),"Agentic Reasoning: A Streamlined Framework for Enhancing LLM Reasoning with Agentic Tools")</f>
        <v>Agentic Reasoning: A Streamlined Framework for Enhancing LLM Reasoning with Agentic Tools</v>
      </c>
      <c r="C3044" s="7" t="str">
        <f>IFERROR(__xludf.DUMMYFUNCTION("""COMPUTED_VALUE"""),"We introduce Agentic Reasoning, a framework that enhances large language model (LLM) reasoning by integrating external tool-using agents. Agentic Reasoning dynamically leverages web search, code execution, and structured memory to address complex problems"&amp;" requiring deep research. A key innovation in our framework is the Mind-Map agent, which constructs a structured knowledge graph to store reasoning context and track logical relationships, ensuring coherence in long reasoning chains with extensive tool us"&amp;"age. Additionally, we conduct a comprehensive exploration of the Web-Search agent, leading to a highly effective search mechanism that surpasses all prior approaches. When deployed on DeepSeek-R1, our method achieves a new state-of-the-art (SOTA) among pu"&amp;"blic models and delivers performance comparable to OpenAI Deep Research, the leading proprietary model in this domain. Extensive ablation studies validate the optimal selection of agentic tools and confirm the effectiveness of our Mind-Map and Web-Search "&amp;"agents in enhancing LLM reasoning. Our code and data are publicly available.")</f>
        <v>We introduce Agentic Reasoning, a framework that enhances large language model (LLM) reasoning by integrating external tool-using agents. Agentic Reasoning dynamically leverages web search, code execution, and structured memory to address complex problems requiring deep research. A key innovation in our framework is the Mind-Map agent, which constructs a structured knowledge graph to store reasoning context and track logical relationships, ensuring coherence in long reasoning chains with extensive tool usage. Additionally, we conduct a comprehensive exploration of the Web-Search agent, leading to a highly effective search mechanism that surpasses all prior approaches. When deployed on DeepSeek-R1, our method achieves a new state-of-the-art (SOTA) among public models and delivers performance comparable to OpenAI Deep Research, the leading proprietary model in this domain. Extensive ablation studies validate the optimal selection of agentic tools and confirm the effectiveness of our Mind-Map and Web-Search agents in enhancing LLM reasoning. Our code and data are publicly available.</v>
      </c>
      <c r="D3044" s="7" t="str">
        <f>IFERROR(__xludf.DUMMYFUNCTION("""COMPUTED_VALUE"""),"Junde Wu")</f>
        <v>Junde Wu</v>
      </c>
      <c r="E3044" s="7" t="str">
        <f>IFERROR(__xludf.DUMMYFUNCTION("""COMPUTED_VALUE"""),"Yes")</f>
        <v>Yes</v>
      </c>
      <c r="F3044" s="7" t="str">
        <f>IFERROR(__xludf.DUMMYFUNCTION("""COMPUTED_VALUE"""),"IP-Poster")</f>
        <v>IP-Poster</v>
      </c>
      <c r="G3044" s="7" t="str">
        <f>IFERROR(__xludf.DUMMYFUNCTION("""COMPUTED_VALUE"""),"In-Person")</f>
        <v>In-Person</v>
      </c>
      <c r="H3044" s="7" t="str">
        <f>IFERROR(__xludf.DUMMYFUNCTION("""COMPUTED_VALUE"""),"Hall 4/5")</f>
        <v>Hall 4/5</v>
      </c>
      <c r="I3044" s="7" t="str">
        <f>IFERROR(__xludf.DUMMYFUNCTION("""COMPUTED_VALUE"""),"Session 12: IP-Posters")</f>
        <v>Session 12: IP-Posters</v>
      </c>
      <c r="J3044" s="7" t="str">
        <f>IFERROR(__xludf.DUMMYFUNCTION("""COMPUTED_VALUE"""),"Poster Session 4")</f>
        <v>Poster Session 4</v>
      </c>
      <c r="K3044" s="7"/>
      <c r="L3044" s="8">
        <f>IFERROR(__xludf.DUMMYFUNCTION("""COMPUTED_VALUE"""),45868.0)</f>
        <v>45868</v>
      </c>
      <c r="M3044" s="7" t="str">
        <f>IFERROR(__xludf.DUMMYFUNCTION("""COMPUTED_VALUE"""),"11:00-12:30")</f>
        <v>11:00-12:30</v>
      </c>
      <c r="N3044" s="7"/>
    </row>
    <row r="3045">
      <c r="A3045" s="7" t="str">
        <f>IFERROR(__xludf.DUMMYFUNCTION("""COMPUTED_VALUE"""),"4140-MAIN")</f>
        <v>4140-MAIN</v>
      </c>
      <c r="B3045" s="7" t="str">
        <f>IFERROR(__xludf.DUMMYFUNCTION("""COMPUTED_VALUE"""),"Probing Relative Interaction and Dynamic Calibration in Multi-modal Entity Alignment")</f>
        <v>Probing Relative Interaction and Dynamic Calibration in Multi-modal Entity Alignment</v>
      </c>
      <c r="C3045" s="7" t="str">
        <f>IFERROR(__xludf.DUMMYFUNCTION("""COMPUTED_VALUE"""),"Multi-modal entity alignment aims to identify equivalent entities between two different multi-modal knowledge graphs. Current methods have made significant progress by improving embedding and cross-modal fusion. However, most of them depend on using loss "&amp;"functions to capture the relationship between modalities or adopt a one-time strategy to directly compute modality weights using attention mechanisms, which overlooks the relative interactions between modalities at the entity level and the accuracy of mod"&amp;"ality weights, thereby hindering the generalization to diverse entities. To address this challenge, we propose RICEA, a relative interaction and calibration framework for multi-modal entity alignment, which dynamically computes weights based on the relati"&amp;"ve interaction and recalibrates the weights according to their uncertainties. Among these, we propose a novel method called ADC that utilizes attention mechanisms to perceive the uncertainty of the weight for each modality, rather than directly calculatin"&amp;"g the weight of each modality as in previous works. Across 5 datasets and 23 settings, our proposed framework significantly outperforms other baselines. Our code and data are available at https://github.com/ChenxiaoLi-Joe/RICEA.")</f>
        <v>Multi-modal entity alignment aims to identify equivalent entities between two different multi-modal knowledge graphs. Current methods have made significant progress by improving embedding and cross-modal fusion. However, most of them depend on using loss functions to capture the relationship between modalities or adopt a one-time strategy to directly compute modality weights using attention mechanisms, which overlooks the relative interactions between modalities at the entity level and the accuracy of modality weights, thereby hindering the generalization to diverse entities. To address this challenge, we propose RICEA, a relative interaction and calibration framework for multi-modal entity alignment, which dynamically computes weights based on the relative interaction and recalibrates the weights according to their uncertainties. Among these, we propose a novel method called ADC that utilizes attention mechanisms to perceive the uncertainty of the weight for each modality, rather than directly calculating the weight of each modality as in previous works. Across 5 datasets and 23 settings, our proposed framework significantly outperforms other baselines. Our code and data are available at https://github.com/ChenxiaoLi-Joe/RICEA.</v>
      </c>
      <c r="D3045" s="7" t="str">
        <f>IFERROR(__xludf.DUMMYFUNCTION("""COMPUTED_VALUE"""),"Chenxiao Li")</f>
        <v>Chenxiao Li</v>
      </c>
      <c r="E3045" s="7" t="str">
        <f>IFERROR(__xludf.DUMMYFUNCTION("""COMPUTED_VALUE"""),"Yes")</f>
        <v>Yes</v>
      </c>
      <c r="F3045" s="7" t="str">
        <f>IFERROR(__xludf.DUMMYFUNCTION("""COMPUTED_VALUE"""),"V-Presentation")</f>
        <v>V-Presentation</v>
      </c>
      <c r="G3045" s="7" t="str">
        <f>IFERROR(__xludf.DUMMYFUNCTION("""COMPUTED_VALUE"""),"Virtual/Gather")</f>
        <v>Virtual/Gather</v>
      </c>
      <c r="H3045" s="7" t="str">
        <f>IFERROR(__xludf.DUMMYFUNCTION("""COMPUTED_VALUE"""),"Zoom")</f>
        <v>Zoom</v>
      </c>
      <c r="I3045" s="7" t="str">
        <f>IFERROR(__xludf.DUMMYFUNCTION("""COMPUTED_VALUE"""),"Session 7: V--Presentations ")</f>
        <v>Session 7: V--Presentations </v>
      </c>
      <c r="J3045" s="7" t="str">
        <f>IFERROR(__xludf.DUMMYFUNCTION("""COMPUTED_VALUE"""),"Virtual Presentations 2")</f>
        <v>Virtual Presentations 2</v>
      </c>
      <c r="K3045" s="7"/>
      <c r="L3045" s="8"/>
      <c r="M3045" s="7" t="str">
        <f>IFERROR(__xludf.DUMMYFUNCTION("""COMPUTED_VALUE"""),"10:30-12:00")</f>
        <v>10:30-12:00</v>
      </c>
      <c r="N3045" s="7"/>
    </row>
    <row r="3046">
      <c r="A3046" s="7" t="str">
        <f>IFERROR(__xludf.DUMMYFUNCTION("""COMPUTED_VALUE"""),"4148-MAIN")</f>
        <v>4148-MAIN</v>
      </c>
      <c r="B3046" s="7" t="str">
        <f>IFERROR(__xludf.DUMMYFUNCTION("""COMPUTED_VALUE"""),"Learn to Memorize: Scalable Continual Learning in Semiparametric Language Models with Mixture-of-Neighbors Induction Memory")</f>
        <v>Learn to Memorize: Scalable Continual Learning in Semiparametric Language Models with Mixture-of-Neighbors Induction Memory</v>
      </c>
      <c r="C3046" s="7" t="str">
        <f>IFERROR(__xludf.DUMMYFUNCTION("""COMPUTED_VALUE"""),"Semiparametric language models (LMs) have shown promise in various Natural Language Processing (NLP) tasks. However, they utilize non-parametric memory as static storage, which lacks learning capability and remains disconnected from the internal informati"&amp;"on flow of the parametric models, limiting scalability and efficiency. Based on recent interpretability theories of LMs, we reconceptualize the non-parametric memory represented by $k$NN-LM as a learnable Mixture-of-Neighbors Induction Memory (MoNIM), whi"&amp;"ch synergizes the induction capabilities of attention heads with the memorization strength of feed-forward networks (FFN). By integrating into the model's information flow, MoNIM functions as an FFN-like bypass layer within the Transformer architecture, e"&amp;"nabling effective learning of new knowledge. Extensive experiments demonstrate that MoNIM is a retentive and scalable continual learner in both data- and model-wise, enhancing the scalability and continual learning performance of semiparametric LMs.\footn"&amp;"ote{Code is publicly available at \url{https://github.com/viniferagy/MoNIM}.}")</f>
        <v>Semiparametric language models (LMs) have shown promise in various Natural Language Processing (NLP) tasks. However, they utilize non-parametric memory as static storage, which lacks learning capability and remains disconnected from the internal information flow of the parametric models, limiting scalability and efficiency. Based on recent interpretability theories of LMs, we reconceptualize the non-parametric memory represented by $k$NN-LM as a learnable Mixture-of-Neighbors Induction Memory (MoNIM), which synergizes the induction capabilities of attention heads with the memorization strength of feed-forward networks (FFN). By integrating into the model's information flow, MoNIM functions as an FFN-like bypass layer within the Transformer architecture, enabling effective learning of new knowledge. Extensive experiments demonstrate that MoNIM is a retentive and scalable continual learner in both data- and model-wise, enhancing the scalability and continual learning performance of semiparametric LMs.\footnote{Code is publicly available at \url{https://github.com/viniferagy/MoNIM}.}</v>
      </c>
      <c r="D3046" s="7" t="str">
        <f>IFERROR(__xludf.DUMMYFUNCTION("""COMPUTED_VALUE"""),"Guangyue Peng")</f>
        <v>Guangyue Peng</v>
      </c>
      <c r="E3046" s="7" t="str">
        <f>IFERROR(__xludf.DUMMYFUNCTION("""COMPUTED_VALUE"""),"Yes")</f>
        <v>Yes</v>
      </c>
      <c r="F3046" s="7" t="str">
        <f>IFERROR(__xludf.DUMMYFUNCTION("""COMPUTED_VALUE"""),"IP-Poster")</f>
        <v>IP-Poster</v>
      </c>
      <c r="G3046" s="7" t="str">
        <f>IFERROR(__xludf.DUMMYFUNCTION("""COMPUTED_VALUE"""),"In-Person")</f>
        <v>In-Person</v>
      </c>
      <c r="H3046" s="7" t="str">
        <f>IFERROR(__xludf.DUMMYFUNCTION("""COMPUTED_VALUE"""),"Hall 4/5")</f>
        <v>Hall 4/5</v>
      </c>
      <c r="I3046" s="7" t="str">
        <f>IFERROR(__xludf.DUMMYFUNCTION("""COMPUTED_VALUE"""),"Session 7: IP-Posters")</f>
        <v>Session 7: IP-Posters</v>
      </c>
      <c r="J3046" s="7" t="str">
        <f>IFERROR(__xludf.DUMMYFUNCTION("""COMPUTED_VALUE"""),"Poster Session 2")</f>
        <v>Poster Session 2</v>
      </c>
      <c r="K3046" s="7"/>
      <c r="L3046" s="8">
        <f>IFERROR(__xludf.DUMMYFUNCTION("""COMPUTED_VALUE"""),45867.0)</f>
        <v>45867</v>
      </c>
      <c r="M3046" s="7" t="str">
        <f>IFERROR(__xludf.DUMMYFUNCTION("""COMPUTED_VALUE"""),"10:30-12:00")</f>
        <v>10:30-12:00</v>
      </c>
      <c r="N3046" s="7"/>
    </row>
    <row r="3047">
      <c r="A3047" s="7" t="str">
        <f>IFERROR(__xludf.DUMMYFUNCTION("""COMPUTED_VALUE"""),"4149-MAIN")</f>
        <v>4149-MAIN</v>
      </c>
      <c r="B3047" s="7" t="str">
        <f>IFERROR(__xludf.DUMMYFUNCTION("""COMPUTED_VALUE"""),"Adverse Event Extraction from Discharge Summaries: A New Dataset, Annotation Scheme, and Initial Findings")</f>
        <v>Adverse Event Extraction from Discharge Summaries: A New Dataset, Annotation Scheme, and Initial Findings</v>
      </c>
      <c r="C3047" s="7" t="str">
        <f>IFERROR(__xludf.DUMMYFUNCTION("""COMPUTED_VALUE"""),"In this work, we present a manually annotated corpus for Adverse Event (AE) extraction from discharge summaries of elderly patients, a population often underrepresented in clinical NLP resources. The dataset includes 14 clinically significant AEs—such as "&amp;"falls, delirium, and intracranial haemorrhage, along with contextual attributes like negation, diagnosis type, and in-hospital occurrence. Uniquely, the annotation schema supports both discontinuous and overlapping entities, addressing challenges rarely t"&amp;"ackled in prior work. We evaluate multiple models using FlairNLP across three annotation granularities: fine-grained, coarse-grained, and coarse-grained with negation. While transformer-based models (e.g., BERT-cased) achieve strong performance on documen"&amp;"t-level coarse-grained extraction (F1 = 0.943), performance drops notably for fine-grained entity-level tasks (e.g., F1 = 0.675), particularly for rare events and complex attributes. These results demonstrate that despite high-level scores, significant ch"&amp;"allenges remain in detecting underrepresented AEs and capturing nuanced clinical language. Developed within a Trusted Research Environment (TRE), the dataset is available upon request via DataLoch and serves as a robust benchmark for evaluating AE extract"&amp;"ion methods and supporting future cross-dataset generalisation.")</f>
        <v>In this work, we present a manually annotated corpus for Adverse Event (AE) extraction from discharge summaries of elderly patients, a population often underrepresented in clinical NLP resources. The dataset includes 14 clinically significant AEs—such as falls, delirium, and intracranial haemorrhage, along with contextual attributes like negation, diagnosis type, and in-hospital occurrence. Uniquely, the annotation schema supports both discontinuous and overlapping entities, addressing challenges rarely tackled in prior work. We evaluate multiple models using FlairNLP across three annotation granularities: fine-grained, coarse-grained, and coarse-grained with negation. While transformer-based models (e.g., BERT-cased) achieve strong performance on document-level coarse-grained extraction (F1 = 0.943), performance drops notably for fine-grained entity-level tasks (e.g., F1 = 0.675), particularly for rare events and complex attributes. These results demonstrate that despite high-level scores, significant challenges remain in detecting underrepresented AEs and capturing nuanced clinical language. Developed within a Trusted Research Environment (TRE), the dataset is available upon request via DataLoch and serves as a robust benchmark for evaluating AE extraction methods and supporting future cross-dataset generalisation.</v>
      </c>
      <c r="D3047" s="7" t="str">
        <f>IFERROR(__xludf.DUMMYFUNCTION("""COMPUTED_VALUE"""),"Imane Guellil")</f>
        <v>Imane Guellil</v>
      </c>
      <c r="E3047" s="7" t="str">
        <f>IFERROR(__xludf.DUMMYFUNCTION("""COMPUTED_VALUE"""),"Yes")</f>
        <v>Yes</v>
      </c>
      <c r="F3047" s="7" t="str">
        <f>IFERROR(__xludf.DUMMYFUNCTION("""COMPUTED_VALUE"""),"IP-Poster")</f>
        <v>IP-Poster</v>
      </c>
      <c r="G3047" s="7" t="str">
        <f>IFERROR(__xludf.DUMMYFUNCTION("""COMPUTED_VALUE"""),"In-Person")</f>
        <v>In-Person</v>
      </c>
      <c r="H3047" s="7" t="str">
        <f>IFERROR(__xludf.DUMMYFUNCTION("""COMPUTED_VALUE"""),"Hall 4/5")</f>
        <v>Hall 4/5</v>
      </c>
      <c r="I3047" s="7" t="str">
        <f>IFERROR(__xludf.DUMMYFUNCTION("""COMPUTED_VALUE"""),"Session 12: IP-Posters")</f>
        <v>Session 12: IP-Posters</v>
      </c>
      <c r="J3047" s="7" t="str">
        <f>IFERROR(__xludf.DUMMYFUNCTION("""COMPUTED_VALUE"""),"Poster Session 4")</f>
        <v>Poster Session 4</v>
      </c>
      <c r="K3047" s="7"/>
      <c r="L3047" s="8">
        <f>IFERROR(__xludf.DUMMYFUNCTION("""COMPUTED_VALUE"""),45868.0)</f>
        <v>45868</v>
      </c>
      <c r="M3047" s="7" t="str">
        <f>IFERROR(__xludf.DUMMYFUNCTION("""COMPUTED_VALUE"""),"11:00-12:30")</f>
        <v>11:00-12:30</v>
      </c>
      <c r="N3047" s="7"/>
    </row>
    <row r="3048">
      <c r="A3048" s="7" t="str">
        <f>IFERROR(__xludf.DUMMYFUNCTION("""COMPUTED_VALUE"""),"4150-MAIN")</f>
        <v>4150-MAIN</v>
      </c>
      <c r="B3048" s="7" t="str">
        <f>IFERROR(__xludf.DUMMYFUNCTION("""COMPUTED_VALUE"""),"Speed Up Your Code: Progressive Code Acceleration Through Bidirectional Tree Editing")</f>
        <v>Speed Up Your Code: Progressive Code Acceleration Through Bidirectional Tree Editing</v>
      </c>
      <c r="C3048" s="7" t="str">
        <f>IFERROR(__xludf.DUMMYFUNCTION("""COMPUTED_VALUE"""),"Large language models (LLMs) have made significant strides in code acceleration (CA) tasks. Current works typically fine-tune LLMs using slow-fast code pairs mined from online programming platforms. Although these methods are widely recognized for their e"&amp;"ffectiveness, the training data often lack clear code acceleration patterns and offer only limited speed improvements. Moreover, existing training methods, such as direct instruction fine-tuning (IFT), tend to overlook the hierarchical relationships among"&amp;" acceleration patterns. In this work, we introduce BITE, a novel training paradigm designed to improve LLMs' CA capabilities through two key innovations: (1) Bidirectional tree editing, which generates high-quality training data by incrementally transform"&amp;"ing given code into both its most efficient and least efficient variants, and (2) Progressive code acceleration learning, which enables LLMs to internalize multi-level CA strategies by learning increasingly sophisticated acceleration patterns. Additionall"&amp;"y, we introduce a new CA evaluation benchmark and metric for comprehensive assessment of model performance on CA tasks. Extensive experiments on both our benchmark and existing benchmarks demonstrate the effectiveness of our approach. Notably, BITE enable"&amp;"s Qwen-1.5B to outperform prompt-enhanced GPT-4 and current training-based methods on average across five programming languages.")</f>
        <v>Large language models (LLMs) have made significant strides in code acceleration (CA) tasks. Current works typically fine-tune LLMs using slow-fast code pairs mined from online programming platforms. Although these methods are widely recognized for their effectiveness, the training data often lack clear code acceleration patterns and offer only limited speed improvements. Moreover, existing training methods, such as direct instruction fine-tuning (IFT), tend to overlook the hierarchical relationships among acceleration patterns. In this work, we introduce BITE, a novel training paradigm designed to improve LLMs' CA capabilities through two key innovations: (1) Bidirectional tree editing, which generates high-quality training data by incrementally transforming given code into both its most efficient and least efficient variants, and (2) Progressive code acceleration learning, which enables LLMs to internalize multi-level CA strategies by learning increasingly sophisticated acceleration patterns. Additionally, we introduce a new CA evaluation benchmark and metric for comprehensive assessment of model performance on CA tasks. Extensive experiments on both our benchmark and existing benchmarks demonstrate the effectiveness of our approach. Notably, BITE enables Qwen-1.5B to outperform prompt-enhanced GPT-4 and current training-based methods on average across five programming languages.</v>
      </c>
      <c r="D3048" s="7" t="str">
        <f>IFERROR(__xludf.DUMMYFUNCTION("""COMPUTED_VALUE"""),"Longhui Zhang")</f>
        <v>Longhui Zhang</v>
      </c>
      <c r="E3048" s="7" t="str">
        <f>IFERROR(__xludf.DUMMYFUNCTION("""COMPUTED_VALUE"""),"Yes")</f>
        <v>Yes</v>
      </c>
      <c r="F3048" s="7" t="str">
        <f>IFERROR(__xludf.DUMMYFUNCTION("""COMPUTED_VALUE"""),"V-Presentation")</f>
        <v>V-Presentation</v>
      </c>
      <c r="G3048" s="7" t="str">
        <f>IFERROR(__xludf.DUMMYFUNCTION("""COMPUTED_VALUE"""),"Virtual/Gather")</f>
        <v>Virtual/Gather</v>
      </c>
      <c r="H3048" s="7" t="str">
        <f>IFERROR(__xludf.DUMMYFUNCTION("""COMPUTED_VALUE"""),"Zoom")</f>
        <v>Zoom</v>
      </c>
      <c r="I3048" s="7" t="str">
        <f>IFERROR(__xludf.DUMMYFUNCTION("""COMPUTED_VALUE"""),"Session 10: V-Presentations")</f>
        <v>Session 10: V-Presentations</v>
      </c>
      <c r="J3048" s="7" t="str">
        <f>IFERROR(__xludf.DUMMYFUNCTION("""COMPUTED_VALUE"""),"Virtual Presentations 3")</f>
        <v>Virtual Presentations 3</v>
      </c>
      <c r="K3048" s="7"/>
      <c r="L3048" s="8">
        <f>IFERROR(__xludf.DUMMYFUNCTION("""COMPUTED_VALUE"""),45867.0)</f>
        <v>45867</v>
      </c>
      <c r="M3048" s="7" t="str">
        <f>IFERROR(__xludf.DUMMYFUNCTION("""COMPUTED_VALUE"""),"16:00-17:30")</f>
        <v>16:00-17:30</v>
      </c>
      <c r="N3048" s="7"/>
    </row>
    <row r="3049">
      <c r="A3049" s="7" t="str">
        <f>IFERROR(__xludf.DUMMYFUNCTION("""COMPUTED_VALUE"""),"4153-MAIN")</f>
        <v>4153-MAIN</v>
      </c>
      <c r="B3049" s="7" t="str">
        <f>IFERROR(__xludf.DUMMYFUNCTION("""COMPUTED_VALUE"""),"Multi-Facet Blending for Faceted Query-by-Example Retrieval")</f>
        <v>Multi-Facet Blending for Faceted Query-by-Example Retrieval</v>
      </c>
      <c r="C3049" s="7" t="str">
        <f>IFERROR(__xludf.DUMMYFUNCTION("""COMPUTED_VALUE"""),"With the growing demand to fit fine-grained user intents, faceted query-by-example (QBE), which retrieves similar documents conditioned on specific facets, has gained recent attention. However, prior approaches mainly depend on document-level comparisons "&amp;"using basic indicators like citations due to the lack of facet-level relevance datasets; yet, this limits their use to citation-based domains and fails to capture the intricacies of facet constraints. In this paper, we propose a multi-facet blending (FaBl"&amp;"e) augmentation method, which exploits modularity by decomposing and recomposing to explicitly synthesize facet-specific training sets. We automatically decompose documents into facet units and generate (ir)relevant pairs by leveraging LLMs' intrinsic dis"&amp;"tinguishing capabilities; then, dynamically recomposing the units leads to facet-wise relevance-informed document pairs. Our modularization eliminates the need for pre-defined facet knowledge or labels. Further, to prove the FaBle's efficacy in a new doma"&amp;"in beyond citation-based scientific paper retrieval, we release a benchmark dataset for educational exam item QBE. FaBle augmentation on 1K documents remarkably assists training in obtaining facet conditional embeddings.")</f>
        <v>With the growing demand to fit fine-grained user intents, faceted query-by-example (QBE), which retrieves similar documents conditioned on specific facets, has gained recent attention. However, prior approaches mainly depend on document-level comparisons using basic indicators like citations due to the lack of facet-level relevance datasets; yet, this limits their use to citation-based domains and fails to capture the intricacies of facet constraints. In this paper, we propose a multi-facet blending (FaBle) augmentation method, which exploits modularity by decomposing and recomposing to explicitly synthesize facet-specific training sets. We automatically decompose documents into facet units and generate (ir)relevant pairs by leveraging LLMs' intrinsic distinguishing capabilities; then, dynamically recomposing the units leads to facet-wise relevance-informed document pairs. Our modularization eliminates the need for pre-defined facet knowledge or labels. Further, to prove the FaBle's efficacy in a new domain beyond citation-based scientific paper retrieval, we release a benchmark dataset for educational exam item QBE. FaBle augmentation on 1K documents remarkably assists training in obtaining facet conditional embeddings.</v>
      </c>
      <c r="D3049" s="7" t="str">
        <f>IFERROR(__xludf.DUMMYFUNCTION("""COMPUTED_VALUE"""),"Sangwon Ryu, Heejin Do")</f>
        <v>Sangwon Ryu, Heejin Do</v>
      </c>
      <c r="E3049" s="7" t="str">
        <f>IFERROR(__xludf.DUMMYFUNCTION("""COMPUTED_VALUE"""),"Yes")</f>
        <v>Yes</v>
      </c>
      <c r="F3049" s="7" t="str">
        <f>IFERROR(__xludf.DUMMYFUNCTION("""COMPUTED_VALUE"""),"IP-Poster")</f>
        <v>IP-Poster</v>
      </c>
      <c r="G3049" s="7" t="str">
        <f>IFERROR(__xludf.DUMMYFUNCTION("""COMPUTED_VALUE"""),"In-Person")</f>
        <v>In-Person</v>
      </c>
      <c r="H3049" s="7" t="str">
        <f>IFERROR(__xludf.DUMMYFUNCTION("""COMPUTED_VALUE"""),"Hall 4/5")</f>
        <v>Hall 4/5</v>
      </c>
      <c r="I3049" s="7" t="str">
        <f>IFERROR(__xludf.DUMMYFUNCTION("""COMPUTED_VALUE"""),"Session 2: IP-Posters ")</f>
        <v>Session 2: IP-Posters </v>
      </c>
      <c r="J3049" s="7" t="str">
        <f>IFERROR(__xludf.DUMMYFUNCTION("""COMPUTED_VALUE"""),"Poster Session 1")</f>
        <v>Poster Session 1</v>
      </c>
      <c r="K3049" s="7"/>
      <c r="L3049" s="8">
        <f>IFERROR(__xludf.DUMMYFUNCTION("""COMPUTED_VALUE"""),45866.0)</f>
        <v>45866</v>
      </c>
      <c r="M3049" s="7" t="str">
        <f>IFERROR(__xludf.DUMMYFUNCTION("""COMPUTED_VALUE"""),"11:00-12:30")</f>
        <v>11:00-12:30</v>
      </c>
      <c r="N3049" s="7"/>
    </row>
    <row r="3050">
      <c r="A3050" s="7" t="str">
        <f>IFERROR(__xludf.DUMMYFUNCTION("""COMPUTED_VALUE"""),"4154-MAIN")</f>
        <v>4154-MAIN</v>
      </c>
      <c r="B3050" s="7" t="str">
        <f>IFERROR(__xludf.DUMMYFUNCTION("""COMPUTED_VALUE"""),"PIPER: Benchmarking and Prompting Event Reasoning Boundary of LLMs via Debiasing-Distillation Enhanced Tuning")</f>
        <v>PIPER: Benchmarking and Prompting Event Reasoning Boundary of LLMs via Debiasing-Distillation Enhanced Tuning</v>
      </c>
      <c r="C3050" s="7" t="str">
        <f>IFERROR(__xludf.DUMMYFUNCTION("""COMPUTED_VALUE"""),"While Large Language Models (LLMs) excel in diverse domains, their validity in event reasoning remains underexplored. Most existing works merely stagnate at assessing LLMs' event reasoning with a single event relational type or reasoning format, failing t"&amp;"o conduct a complete evaluation and provide a practical solution for capability enhancement. In this paper, we propose $\textbf{PIPER}$, the first comprehensive benchmark for $\textbf{P}$robing $\textbf{I}$nto the $\textbf{P}$erformance boundary of LLMs i"&amp;"n $\textbf{E}$vent $\textbf{R}$easoning. Motivated by our evaluation observations and error patterns analysis, we meticulously craft 10K diverse instruction-tuning demonstrations to alleviate event reasoning-oriented data scarcity. Additionally, a novel $"&amp;"\textbf{D}$ebiasing and $\textbf{D}$istillation-$\textbf{E}$nhanced $\textbf{S}$upervised $\textbf{F}$ine-$\textbf{T}$uning ($\mathbf{D^2}$$\textbf{E-SFT}$) strategy is presented, which facilitates adhering to context and fixating significant contextual e"&amp;"vent information to elevate the event reasoning capability. Specifically, $\mathrm{D^2}$E-SFT removes the given sample's context to construct an imagined sample, subtracting its logits to mitigate the bias of neglecting context and improve contextual fait"&amp;"hfulness. To guide the model in emphasizing significant contextual event information, $\mathrm{D^2}$E-SFT employs a context-refined sample to achieve self-distillation with the alignment of logits. Extensive experimental results demonstrate the effectiven"&amp;"ess of our data and strategy in expanding the performance boundary of event reasoning.")</f>
        <v>While Large Language Models (LLMs) excel in diverse domains, their validity in event reasoning remains underexplored. Most existing works merely stagnate at assessing LLMs' event reasoning with a single event relational type or reasoning format, failing to conduct a complete evaluation and provide a practical solution for capability enhancement. In this paper, we propose $\textbf{PIPER}$, the first comprehensive benchmark for $\textbf{P}$robing $\textbf{I}$nto the $\textbf{P}$erformance boundary of LLMs in $\textbf{E}$vent $\textbf{R}$easoning. Motivated by our evaluation observations and error patterns analysis, we meticulously craft 10K diverse instruction-tuning demonstrations to alleviate event reasoning-oriented data scarcity. Additionally, a novel $\textbf{D}$ebiasing and $\textbf{D}$istillation-$\textbf{E}$nhanced $\textbf{S}$upervised $\textbf{F}$ine-$\textbf{T}$uning ($\mathbf{D^2}$$\textbf{E-SFT}$) strategy is presented, which facilitates adhering to context and fixating significant contextual event information to elevate the event reasoning capability. Specifically, $\mathrm{D^2}$E-SFT removes the given sample's context to construct an imagined sample, subtracting its logits to mitigate the bias of neglecting context and improve contextual faithfulness. To guide the model in emphasizing significant contextual event information, $\mathrm{D^2}$E-SFT employs a context-refined sample to achieve self-distillation with the alignment of logits. Extensive experimental results demonstrate the effectiveness of our data and strategy in expanding the performance boundary of event reasoning.</v>
      </c>
      <c r="D3050" s="7" t="str">
        <f>IFERROR(__xludf.DUMMYFUNCTION("""COMPUTED_VALUE"""),"Zhicong Lu")</f>
        <v>Zhicong Lu</v>
      </c>
      <c r="E3050" s="7" t="str">
        <f>IFERROR(__xludf.DUMMYFUNCTION("""COMPUTED_VALUE"""),"Yes")</f>
        <v>Yes</v>
      </c>
      <c r="F3050" s="7" t="str">
        <f>IFERROR(__xludf.DUMMYFUNCTION("""COMPUTED_VALUE"""),"V-Presentation")</f>
        <v>V-Presentation</v>
      </c>
      <c r="G3050" s="7" t="str">
        <f>IFERROR(__xludf.DUMMYFUNCTION("""COMPUTED_VALUE"""),"Virtual/Gather")</f>
        <v>Virtual/Gather</v>
      </c>
      <c r="H3050" s="7" t="str">
        <f>IFERROR(__xludf.DUMMYFUNCTION("""COMPUTED_VALUE"""),"Zoom")</f>
        <v>Zoom</v>
      </c>
      <c r="I3050" s="7" t="str">
        <f>IFERROR(__xludf.DUMMYFUNCTION("""COMPUTED_VALUE"""),"Session 7: V--Presentations ")</f>
        <v>Session 7: V--Presentations </v>
      </c>
      <c r="J3050" s="7" t="str">
        <f>IFERROR(__xludf.DUMMYFUNCTION("""COMPUTED_VALUE"""),"Virtual Presentations 2")</f>
        <v>Virtual Presentations 2</v>
      </c>
      <c r="K3050" s="7"/>
      <c r="L3050" s="8"/>
      <c r="M3050" s="7" t="str">
        <f>IFERROR(__xludf.DUMMYFUNCTION("""COMPUTED_VALUE"""),"10:30-12:00")</f>
        <v>10:30-12:00</v>
      </c>
      <c r="N3050" s="7"/>
    </row>
    <row r="3051">
      <c r="A3051" s="7" t="str">
        <f>IFERROR(__xludf.DUMMYFUNCTION("""COMPUTED_VALUE"""),"4160-MAIN")</f>
        <v>4160-MAIN</v>
      </c>
      <c r="B3051" s="7" t="str">
        <f>IFERROR(__xludf.DUMMYFUNCTION("""COMPUTED_VALUE"""),"MIR: Methodology Inspiration Retrieval for Scientific Research Problems")</f>
        <v>MIR: Methodology Inspiration Retrieval for Scientific Research Problems</v>
      </c>
      <c r="C3051" s="7" t="str">
        <f>IFERROR(__xludf.DUMMYFUNCTION("""COMPUTED_VALUE"""),"There has been a surge of interest in harnessing the reasoning capabilities of Large Language Models (LLMs) to accelerate scientific discovery. While existing approaches rely on grounding the discovery process within the relevant literature, effectiveness"&amp;" varies significantly with the quality and nature of the retrieved literature. We address the challenge of retrieving prior work whose concepts can inspire solutions for a given research problem, a task we define as Methodology Inspiration Retrieval (MIR)"&amp;". We construct a novel dataset tailored for training and evaluating retrievers on MIR, and establish baselines. To address MIR, we build the Methodology Adjacency Graph (MAG); capturing methodological lineage through citation relationships. We leverage MA"&amp;"G to embed an “intuitive prior’’ into dense retrievers for identifying patterns of methodological inspiration beyond superficial semantic similarity. This achieves significant gains of +5.4 in Recall@3 and +7.8 in Mean Average Precision (mAP) over strong "&amp;"baselines. Further, we adapt LLM-based re-ranking strategies to MIR, yielding additional improvements of +4.5 in Recall@3 and +4.8 in mAP. Through extensive ablation studies and qualitative analyses, we exhibit the promise of MIR in enhancing automated sc"&amp;"ientific discovery and outline avenues for advancing inspiration-driven retrieval.")</f>
        <v>There has been a surge of interest in harnessing the reasoning capabilities of Large Language Models (LLMs) to accelerate scientific discovery. While existing approaches rely on grounding the discovery process within the relevant literature, effectiveness varies significantly with the quality and nature of the retrieved literature. We address the challenge of retrieving prior work whose concepts can inspire solutions for a given research problem, a task we define as Methodology Inspiration Retrieval (MIR). We construct a novel dataset tailored for training and evaluating retrievers on MIR, and establish baselines. To address MIR, we build the Methodology Adjacency Graph (MAG); capturing methodological lineage through citation relationships. We leverage MAG to embed an “intuitive prior’’ into dense retrievers for identifying patterns of methodological inspiration beyond superficial semantic similarity. This achieves significant gains of +5.4 in Recall@3 and +7.8 in Mean Average Precision (mAP) over strong baselines. Further, we adapt LLM-based re-ranking strategies to MIR, yielding additional improvements of +4.5 in Recall@3 and +4.8 in mAP. Through extensive ablation studies and qualitative analyses, we exhibit the promise of MIR in enhancing automated scientific discovery and outline avenues for advancing inspiration-driven retrieval.</v>
      </c>
      <c r="D3051" s="7" t="str">
        <f>IFERROR(__xludf.DUMMYFUNCTION("""COMPUTED_VALUE"""),"Aniketh Garikaparthi")</f>
        <v>Aniketh Garikaparthi</v>
      </c>
      <c r="E3051" s="7" t="str">
        <f>IFERROR(__xludf.DUMMYFUNCTION("""COMPUTED_VALUE"""),"Yes")</f>
        <v>Yes</v>
      </c>
      <c r="F3051" s="7" t="str">
        <f>IFERROR(__xludf.DUMMYFUNCTION("""COMPUTED_VALUE"""),"IP-Poster")</f>
        <v>IP-Poster</v>
      </c>
      <c r="G3051" s="7" t="str">
        <f>IFERROR(__xludf.DUMMYFUNCTION("""COMPUTED_VALUE"""),"In-Person")</f>
        <v>In-Person</v>
      </c>
      <c r="H3051" s="7" t="str">
        <f>IFERROR(__xludf.DUMMYFUNCTION("""COMPUTED_VALUE"""),"Hall 4/5")</f>
        <v>Hall 4/5</v>
      </c>
      <c r="I3051" s="7" t="str">
        <f>IFERROR(__xludf.DUMMYFUNCTION("""COMPUTED_VALUE"""),"Session 7: IP-Posters")</f>
        <v>Session 7: IP-Posters</v>
      </c>
      <c r="J3051" s="7" t="str">
        <f>IFERROR(__xludf.DUMMYFUNCTION("""COMPUTED_VALUE"""),"Poster Session 2")</f>
        <v>Poster Session 2</v>
      </c>
      <c r="K3051" s="7"/>
      <c r="L3051" s="8">
        <f>IFERROR(__xludf.DUMMYFUNCTION("""COMPUTED_VALUE"""),45867.0)</f>
        <v>45867</v>
      </c>
      <c r="M3051" s="7" t="str">
        <f>IFERROR(__xludf.DUMMYFUNCTION("""COMPUTED_VALUE"""),"10:30-12:00")</f>
        <v>10:30-12:00</v>
      </c>
      <c r="N3051" s="7"/>
    </row>
    <row r="3052">
      <c r="A3052" s="7" t="str">
        <f>IFERROR(__xludf.DUMMYFUNCTION("""COMPUTED_VALUE"""),"4163-MAIN")</f>
        <v>4163-MAIN</v>
      </c>
      <c r="B3052" s="7" t="str">
        <f>IFERROR(__xludf.DUMMYFUNCTION("""COMPUTED_VALUE"""),"Sticking to the Mean: Detecting Sticky Tokens in Text Embedding Models")</f>
        <v>Sticking to the Mean: Detecting Sticky Tokens in Text Embedding Models</v>
      </c>
      <c r="C3052" s="7" t="str">
        <f>IFERROR(__xludf.DUMMYFUNCTION("""COMPUTED_VALUE"""),"Despite the widespread use of Transformer-based text embedding models in NLP tasks, surprising ``sticky tokens'' can undermine the reliability of embeddings. These tokens, when repeatedly inserted into sentences, pull sentence similarity toward a certain "&amp;"value, disrupting the normal distribution of embedding distances and degrading downstream performance. In this paper, we systematically investigate such anomalous tokens, formally defining them and introducing an efficient detection method, Sticky Token D"&amp;"etector (STD), based on sentence and token filtering. Applying STD to 40 checkpoints across 14 model families, we discover a total of 868 sticky tokens. Our analysis reveals that these tokens often originate from special or unused entries in the vocabular"&amp;"y, as well as fragmented subwords from multilingual corpora. Notably, their presence does not strictly correlate with model size or vocabulary size. We further evaluate how sticky tokens affect downstream tasks like clustering and retrieval, observing sig"&amp;"nificant performance drops of up to 50\%. Through attention-layer analysis, we show that sticky tokens disproportionately dominate the model’s internal representations, raising concerns about tokenization robustness. Our findings show the need for better "&amp;"tokenization strategies and model design to mitigate the impact of sticky tokens in future text embedding applications.")</f>
        <v>Despite the widespread use of Transformer-based text embedding models in NLP tasks, surprising ``sticky tokens'' can undermine the reliability of embeddings. These tokens, when repeatedly inserted into sentences, pull sentence similarity toward a certain value, disrupting the normal distribution of embedding distances and degrading downstream performance. In this paper, we systematically investigate such anomalous tokens, formally defining them and introducing an efficient detection method, Sticky Token Detector (STD), based on sentence and token filtering. Applying STD to 40 checkpoints across 14 model families, we discover a total of 868 sticky tokens. Our analysis reveals that these tokens often originate from special or unused entries in the vocabulary, as well as fragmented subwords from multilingual corpora. Notably, their presence does not strictly correlate with model size or vocabulary size. We further evaluate how sticky tokens affect downstream tasks like clustering and retrieval, observing significant performance drops of up to 50\%. Through attention-layer analysis, we show that sticky tokens disproportionately dominate the model’s internal representations, raising concerns about tokenization robustness. Our findings show the need for better tokenization strategies and model design to mitigate the impact of sticky tokens in future text embedding applications.</v>
      </c>
      <c r="D3052" s="7" t="str">
        <f>IFERROR(__xludf.DUMMYFUNCTION("""COMPUTED_VALUE"""),"Kexin Chen")</f>
        <v>Kexin Chen</v>
      </c>
      <c r="E3052" s="7" t="str">
        <f>IFERROR(__xludf.DUMMYFUNCTION("""COMPUTED_VALUE"""),"Yes")</f>
        <v>Yes</v>
      </c>
      <c r="F3052" s="7" t="str">
        <f>IFERROR(__xludf.DUMMYFUNCTION("""COMPUTED_VALUE"""),"IP-Poster")</f>
        <v>IP-Poster</v>
      </c>
      <c r="G3052" s="7" t="str">
        <f>IFERROR(__xludf.DUMMYFUNCTION("""COMPUTED_VALUE"""),"In-Person")</f>
        <v>In-Person</v>
      </c>
      <c r="H3052" s="7" t="str">
        <f>IFERROR(__xludf.DUMMYFUNCTION("""COMPUTED_VALUE"""),"Hall 4/5")</f>
        <v>Hall 4/5</v>
      </c>
      <c r="I3052" s="7" t="str">
        <f>IFERROR(__xludf.DUMMYFUNCTION("""COMPUTED_VALUE"""),"Session 2: IP-Posters ")</f>
        <v>Session 2: IP-Posters </v>
      </c>
      <c r="J3052" s="7" t="str">
        <f>IFERROR(__xludf.DUMMYFUNCTION("""COMPUTED_VALUE"""),"Poster Session 1")</f>
        <v>Poster Session 1</v>
      </c>
      <c r="K3052" s="7"/>
      <c r="L3052" s="8">
        <f>IFERROR(__xludf.DUMMYFUNCTION("""COMPUTED_VALUE"""),45866.0)</f>
        <v>45866</v>
      </c>
      <c r="M3052" s="7" t="str">
        <f>IFERROR(__xludf.DUMMYFUNCTION("""COMPUTED_VALUE"""),"11:00-12:30")</f>
        <v>11:00-12:30</v>
      </c>
      <c r="N3052" s="7"/>
    </row>
    <row r="3053">
      <c r="A3053" s="7" t="str">
        <f>IFERROR(__xludf.DUMMYFUNCTION("""COMPUTED_VALUE"""),"4164-MAIN")</f>
        <v>4164-MAIN</v>
      </c>
      <c r="B3053" s="7" t="str">
        <f>IFERROR(__xludf.DUMMYFUNCTION("""COMPUTED_VALUE"""),"Different Speech Translation Models Encode and Translate Speaker Gender Differently")</f>
        <v>Different Speech Translation Models Encode and Translate Speaker Gender Differently</v>
      </c>
      <c r="C3053" s="7" t="str">
        <f>IFERROR(__xludf.DUMMYFUNCTION("""COMPUTED_VALUE"""),"Recent studies on interpreting the hidden states of speech models have shown their ability to capture speaker-specific features, including gender. Does this finding also hold for speech translation (ST) models? If so, what are the implications for the spe"&amp;"aker's gender assignment in translation? We address these questions from an interpretability perspective, using probing methods to assess gender encoding across diverse ST models. Results on three language directions (English $\rightarrow$ French/Italian/"&amp;"Spanish) indicate that while traditional encoder-decoder models capture gender information, newer architectures---integrating a speech encoder with a machine translation system via adapters---do not. We also demonstrate that low gender encoding capabiliti"&amp;"es result in systems' tendency toward a masculine default, a translation bias that is more pronounced in newer architectures.")</f>
        <v>Recent studies on interpreting the hidden states of speech models have shown their ability to capture speaker-specific features, including gender. Does this finding also hold for speech translation (ST) models? If so, what are the implications for the speaker's gender assignment in translation? We address these questions from an interpretability perspective, using probing methods to assess gender encoding across diverse ST models. Results on three language directions (English $\rightarrow$ French/Italian/Spanish) indicate that while traditional encoder-decoder models capture gender information, newer architectures---integrating a speech encoder with a machine translation system via adapters---do not. We also demonstrate that low gender encoding capabilities result in systems' tendency toward a masculine default, a translation bias that is more pronounced in newer architectures.</v>
      </c>
      <c r="D3053" s="7" t="str">
        <f>IFERROR(__xludf.DUMMYFUNCTION("""COMPUTED_VALUE"""),"Dennis Fucci")</f>
        <v>Dennis Fucci</v>
      </c>
      <c r="E3053" s="7" t="str">
        <f>IFERROR(__xludf.DUMMYFUNCTION("""COMPUTED_VALUE"""),"Yes")</f>
        <v>Yes</v>
      </c>
      <c r="F3053" s="7" t="str">
        <f>IFERROR(__xludf.DUMMYFUNCTION("""COMPUTED_VALUE"""),"IP-Poster")</f>
        <v>IP-Poster</v>
      </c>
      <c r="G3053" s="7" t="str">
        <f>IFERROR(__xludf.DUMMYFUNCTION("""COMPUTED_VALUE"""),"In-Person")</f>
        <v>In-Person</v>
      </c>
      <c r="H3053" s="7" t="str">
        <f>IFERROR(__xludf.DUMMYFUNCTION("""COMPUTED_VALUE"""),"Hall 4/5")</f>
        <v>Hall 4/5</v>
      </c>
      <c r="I3053" s="7" t="str">
        <f>IFERROR(__xludf.DUMMYFUNCTION("""COMPUTED_VALUE"""),"Session 10: IP-Posters")</f>
        <v>Session 10: IP-Posters</v>
      </c>
      <c r="J3053" s="7" t="str">
        <f>IFERROR(__xludf.DUMMYFUNCTION("""COMPUTED_VALUE"""),"Poster Session 3")</f>
        <v>Poster Session 3</v>
      </c>
      <c r="K3053" s="7"/>
      <c r="L3053" s="8">
        <f>IFERROR(__xludf.DUMMYFUNCTION("""COMPUTED_VALUE"""),45867.0)</f>
        <v>45867</v>
      </c>
      <c r="M3053" s="7" t="str">
        <f>IFERROR(__xludf.DUMMYFUNCTION("""COMPUTED_VALUE"""),"16:00-17:30")</f>
        <v>16:00-17:30</v>
      </c>
      <c r="N3053" s="7"/>
    </row>
    <row r="3054">
      <c r="A3054" s="7" t="str">
        <f>IFERROR(__xludf.DUMMYFUNCTION("""COMPUTED_VALUE"""),"4165-MAIN")</f>
        <v>4165-MAIN</v>
      </c>
      <c r="B3054" s="7" t="str">
        <f>IFERROR(__xludf.DUMMYFUNCTION("""COMPUTED_VALUE"""),"Memorizing is Not Enough: Deep Knowledge Injection Through Reasoning")</f>
        <v>Memorizing is Not Enough: Deep Knowledge Injection Through Reasoning</v>
      </c>
      <c r="C3054" s="7" t="str">
        <f>IFERROR(__xludf.DUMMYFUNCTION("""COMPUTED_VALUE"""),"Although large language models (LLMs) excel in knowledge recall and reasoning, their static nature leads to outdated information as the real world evolves or when adapting to domain-specific knowledge, highlighting the need for effective knowledge injecti"&amp;"on. However, current research on knowledge injection remains superficial, mainly focusing on knowledge memorization and retrieval. This paper proposes a four-tier knowledge injection framework that systematically defines the levels of knowledge injection:"&amp;" memorization, retrieval, reasoning, and association. Based on this framework, we introduce DeepKnowledge, a synthetic experimental testbed designed for fine-grained evaluation of the depth of knowledge injection across three knowledge types (novel, incre"&amp;"mental, and updated). We then explore various knowledge injection scenarios and evaluate the depth of knowledge injection for each scenario on the benchmark. Experimental results reveal key factors to reach each level of knowledge injection for LLMs and e"&amp;"stablish a mapping between the levels of knowledge injection and the corresponding suitable injection methods, aiming to provide a comprehensive approach for efficient knowledge injection across various levels. The code is available at [https://github.com"&amp;"/icip-cas/Knowledge-Learning-Toolkits](https://github.com/icip-cas/Knowledge-Learning-Toolkits).")</f>
        <v>Although large language models (LLMs) excel in knowledge recall and reasoning, their static nature leads to outdated information as the real world evolves or when adapting to domain-specific knowledge, highlighting the need for effective knowledge injection. However, current research on knowledge injection remains superficial, mainly focusing on knowledge memorization and retrieval. This paper proposes a four-tier knowledge injection framework that systematically defines the levels of knowledge injection: memorization, retrieval, reasoning, and association. Based on this framework, we introduce DeepKnowledge, a synthetic experimental testbed designed for fine-grained evaluation of the depth of knowledge injection across three knowledge types (novel, incremental, and updated). We then explore various knowledge injection scenarios and evaluate the depth of knowledge injection for each scenario on the benchmark. Experimental results reveal key factors to reach each level of knowledge injection for LLMs and establish a mapping between the levels of knowledge injection and the corresponding suitable injection methods, aiming to provide a comprehensive approach for efficient knowledge injection across various levels. The code is available at [https://github.com/icip-cas/Knowledge-Learning-Toolkits](https://github.com/icip-cas/Knowledge-Learning-Toolkits).</v>
      </c>
      <c r="D3054" s="7" t="str">
        <f>IFERROR(__xludf.DUMMYFUNCTION("""COMPUTED_VALUE"""),"Ruoxi Xu")</f>
        <v>Ruoxi Xu</v>
      </c>
      <c r="E3054" s="7" t="str">
        <f>IFERROR(__xludf.DUMMYFUNCTION("""COMPUTED_VALUE"""),"Yes")</f>
        <v>Yes</v>
      </c>
      <c r="F3054" s="7" t="str">
        <f>IFERROR(__xludf.DUMMYFUNCTION("""COMPUTED_VALUE"""),"IP-Poster")</f>
        <v>IP-Poster</v>
      </c>
      <c r="G3054" s="7" t="str">
        <f>IFERROR(__xludf.DUMMYFUNCTION("""COMPUTED_VALUE"""),"In-Person")</f>
        <v>In-Person</v>
      </c>
      <c r="H3054" s="7" t="str">
        <f>IFERROR(__xludf.DUMMYFUNCTION("""COMPUTED_VALUE"""),"Hall 4/5")</f>
        <v>Hall 4/5</v>
      </c>
      <c r="I3054" s="7" t="str">
        <f>IFERROR(__xludf.DUMMYFUNCTION("""COMPUTED_VALUE"""),"Session 2: IP-Posters ")</f>
        <v>Session 2: IP-Posters </v>
      </c>
      <c r="J3054" s="7" t="str">
        <f>IFERROR(__xludf.DUMMYFUNCTION("""COMPUTED_VALUE"""),"Poster Session 1")</f>
        <v>Poster Session 1</v>
      </c>
      <c r="K3054" s="7"/>
      <c r="L3054" s="8">
        <f>IFERROR(__xludf.DUMMYFUNCTION("""COMPUTED_VALUE"""),45866.0)</f>
        <v>45866</v>
      </c>
      <c r="M3054" s="7" t="str">
        <f>IFERROR(__xludf.DUMMYFUNCTION("""COMPUTED_VALUE"""),"11:00-12:30")</f>
        <v>11:00-12:30</v>
      </c>
      <c r="N3054" s="7"/>
    </row>
    <row r="3055">
      <c r="A3055" s="7" t="str">
        <f>IFERROR(__xludf.DUMMYFUNCTION("""COMPUTED_VALUE"""),"4166-MAIN")</f>
        <v>4166-MAIN</v>
      </c>
      <c r="B3055" s="7" t="str">
        <f>IFERROR(__xludf.DUMMYFUNCTION("""COMPUTED_VALUE"""),"Improving Dialogue State Tracking through Combinatorial Search for In-Context Examples")</f>
        <v>Improving Dialogue State Tracking through Combinatorial Search for In-Context Examples</v>
      </c>
      <c r="C3055" s="7" t="str">
        <f>IFERROR(__xludf.DUMMYFUNCTION("""COMPUTED_VALUE"""),"In dialogue state tracking (DST), in-context learning comprises a retriever that selects labeled dialogues as in-context examples and a DST model that uses these examples to infer the dialogue state of the query dialogue. Existing methods for constructing"&amp;" training data for retrievers suffer from three key limitations: (1) the synergistic effect of examples is not considered, (2) the linguistic characteristics of the query are not sufficiently factored in, and (3) scoring is not directly optimized for DST "&amp;"performance. Consequently, the retriever can fail to retrieve examples that would substantially improve DST performance. To address these issues, we present CombiSearch—a method that scores effective in-context examples based on their combinatorial impact"&amp;" on DST performance. 
Our evaluation on MultiWOZ shows that retrievers trained with CombiSearch surpass state-of-the-art models, achieving a 20× gain in data efficiency and generalizing well to the SGD dataset. 
Moreover, CombiSearch attains a 12\% absolu"&amp;"te improvement in the upper bound DST performance over traditional approaches when no retrieval errors are assumed. 
This significantly increases the headroom for practical DST performance while demonstrating that existing methods rely on suboptimal data "&amp;"for retriever training.")</f>
        <v>In dialogue state tracking (DST), in-context learning comprises a retriever that selects labeled dialogues as in-context examples and a DST model that uses these examples to infer the dialogue state of the query dialogue. Existing methods for constructing training data for retrievers suffer from three key limitations: (1) the synergistic effect of examples is not considered, (2) the linguistic characteristics of the query are not sufficiently factored in, and (3) scoring is not directly optimized for DST performance. Consequently, the retriever can fail to retrieve examples that would substantially improve DST performance. To address these issues, we present CombiSearch—a method that scores effective in-context examples based on their combinatorial impact on DST performance. 
Our evaluation on MultiWOZ shows that retrievers trained with CombiSearch surpass state-of-the-art models, achieving a 20× gain in data efficiency and generalizing well to the SGD dataset. 
Moreover, CombiSearch attains a 12\% absolute improvement in the upper bound DST performance over traditional approaches when no retrieval errors are assumed. 
This significantly increases the headroom for practical DST performance while demonstrating that existing methods rely on suboptimal data for retriever training.</v>
      </c>
      <c r="D3055" s="7" t="str">
        <f>IFERROR(__xludf.DUMMYFUNCTION("""COMPUTED_VALUE"""),"Haesung Pyun")</f>
        <v>Haesung Pyun</v>
      </c>
      <c r="E3055" s="7" t="str">
        <f>IFERROR(__xludf.DUMMYFUNCTION("""COMPUTED_VALUE"""),"Yes")</f>
        <v>Yes</v>
      </c>
      <c r="F3055" s="7" t="str">
        <f>IFERROR(__xludf.DUMMYFUNCTION("""COMPUTED_VALUE"""),"IP-Poster")</f>
        <v>IP-Poster</v>
      </c>
      <c r="G3055" s="7" t="str">
        <f>IFERROR(__xludf.DUMMYFUNCTION("""COMPUTED_VALUE"""),"In-Person")</f>
        <v>In-Person</v>
      </c>
      <c r="H3055" s="7" t="str">
        <f>IFERROR(__xludf.DUMMYFUNCTION("""COMPUTED_VALUE"""),"Hall 4/5")</f>
        <v>Hall 4/5</v>
      </c>
      <c r="I3055" s="7" t="str">
        <f>IFERROR(__xludf.DUMMYFUNCTION("""COMPUTED_VALUE"""),"Session 2: IP-Posters ")</f>
        <v>Session 2: IP-Posters </v>
      </c>
      <c r="J3055" s="7" t="str">
        <f>IFERROR(__xludf.DUMMYFUNCTION("""COMPUTED_VALUE"""),"Poster Session 1")</f>
        <v>Poster Session 1</v>
      </c>
      <c r="K3055" s="7"/>
      <c r="L3055" s="8">
        <f>IFERROR(__xludf.DUMMYFUNCTION("""COMPUTED_VALUE"""),45866.0)</f>
        <v>45866</v>
      </c>
      <c r="M3055" s="7" t="str">
        <f>IFERROR(__xludf.DUMMYFUNCTION("""COMPUTED_VALUE"""),"11:00-12:30")</f>
        <v>11:00-12:30</v>
      </c>
      <c r="N3055" s="7"/>
    </row>
    <row r="3056">
      <c r="A3056" s="7" t="str">
        <f>IFERROR(__xludf.DUMMYFUNCTION("""COMPUTED_VALUE"""),"4167-MAIN")</f>
        <v>4167-MAIN</v>
      </c>
      <c r="B3056" s="7" t="str">
        <f>IFERROR(__xludf.DUMMYFUNCTION("""COMPUTED_VALUE"""),"Pretraining Context Compressor for Large Language Models with Embedding-Based Memory")</f>
        <v>Pretraining Context Compressor for Large Language Models with Embedding-Based Memory</v>
      </c>
      <c r="C3056" s="7" t="str">
        <f>IFERROR(__xludf.DUMMYFUNCTION("""COMPUTED_VALUE"""),"Efficient processing of long contexts in large language models (LLMs) is essential for real-world applications like retrieval-augmented generation and in-context learning, especially in resource-constrained environments such as edge computing. This paper "&amp;"explores the embedding-based context compression to reduce inference costs while preserving the downstream LLM configurations. We propose a decoupled compressor-LLM framework, pretrained on text reconstruction and completion tasks, designed to effectively"&amp;" preserve essential contextual information within condensed embedding representations. Our extensive experiments investigate pretraining, model configurations, compression rates, efficiency across tasks, and adaptability to various LLMs. Results demonstra"&amp;"te that our approach outperforms competitive baselines in three domains and across eight datasets while being adaptable to different downstream LLMs. We find that thorough pretraining and carefully selected compression rates, such as 4x and 16x, enable a "&amp;"lightweight compressor to achieve a good balance between accuracy and speed. These findings underscore the potential of embedding-based compression to enhance LLM efficiency and motivate further research in this area.")</f>
        <v>Efficient processing of long contexts in large language models (LLMs) is essential for real-world applications like retrieval-augmented generation and in-context learning, especially in resource-constrained environments such as edge computing. This paper explores the embedding-based context compression to reduce inference costs while preserving the downstream LLM configurations. We propose a decoupled compressor-LLM framework, pretrained on text reconstruction and completion tasks, designed to effectively preserve essential contextual information within condensed embedding representations. Our extensive experiments investigate pretraining, model configurations, compression rates, efficiency across tasks, and adaptability to various LLMs. Results demonstrate that our approach outperforms competitive baselines in three domains and across eight datasets while being adaptable to different downstream LLMs. We find that thorough pretraining and carefully selected compression rates, such as 4x and 16x, enable a lightweight compressor to achieve a good balance between accuracy and speed. These findings underscore the potential of embedding-based compression to enhance LLM efficiency and motivate further research in this area.</v>
      </c>
      <c r="D3056" s="7" t="str">
        <f>IFERROR(__xludf.DUMMYFUNCTION("""COMPUTED_VALUE"""),"Jianxun Lian")</f>
        <v>Jianxun Lian</v>
      </c>
      <c r="E3056" s="7" t="str">
        <f>IFERROR(__xludf.DUMMYFUNCTION("""COMPUTED_VALUE"""),"Yes")</f>
        <v>Yes</v>
      </c>
      <c r="F3056" s="7" t="str">
        <f>IFERROR(__xludf.DUMMYFUNCTION("""COMPUTED_VALUE"""),"IP-Poster")</f>
        <v>IP-Poster</v>
      </c>
      <c r="G3056" s="7" t="str">
        <f>IFERROR(__xludf.DUMMYFUNCTION("""COMPUTED_VALUE"""),"In-Person")</f>
        <v>In-Person</v>
      </c>
      <c r="H3056" s="7" t="str">
        <f>IFERROR(__xludf.DUMMYFUNCTION("""COMPUTED_VALUE"""),"Hall 4/5")</f>
        <v>Hall 4/5</v>
      </c>
      <c r="I3056" s="7" t="str">
        <f>IFERROR(__xludf.DUMMYFUNCTION("""COMPUTED_VALUE"""),"Session 2: IP-Posters ")</f>
        <v>Session 2: IP-Posters </v>
      </c>
      <c r="J3056" s="7" t="str">
        <f>IFERROR(__xludf.DUMMYFUNCTION("""COMPUTED_VALUE"""),"Poster Session 1")</f>
        <v>Poster Session 1</v>
      </c>
      <c r="K3056" s="7"/>
      <c r="L3056" s="8">
        <f>IFERROR(__xludf.DUMMYFUNCTION("""COMPUTED_VALUE"""),45866.0)</f>
        <v>45866</v>
      </c>
      <c r="M3056" s="7" t="str">
        <f>IFERROR(__xludf.DUMMYFUNCTION("""COMPUTED_VALUE"""),"11:00-12:30")</f>
        <v>11:00-12:30</v>
      </c>
      <c r="N3056" s="7"/>
    </row>
    <row r="3057">
      <c r="A3057" s="7" t="str">
        <f>IFERROR(__xludf.DUMMYFUNCTION("""COMPUTED_VALUE"""),"4171-MAIN")</f>
        <v>4171-MAIN</v>
      </c>
      <c r="B3057" s="7" t="str">
        <f>IFERROR(__xludf.DUMMYFUNCTION("""COMPUTED_VALUE"""),"Dialogue Systems for Emotional Support via Value Reinforcement")</f>
        <v>Dialogue Systems for Emotional Support via Value Reinforcement</v>
      </c>
      <c r="C3057" s="7" t="str">
        <f>IFERROR(__xludf.DUMMYFUNCTION("""COMPUTED_VALUE"""),"Emotional support dialogue systems aim to reduce help-seekers' distress and help them overcome challenges. While human values—core beliefs that shape an individual's priorities—are increasingly emphasized in contemporary psychological therapy for their ro"&amp;"le in fostering internal transformation and long-term emotional well-being, their integration into emotional support systems remains underexplored. To bridge this gap, we present a value-driven method for training emotional support dialogue systems design"&amp;"ed to reinforce positive values in seekers. Notably, our model identifies which values to reinforce at each turn and how to do so, by leveraging online support conversations from Reddit. We evaluate the method across support skills, seekers' emotional int"&amp;"ensity, and value reinforcement. Our method consistently outperforms various baselines, effectively exploring and eliciting values from seekers. Additionally, leveraging crowd knowledge from Reddit significantly enhances its effectiveness. Therapists high"&amp;"lighted its ability to validate seekers' challenges and emphasize positive aspects of their situations—both crucial elements of value reinforcement. Our work, being the first to integrate value reinforcement into emotional support systems, demonstrates it"&amp;"s promise and establishes a foundation for future research.")</f>
        <v>Emotional support dialogue systems aim to reduce help-seekers' distress and help them overcome challenges. While human values—core beliefs that shape an individual's priorities—are increasingly emphasized in contemporary psychological therapy for their role in fostering internal transformation and long-term emotional well-being, their integration into emotional support systems remains underexplored. To bridge this gap, we present a value-driven method for training emotional support dialogue systems designed to reinforce positive values in seekers. Notably, our model identifies which values to reinforce at each turn and how to do so, by leveraging online support conversations from Reddit. We evaluate the method across support skills, seekers' emotional intensity, and value reinforcement. Our method consistently outperforms various baselines, effectively exploring and eliciting values from seekers. Additionally, leveraging crowd knowledge from Reddit significantly enhances its effectiveness. Therapists highlighted its ability to validate seekers' challenges and emphasize positive aspects of their situations—both crucial elements of value reinforcement. Our work, being the first to integrate value reinforcement into emotional support systems, demonstrates its promise and establishes a foundation for future research.</v>
      </c>
      <c r="D3057" s="7" t="str">
        <f>IFERROR(__xludf.DUMMYFUNCTION("""COMPUTED_VALUE"""),"Yohan Jo")</f>
        <v>Yohan Jo</v>
      </c>
      <c r="E3057" s="7" t="str">
        <f>IFERROR(__xludf.DUMMYFUNCTION("""COMPUTED_VALUE"""),"Yes")</f>
        <v>Yes</v>
      </c>
      <c r="F3057" s="7" t="str">
        <f>IFERROR(__xludf.DUMMYFUNCTION("""COMPUTED_VALUE"""),"IP-Poster")</f>
        <v>IP-Poster</v>
      </c>
      <c r="G3057" s="7" t="str">
        <f>IFERROR(__xludf.DUMMYFUNCTION("""COMPUTED_VALUE"""),"In-Person")</f>
        <v>In-Person</v>
      </c>
      <c r="H3057" s="7" t="str">
        <f>IFERROR(__xludf.DUMMYFUNCTION("""COMPUTED_VALUE"""),"Hall 4/5")</f>
        <v>Hall 4/5</v>
      </c>
      <c r="I3057" s="7" t="str">
        <f>IFERROR(__xludf.DUMMYFUNCTION("""COMPUTED_VALUE"""),"Session 2: IP-Posters ")</f>
        <v>Session 2: IP-Posters </v>
      </c>
      <c r="J3057" s="7" t="str">
        <f>IFERROR(__xludf.DUMMYFUNCTION("""COMPUTED_VALUE"""),"Poster Session 1")</f>
        <v>Poster Session 1</v>
      </c>
      <c r="K3057" s="7"/>
      <c r="L3057" s="8">
        <f>IFERROR(__xludf.DUMMYFUNCTION("""COMPUTED_VALUE"""),45866.0)</f>
        <v>45866</v>
      </c>
      <c r="M3057" s="7" t="str">
        <f>IFERROR(__xludf.DUMMYFUNCTION("""COMPUTED_VALUE"""),"11:00-12:30")</f>
        <v>11:00-12:30</v>
      </c>
      <c r="N3057" s="7"/>
    </row>
    <row r="3058">
      <c r="A3058" s="7" t="str">
        <f>IFERROR(__xludf.DUMMYFUNCTION("""COMPUTED_VALUE"""),"4200-MAIN")</f>
        <v>4200-MAIN</v>
      </c>
      <c r="B3058" s="7" t="str">
        <f>IFERROR(__xludf.DUMMYFUNCTION("""COMPUTED_VALUE"""),"Length-Induced Embedding Collapse in PLM-based Models")</f>
        <v>Length-Induced Embedding Collapse in PLM-based Models</v>
      </c>
      <c r="C3058" s="7" t="str">
        <f>IFERROR(__xludf.DUMMYFUNCTION("""COMPUTED_VALUE"""),"Text embeddings from PLM-based models enable a wide range of applications, yet their performance often degrades on longer texts. In this paper, we introduce a phenomenon we call \textbf{Length Collapse}, where embeddings of longer texts tend to cluster to"&amp;"gether. This clustering results in a distributional inconsistency between the embeddings of short and long texts. We further investigate how these differences contribute to the performance decline observed with longer texts across various downstream tasks"&amp;". Through a rigorous theoretical analysis of the self-attention mechanism, which acts as a low-pass filter in PLM-based models, we demonstrate that as text length increases, the strength of low-pass filtering intensifies, causing embeddings to retain more"&amp;" low-frequency components. As a result, input token features become more similar, leading to clustering and ultimately the collapse of embeddings for longer texts. To address this issue, we propose a simple method, TempScale, which mitigates the Length Co"&amp;"llapse phenomenon. By narrowing the gap in low-pass filtering rates between long and short texts, TempScale ensures more consistent embeddings across different text lengths. This approach leads to performance improvements of \textbf{0.94\%} on MTEB and \t"&amp;"extbf{1.10\%} on LongEmbed, which focuses specifically on long-context retrieval, providing strong evidence for the validity of our analysis. The source code is available at \textcolor{blue}{\url{https://github.com/Yuqi-Zhou/Length_Collapse}}.")</f>
        <v>Text embeddings from PLM-based models enable a wide range of applications, yet their performance often degrades on longer texts. In this paper, we introduce a phenomenon we call \textbf{Length Collapse}, where embeddings of longer texts tend to cluster together. This clustering results in a distributional inconsistency between the embeddings of short and long texts. We further investigate how these differences contribute to the performance decline observed with longer texts across various downstream tasks. Through a rigorous theoretical analysis of the self-attention mechanism, which acts as a low-pass filter in PLM-based models, we demonstrate that as text length increases, the strength of low-pass filtering intensifies, causing embeddings to retain more low-frequency components. As a result, input token features become more similar, leading to clustering and ultimately the collapse of embeddings for longer texts. To address this issue, we propose a simple method, TempScale, which mitigates the Length Collapse phenomenon. By narrowing the gap in low-pass filtering rates between long and short texts, TempScale ensures more consistent embeddings across different text lengths. This approach leads to performance improvements of \textbf{0.94\%} on MTEB and \textbf{1.10\%} on LongEmbed, which focuses specifically on long-context retrieval, providing strong evidence for the validity of our analysis. The source code is available at \textcolor{blue}{\url{https://github.com/Yuqi-Zhou/Length_Collapse}}.</v>
      </c>
      <c r="D3058" s="7" t="str">
        <f>IFERROR(__xludf.DUMMYFUNCTION("""COMPUTED_VALUE"""),"Yuqi Zhou")</f>
        <v>Yuqi Zhou</v>
      </c>
      <c r="E3058" s="7" t="str">
        <f>IFERROR(__xludf.DUMMYFUNCTION("""COMPUTED_VALUE"""),"Yes")</f>
        <v>Yes</v>
      </c>
      <c r="F3058" s="7" t="str">
        <f>IFERROR(__xludf.DUMMYFUNCTION("""COMPUTED_VALUE"""),"V-Presentation")</f>
        <v>V-Presentation</v>
      </c>
      <c r="G3058" s="7" t="str">
        <f>IFERROR(__xludf.DUMMYFUNCTION("""COMPUTED_VALUE"""),"Virtual/Gather")</f>
        <v>Virtual/Gather</v>
      </c>
      <c r="H3058" s="7" t="str">
        <f>IFERROR(__xludf.DUMMYFUNCTION("""COMPUTED_VALUE"""),"Zoom")</f>
        <v>Zoom</v>
      </c>
      <c r="I3058" s="7" t="str">
        <f>IFERROR(__xludf.DUMMYFUNCTION("""COMPUTED_VALUE"""),"Session 2: V-Presentations")</f>
        <v>Session 2: V-Presentations</v>
      </c>
      <c r="J3058" s="7" t="str">
        <f>IFERROR(__xludf.DUMMYFUNCTION("""COMPUTED_VALUE"""),"Virtual Presentations 1")</f>
        <v>Virtual Presentations 1</v>
      </c>
      <c r="K3058" s="7"/>
      <c r="L3058" s="8">
        <f>IFERROR(__xludf.DUMMYFUNCTION("""COMPUTED_VALUE"""),45866.0)</f>
        <v>45866</v>
      </c>
      <c r="M3058" s="7" t="str">
        <f>IFERROR(__xludf.DUMMYFUNCTION("""COMPUTED_VALUE"""),"11:00-12:30")</f>
        <v>11:00-12:30</v>
      </c>
      <c r="N3058" s="7"/>
    </row>
    <row r="3059">
      <c r="A3059" s="7" t="str">
        <f>IFERROR(__xludf.DUMMYFUNCTION("""COMPUTED_VALUE"""),"4203-MAIN")</f>
        <v>4203-MAIN</v>
      </c>
      <c r="B3059" s="7" t="str">
        <f>IFERROR(__xludf.DUMMYFUNCTION("""COMPUTED_VALUE"""),"SHuBERT: Self-Supervised Sign Language Representation Learning via Multi-Stream Cluster Prediction")</f>
        <v>SHuBERT: Self-Supervised Sign Language Representation Learning via Multi-Stream Cluster Prediction</v>
      </c>
      <c r="C3059" s="7" t="str">
        <f>IFERROR(__xludf.DUMMYFUNCTION("""COMPUTED_VALUE"""),"Sign language processing has traditionally relied on task-specific models, limiting the potential for transfer learning across tasks. Pre-training methods for sign language have typically focused on either supervised pre-training, which cannot take advant"&amp;"age of unlabeled data, or context-independent (frame or video segment) representations, which ignore the effects of relationships across time in sign language. We introduce SHuBERT (Sign Hidden-Unit BERT), a self-supervised contextual representation model"&amp;" learned from approximately 1,000 hours of  American Sign Language video. SHuBERT adapts masked token prediction objectives to multi-stream visual sign language input, learning to predict multiple targets corresponding to clustered hand, face, and body po"&amp;"se streams. SHuBERT achieves state-of-the-art performance across multiple tasks including sign language translation, isolated sign language recognition, and fingerspelling detection.")</f>
        <v>Sign language processing has traditionally relied on task-specific models, limiting the potential for transfer learning across tasks. Pre-training methods for sign language have typically focused on either supervised pre-training, which cannot take advantage of unlabeled data, or context-independent (frame or video segment) representations, which ignore the effects of relationships across time in sign language. We introduce SHuBERT (Sign Hidden-Unit BERT), a self-supervised contextual representation model learned from approximately 1,000 hours of  American Sign Language video. SHuBERT adapts masked token prediction objectives to multi-stream visual sign language input, learning to predict multiple targets corresponding to clustered hand, face, and body pose streams. SHuBERT achieves state-of-the-art performance across multiple tasks including sign language translation, isolated sign language recognition, and fingerspelling detection.</v>
      </c>
      <c r="D3059" s="7" t="str">
        <f>IFERROR(__xludf.DUMMYFUNCTION("""COMPUTED_VALUE"""),"Shester Gueuwou")</f>
        <v>Shester Gueuwou</v>
      </c>
      <c r="E3059" s="7" t="str">
        <f>IFERROR(__xludf.DUMMYFUNCTION("""COMPUTED_VALUE"""),"Yes")</f>
        <v>Yes</v>
      </c>
      <c r="F3059" s="7" t="str">
        <f>IFERROR(__xludf.DUMMYFUNCTION("""COMPUTED_VALUE"""),"IP-Oral")</f>
        <v>IP-Oral</v>
      </c>
      <c r="G3059" s="7" t="str">
        <f>IFERROR(__xludf.DUMMYFUNCTION("""COMPUTED_VALUE"""),"In-Person")</f>
        <v>In-Person</v>
      </c>
      <c r="H3059" s="7" t="str">
        <f>IFERROR(__xludf.DUMMYFUNCTION("""COMPUTED_VALUE"""),"Hall M.2")</f>
        <v>Hall M.2</v>
      </c>
      <c r="I3059" s="7" t="str">
        <f>IFERROR(__xludf.DUMMYFUNCTION("""COMPUTED_VALUE"""),"Session 11: IP-Orals ")</f>
        <v>Session 11: IP-Orals </v>
      </c>
      <c r="J3059" s="7" t="str">
        <f>IFERROR(__xludf.DUMMYFUNCTION("""COMPUTED_VALUE"""),"Multimodality and Language Grounding 2")</f>
        <v>Multimodality and Language Grounding 2</v>
      </c>
      <c r="K3059" s="7"/>
      <c r="L3059" s="8">
        <f>IFERROR(__xludf.DUMMYFUNCTION("""COMPUTED_VALUE"""),45868.0)</f>
        <v>45868</v>
      </c>
      <c r="M3059" s="7" t="str">
        <f>IFERROR(__xludf.DUMMYFUNCTION("""COMPUTED_VALUE"""),"09:00-10:30")</f>
        <v>09:00-10:30</v>
      </c>
      <c r="N3059" s="7">
        <f>IFERROR(__xludf.DUMMYFUNCTION("""COMPUTED_VALUE"""),7.0)</f>
        <v>7</v>
      </c>
    </row>
    <row r="3060">
      <c r="A3060" s="7" t="str">
        <f>IFERROR(__xludf.DUMMYFUNCTION("""COMPUTED_VALUE"""),"4205-MAIN")</f>
        <v>4205-MAIN</v>
      </c>
      <c r="B3060" s="7" t="str">
        <f>IFERROR(__xludf.DUMMYFUNCTION("""COMPUTED_VALUE"""),"ERU-KG: Efficient Reference-aligned Unsupervised Keyphrase Generation")</f>
        <v>ERU-KG: Efficient Reference-aligned Unsupervised Keyphrase Generation</v>
      </c>
      <c r="C3060" s="7" t="str">
        <f>IFERROR(__xludf.DUMMYFUNCTION("""COMPUTED_VALUE"""),"Unsupervised keyphrase prediction has gained growing interest in recent years. However, existing methods typically rely on heuristically defined importance scores, which may lead to inaccurate informativeness estimation. In addition, they lack considerati"&amp;"on for time efficiency. To solve these problems, we propose ERU-KG, an unsupervised keyphrase generation (UKG) model that consists of an informativeness and a phraseness module. The former estimates the relevance of keyphrase candidates, while the latter "&amp;"generate those candidates. The informativeness module innovates by learning to model informativeness through references (e.g., queries, citation contexts, and titles) and at the term-level, thereby 1) capturing how the key concepts of documents are percei"&amp;"ved in different contexts and 2) estimating informativeness of phrases more efficiently by aggregating term informativeness, removing the need for explicit modeling of the candidates. ERU-KG demonstrates its effectiveness on keyphrase generation benchmark"&amp;"s by outperforming unsupervised baselines and achieving on average 89% of the performance of a supervised model for top 10 predictions. Additionally, to highlight its practical utility, we evaluate the model on text retrieval tasks and show that keyphrase"&amp;"s generated by ERU-KG are effective when employed as query and document expansions. Furthermore, inference speed tests reveal that ERU-KG is the fastest among baselines of similar model sizes. Finally, our proposed model can switch between keyphrase gener"&amp;"ation and extraction by adjusting hyperparameters, catering to diverse application requirements.")</f>
        <v>Unsupervised keyphrase prediction has gained growing interest in recent years. However, existing methods typically rely on heuristically defined importance scores, which may lead to inaccurate informativeness estimation. In addition, they lack consideration for time efficiency. To solve these problems, we propose ERU-KG, an unsupervised keyphrase generation (UKG) model that consists of an informativeness and a phraseness module. The former estimates the relevance of keyphrase candidates, while the latter generate those candidates. The informativeness module innovates by learning to model informativeness through references (e.g., queries, citation contexts, and titles) and at the term-level, thereby 1) capturing how the key concepts of documents are perceived in different contexts and 2) estimating informativeness of phrases more efficiently by aggregating term informativeness, removing the need for explicit modeling of the candidates. ERU-KG demonstrates its effectiveness on keyphrase generation benchmarks by outperforming unsupervised baselines and achieving on average 89% of the performance of a supervised model for top 10 predictions. Additionally, to highlight its practical utility, we evaluate the model on text retrieval tasks and show that keyphrases generated by ERU-KG are effective when employed as query and document expansions. Furthermore, inference speed tests reveal that ERU-KG is the fastest among baselines of similar model sizes. Finally, our proposed model can switch between keyphrase generation and extraction by adjusting hyperparameters, catering to diverse application requirements.</v>
      </c>
      <c r="D3060" s="7" t="str">
        <f>IFERROR(__xludf.DUMMYFUNCTION("""COMPUTED_VALUE"""),"Lam Thanh Do")</f>
        <v>Lam Thanh Do</v>
      </c>
      <c r="E3060" s="7" t="str">
        <f>IFERROR(__xludf.DUMMYFUNCTION("""COMPUTED_VALUE"""),"Yes")</f>
        <v>Yes</v>
      </c>
      <c r="F3060" s="7" t="str">
        <f>IFERROR(__xludf.DUMMYFUNCTION("""COMPUTED_VALUE"""),"V-Presentation")</f>
        <v>V-Presentation</v>
      </c>
      <c r="G3060" s="7" t="str">
        <f>IFERROR(__xludf.DUMMYFUNCTION("""COMPUTED_VALUE"""),"Virtual/Gather")</f>
        <v>Virtual/Gather</v>
      </c>
      <c r="H3060" s="7" t="str">
        <f>IFERROR(__xludf.DUMMYFUNCTION("""COMPUTED_VALUE"""),"Zoom")</f>
        <v>Zoom</v>
      </c>
      <c r="I3060" s="7" t="str">
        <f>IFERROR(__xludf.DUMMYFUNCTION("""COMPUTED_VALUE"""),"Session 10: V-Presenations")</f>
        <v>Session 10: V-Presenations</v>
      </c>
      <c r="J3060" s="7" t="str">
        <f>IFERROR(__xludf.DUMMYFUNCTION("""COMPUTED_VALUE"""),"Virtual Presentations 3")</f>
        <v>Virtual Presentations 3</v>
      </c>
      <c r="K3060" s="7"/>
      <c r="L3060" s="8">
        <f>IFERROR(__xludf.DUMMYFUNCTION("""COMPUTED_VALUE"""),45867.0)</f>
        <v>45867</v>
      </c>
      <c r="M3060" s="7" t="str">
        <f>IFERROR(__xludf.DUMMYFUNCTION("""COMPUTED_VALUE"""),"16:00-17:30")</f>
        <v>16:00-17:30</v>
      </c>
      <c r="N3060" s="7"/>
    </row>
    <row r="3061">
      <c r="A3061" s="7" t="str">
        <f>IFERROR(__xludf.DUMMYFUNCTION("""COMPUTED_VALUE"""),"4209-MAIN")</f>
        <v>4209-MAIN</v>
      </c>
      <c r="B3061" s="7" t="str">
        <f>IFERROR(__xludf.DUMMYFUNCTION("""COMPUTED_VALUE"""),"Know Your Mistakes: Towards Preventing Overreliance on Task-Oriented Conversational AI Through Accountability Modeling")</f>
        <v>Know Your Mistakes: Towards Preventing Overreliance on Task-Oriented Conversational AI Through Accountability Modeling</v>
      </c>
      <c r="C3061" s="7" t="str">
        <f>IFERROR(__xludf.DUMMYFUNCTION("""COMPUTED_VALUE"""),"Recent LLMs have enabled significant advancements for conversational agents. However, they are also well known to hallucinate, producing responses that seem plausible but are factually incorrect. On the other hand, users tend to over-rely on LLM-based AI "&amp;"agents, accepting AI’s suggestion even when it is wrong. Adding positive friction, such as explanations or getting user confirmations, has been proposed as a mitigation in AI-supported decision-making systems. In this paper, we propose an accountability m"&amp;"odel for LLM-based task-oriented dialogue agents to address user overreliance via friction turns in cases of model uncertainty and errors associated with dialogue state tracking (DST). The accountability model is an augmented LLM with an additional accoun"&amp;"tability head that functions as a binary classifier to predict the relevant slots of the dialogue state mentioned in the conversation. We perform our experiments with multiple backbone LLMs on two established benchmarks (MultiWOZ and Snips). Our empirical"&amp;" findings demonstrate that the proposed approach not only enables reliable estimation of AI agent errors but also guides the decoder in generating more accurate actions. We observe around 3% absolute improvement in joint goal accuracy (JGA) of DST output "&amp;"by incorporating accountability heads into modern LLMs. Self-correcting the detected errors further increases the JGA from 67.13 to 70.51, achieving state-of-the-art DST performance. Finally, we show that error correction through user confirmations (frict"&amp;"ion turn) achieves a similar performance gain, highlighting its potential to reduce user overreliance.")</f>
        <v>Recent LLMs have enabled significant advancements for conversational agents. However, they are also well known to hallucinate, producing responses that seem plausible but are factually incorrect. On the other hand, users tend to over-rely on LLM-based AI agents, accepting AI’s suggestion even when it is wrong. Adding positive friction, such as explanations or getting user confirmations, has been proposed as a mitigation in AI-supported decision-making systems. In this paper, we propose an accountability model for LLM-based task-oriented dialogue agents to address user overreliance via friction turns in cases of model uncertainty and errors associated with dialogue state tracking (DST). The accountability model is an augmented LLM with an additional accountability head that functions as a binary classifier to predict the relevant slots of the dialogue state mentioned in the conversation. We perform our experiments with multiple backbone LLMs on two established benchmarks (MultiWOZ and Snips). Our empirical findings demonstrate that the proposed approach not only enables reliable estimation of AI agent errors but also guides the decoder in generating more accurate actions. We observe around 3% absolute improvement in joint goal accuracy (JGA) of DST output by incorporating accountability heads into modern LLMs. Self-correcting the detected errors further increases the JGA from 67.13 to 70.51, achieving state-of-the-art DST performance. Finally, we show that error correction through user confirmations (friction turn) achieves a similar performance gain, highlighting its potential to reduce user overreliance.</v>
      </c>
      <c r="D3061" s="7" t="str">
        <f>IFERROR(__xludf.DUMMYFUNCTION("""COMPUTED_VALUE"""),"Suvodip Dey")</f>
        <v>Suvodip Dey</v>
      </c>
      <c r="E3061" s="7" t="str">
        <f>IFERROR(__xludf.DUMMYFUNCTION("""COMPUTED_VALUE"""),"Yes")</f>
        <v>Yes</v>
      </c>
      <c r="F3061" s="7" t="str">
        <f>IFERROR(__xludf.DUMMYFUNCTION("""COMPUTED_VALUE"""),"V-Presentation")</f>
        <v>V-Presentation</v>
      </c>
      <c r="G3061" s="7" t="str">
        <f>IFERROR(__xludf.DUMMYFUNCTION("""COMPUTED_VALUE"""),"Virtual/Gather")</f>
        <v>Virtual/Gather</v>
      </c>
      <c r="H3061" s="7" t="str">
        <f>IFERROR(__xludf.DUMMYFUNCTION("""COMPUTED_VALUE"""),"Zoom")</f>
        <v>Zoom</v>
      </c>
      <c r="I3061" s="7" t="str">
        <f>IFERROR(__xludf.DUMMYFUNCTION("""COMPUTED_VALUE"""),"Session 10: V-Presenations")</f>
        <v>Session 10: V-Presenations</v>
      </c>
      <c r="J3061" s="7" t="str">
        <f>IFERROR(__xludf.DUMMYFUNCTION("""COMPUTED_VALUE"""),"Virtual Presentations 3")</f>
        <v>Virtual Presentations 3</v>
      </c>
      <c r="K3061" s="7"/>
      <c r="L3061" s="8">
        <f>IFERROR(__xludf.DUMMYFUNCTION("""COMPUTED_VALUE"""),45867.0)</f>
        <v>45867</v>
      </c>
      <c r="M3061" s="7" t="str">
        <f>IFERROR(__xludf.DUMMYFUNCTION("""COMPUTED_VALUE"""),"16:00-17:30")</f>
        <v>16:00-17:30</v>
      </c>
      <c r="N3061" s="7"/>
    </row>
    <row r="3062">
      <c r="A3062" s="7" t="str">
        <f>IFERROR(__xludf.DUMMYFUNCTION("""COMPUTED_VALUE"""),"4220-MAIN")</f>
        <v>4220-MAIN</v>
      </c>
      <c r="B3062" s="7" t="str">
        <f>IFERROR(__xludf.DUMMYFUNCTION("""COMPUTED_VALUE"""),"LLMs Trust Humans More, That’s a Problem! Unveiling and Mitigating the Authority Bias in Retrieval-Augmented Generation")</f>
        <v>LLMs Trust Humans More, That’s a Problem! Unveiling and Mitigating the Authority Bias in Retrieval-Augmented Generation</v>
      </c>
      <c r="C3062" s="7" t="str">
        <f>IFERROR(__xludf.DUMMYFUNCTION("""COMPUTED_VALUE"""),"Retrieval-Augmented Generation (RAG) has been proven to be an effective approach to address the hallucination problem in large language models (LLMs). In current RAG systems, LLMs typically need to synthesize knowledge provided by two main external source"&amp;"s (user prompts and an external database) to generate a final answer. When the knowledge provided by the user conflicts with that retrieved from the database, a critical question arises: Does the LLM favor one knowledge source over the other when generati"&amp;"ng the answer? In this paper, we are the first to unveil a new phenomenon, Authority Bias, where the LLMs tend to favor the knowledge provided by the user even when it deviates from the facts; this new phenomenon is rigorously evidenced via our novel and "&amp;"comprehensive characterization of Authority Bias in six widely used LLMs and across diverse task scenarios. We propose a novel dataset specifically designed for detecting Authority Bias, called the Authority Bias Detection Dataset (ABDD), and introduce ne"&amp;"w, detailed metrics to measure Authority Bias. To mitigate Authority bias, we finally propose the Conflict Detection Enhanced Query (CDEQ) framework. We identify the sentences and atomic information that generate conflicts, perform a credibility assessmen"&amp;"t on the conflicting paragraphs, and ultimately enhance the query to detect perturbed text, thereby reducing Authority bias. Comparative experiments with widely used mitigation methods demonstrate that CDEQ exhibits both effectiveness and advancement, sig"&amp;"nificantly enhancing the robustness of RAG systems.")</f>
        <v>Retrieval-Augmented Generation (RAG) has been proven to be an effective approach to address the hallucination problem in large language models (LLMs). In current RAG systems, LLMs typically need to synthesize knowledge provided by two main external sources (user prompts and an external database) to generate a final answer. When the knowledge provided by the user conflicts with that retrieved from the database, a critical question arises: Does the LLM favor one knowledge source over the other when generating the answer? In this paper, we are the first to unveil a new phenomenon, Authority Bias, where the LLMs tend to favor the knowledge provided by the user even when it deviates from the facts; this new phenomenon is rigorously evidenced via our novel and comprehensive characterization of Authority Bias in six widely used LLMs and across diverse task scenarios. We propose a novel dataset specifically designed for detecting Authority Bias, called the Authority Bias Detection Dataset (ABDD), and introduce new, detailed metrics to measure Authority Bias. To mitigate Authority bias, we finally propose the Conflict Detection Enhanced Query (CDEQ) framework. We identify the sentences and atomic information that generate conflicts, perform a credibility assessment on the conflicting paragraphs, and ultimately enhance the query to detect perturbed text, thereby reducing Authority bias. Comparative experiments with widely used mitigation methods demonstrate that CDEQ exhibits both effectiveness and advancement, significantly enhancing the robustness of RAG systems.</v>
      </c>
      <c r="D3062" s="7" t="str">
        <f>IFERROR(__xludf.DUMMYFUNCTION("""COMPUTED_VALUE"""),"Yuxuan Li")</f>
        <v>Yuxuan Li</v>
      </c>
      <c r="E3062" s="7" t="str">
        <f>IFERROR(__xludf.DUMMYFUNCTION("""COMPUTED_VALUE"""),"Yes")</f>
        <v>Yes</v>
      </c>
      <c r="F3062" s="7" t="str">
        <f>IFERROR(__xludf.DUMMYFUNCTION("""COMPUTED_VALUE"""),"IP-Poster")</f>
        <v>IP-Poster</v>
      </c>
      <c r="G3062" s="7" t="str">
        <f>IFERROR(__xludf.DUMMYFUNCTION("""COMPUTED_VALUE"""),"In-Person")</f>
        <v>In-Person</v>
      </c>
      <c r="H3062" s="7" t="str">
        <f>IFERROR(__xludf.DUMMYFUNCTION("""COMPUTED_VALUE"""),"Hall 4/5")</f>
        <v>Hall 4/5</v>
      </c>
      <c r="I3062" s="7" t="str">
        <f>IFERROR(__xludf.DUMMYFUNCTION("""COMPUTED_VALUE"""),"Session 2: IP-Posters ")</f>
        <v>Session 2: IP-Posters </v>
      </c>
      <c r="J3062" s="7" t="str">
        <f>IFERROR(__xludf.DUMMYFUNCTION("""COMPUTED_VALUE"""),"Poster Session 1")</f>
        <v>Poster Session 1</v>
      </c>
      <c r="K3062" s="7"/>
      <c r="L3062" s="8">
        <f>IFERROR(__xludf.DUMMYFUNCTION("""COMPUTED_VALUE"""),45866.0)</f>
        <v>45866</v>
      </c>
      <c r="M3062" s="7" t="str">
        <f>IFERROR(__xludf.DUMMYFUNCTION("""COMPUTED_VALUE"""),"11:00-12:30")</f>
        <v>11:00-12:30</v>
      </c>
      <c r="N3062" s="7"/>
    </row>
    <row r="3063">
      <c r="A3063" s="7" t="str">
        <f>IFERROR(__xludf.DUMMYFUNCTION("""COMPUTED_VALUE"""),"4227-MAIN")</f>
        <v>4227-MAIN</v>
      </c>
      <c r="B3063" s="7" t="str">
        <f>IFERROR(__xludf.DUMMYFUNCTION("""COMPUTED_VALUE"""),"Divide-Then-Aggregate: An Efficient Tool Learning Method via Parallel Tool Invocation")</f>
        <v>Divide-Then-Aggregate: An Efficient Tool Learning Method via Parallel Tool Invocation</v>
      </c>
      <c r="C3063" s="7" t="str">
        <f>IFERROR(__xludf.DUMMYFUNCTION("""COMPUTED_VALUE"""),"While Large Language Models (LLMs) demonstrate remarkable capabilities, their ability to autonomously execute complex real-world tasks remains limited. Accordingly, tool learning has emerged to enable LLMs to effectively leverage external tools to extend "&amp;"their capabilities. Current tool-learning paradigms like CoT/ReAct employ sequential tool invocation but suffer from constrained perception and inadequate task planning. Alternative approaches using search-based decision trees incur substantial computatio"&amp;"nal overhead. To address these limitations, we propose DTA-Llama (Divide-Then-Aggregate Llama), a novel parallel tool invocation framework featuring: (1) A Directed Acyclic Graph (DAG) structure that transformed from traditional tree-based tool search pat"&amp;"hs, enabling parallel execution and contributing high-quality training data; (2) A process-thread-inspired inference mechanism that iteratively decomposes tasks into parallel tool-using subtasks while aggregating results for subsequent decisions. Experime"&amp;"ntal results show that our approach substantially enhances task performance while reducing token consumption and inference time. Llama2-7B, using our method, is comparable to the official parallel function calling method of GPT-3.5. The relevant code, dat"&amp;"aset, and model weights are available at https://corn0205.github.io/.")</f>
        <v>While Large Language Models (LLMs) demonstrate remarkable capabilities, their ability to autonomously execute complex real-world tasks remains limited. Accordingly, tool learning has emerged to enable LLMs to effectively leverage external tools to extend their capabilities. Current tool-learning paradigms like CoT/ReAct employ sequential tool invocation but suffer from constrained perception and inadequate task planning. Alternative approaches using search-based decision trees incur substantial computational overhead. To address these limitations, we propose DTA-Llama (Divide-Then-Aggregate Llama), a novel parallel tool invocation framework featuring: (1) A Directed Acyclic Graph (DAG) structure that transformed from traditional tree-based tool search paths, enabling parallel execution and contributing high-quality training data; (2) A process-thread-inspired inference mechanism that iteratively decomposes tasks into parallel tool-using subtasks while aggregating results for subsequent decisions. Experimental results show that our approach substantially enhances task performance while reducing token consumption and inference time. Llama2-7B, using our method, is comparable to the official parallel function calling method of GPT-3.5. The relevant code, dataset, and model weights are available at https://corn0205.github.io/.</v>
      </c>
      <c r="D3063" s="7" t="str">
        <f>IFERROR(__xludf.DUMMYFUNCTION("""COMPUTED_VALUE"""),"DongshengZhu, Lingyong Yan")</f>
        <v>DongshengZhu, Lingyong Yan</v>
      </c>
      <c r="E3063" s="7" t="str">
        <f>IFERROR(__xludf.DUMMYFUNCTION("""COMPUTED_VALUE"""),"Yes")</f>
        <v>Yes</v>
      </c>
      <c r="F3063" s="7" t="str">
        <f>IFERROR(__xludf.DUMMYFUNCTION("""COMPUTED_VALUE"""),"IP-Poster")</f>
        <v>IP-Poster</v>
      </c>
      <c r="G3063" s="7" t="str">
        <f>IFERROR(__xludf.DUMMYFUNCTION("""COMPUTED_VALUE"""),"In-Person")</f>
        <v>In-Person</v>
      </c>
      <c r="H3063" s="7" t="str">
        <f>IFERROR(__xludf.DUMMYFUNCTION("""COMPUTED_VALUE"""),"Hall 4/5")</f>
        <v>Hall 4/5</v>
      </c>
      <c r="I3063" s="7" t="str">
        <f>IFERROR(__xludf.DUMMYFUNCTION("""COMPUTED_VALUE"""),"Session 2: IP-Posters ")</f>
        <v>Session 2: IP-Posters </v>
      </c>
      <c r="J3063" s="7" t="str">
        <f>IFERROR(__xludf.DUMMYFUNCTION("""COMPUTED_VALUE"""),"Poster Session 1")</f>
        <v>Poster Session 1</v>
      </c>
      <c r="K3063" s="7"/>
      <c r="L3063" s="8">
        <f>IFERROR(__xludf.DUMMYFUNCTION("""COMPUTED_VALUE"""),45866.0)</f>
        <v>45866</v>
      </c>
      <c r="M3063" s="7" t="str">
        <f>IFERROR(__xludf.DUMMYFUNCTION("""COMPUTED_VALUE"""),"11:00-12:30")</f>
        <v>11:00-12:30</v>
      </c>
      <c r="N3063" s="7"/>
    </row>
    <row r="3064">
      <c r="A3064" s="7" t="str">
        <f>IFERROR(__xludf.DUMMYFUNCTION("""COMPUTED_VALUE"""),"4235-MAIN")</f>
        <v>4235-MAIN</v>
      </c>
      <c r="B3064" s="7" t="str">
        <f>IFERROR(__xludf.DUMMYFUNCTION("""COMPUTED_VALUE"""),"Reviving Cultural Heritage: A Novel Approach for Comprehensive Historical Document Restoration")</f>
        <v>Reviving Cultural Heritage: A Novel Approach for Comprehensive Historical Document Restoration</v>
      </c>
      <c r="C3064" s="7" t="str">
        <f>IFERROR(__xludf.DUMMYFUNCTION("""COMPUTED_VALUE"""),"Historical documents represent an invaluable cultural heritage, yet have undergone significant degradation over time through tears, water erosion, and oxidation. Existing Historical Document Restoration (HDR) methods primarily focus on single modality or "&amp;"limited-size restoration, failing to meet practical needs. To fill this gap, we present a full-page HDR dataset (FPHDR) and a novel automated HDR solution (AutoHDR). Specifically, FPHDR comprises 1,633 real and 6,543 synthetic images with character-level "&amp;"and line-level locations, as well as character annotations in different damage grades. AutoHDR mimics historians' restoration workflows through a three-stage approach: OCR-assisted damage localization, vision-language context text prediction, and patch au"&amp;"toregressive appearance restoration. The modular architecture of AutoHDR enables seamless human-machine collaboration, allowing for flexible intervention and optimization at each restoration stage. Experiments demonstrate AutoHDR's remarkable performance "&amp;"in HDR. When processing severely damaged documents, our system improves OCR accuracy from 46.83% to 84.05%, with further enhancement to 94.25% through human-machine collaboration. We believe this work represents a significant advancement in automated hist"&amp;"orical document restoration and contributes substantially to cultural heritage preservation. The model and dataset are available at https://github.com/SCUT-DLVCLab/AutoHDR.")</f>
        <v>Historical documents represent an invaluable cultural heritage, yet have undergone significant degradation over time through tears, water erosion, and oxidation. Existing Historical Document Restoration (HDR) methods primarily focus on single modality or limited-size restoration, failing to meet practical needs. To fill this gap, we present a full-page HDR dataset (FPHDR) and a novel automated HDR solution (AutoHDR). Specifically, FPHDR comprises 1,633 real and 6,543 synthetic images with character-level and line-level locations, as well as character annotations in different damage grades. AutoHDR mimics historians' restoration workflows through a three-stage approach: OCR-assisted damage localization, vision-language context text prediction, and patch autoregressive appearance restoration. The modular architecture of AutoHDR enables seamless human-machine collaboration, allowing for flexible intervention and optimization at each restoration stage. Experiments demonstrate AutoHDR's remarkable performance in HDR. When processing severely damaged documents, our system improves OCR accuracy from 46.83% to 84.05%, with further enhancement to 94.25% through human-machine collaboration. We believe this work represents a significant advancement in automated historical document restoration and contributes substantially to cultural heritage preservation. The model and dataset are available at https://github.com/SCUT-DLVCLab/AutoHDR.</v>
      </c>
      <c r="D3064" s="7" t="str">
        <f>IFERROR(__xludf.DUMMYFUNCTION("""COMPUTED_VALUE"""),"Yuyi Zhang")</f>
        <v>Yuyi Zhang</v>
      </c>
      <c r="E3064" s="7" t="str">
        <f>IFERROR(__xludf.DUMMYFUNCTION("""COMPUTED_VALUE"""),"Yes")</f>
        <v>Yes</v>
      </c>
      <c r="F3064" s="7" t="str">
        <f>IFERROR(__xludf.DUMMYFUNCTION("""COMPUTED_VALUE"""),"IP-Poster")</f>
        <v>IP-Poster</v>
      </c>
      <c r="G3064" s="7" t="str">
        <f>IFERROR(__xludf.DUMMYFUNCTION("""COMPUTED_VALUE"""),"In-Person")</f>
        <v>In-Person</v>
      </c>
      <c r="H3064" s="7" t="str">
        <f>IFERROR(__xludf.DUMMYFUNCTION("""COMPUTED_VALUE"""),"Hall 4/5")</f>
        <v>Hall 4/5</v>
      </c>
      <c r="I3064" s="7" t="str">
        <f>IFERROR(__xludf.DUMMYFUNCTION("""COMPUTED_VALUE"""),"Session 12: IP-Posters")</f>
        <v>Session 12: IP-Posters</v>
      </c>
      <c r="J3064" s="7" t="str">
        <f>IFERROR(__xludf.DUMMYFUNCTION("""COMPUTED_VALUE"""),"Poster Session 4")</f>
        <v>Poster Session 4</v>
      </c>
      <c r="K3064" s="7"/>
      <c r="L3064" s="8">
        <f>IFERROR(__xludf.DUMMYFUNCTION("""COMPUTED_VALUE"""),45868.0)</f>
        <v>45868</v>
      </c>
      <c r="M3064" s="7" t="str">
        <f>IFERROR(__xludf.DUMMYFUNCTION("""COMPUTED_VALUE"""),"11:00-12:30")</f>
        <v>11:00-12:30</v>
      </c>
      <c r="N3064" s="7"/>
    </row>
    <row r="3065">
      <c r="A3065" s="7" t="str">
        <f>IFERROR(__xludf.DUMMYFUNCTION("""COMPUTED_VALUE"""),"4236-MAIN")</f>
        <v>4236-MAIN</v>
      </c>
      <c r="B3065" s="7" t="str">
        <f>IFERROR(__xludf.DUMMYFUNCTION("""COMPUTED_VALUE"""),"PopAlign: Diversifying Contrasting Patterns for a More Comprehensive Alignment")</f>
        <v>PopAlign: Diversifying Contrasting Patterns for a More Comprehensive Alignment</v>
      </c>
      <c r="C3065" s="7" t="str">
        <f>IFERROR(__xludf.DUMMYFUNCTION("""COMPUTED_VALUE"""),"Alignment of large language models (LLMs) involves training models on preference-contrastive output pairs to adjust their responses according to human preferences. To obtain such contrastive pairs, traditional methods like RLHF and RLAIF rely on \textbf{l"&amp;"imited} contrasting patterns, such as varying model variants or decoding temperatures. This singularity leads to two issues: (1) alignment is not comprehensive; and thereby (2) models are susceptible to harmful response tendencies. To address these issues"&amp;", we investigate how to construct more comprehensive and diversified contrasting patterns to enhance preference data (RQ1) and verify the impact of the diversification of contrasting patterns on model alignment (RQ2). For RQ1, we propose \textbf{PopAlign}"&amp;", a framework that integrates diversified contrasting patterns across the prompt, model, and pipeline levels, introducing six contrasting strategies that do not require additional feedback labeling procedures. Regarding RQ2, we conduct thorough experiment"&amp;"s demonstrating that PopAlign significantly outperforms existing methods, leading to more comprehensive alignment.")</f>
        <v>Alignment of large language models (LLMs) involves training models on preference-contrastive output pairs to adjust their responses according to human preferences. To obtain such contrastive pairs, traditional methods like RLHF and RLAIF rely on \textbf{limited} contrasting patterns, such as varying model variants or decoding temperatures. This singularity leads to two issues: (1) alignment is not comprehensive; and thereby (2) models are susceptible to harmful response tendencies. To address these issues, we investigate how to construct more comprehensive and diversified contrasting patterns to enhance preference data (RQ1) and verify the impact of the diversification of contrasting patterns on model alignment (RQ2). For RQ1, we propose \textbf{PopAlign}, a framework that integrates diversified contrasting patterns across the prompt, model, and pipeline levels, introducing six contrasting strategies that do not require additional feedback labeling procedures. Regarding RQ2, we conduct thorough experiments demonstrating that PopAlign significantly outperforms existing methods, leading to more comprehensive alignment.</v>
      </c>
      <c r="D3065" s="7" t="str">
        <f>IFERROR(__xludf.DUMMYFUNCTION("""COMPUTED_VALUE"""),"Zekun Moore Wang")</f>
        <v>Zekun Moore Wang</v>
      </c>
      <c r="E3065" s="7" t="str">
        <f>IFERROR(__xludf.DUMMYFUNCTION("""COMPUTED_VALUE"""),"Yes")</f>
        <v>Yes</v>
      </c>
      <c r="F3065" s="7" t="str">
        <f>IFERROR(__xludf.DUMMYFUNCTION("""COMPUTED_VALUE"""),"V-Presentation")</f>
        <v>V-Presentation</v>
      </c>
      <c r="G3065" s="7" t="str">
        <f>IFERROR(__xludf.DUMMYFUNCTION("""COMPUTED_VALUE"""),"Virtual/Gather")</f>
        <v>Virtual/Gather</v>
      </c>
      <c r="H3065" s="7" t="str">
        <f>IFERROR(__xludf.DUMMYFUNCTION("""COMPUTED_VALUE"""),"Zoom")</f>
        <v>Zoom</v>
      </c>
      <c r="I3065" s="7" t="str">
        <f>IFERROR(__xludf.DUMMYFUNCTION("""COMPUTED_VALUE"""),"Session 7: V--Presentations ")</f>
        <v>Session 7: V--Presentations </v>
      </c>
      <c r="J3065" s="7" t="str">
        <f>IFERROR(__xludf.DUMMYFUNCTION("""COMPUTED_VALUE"""),"Virtual Presentations 2")</f>
        <v>Virtual Presentations 2</v>
      </c>
      <c r="K3065" s="7"/>
      <c r="L3065" s="8"/>
      <c r="M3065" s="7" t="str">
        <f>IFERROR(__xludf.DUMMYFUNCTION("""COMPUTED_VALUE"""),"10:30-12:00")</f>
        <v>10:30-12:00</v>
      </c>
      <c r="N3065" s="7"/>
    </row>
    <row r="3066">
      <c r="A3066" s="7" t="str">
        <f>IFERROR(__xludf.DUMMYFUNCTION("""COMPUTED_VALUE"""),"4239-MAIN")</f>
        <v>4239-MAIN</v>
      </c>
      <c r="B3066" s="7" t="str">
        <f>IFERROR(__xludf.DUMMYFUNCTION("""COMPUTED_VALUE"""),"Robust Utility-Preserving Text Anonymization Based on Large Language Models")</f>
        <v>Robust Utility-Preserving Text Anonymization Based on Large Language Models</v>
      </c>
      <c r="C3066" s="7" t="str">
        <f>IFERROR(__xludf.DUMMYFUNCTION("""COMPUTED_VALUE"""),"Anonymizing text that contains sensitive information is crucial for a wide range of applications. Existing techniques face the emerging challenges of the re-identification ability of large language models (LLMs), which have shown advanced capability in me"&amp;"morizing detailed information and reasoning over dispersed pieces of patterns to draw conclusions. When defending against LLM-based re-identification, anonymization could jeopardize the utility of the resulting anonymized data in downstream tasks. In gene"&amp;"ral, the interaction between anonymization and data utility requires a deeper understanding within the context of LLMs. In this paper, we propose a framework composed of three key LLM-based components: $\textit{a privacy evaluator}$, $\textit{a utility ev"&amp;"aluator}$ and $\textit{an optimization component}$, which work collaboratively to perform anonymization. Extensive experiments demonstrate that the proposed model outperforms existing baselines, showing robustness in reducing the risk of re-identification"&amp;" while preserving greater data utility in downstream tasks. We provide detailed studies on these core modules. To consider large-scale and real-time applications, we investigate the distillation of the anonymization capabilities into lightweight models. A"&amp;"ll of our code and datasets will be made publicly available at $\texttt{[Github URL]}$.")</f>
        <v>Anonymizing text that contains sensitive information is crucial for a wide range of applications. Existing techniques face the emerging challenges of the re-identification ability of large language models (LLMs), which have shown advanced capability in memorizing detailed information and reasoning over dispersed pieces of patterns to draw conclusions. When defending against LLM-based re-identification, anonymization could jeopardize the utility of the resulting anonymized data in downstream tasks. In general, the interaction between anonymization and data utility requires a deeper understanding within the context of LLMs. In this paper, we propose a framework composed of three key LLM-based components: $\textit{a privacy evaluator}$, $\textit{a utility evaluator}$ and $\textit{an optimization component}$, which work collaboratively to perform anonymization. Extensive experiments demonstrate that the proposed model outperforms existing baselines, showing robustness in reducing the risk of re-identification while preserving greater data utility in downstream tasks. We provide detailed studies on these core modules. To consider large-scale and real-time applications, we investigate the distillation of the anonymization capabilities into lightweight models. All of our code and datasets will be made publicly available at $\texttt{[Github URL]}$.</v>
      </c>
      <c r="D3066" s="7" t="str">
        <f>IFERROR(__xludf.DUMMYFUNCTION("""COMPUTED_VALUE"""),"Tianyu Yang")</f>
        <v>Tianyu Yang</v>
      </c>
      <c r="E3066" s="7" t="str">
        <f>IFERROR(__xludf.DUMMYFUNCTION("""COMPUTED_VALUE"""),"Yes")</f>
        <v>Yes</v>
      </c>
      <c r="F3066" s="7" t="str">
        <f>IFERROR(__xludf.DUMMYFUNCTION("""COMPUTED_VALUE"""),"IP-Poster")</f>
        <v>IP-Poster</v>
      </c>
      <c r="G3066" s="7" t="str">
        <f>IFERROR(__xludf.DUMMYFUNCTION("""COMPUTED_VALUE"""),"In-Person")</f>
        <v>In-Person</v>
      </c>
      <c r="H3066" s="7" t="str">
        <f>IFERROR(__xludf.DUMMYFUNCTION("""COMPUTED_VALUE"""),"Hall 4/5")</f>
        <v>Hall 4/5</v>
      </c>
      <c r="I3066" s="7" t="str">
        <f>IFERROR(__xludf.DUMMYFUNCTION("""COMPUTED_VALUE"""),"Session 7: IP-Posters")</f>
        <v>Session 7: IP-Posters</v>
      </c>
      <c r="J3066" s="7" t="str">
        <f>IFERROR(__xludf.DUMMYFUNCTION("""COMPUTED_VALUE"""),"Poster Session 2")</f>
        <v>Poster Session 2</v>
      </c>
      <c r="K3066" s="7"/>
      <c r="L3066" s="8">
        <f>IFERROR(__xludf.DUMMYFUNCTION("""COMPUTED_VALUE"""),45867.0)</f>
        <v>45867</v>
      </c>
      <c r="M3066" s="7" t="str">
        <f>IFERROR(__xludf.DUMMYFUNCTION("""COMPUTED_VALUE"""),"10:30-12:00")</f>
        <v>10:30-12:00</v>
      </c>
      <c r="N3066" s="7"/>
    </row>
    <row r="3067">
      <c r="A3067" s="7" t="str">
        <f>IFERROR(__xludf.DUMMYFUNCTION("""COMPUTED_VALUE"""),"4242-MAIN")</f>
        <v>4242-MAIN</v>
      </c>
      <c r="B3067" s="7" t="str">
        <f>IFERROR(__xludf.DUMMYFUNCTION("""COMPUTED_VALUE"""),"SEAL: Scaling to Emphasize Attention for Long-Context Retrieval")</f>
        <v>SEAL: Scaling to Emphasize Attention for Long-Context Retrieval</v>
      </c>
      <c r="C3067" s="7" t="str">
        <f>IFERROR(__xludf.DUMMYFUNCTION("""COMPUTED_VALUE"""),"While many advanced LLMs are designed to handle long sequence data, we can still observe notable quality degradation even within the sequence limit. In this work, we introduce a novel approach called Scaling to Emphasize Attention for Long-context retriev"&amp;"al (SEAL), which enhances the retrieval performance of large language models (LLMs) over long contexts. We observe that specific attention heads are closely tied to long-context retrieval, showing positive or negative correlation with retrieval scores, an"&amp;"d adjusting the strength of these heads boosts the quality of LLMs in long context by a large margin. Built on this insight, we propose a learning-based mechanism that leverages generated data to emphasize these heads. By applying SEAL, we achieve signifi"&amp;"cant improvements in long-context retrieval performance across various tasks and models. Additionally, when combined with existing training-free context extension techniques, SEAL extends the contextual limits of LLMs while maintaining highly reliable out"&amp;"puts.")</f>
        <v>While many advanced LLMs are designed to handle long sequence data, we can still observe notable quality degradation even within the sequence limit. In this work, we introduce a novel approach called Scaling to Emphasize Attention for Long-context retrieval (SEAL), which enhances the retrieval performance of large language models (LLMs) over long contexts. We observe that specific attention heads are closely tied to long-context retrieval, showing positive or negative correlation with retrieval scores, and adjusting the strength of these heads boosts the quality of LLMs in long context by a large margin. Built on this insight, we propose a learning-based mechanism that leverages generated data to emphasize these heads. By applying SEAL, we achieve significant improvements in long-context retrieval performance across various tasks and models. Additionally, when combined with existing training-free context extension techniques, SEAL extends the contextual limits of LLMs while maintaining highly reliable outputs.</v>
      </c>
      <c r="D3067" s="7" t="str">
        <f>IFERROR(__xludf.DUMMYFUNCTION("""COMPUTED_VALUE"""),"Changhun Lee")</f>
        <v>Changhun Lee</v>
      </c>
      <c r="E3067" s="7" t="str">
        <f>IFERROR(__xludf.DUMMYFUNCTION("""COMPUTED_VALUE"""),"Yes")</f>
        <v>Yes</v>
      </c>
      <c r="F3067" s="7" t="str">
        <f>IFERROR(__xludf.DUMMYFUNCTION("""COMPUTED_VALUE"""),"IP-Poster")</f>
        <v>IP-Poster</v>
      </c>
      <c r="G3067" s="7" t="str">
        <f>IFERROR(__xludf.DUMMYFUNCTION("""COMPUTED_VALUE"""),"In-Person")</f>
        <v>In-Person</v>
      </c>
      <c r="H3067" s="7" t="str">
        <f>IFERROR(__xludf.DUMMYFUNCTION("""COMPUTED_VALUE"""),"Hall 4/5")</f>
        <v>Hall 4/5</v>
      </c>
      <c r="I3067" s="7" t="str">
        <f>IFERROR(__xludf.DUMMYFUNCTION("""COMPUTED_VALUE"""),"Session 2: IP-Posters ")</f>
        <v>Session 2: IP-Posters </v>
      </c>
      <c r="J3067" s="7" t="str">
        <f>IFERROR(__xludf.DUMMYFUNCTION("""COMPUTED_VALUE"""),"Poster Session 1")</f>
        <v>Poster Session 1</v>
      </c>
      <c r="K3067" s="7"/>
      <c r="L3067" s="8">
        <f>IFERROR(__xludf.DUMMYFUNCTION("""COMPUTED_VALUE"""),45866.0)</f>
        <v>45866</v>
      </c>
      <c r="M3067" s="7" t="str">
        <f>IFERROR(__xludf.DUMMYFUNCTION("""COMPUTED_VALUE"""),"11:00-12:30")</f>
        <v>11:00-12:30</v>
      </c>
      <c r="N3067" s="7"/>
    </row>
    <row r="3068">
      <c r="A3068" s="7" t="str">
        <f>IFERROR(__xludf.DUMMYFUNCTION("""COMPUTED_VALUE"""),"4250-MAIN")</f>
        <v>4250-MAIN</v>
      </c>
      <c r="B3068" s="7" t="str">
        <f>IFERROR(__xludf.DUMMYFUNCTION("""COMPUTED_VALUE"""),"From Neurons to Semantics: Evaluating Cross-Linguistic Alignment Capabilities of Large Language Models via Neurons Alignment")</f>
        <v>From Neurons to Semantics: Evaluating Cross-Linguistic Alignment Capabilities of Large Language Models via Neurons Alignment</v>
      </c>
      <c r="C3068" s="7" t="str">
        <f>IFERROR(__xludf.DUMMYFUNCTION("""COMPUTED_VALUE"""),"Large language models (LLMs) have demonstrated remarkable multilingual capabilities, however, how to evaluate cross-lingual alignment remains underexplored. Existing alignment benchmarks primarily focus on sentence embeddings, but prior research has shown"&amp;" that neural models tend to induce a non-smooth representation space, which impact of semantic alignment evaluation on low-resource languages. Inspired by neuroscientific findings that similar information activates overlapping neuronal regions, we propose"&amp;" a novel *Neuron State-Based Cross-Lingual Alignment* $(\textbf{NeuronXA})$ to assess the cross-lingual a lignment capabilities of LLMs, which offers a more semantically grounded approach to assess cross-lingual alignment. We evaluate NeuronXA on several "&amp;"prominent multilingual LLMs (LLaMA, Qwen, Mistral, GLM, and OLMo) across two transfer tasks and three multilingual benchmarks. The results demonstrate that with only 100 parallel sentence pairs, NeuronXA achieves a Pearson correlation of 0.9556 with downs"&amp;"tream tasks performance and 0.8524 with transferability. These findings demonstrate NeuronXA's effectiveness in assessing both cross-lingual alignment and transferability, even with a small dataset. This highlights its potential to advance cross-lingual a"&amp;"lignment research and to improve the semantic understanding of multilingual LLMs.")</f>
        <v>Large language models (LLMs) have demonstrated remarkable multilingual capabilities, however, how to evaluate cross-lingual alignment remains underexplored. Existing alignment benchmarks primarily focus on sentence embeddings, but prior research has shown that neural models tend to induce a non-smooth representation space, which impact of semantic alignment evaluation on low-resource languages. Inspired by neuroscientific findings that similar information activates overlapping neuronal regions, we propose a novel *Neuron State-Based Cross-Lingual Alignment* $(\textbf{NeuronXA})$ to assess the cross-lingual a lignment capabilities of LLMs, which offers a more semantically grounded approach to assess cross-lingual alignment. We evaluate NeuronXA on several prominent multilingual LLMs (LLaMA, Qwen, Mistral, GLM, and OLMo) across two transfer tasks and three multilingual benchmarks. The results demonstrate that with only 100 parallel sentence pairs, NeuronXA achieves a Pearson correlation of 0.9556 with downstream tasks performance and 0.8524 with transferability. These findings demonstrate NeuronXA's effectiveness in assessing both cross-lingual alignment and transferability, even with a small dataset. This highlights its potential to advance cross-lingual alignment research and to improve the semantic understanding of multilingual LLMs.</v>
      </c>
      <c r="D3068" s="7" t="str">
        <f>IFERROR(__xludf.DUMMYFUNCTION("""COMPUTED_VALUE"""),"Chongxuan Huang")</f>
        <v>Chongxuan Huang</v>
      </c>
      <c r="E3068" s="7" t="str">
        <f>IFERROR(__xludf.DUMMYFUNCTION("""COMPUTED_VALUE"""),"Yes")</f>
        <v>Yes</v>
      </c>
      <c r="F3068" s="7" t="str">
        <f>IFERROR(__xludf.DUMMYFUNCTION("""COMPUTED_VALUE"""),"IP-Poster")</f>
        <v>IP-Poster</v>
      </c>
      <c r="G3068" s="7" t="str">
        <f>IFERROR(__xludf.DUMMYFUNCTION("""COMPUTED_VALUE"""),"In-Person")</f>
        <v>In-Person</v>
      </c>
      <c r="H3068" s="7" t="str">
        <f>IFERROR(__xludf.DUMMYFUNCTION("""COMPUTED_VALUE"""),"Hall 4/5")</f>
        <v>Hall 4/5</v>
      </c>
      <c r="I3068" s="7" t="str">
        <f>IFERROR(__xludf.DUMMYFUNCTION("""COMPUTED_VALUE"""),"Session 12: IP-Posters")</f>
        <v>Session 12: IP-Posters</v>
      </c>
      <c r="J3068" s="7" t="str">
        <f>IFERROR(__xludf.DUMMYFUNCTION("""COMPUTED_VALUE"""),"Poster Session 4")</f>
        <v>Poster Session 4</v>
      </c>
      <c r="K3068" s="7"/>
      <c r="L3068" s="8">
        <f>IFERROR(__xludf.DUMMYFUNCTION("""COMPUTED_VALUE"""),45868.0)</f>
        <v>45868</v>
      </c>
      <c r="M3068" s="7" t="str">
        <f>IFERROR(__xludf.DUMMYFUNCTION("""COMPUTED_VALUE"""),"11:00-12:30")</f>
        <v>11:00-12:30</v>
      </c>
      <c r="N3068" s="7"/>
    </row>
    <row r="3069">
      <c r="A3069" s="7" t="str">
        <f>IFERROR(__xludf.DUMMYFUNCTION("""COMPUTED_VALUE"""),"4252-MAIN")</f>
        <v>4252-MAIN</v>
      </c>
      <c r="B3069" s="7" t="str">
        <f>IFERROR(__xludf.DUMMYFUNCTION("""COMPUTED_VALUE"""),"A3: Automatic Alignment Framework for Attributed Text Generation")</f>
        <v>A3: Automatic Alignment Framework for Attributed Text Generation</v>
      </c>
      <c r="C3069" s="7" t="str">
        <f>IFERROR(__xludf.DUMMYFUNCTION("""COMPUTED_VALUE"""),"Attributed text generation aims to enhance the reliability of content generated from large language models by providing citations for each claim, which thereby enables users to easily verify the correctness of the responses.
However, the scarcity of high-"&amp;"quality training samples presents a significant challenge in aligning large language models to generate texts with citations, revealing considerable room for improvement in existing attribution systems.
Besides, existing approaches of aligning large langu"&amp;"age models to follow user instructions can lead to an undue emphasis on irrelevant documents, which in turn reduces the quality of responses.
To address the above problems, we propose \textbf{A}utomatic \textbf{A}lignment Framework for \textbf{A}ttributed"&amp;" Text Generation~(\textbf{$\mathcal{A}^3$}), a novel framework designed to automatically generate high-quality attributed query-response pairs for both supervised fine-tuning and preference optimization stages without human annotation.
With the help of \t"&amp;"extbf{$\mathcal{A}^3$}, Mistral-7B can achieve a citation recall of \textbf{84.4} and a precision of \textbf{87.0} precision on ASQA, which notably surpasses GPT-4's citation recall of \textbf{73.0} and precision of \textbf{76.5}.")</f>
        <v>Attributed text generation aims to enhance the reliability of content generated from large language models by providing citations for each claim, which thereby enables users to easily verify the correctness of the responses.
However, the scarcity of high-quality training samples presents a significant challenge in aligning large language models to generate texts with citations, revealing considerable room for improvement in existing attribution systems.
Besides, existing approaches of aligning large language models to follow user instructions can lead to an undue emphasis on irrelevant documents, which in turn reduces the quality of responses.
To address the above problems, we propose \textbf{A}utomatic \textbf{A}lignment Framework for \textbf{A}ttributed Text Generation~(\textbf{$\mathcal{A}^3$}), a novel framework designed to automatically generate high-quality attributed query-response pairs for both supervised fine-tuning and preference optimization stages without human annotation.
With the help of \textbf{$\mathcal{A}^3$}, Mistral-7B can achieve a citation recall of \textbf{84.4} and a precision of \textbf{87.0} precision on ASQA, which notably surpasses GPT-4's citation recall of \textbf{73.0} and precision of \textbf{76.5}.</v>
      </c>
      <c r="D3069" s="7" t="str">
        <f>IFERROR(__xludf.DUMMYFUNCTION("""COMPUTED_VALUE"""),"Yue Wang")</f>
        <v>Yue Wang</v>
      </c>
      <c r="E3069" s="7" t="str">
        <f>IFERROR(__xludf.DUMMYFUNCTION("""COMPUTED_VALUE"""),"Yes")</f>
        <v>Yes</v>
      </c>
      <c r="F3069" s="7" t="str">
        <f>IFERROR(__xludf.DUMMYFUNCTION("""COMPUTED_VALUE"""),"IP-Poster")</f>
        <v>IP-Poster</v>
      </c>
      <c r="G3069" s="7" t="str">
        <f>IFERROR(__xludf.DUMMYFUNCTION("""COMPUTED_VALUE"""),"In-Person")</f>
        <v>In-Person</v>
      </c>
      <c r="H3069" s="7" t="str">
        <f>IFERROR(__xludf.DUMMYFUNCTION("""COMPUTED_VALUE"""),"Hall 4/5")</f>
        <v>Hall 4/5</v>
      </c>
      <c r="I3069" s="7" t="str">
        <f>IFERROR(__xludf.DUMMYFUNCTION("""COMPUTED_VALUE"""),"Session 12: IP-Posters")</f>
        <v>Session 12: IP-Posters</v>
      </c>
      <c r="J3069" s="7" t="str">
        <f>IFERROR(__xludf.DUMMYFUNCTION("""COMPUTED_VALUE"""),"Poster Session 4")</f>
        <v>Poster Session 4</v>
      </c>
      <c r="K3069" s="7"/>
      <c r="L3069" s="8">
        <f>IFERROR(__xludf.DUMMYFUNCTION("""COMPUTED_VALUE"""),45868.0)</f>
        <v>45868</v>
      </c>
      <c r="M3069" s="7" t="str">
        <f>IFERROR(__xludf.DUMMYFUNCTION("""COMPUTED_VALUE"""),"11:00-12:30")</f>
        <v>11:00-12:30</v>
      </c>
      <c r="N3069" s="7"/>
    </row>
    <row r="3070">
      <c r="A3070" s="7" t="str">
        <f>IFERROR(__xludf.DUMMYFUNCTION("""COMPUTED_VALUE"""),"4262-MAIN")</f>
        <v>4262-MAIN</v>
      </c>
      <c r="B3070" s="7" t="str">
        <f>IFERROR(__xludf.DUMMYFUNCTION("""COMPUTED_VALUE"""),"Towards Better Value Principles for Large Language Model Alignment: A Systematic Evaluation and Enhancement")</f>
        <v>Towards Better Value Principles for Large Language Model Alignment: A Systematic Evaluation and Enhancement</v>
      </c>
      <c r="C3070" s="7" t="str">
        <f>IFERROR(__xludf.DUMMYFUNCTION("""COMPUTED_VALUE"""),"As Large Language Models (LLMs) advance, aligning them with human values is critical for their responsible development. Value principles serve as the foundation for clarifying alignment goals.
Multiple sets of value principles have been proposed, such as "&amp;"HHH (helpful, honest, harmless) and instructions for data synthesis in reinforcement learning from AI feedback (RLAIF). However, most of them are heuristically crafted, without consideration of three primary challenges in practical LLM alignment: 1) Compr"&amp;"ehensiveness to deal with diverse and even unforeseen scenarios in which LLMs could be applied; 2) Precision to provide LLMs with clear and actionable guidance in specific scenarios; and 3) Compatability to avoid internal contracts between principles.
In "&amp;"this paper, we formalize quantitative metrics to evaluate value principles along the three desirable properties. Building on these metrics, we propose the Hierarchical Value Principle framework (HiVaP), which constructs a hierarchical principle set and re"&amp;"trieves principles tailored to each scenario in a cascading way, addressing above challenges.
Experimental results validate that the three metrics capture the effectiveness of value principles for LLM alignment, and our HiVaP framework that enhances these"&amp;" metrics leads to superior alignment. 
Warning: This paper contains several toxic and offensive statements.")</f>
        <v>As Large Language Models (LLMs) advance, aligning them with human values is critical for their responsible development. Value principles serve as the foundation for clarifying alignment goals.
Multiple sets of value principles have been proposed, such as HHH (helpful, honest, harmless) and instructions for data synthesis in reinforcement learning from AI feedback (RLAIF). However, most of them are heuristically crafted, without consideration of three primary challenges in practical LLM alignment: 1) Comprehensiveness to deal with diverse and even unforeseen scenarios in which LLMs could be applied; 2) Precision to provide LLMs with clear and actionable guidance in specific scenarios; and 3) Compatability to avoid internal contracts between principles.
In this paper, we formalize quantitative metrics to evaluate value principles along the three desirable properties. Building on these metrics, we propose the Hierarchical Value Principle framework (HiVaP), which constructs a hierarchical principle set and retrieves principles tailored to each scenario in a cascading way, addressing above challenges.
Experimental results validate that the three metrics capture the effectiveness of value principles for LLM alignment, and our HiVaP framework that enhances these metrics leads to superior alignment. 
Warning: This paper contains several toxic and offensive statements.</v>
      </c>
      <c r="D3070" s="7" t="str">
        <f>IFERROR(__xludf.DUMMYFUNCTION("""COMPUTED_VALUE"""),"Bingbing Xu")</f>
        <v>Bingbing Xu</v>
      </c>
      <c r="E3070" s="7" t="str">
        <f>IFERROR(__xludf.DUMMYFUNCTION("""COMPUTED_VALUE"""),"Yes")</f>
        <v>Yes</v>
      </c>
      <c r="F3070" s="7" t="str">
        <f>IFERROR(__xludf.DUMMYFUNCTION("""COMPUTED_VALUE"""),"IP-Poster")</f>
        <v>IP-Poster</v>
      </c>
      <c r="G3070" s="7" t="str">
        <f>IFERROR(__xludf.DUMMYFUNCTION("""COMPUTED_VALUE"""),"In-Person")</f>
        <v>In-Person</v>
      </c>
      <c r="H3070" s="7" t="str">
        <f>IFERROR(__xludf.DUMMYFUNCTION("""COMPUTED_VALUE"""),"Hall 4/5")</f>
        <v>Hall 4/5</v>
      </c>
      <c r="I3070" s="7" t="str">
        <f>IFERROR(__xludf.DUMMYFUNCTION("""COMPUTED_VALUE"""),"Session 2: IP-Posters ")</f>
        <v>Session 2: IP-Posters </v>
      </c>
      <c r="J3070" s="7" t="str">
        <f>IFERROR(__xludf.DUMMYFUNCTION("""COMPUTED_VALUE"""),"Poster Session 1")</f>
        <v>Poster Session 1</v>
      </c>
      <c r="K3070" s="7"/>
      <c r="L3070" s="8">
        <f>IFERROR(__xludf.DUMMYFUNCTION("""COMPUTED_VALUE"""),45866.0)</f>
        <v>45866</v>
      </c>
      <c r="M3070" s="7" t="str">
        <f>IFERROR(__xludf.DUMMYFUNCTION("""COMPUTED_VALUE"""),"11:00-12:30")</f>
        <v>11:00-12:30</v>
      </c>
      <c r="N3070" s="7"/>
    </row>
    <row r="3071">
      <c r="A3071" s="7" t="str">
        <f>IFERROR(__xludf.DUMMYFUNCTION("""COMPUTED_VALUE"""),"4271-MAIN")</f>
        <v>4271-MAIN</v>
      </c>
      <c r="B3071" s="7" t="str">
        <f>IFERROR(__xludf.DUMMYFUNCTION("""COMPUTED_VALUE"""),"Rethinking Semantic Parsing for Large Language Models: Enhancing LLM Performance with Semantic Hints")</f>
        <v>Rethinking Semantic Parsing for Large Language Models: Enhancing LLM Performance with Semantic Hints</v>
      </c>
      <c r="C3071" s="7" t="str">
        <f>IFERROR(__xludf.DUMMYFUNCTION("""COMPUTED_VALUE"""),"Semantic Parsing aims to capture the meaning of a sentence and convert it into a logical, structured form. Previous studies show that semantic parsing enhances the performance of smaller models (e.g., BERT) on downstream tasks. However, it remains unclear"&amp;" whether the improvements extend similarly to LLMs. In this paper, our empirical findings reveal that, unlike smaller models, directly adding semantic parsing results into LLMs reduces their performance. To overcome this, we propose SENSE, a novel prompti"&amp;"ng approach that embeds semantic hints within the prompt. Experiments show that SENSE consistently improves LLMs' performance across various tasks, highlighting the potential of integrating semantic information to improve LLM capabilities.")</f>
        <v>Semantic Parsing aims to capture the meaning of a sentence and convert it into a logical, structured form. Previous studies show that semantic parsing enhances the performance of smaller models (e.g., BERT) on downstream tasks. However, it remains unclear whether the improvements extend similarly to LLMs. In this paper, our empirical findings reveal that, unlike smaller models, directly adding semantic parsing results into LLMs reduces their performance. To overcome this, we propose SENSE, a novel prompting approach that embeds semantic hints within the prompt. Experiments show that SENSE consistently improves LLMs' performance across various tasks, highlighting the potential of integrating semantic information to improve LLM capabilities.</v>
      </c>
      <c r="D3071" s="7" t="str">
        <f>IFERROR(__xludf.DUMMYFUNCTION("""COMPUTED_VALUE"""),"Kaikai An")</f>
        <v>Kaikai An</v>
      </c>
      <c r="E3071" s="7" t="str">
        <f>IFERROR(__xludf.DUMMYFUNCTION("""COMPUTED_VALUE"""),"Yes")</f>
        <v>Yes</v>
      </c>
      <c r="F3071" s="7" t="str">
        <f>IFERROR(__xludf.DUMMYFUNCTION("""COMPUTED_VALUE"""),"V-Presentation")</f>
        <v>V-Presentation</v>
      </c>
      <c r="G3071" s="7" t="str">
        <f>IFERROR(__xludf.DUMMYFUNCTION("""COMPUTED_VALUE"""),"Virtual/Gather")</f>
        <v>Virtual/Gather</v>
      </c>
      <c r="H3071" s="7" t="str">
        <f>IFERROR(__xludf.DUMMYFUNCTION("""COMPUTED_VALUE"""),"Zoom")</f>
        <v>Zoom</v>
      </c>
      <c r="I3071" s="7" t="str">
        <f>IFERROR(__xludf.DUMMYFUNCTION("""COMPUTED_VALUE"""),"Session 10: V-Presentations")</f>
        <v>Session 10: V-Presentations</v>
      </c>
      <c r="J3071" s="7" t="str">
        <f>IFERROR(__xludf.DUMMYFUNCTION("""COMPUTED_VALUE"""),"Virtual Presentations 3")</f>
        <v>Virtual Presentations 3</v>
      </c>
      <c r="K3071" s="7"/>
      <c r="L3071" s="8">
        <f>IFERROR(__xludf.DUMMYFUNCTION("""COMPUTED_VALUE"""),45867.0)</f>
        <v>45867</v>
      </c>
      <c r="M3071" s="7" t="str">
        <f>IFERROR(__xludf.DUMMYFUNCTION("""COMPUTED_VALUE"""),"16:00-17:30")</f>
        <v>16:00-17:30</v>
      </c>
      <c r="N3071" s="7"/>
    </row>
    <row r="3072">
      <c r="A3072" s="7" t="str">
        <f>IFERROR(__xludf.DUMMYFUNCTION("""COMPUTED_VALUE"""),"4273-MAIN")</f>
        <v>4273-MAIN</v>
      </c>
      <c r="B3072" s="7" t="str">
        <f>IFERROR(__xludf.DUMMYFUNCTION("""COMPUTED_VALUE"""),"Language Models, Graph Searching, and Supervision Adulteration: When More Supervision is Less and How to Make More More")</f>
        <v>Language Models, Graph Searching, and Supervision Adulteration: When More Supervision is Less and How to Make More More</v>
      </c>
      <c r="C3072" s="7" t="str">
        <f>IFERROR(__xludf.DUMMYFUNCTION("""COMPUTED_VALUE"""),"This work concerns the path-star task, a minimal example of searching over a graph. The graph, $G$, is star-shaped with $D$ arms radiating from a start node, $s$. A language model (LM) is given $G$, $s$, and a target node, $t$, which ends one of the arms "&amp;"and is tasked with generating the arm containing $t$. The minimal nature of this task means only a single choice needs to be made: which of the arms contains?
Decoder-only LMs fail to solve this elementary task above $1/D$ chance due to a learned shortcu"&amp;"t that absorbs training supervision. We show how this pathology is caused by excess supervision and present a series of solutions demonstrating that the task is solvable via decoder-only LMs. We find that the task's minimal nature causes its difficulty, a"&amp;"s it prevents task decomposition. Our solutions provide insight into the pathology and its implications for LMs trained via next-token prediction.")</f>
        <v>This work concerns the path-star task, a minimal example of searching over a graph. The graph, $G$, is star-shaped with $D$ arms radiating from a start node, $s$. A language model (LM) is given $G$, $s$, and a target node, $t$, which ends one of the arms and is tasked with generating the arm containing $t$. The minimal nature of this task means only a single choice needs to be made: which of the arms contains?
Decoder-only LMs fail to solve this elementary task above $1/D$ chance due to a learned shortcut that absorbs training supervision. We show how this pathology is caused by excess supervision and present a series of solutions demonstrating that the task is solvable via decoder-only LMs. We find that the task's minimal nature causes its difficulty, as it prevents task decomposition. Our solutions provide insight into the pathology and its implications for LMs trained via next-token prediction.</v>
      </c>
      <c r="D3072" s="7" t="str">
        <f>IFERROR(__xludf.DUMMYFUNCTION("""COMPUTED_VALUE"""),"Arvid Frydenlund")</f>
        <v>Arvid Frydenlund</v>
      </c>
      <c r="E3072" s="7" t="str">
        <f>IFERROR(__xludf.DUMMYFUNCTION("""COMPUTED_VALUE"""),"Yes")</f>
        <v>Yes</v>
      </c>
      <c r="F3072" s="7" t="str">
        <f>IFERROR(__xludf.DUMMYFUNCTION("""COMPUTED_VALUE"""),"IP-Poster")</f>
        <v>IP-Poster</v>
      </c>
      <c r="G3072" s="7" t="str">
        <f>IFERROR(__xludf.DUMMYFUNCTION("""COMPUTED_VALUE"""),"In-Person")</f>
        <v>In-Person</v>
      </c>
      <c r="H3072" s="7" t="str">
        <f>IFERROR(__xludf.DUMMYFUNCTION("""COMPUTED_VALUE"""),"Hall 4/5")</f>
        <v>Hall 4/5</v>
      </c>
      <c r="I3072" s="7" t="str">
        <f>IFERROR(__xludf.DUMMYFUNCTION("""COMPUTED_VALUE"""),"Session 7: IP-Posters")</f>
        <v>Session 7: IP-Posters</v>
      </c>
      <c r="J3072" s="7" t="str">
        <f>IFERROR(__xludf.DUMMYFUNCTION("""COMPUTED_VALUE"""),"Poster Session 2")</f>
        <v>Poster Session 2</v>
      </c>
      <c r="K3072" s="7"/>
      <c r="L3072" s="8">
        <f>IFERROR(__xludf.DUMMYFUNCTION("""COMPUTED_VALUE"""),45867.0)</f>
        <v>45867</v>
      </c>
      <c r="M3072" s="7" t="str">
        <f>IFERROR(__xludf.DUMMYFUNCTION("""COMPUTED_VALUE"""),"10:30-12:00")</f>
        <v>10:30-12:00</v>
      </c>
      <c r="N3072" s="7"/>
    </row>
    <row r="3073">
      <c r="A3073" s="7" t="str">
        <f>IFERROR(__xludf.DUMMYFUNCTION("""COMPUTED_VALUE"""),"4276-MAIN")</f>
        <v>4276-MAIN</v>
      </c>
      <c r="B3073" s="7" t="str">
        <f>IFERROR(__xludf.DUMMYFUNCTION("""COMPUTED_VALUE"""),"Comprehensive Analysis of Minimum Bayes Risk Decoding through Bias and Diversity Decomposition")</f>
        <v>Comprehensive Analysis of Minimum Bayes Risk Decoding through Bias and Diversity Decomposition</v>
      </c>
      <c r="C3073" s="7" t="str">
        <f>IFERROR(__xludf.DUMMYFUNCTION("""COMPUTED_VALUE"""),"Inference methods play an important role in eliciting the performance of large language models (LLMs). Currently, LLMs use inference methods utilizing generated multiple samples, which can be derived from Minimum Bayes Risk (MBR) Decoding. Previous studie"&amp;"s have conducted empirical analyses to clarify the improvements in generation performance achieved by MBR decoding and have reported various observations. However, the theoretical underpinnings of these findings remain uncertain. To address this, we offer"&amp;" a new theoretical interpretation of MBR decoding from the perspective of bias–diversity decomposition. In this interpretation, the error in the quality estimation of hypotheses by MBR decoding is decomposed into two main factors: bias, which considers th"&amp;"e closeness between the utility function and human evaluation, and diversity, which represents the variability in the quality estimation of the utility function. The theoretical analysis reveals the difficulty of simultaneously improving bias and diversit"&amp;"y, confirming the validity of enhancing MBR decoding performance by increasing diversity. Furthermore, we reveal that diversity can explain one aspect of inference scaling laws that describe performance improvement by increasing sample size. Moreover, exp"&amp;"eriments across multiple NLP tasks yielded results consistent with these theoretical characteristics. Our code is available at https://github.com/naist-nlp/mbr-bias-diversity.")</f>
        <v>Inference methods play an important role in eliciting the performance of large language models (LLMs). Currently, LLMs use inference methods utilizing generated multiple samples, which can be derived from Minimum Bayes Risk (MBR) Decoding. Previous studies have conducted empirical analyses to clarify the improvements in generation performance achieved by MBR decoding and have reported various observations. However, the theoretical underpinnings of these findings remain uncertain. To address this, we offer a new theoretical interpretation of MBR decoding from the perspective of bias–diversity decomposition. In this interpretation, the error in the quality estimation of hypotheses by MBR decoding is decomposed into two main factors: bias, which considers the closeness between the utility function and human evaluation, and diversity, which represents the variability in the quality estimation of the utility function. The theoretical analysis reveals the difficulty of simultaneously improving bias and diversity, confirming the validity of enhancing MBR decoding performance by increasing diversity. Furthermore, we reveal that diversity can explain one aspect of inference scaling laws that describe performance improvement by increasing sample size. Moreover, experiments across multiple NLP tasks yielded results consistent with these theoretical characteristics. Our code is available at https://github.com/naist-nlp/mbr-bias-diversity.</v>
      </c>
      <c r="D3073" s="7" t="str">
        <f>IFERROR(__xludf.DUMMYFUNCTION("""COMPUTED_VALUE"""),"Hidetaka Kamigaito")</f>
        <v>Hidetaka Kamigaito</v>
      </c>
      <c r="E3073" s="7" t="str">
        <f>IFERROR(__xludf.DUMMYFUNCTION("""COMPUTED_VALUE"""),"Yes")</f>
        <v>Yes</v>
      </c>
      <c r="F3073" s="7" t="str">
        <f>IFERROR(__xludf.DUMMYFUNCTION("""COMPUTED_VALUE"""),"IP-Poster")</f>
        <v>IP-Poster</v>
      </c>
      <c r="G3073" s="7" t="str">
        <f>IFERROR(__xludf.DUMMYFUNCTION("""COMPUTED_VALUE"""),"In-Person")</f>
        <v>In-Person</v>
      </c>
      <c r="H3073" s="7" t="str">
        <f>IFERROR(__xludf.DUMMYFUNCTION("""COMPUTED_VALUE"""),"Hall 4/5")</f>
        <v>Hall 4/5</v>
      </c>
      <c r="I3073" s="7" t="str">
        <f>IFERROR(__xludf.DUMMYFUNCTION("""COMPUTED_VALUE"""),"Session 10: IP-Posters")</f>
        <v>Session 10: IP-Posters</v>
      </c>
      <c r="J3073" s="7" t="str">
        <f>IFERROR(__xludf.DUMMYFUNCTION("""COMPUTED_VALUE"""),"Poster Session 3")</f>
        <v>Poster Session 3</v>
      </c>
      <c r="K3073" s="7"/>
      <c r="L3073" s="8">
        <f>IFERROR(__xludf.DUMMYFUNCTION("""COMPUTED_VALUE"""),45867.0)</f>
        <v>45867</v>
      </c>
      <c r="M3073" s="7" t="str">
        <f>IFERROR(__xludf.DUMMYFUNCTION("""COMPUTED_VALUE"""),"16:00-17:30")</f>
        <v>16:00-17:30</v>
      </c>
      <c r="N3073" s="7"/>
    </row>
    <row r="3074">
      <c r="A3074" s="7" t="str">
        <f>IFERROR(__xludf.DUMMYFUNCTION("""COMPUTED_VALUE"""),"4277-MAIN")</f>
        <v>4277-MAIN</v>
      </c>
      <c r="B3074" s="7" t="str">
        <f>IFERROR(__xludf.DUMMYFUNCTION("""COMPUTED_VALUE"""),"Performance Gap in Entity Knowledge Extraction Across Modalities in Vision Language Models")</f>
        <v>Performance Gap in Entity Knowledge Extraction Across Modalities in Vision Language Models</v>
      </c>
      <c r="C3074" s="7" t="str">
        <f>IFERROR(__xludf.DUMMYFUNCTION("""COMPUTED_VALUE"""),"Vision-language models (VLMs) excel at extracting and reasoning about information from images. Yet, their capacity to leverage internal knowledge about specific entities remains underexplored. This work investigates the disparity in model performance when"&amp;" answering factual questions about an entity described in text versus depicted in an image. Our results reveal a significant accuracy drop — reaching 18\% for some models — when the entity is presented visually instead of textually. To study this gap we p"&amp;"resent PopVQA, a dataset which allows separating entity recognition and question answering, and use it to benchmark several models. We hypothesize that this decline arises from limitations in how information flows from image tokens to query tokens. Thus, "&amp;"we use mechanistic interpretability tools to reveal that, although image tokens are preprocessed by the vision encoder, meaningful information flow from these tokens occurs only in the much deeper layers. Furthermore, critical image processing happens in "&amp;"the language model's middle layers, allowing few layers for consecutive reasoning, highlighting a potential inefficiency in how the model utilizes its layers for reasoning. These insights shed light on the internal mechanics of VLMs and offer pathways for"&amp;" enhancing their reasoning capabilities. PopVQA can be found at https://huggingface.co/datasets/idoco/PopVQA.")</f>
        <v>Vision-language models (VLMs) excel at extracting and reasoning about information from images. Yet, their capacity to leverage internal knowledge about specific entities remains underexplored. This work investigates the disparity in model performance when answering factual questions about an entity described in text versus depicted in an image. Our results reveal a significant accuracy drop — reaching 18\% for some models — when the entity is presented visually instead of textually. To study this gap we present PopVQA, a dataset which allows separating entity recognition and question answering, and use it to benchmark several models. We hypothesize that this decline arises from limitations in how information flows from image tokens to query tokens. Thus, we use mechanistic interpretability tools to reveal that, although image tokens are preprocessed by the vision encoder, meaningful information flow from these tokens occurs only in the much deeper layers. Furthermore, critical image processing happens in the language model's middle layers, allowing few layers for consecutive reasoning, highlighting a potential inefficiency in how the model utilizes its layers for reasoning. These insights shed light on the internal mechanics of VLMs and offer pathways for enhancing their reasoning capabilities. PopVQA can be found at https://huggingface.co/datasets/idoco/PopVQA.</v>
      </c>
      <c r="D3074" s="7" t="str">
        <f>IFERROR(__xludf.DUMMYFUNCTION("""COMPUTED_VALUE"""),"Ido Cohen")</f>
        <v>Ido Cohen</v>
      </c>
      <c r="E3074" s="7" t="str">
        <f>IFERROR(__xludf.DUMMYFUNCTION("""COMPUTED_VALUE"""),"Yes")</f>
        <v>Yes</v>
      </c>
      <c r="F3074" s="7" t="str">
        <f>IFERROR(__xludf.DUMMYFUNCTION("""COMPUTED_VALUE"""),"IP-Poster")</f>
        <v>IP-Poster</v>
      </c>
      <c r="G3074" s="7" t="str">
        <f>IFERROR(__xludf.DUMMYFUNCTION("""COMPUTED_VALUE"""),"In-Person")</f>
        <v>In-Person</v>
      </c>
      <c r="H3074" s="7" t="str">
        <f>IFERROR(__xludf.DUMMYFUNCTION("""COMPUTED_VALUE"""),"Hall 4/5")</f>
        <v>Hall 4/5</v>
      </c>
      <c r="I3074" s="7" t="str">
        <f>IFERROR(__xludf.DUMMYFUNCTION("""COMPUTED_VALUE"""),"Session 7: IP-Posters")</f>
        <v>Session 7: IP-Posters</v>
      </c>
      <c r="J3074" s="7" t="str">
        <f>IFERROR(__xludf.DUMMYFUNCTION("""COMPUTED_VALUE"""),"Poster Session 2")</f>
        <v>Poster Session 2</v>
      </c>
      <c r="K3074" s="7"/>
      <c r="L3074" s="8">
        <f>IFERROR(__xludf.DUMMYFUNCTION("""COMPUTED_VALUE"""),45867.0)</f>
        <v>45867</v>
      </c>
      <c r="M3074" s="7" t="str">
        <f>IFERROR(__xludf.DUMMYFUNCTION("""COMPUTED_VALUE"""),"10:30-12:00")</f>
        <v>10:30-12:00</v>
      </c>
      <c r="N3074" s="7"/>
    </row>
    <row r="3075">
      <c r="A3075" s="7" t="str">
        <f>IFERROR(__xludf.DUMMYFUNCTION("""COMPUTED_VALUE"""),"4278-MAIN")</f>
        <v>4278-MAIN</v>
      </c>
      <c r="B3075" s="7" t="str">
        <f>IFERROR(__xludf.DUMMYFUNCTION("""COMPUTED_VALUE"""),"SDD: Self-Degraded Defense against Malicious Fine-tuning")</f>
        <v>SDD: Self-Degraded Defense against Malicious Fine-tuning</v>
      </c>
      <c r="C3075" s="7" t="str">
        <f>IFERROR(__xludf.DUMMYFUNCTION("""COMPUTED_VALUE"""),"Open-source Large Language Models (LLMs) often employ safety alignment methods to resist harmful instructions. 
However, recent research shows that maliciously fine-tuning these LLMs on harmful data can easily bypass these safeguards. 
To counter this, we"&amp;" theoretically uncover why malicious fine-tuning succeeds and identify potential defense strategies. 
Building on the theoretical analysis, we introduce the Self-Degraded Defense (SDD) framework. 
SDD encourages LLMs to produce high-quality but irrelevant"&amp;" responses to harmful prompts. 
When attackers attempt malicious fine-tuning, the general capability of the LLM aligned by SDD will significantly decrease, rendering it incapable of following harmful instructions. 
Our experimental results confirm SDD's e"&amp;"ffectiveness against such attacks.
Our code is available at \url{https://github.com/ZeroNLP/SDD}.")</f>
        <v>Open-source Large Language Models (LLMs) often employ safety alignment methods to resist harmful instructions. 
However, recent research shows that maliciously fine-tuning these LLMs on harmful data can easily bypass these safeguards. 
To counter this, we theoretically uncover why malicious fine-tuning succeeds and identify potential defense strategies. 
Building on the theoretical analysis, we introduce the Self-Degraded Defense (SDD) framework. 
SDD encourages LLMs to produce high-quality but irrelevant responses to harmful prompts. 
When attackers attempt malicious fine-tuning, the general capability of the LLM aligned by SDD will significantly decrease, rendering it incapable of following harmful instructions. 
Our experimental results confirm SDD's effectiveness against such attacks.
Our code is available at \url{https://github.com/ZeroNLP/SDD}.</v>
      </c>
      <c r="D3075" s="7" t="str">
        <f>IFERROR(__xludf.DUMMYFUNCTION("""COMPUTED_VALUE"""),"ZiXuan Chen")</f>
        <v>ZiXuan Chen</v>
      </c>
      <c r="E3075" s="7" t="str">
        <f>IFERROR(__xludf.DUMMYFUNCTION("""COMPUTED_VALUE"""),"Yes")</f>
        <v>Yes</v>
      </c>
      <c r="F3075" s="7" t="str">
        <f>IFERROR(__xludf.DUMMYFUNCTION("""COMPUTED_VALUE"""),"IP-Oral")</f>
        <v>IP-Oral</v>
      </c>
      <c r="G3075" s="7" t="str">
        <f>IFERROR(__xludf.DUMMYFUNCTION("""COMPUTED_VALUE"""),"In-Person")</f>
        <v>In-Person</v>
      </c>
      <c r="H3075" s="7" t="str">
        <f>IFERROR(__xludf.DUMMYFUNCTION("""COMPUTED_VALUE"""),"Hall B")</f>
        <v>Hall B</v>
      </c>
      <c r="I3075" s="7" t="str">
        <f>IFERROR(__xludf.DUMMYFUNCTION("""COMPUTED_VALUE"""),"Session 3: IP-Orals")</f>
        <v>Session 3: IP-Orals</v>
      </c>
      <c r="J3075" s="7" t="str">
        <f>IFERROR(__xludf.DUMMYFUNCTION("""COMPUTED_VALUE"""),"NLP Applications 1")</f>
        <v>NLP Applications 1</v>
      </c>
      <c r="K3075" s="7"/>
      <c r="L3075" s="8">
        <f>IFERROR(__xludf.DUMMYFUNCTION("""COMPUTED_VALUE"""),45866.0)</f>
        <v>45866</v>
      </c>
      <c r="M3075" s="7" t="str">
        <f>IFERROR(__xludf.DUMMYFUNCTION("""COMPUTED_VALUE"""),"14:00-15:30")</f>
        <v>14:00-15:30</v>
      </c>
      <c r="N3075" s="7">
        <f>IFERROR(__xludf.DUMMYFUNCTION("""COMPUTED_VALUE"""),7.0)</f>
        <v>7</v>
      </c>
    </row>
    <row r="3076">
      <c r="A3076" s="7" t="str">
        <f>IFERROR(__xludf.DUMMYFUNCTION("""COMPUTED_VALUE"""),"4283-MAIN")</f>
        <v>4283-MAIN</v>
      </c>
      <c r="B3076" s="7" t="str">
        <f>IFERROR(__xludf.DUMMYFUNCTION("""COMPUTED_VALUE"""),"CoachMe: Decoding Sport Elements with a Reference-Based Coaching Instruction Generation Model")</f>
        <v>CoachMe: Decoding Sport Elements with a Reference-Based Coaching Instruction Generation Model</v>
      </c>
      <c r="C3076" s="7" t="str">
        <f>IFERROR(__xludf.DUMMYFUNCTION("""COMPUTED_VALUE"""),"Motion instruction is a crucial task that helps athletes refine their technique by analyzing movements and providing corrective guidance. Although recent advances in multimodal models have improved motion understanding,
generating precise and sport-specif"&amp;"ic instruction remains challenging due to the highly domain-specific nature of sports and the need for informative guidance. We propose CoachMe, a reference-based model that analyzes the differences between a learner’s motion and a reference under tempora"&amp;"l and physical aspects. This approach enables both domain-knowledge learning and the acquisition of a coach-like thinking process that identifies movement errors effectively and provides feedback to explain how to improve. In this paper, we
illustrate how"&amp;" CoachMe adapts well to specific sports such as skating and boxing by learning from general movements and then leveraging limited data. Experiments show that CoachMe provides high-quality instructions instead of directions merely in the tone of a coach bu"&amp;"t without critical information. CoachMe outperforms GPT-4o by 31.6\% in G-Eval on figure skating and by 58.3\% on boxing. Analysis
further confirms that it elaborates on errors and their corresponding improvement methods in the generated instructions. You"&amp;" can find CoachMe here: \url{https://motionxperts.github.io/}")</f>
        <v>Motion instruction is a crucial task that helps athletes refine their technique by analyzing movements and providing corrective guidance. Although recent advances in multimodal models have improved motion understanding,
generating precise and sport-specific instruction remains challenging due to the highly domain-specific nature of sports and the need for informative guidance. We propose CoachMe, a reference-based model that analyzes the differences between a learner’s motion and a reference under temporal and physical aspects. This approach enables both domain-knowledge learning and the acquisition of a coach-like thinking process that identifies movement errors effectively and provides feedback to explain how to improve. In this paper, we
illustrate how CoachMe adapts well to specific sports such as skating and boxing by learning from general movements and then leveraging limited data. Experiments show that CoachMe provides high-quality instructions instead of directions merely in the tone of a coach but without critical information. CoachMe outperforms GPT-4o by 31.6\% in G-Eval on figure skating and by 58.3\% on boxing. Analysis
further confirms that it elaborates on errors and their corresponding improvement methods in the generated instructions. You can find CoachMe here: \url{https://motionxperts.github.io/}</v>
      </c>
      <c r="D3076" s="7" t="str">
        <f>IFERROR(__xludf.DUMMYFUNCTION("""COMPUTED_VALUE"""),"Wei-Hsin Yeh")</f>
        <v>Wei-Hsin Yeh</v>
      </c>
      <c r="E3076" s="7" t="str">
        <f>IFERROR(__xludf.DUMMYFUNCTION("""COMPUTED_VALUE"""),"Yes")</f>
        <v>Yes</v>
      </c>
      <c r="F3076" s="7" t="str">
        <f>IFERROR(__xludf.DUMMYFUNCTION("""COMPUTED_VALUE"""),"IP-Poster")</f>
        <v>IP-Poster</v>
      </c>
      <c r="G3076" s="7" t="str">
        <f>IFERROR(__xludf.DUMMYFUNCTION("""COMPUTED_VALUE"""),"In-Person")</f>
        <v>In-Person</v>
      </c>
      <c r="H3076" s="7" t="str">
        <f>IFERROR(__xludf.DUMMYFUNCTION("""COMPUTED_VALUE"""),"Hall 4/5")</f>
        <v>Hall 4/5</v>
      </c>
      <c r="I3076" s="7" t="str">
        <f>IFERROR(__xludf.DUMMYFUNCTION("""COMPUTED_VALUE"""),"Session 10: IP-Posters")</f>
        <v>Session 10: IP-Posters</v>
      </c>
      <c r="J3076" s="7" t="str">
        <f>IFERROR(__xludf.DUMMYFUNCTION("""COMPUTED_VALUE"""),"Poster Session 3")</f>
        <v>Poster Session 3</v>
      </c>
      <c r="K3076" s="7"/>
      <c r="L3076" s="8">
        <f>IFERROR(__xludf.DUMMYFUNCTION("""COMPUTED_VALUE"""),45867.0)</f>
        <v>45867</v>
      </c>
      <c r="M3076" s="7" t="str">
        <f>IFERROR(__xludf.DUMMYFUNCTION("""COMPUTED_VALUE"""),"16:00-17:30")</f>
        <v>16:00-17:30</v>
      </c>
      <c r="N3076" s="7"/>
    </row>
    <row r="3077">
      <c r="A3077" s="7" t="str">
        <f>IFERROR(__xludf.DUMMYFUNCTION("""COMPUTED_VALUE"""),"4285-MAIN")</f>
        <v>4285-MAIN</v>
      </c>
      <c r="B3077" s="7" t="str">
        <f>IFERROR(__xludf.DUMMYFUNCTION("""COMPUTED_VALUE"""),"DRPruning: Efficient Large Language Model Pruning through Distributionally Robust Optimization")</f>
        <v>DRPruning: Efficient Large Language Model Pruning through Distributionally Robust Optimization</v>
      </c>
      <c r="C3077" s="7" t="str">
        <f>IFERROR(__xludf.DUMMYFUNCTION("""COMPUTED_VALUE"""),"Large language models (LLMs) deliver impressive results but face challenges from increasing model sizes and computational costs. Structured pruning reduces model size and speeds up inference but often causes uneven degradation across domains, leading to b"&amp;"iased performance. To address this, we propose *DRPruning*, a method that dynamically adjusts the data distribution during training to restore balanced performance across heterogeneous and multi-tasking data. Experiments in monolingual and multilingual se"&amp;"ttings show that DRPruning surpasses similarly sized models in both pruning and continued pretraining over perplexity, downstream tasks, and instruction tuning. Further analysis demonstrates the robustness of DRPruning towards various domains and distribu"&amp;"tion shifts. Furthermore, DRPruning can determine optimal reference losses and data ratios automatically, suggesting potential for broader applications. Code and scripts are available at https://github.com/hexuandeng/DRPruning.")</f>
        <v>Large language models (LLMs) deliver impressive results but face challenges from increasing model sizes and computational costs. Structured pruning reduces model size and speeds up inference but often causes uneven degradation across domains, leading to biased performance. To address this, we propose *DRPruning*, a method that dynamically adjusts the data distribution during training to restore balanced performance across heterogeneous and multi-tasking data. Experiments in monolingual and multilingual settings show that DRPruning surpasses similarly sized models in both pruning and continued pretraining over perplexity, downstream tasks, and instruction tuning. Further analysis demonstrates the robustness of DRPruning towards various domains and distribution shifts. Furthermore, DRPruning can determine optimal reference losses and data ratios automatically, suggesting potential for broader applications. Code and scripts are available at https://github.com/hexuandeng/DRPruning.</v>
      </c>
      <c r="D3077" s="7" t="str">
        <f>IFERROR(__xludf.DUMMYFUNCTION("""COMPUTED_VALUE"""),"Hexuan Deng")</f>
        <v>Hexuan Deng</v>
      </c>
      <c r="E3077" s="7" t="str">
        <f>IFERROR(__xludf.DUMMYFUNCTION("""COMPUTED_VALUE"""),"Yes")</f>
        <v>Yes</v>
      </c>
      <c r="F3077" s="7" t="str">
        <f>IFERROR(__xludf.DUMMYFUNCTION("""COMPUTED_VALUE"""),"IP-Poster")</f>
        <v>IP-Poster</v>
      </c>
      <c r="G3077" s="7" t="str">
        <f>IFERROR(__xludf.DUMMYFUNCTION("""COMPUTED_VALUE"""),"In-Person")</f>
        <v>In-Person</v>
      </c>
      <c r="H3077" s="7" t="str">
        <f>IFERROR(__xludf.DUMMYFUNCTION("""COMPUTED_VALUE"""),"Hall 4/5")</f>
        <v>Hall 4/5</v>
      </c>
      <c r="I3077" s="7" t="str">
        <f>IFERROR(__xludf.DUMMYFUNCTION("""COMPUTED_VALUE"""),"Session 10: IP-Posters")</f>
        <v>Session 10: IP-Posters</v>
      </c>
      <c r="J3077" s="7" t="str">
        <f>IFERROR(__xludf.DUMMYFUNCTION("""COMPUTED_VALUE"""),"Poster Session 3")</f>
        <v>Poster Session 3</v>
      </c>
      <c r="K3077" s="7"/>
      <c r="L3077" s="8">
        <f>IFERROR(__xludf.DUMMYFUNCTION("""COMPUTED_VALUE"""),45867.0)</f>
        <v>45867</v>
      </c>
      <c r="M3077" s="7" t="str">
        <f>IFERROR(__xludf.DUMMYFUNCTION("""COMPUTED_VALUE"""),"16:00-17:30")</f>
        <v>16:00-17:30</v>
      </c>
      <c r="N3077" s="7"/>
    </row>
    <row r="3078">
      <c r="A3078" s="7" t="str">
        <f>IFERROR(__xludf.DUMMYFUNCTION("""COMPUTED_VALUE"""),"4297-MAIN")</f>
        <v>4297-MAIN</v>
      </c>
      <c r="B3078" s="7" t="str">
        <f>IFERROR(__xludf.DUMMYFUNCTION("""COMPUTED_VALUE"""),"How LLMs Comprehend Temporal Structure in Narratives: A Case Study in Cognitive Evaluation of LLMs")</f>
        <v>How LLMs Comprehend Temporal Structure in Narratives: A Case Study in Cognitive Evaluation of LLMs</v>
      </c>
      <c r="C3078" s="7" t="str">
        <f>IFERROR(__xludf.DUMMYFUNCTION("""COMPUTED_VALUE"""),"Large language models (LLMs) exihibit increasingly sophisticated linguistic capabilities, yet the extent to which these behaviors reflect human-like cognition versus advanced pattern recognition remains an open question.
In this study, we investigate how "&amp;"LLMs process the temporal meaning of linguistic aspect in narratives that were previously used in human studies. Using an Expert-in-the-Loop probing pipeline, we conduct a series of targeted experiments to assess whether LLMs construct semantic representa"&amp;"tions and pragmatic inferences in a human-like manner.
Our findings show that LLMs over-rely on prototypicality, produce inconsistent aspectual judgments, and struggle with causal reasoning derived from aspect, raising concerns about their ability to full"&amp;"y comprehend narratives.
These results suggest that LLMs process aspect fundamentally differently from humans and lack robust narrative understanding.
Beyond these empirical findings, we develop a standardized experimental framework for the reliable  asse"&amp;"ssment of LLMs' cognitive and linguistic capabilities.")</f>
        <v>Large language models (LLMs) exihibit increasingly sophisticated linguistic capabilities, yet the extent to which these behaviors reflect human-like cognition versus advanced pattern recognition remains an open question.
In this study, we investigate how LLMs process the temporal meaning of linguistic aspect in narratives that were previously used in human studies. Using an Expert-in-the-Loop probing pipeline, we conduct a series of targeted experiments to assess whether LLMs construct semantic representations and pragmatic inferences in a human-like manner.
Our findings show that LLMs over-rely on prototypicality, produce inconsistent aspectual judgments, and struggle with causal reasoning derived from aspect, raising concerns about their ability to fully comprehend narratives.
These results suggest that LLMs process aspect fundamentally differently from humans and lack robust narrative understanding.
Beyond these empirical findings, we develop a standardized experimental framework for the reliable  assessment of LLMs' cognitive and linguistic capabilities.</v>
      </c>
      <c r="D3078" s="7" t="str">
        <f>IFERROR(__xludf.DUMMYFUNCTION("""COMPUTED_VALUE"""),"Karin de Langis")</f>
        <v>Karin de Langis</v>
      </c>
      <c r="E3078" s="7" t="str">
        <f>IFERROR(__xludf.DUMMYFUNCTION("""COMPUTED_VALUE"""),"Yes")</f>
        <v>Yes</v>
      </c>
      <c r="F3078" s="7" t="str">
        <f>IFERROR(__xludf.DUMMYFUNCTION("""COMPUTED_VALUE"""),"IP-Poster")</f>
        <v>IP-Poster</v>
      </c>
      <c r="G3078" s="7" t="str">
        <f>IFERROR(__xludf.DUMMYFUNCTION("""COMPUTED_VALUE"""),"In-Person")</f>
        <v>In-Person</v>
      </c>
      <c r="H3078" s="7" t="str">
        <f>IFERROR(__xludf.DUMMYFUNCTION("""COMPUTED_VALUE"""),"Hall 4/5")</f>
        <v>Hall 4/5</v>
      </c>
      <c r="I3078" s="7" t="str">
        <f>IFERROR(__xludf.DUMMYFUNCTION("""COMPUTED_VALUE"""),"Session 12: IP-Posters")</f>
        <v>Session 12: IP-Posters</v>
      </c>
      <c r="J3078" s="7" t="str">
        <f>IFERROR(__xludf.DUMMYFUNCTION("""COMPUTED_VALUE"""),"Poster Session 4")</f>
        <v>Poster Session 4</v>
      </c>
      <c r="K3078" s="7"/>
      <c r="L3078" s="8">
        <f>IFERROR(__xludf.DUMMYFUNCTION("""COMPUTED_VALUE"""),45868.0)</f>
        <v>45868</v>
      </c>
      <c r="M3078" s="7" t="str">
        <f>IFERROR(__xludf.DUMMYFUNCTION("""COMPUTED_VALUE"""),"11:00-12:30")</f>
        <v>11:00-12:30</v>
      </c>
      <c r="N3078" s="7"/>
    </row>
    <row r="3079">
      <c r="A3079" s="7" t="str">
        <f>IFERROR(__xludf.DUMMYFUNCTION("""COMPUTED_VALUE"""),"4304-MAIN")</f>
        <v>4304-MAIN</v>
      </c>
      <c r="B3079" s="7" t="str">
        <f>IFERROR(__xludf.DUMMYFUNCTION("""COMPUTED_VALUE"""),"Data Caricatures: On the Representation of African American Language in Pretraining Corpora")</f>
        <v>Data Caricatures: On the Representation of African American Language in Pretraining Corpora</v>
      </c>
      <c r="C3079" s="7" t="str">
        <f>IFERROR(__xludf.DUMMYFUNCTION("""COMPUTED_VALUE"""),"With a combination of quantitative experiments, human judgments, and qualitative analyses, we evaluate the quantity and quality of African American Language (AAL) representation in 12 predominantly English, open-source pretraining corpora. We specifically"&amp;" focus on the sources, variation, and naturalness of included AAL texts representing the AAL speaking community. We find that AAL is underrepresented in all evaluated pretraining corpora compared to US demographics, constituting as few as 0.007% and at mo"&amp;"st 0.18% of documents. We also find that more than 25% of AAL texts in C4 may be perceived as inappropriate for LLMs to generate and to reinforce harmful stereotypes. Finally, we find that most automated filters are more likely to conserve White Mainstrea"&amp;"m English (WME) texts over AAL in pretraining corpora.")</f>
        <v>With a combination of quantitative experiments, human judgments, and qualitative analyses, we evaluate the quantity and quality of African American Language (AAL) representation in 12 predominantly English, open-source pretraining corpora. We specifically focus on the sources, variation, and naturalness of included AAL texts representing the AAL speaking community. We find that AAL is underrepresented in all evaluated pretraining corpora compared to US demographics, constituting as few as 0.007% and at most 0.18% of documents. We also find that more than 25% of AAL texts in C4 may be perceived as inappropriate for LLMs to generate and to reinforce harmful stereotypes. Finally, we find that most automated filters are more likely to conserve White Mainstream English (WME) texts over AAL in pretraining corpora.</v>
      </c>
      <c r="D3079" s="7" t="str">
        <f>IFERROR(__xludf.DUMMYFUNCTION("""COMPUTED_VALUE"""),"Nicholas Deas")</f>
        <v>Nicholas Deas</v>
      </c>
      <c r="E3079" s="7" t="str">
        <f>IFERROR(__xludf.DUMMYFUNCTION("""COMPUTED_VALUE"""),"Yes")</f>
        <v>Yes</v>
      </c>
      <c r="F3079" s="7" t="str">
        <f>IFERROR(__xludf.DUMMYFUNCTION("""COMPUTED_VALUE"""),"IP-Poster")</f>
        <v>IP-Poster</v>
      </c>
      <c r="G3079" s="7" t="str">
        <f>IFERROR(__xludf.DUMMYFUNCTION("""COMPUTED_VALUE"""),"In-Person")</f>
        <v>In-Person</v>
      </c>
      <c r="H3079" s="7" t="str">
        <f>IFERROR(__xludf.DUMMYFUNCTION("""COMPUTED_VALUE"""),"Hall 4/5")</f>
        <v>Hall 4/5</v>
      </c>
      <c r="I3079" s="7" t="str">
        <f>IFERROR(__xludf.DUMMYFUNCTION("""COMPUTED_VALUE"""),"Session 10: IP-Posters")</f>
        <v>Session 10: IP-Posters</v>
      </c>
      <c r="J3079" s="7" t="str">
        <f>IFERROR(__xludf.DUMMYFUNCTION("""COMPUTED_VALUE"""),"Poster Session 3")</f>
        <v>Poster Session 3</v>
      </c>
      <c r="K3079" s="7"/>
      <c r="L3079" s="8">
        <f>IFERROR(__xludf.DUMMYFUNCTION("""COMPUTED_VALUE"""),45867.0)</f>
        <v>45867</v>
      </c>
      <c r="M3079" s="7" t="str">
        <f>IFERROR(__xludf.DUMMYFUNCTION("""COMPUTED_VALUE"""),"16:00-17:30")</f>
        <v>16:00-17:30</v>
      </c>
      <c r="N3079" s="7"/>
    </row>
    <row r="3080">
      <c r="A3080" s="7" t="str">
        <f>IFERROR(__xludf.DUMMYFUNCTION("""COMPUTED_VALUE"""),"4308-MAIN")</f>
        <v>4308-MAIN</v>
      </c>
      <c r="B3080" s="7" t="str">
        <f>IFERROR(__xludf.DUMMYFUNCTION("""COMPUTED_VALUE"""),"Language Model Probabilities are Not Calibrated in Numeric Contexts")</f>
        <v>Language Model Probabilities are Not Calibrated in Numeric Contexts</v>
      </c>
      <c r="C3080" s="7" t="str">
        <f>IFERROR(__xludf.DUMMYFUNCTION("""COMPUTED_VALUE"""),"Some statements have one well-defined continuation (e.g., ""the Eiffel Tower is in [$Paris$]""), whereas  others have a natural distribution over multiple options (e.g., ""the weighted coin flip was [$Heads/Tails$]."") We argue that language model (LM) ou"&amp;"tputs should capture these natural distributions. Our work specifically tests whether LM output probabilities are calibrated to numeric information within their textual contexts. For example, if the context (the prompt) concerns two equally likely options"&amp;" (e.g., heads or tails for a fair coin), the LM output probabilities should also be equal. Likewise, in a context with nonuniformly likely events (e.g., rolling a pair with two dice) an LM should output  proportionate probabilities. However, we find that "&amp;"even in simple settings, the best LMs (1) are poorly calibrated and (2) have systematic biases: artifacts like word identity, word order, and word frequency all impact calibration. For example, `gpt-4o-mini` often picks the first of two options presented "&amp;"in the prompt regardless of the options' implied likelihoods, whereas `Llama-3.1-8B` picks the second. Models do not allocate probability mass among valid options in a calibrated manner.")</f>
        <v>Some statements have one well-defined continuation (e.g., "the Eiffel Tower is in [$Paris$]"), whereas  others have a natural distribution over multiple options (e.g., "the weighted coin flip was [$Heads/Tails$].") We argue that language model (LM) outputs should capture these natural distributions. Our work specifically tests whether LM output probabilities are calibrated to numeric information within their textual contexts. For example, if the context (the prompt) concerns two equally likely options (e.g., heads or tails for a fair coin), the LM output probabilities should also be equal. Likewise, in a context with nonuniformly likely events (e.g., rolling a pair with two dice) an LM should output  proportionate probabilities. However, we find that even in simple settings, the best LMs (1) are poorly calibrated and (2) have systematic biases: artifacts like word identity, word order, and word frequency all impact calibration. For example, `gpt-4o-mini` often picks the first of two options presented in the prompt regardless of the options' implied likelihoods, whereas `Llama-3.1-8B` picks the second. Models do not allocate probability mass among valid options in a calibrated manner.</v>
      </c>
      <c r="D3080" s="7" t="str">
        <f>IFERROR(__xludf.DUMMYFUNCTION("""COMPUTED_VALUE"""),"Charles Lovering")</f>
        <v>Charles Lovering</v>
      </c>
      <c r="E3080" s="7" t="str">
        <f>IFERROR(__xludf.DUMMYFUNCTION("""COMPUTED_VALUE"""),"Yes")</f>
        <v>Yes</v>
      </c>
      <c r="F3080" s="7" t="str">
        <f>IFERROR(__xludf.DUMMYFUNCTION("""COMPUTED_VALUE"""),"IP-Poster")</f>
        <v>IP-Poster</v>
      </c>
      <c r="G3080" s="7" t="str">
        <f>IFERROR(__xludf.DUMMYFUNCTION("""COMPUTED_VALUE"""),"In-Person")</f>
        <v>In-Person</v>
      </c>
      <c r="H3080" s="7" t="str">
        <f>IFERROR(__xludf.DUMMYFUNCTION("""COMPUTED_VALUE"""),"Hall 4/5")</f>
        <v>Hall 4/5</v>
      </c>
      <c r="I3080" s="7" t="str">
        <f>IFERROR(__xludf.DUMMYFUNCTION("""COMPUTED_VALUE"""),"Session 12: IP-Posters")</f>
        <v>Session 12: IP-Posters</v>
      </c>
      <c r="J3080" s="7" t="str">
        <f>IFERROR(__xludf.DUMMYFUNCTION("""COMPUTED_VALUE"""),"Poster Session 4")</f>
        <v>Poster Session 4</v>
      </c>
      <c r="K3080" s="7"/>
      <c r="L3080" s="8">
        <f>IFERROR(__xludf.DUMMYFUNCTION("""COMPUTED_VALUE"""),45868.0)</f>
        <v>45868</v>
      </c>
      <c r="M3080" s="7" t="str">
        <f>IFERROR(__xludf.DUMMYFUNCTION("""COMPUTED_VALUE"""),"11:00-12:30")</f>
        <v>11:00-12:30</v>
      </c>
      <c r="N3080" s="7"/>
    </row>
    <row r="3081">
      <c r="A3081" s="7" t="str">
        <f>IFERROR(__xludf.DUMMYFUNCTION("""COMPUTED_VALUE"""),"4312-MAIN")</f>
        <v>4312-MAIN</v>
      </c>
      <c r="B3081" s="7" t="str">
        <f>IFERROR(__xludf.DUMMYFUNCTION("""COMPUTED_VALUE"""),"MDCure: A Scalable Pipeline for Multi-Document Instruction-Following")</f>
        <v>MDCure: A Scalable Pipeline for Multi-Document Instruction-Following</v>
      </c>
      <c r="C3081" s="7" t="str">
        <f>IFERROR(__xludf.DUMMYFUNCTION("""COMPUTED_VALUE"""),"Multi-document (MD) processing is crucial for LLMs to handle real-world tasks such as summarization and question-answering across large sets of documents. While LLMs have improved at processing long inputs, MD contexts still present unique difficulties, i"&amp;"ncluding management of inter-document dependencies, redundancy, and incoherent structures. To address this challenge, we introduce MDCure, a scalable and effective instruction data generation framework to enhance the MD capabilities of LLMs without the co"&amp;"mputational cost of pre-training or reliance on human-annotated data. MDCure generates high-quality synthetic MD instruction data over sets of articles via targeted prompts. We also introduce MDCureRM, a cost-effective, MD-specific reward model to score a"&amp;"nd filter generated data based on their training utility for MD settings. MDCure is compatible with open- and closed-source models in addition to policy optimization methods such as PPO, enabling even small open- source models to surpass proprietary LLMs "&amp;"as strong generators of high-quality MD instruction data without further data filtering. With MDCure, we fine-tune a wide variety of LLMs up to 70B parameters in size from the FlanT5, Qwen2, and LLAMA3.1 model families. Extensive evaluations on a wide ran"&amp;"ge of MD and long-context benchmarks spanning various tasks and domains show MDCure consistently improves performance over pre-trained baselines and base models by up to 75.1%.")</f>
        <v>Multi-document (MD) processing is crucial for LLMs to handle real-world tasks such as summarization and question-answering across large sets of documents. While LLMs have improved at processing long inputs, MD contexts still present unique difficulties, including management of inter-document dependencies, redundancy, and incoherent structures. To address this challenge, we introduce MDCure, a scalable and effective instruction data generation framework to enhance the MD capabilities of LLMs without the computational cost of pre-training or reliance on human-annotated data. MDCure generates high-quality synthetic MD instruction data over sets of articles via targeted prompts. We also introduce MDCureRM, a cost-effective, MD-specific reward model to score and filter generated data based on their training utility for MD settings. MDCure is compatible with open- and closed-source models in addition to policy optimization methods such as PPO, enabling even small open- source models to surpass proprietary LLMs as strong generators of high-quality MD instruction data without further data filtering. With MDCure, we fine-tune a wide variety of LLMs up to 70B parameters in size from the FlanT5, Qwen2, and LLAMA3.1 model families. Extensive evaluations on a wide range of MD and long-context benchmarks spanning various tasks and domains show MDCure consistently improves performance over pre-trained baselines and base models by up to 75.1%.</v>
      </c>
      <c r="D3081" s="7" t="str">
        <f>IFERROR(__xludf.DUMMYFUNCTION("""COMPUTED_VALUE"""),"Gabrielle Kaili-May Liu")</f>
        <v>Gabrielle Kaili-May Liu</v>
      </c>
      <c r="E3081" s="7" t="str">
        <f>IFERROR(__xludf.DUMMYFUNCTION("""COMPUTED_VALUE"""),"Yes")</f>
        <v>Yes</v>
      </c>
      <c r="F3081" s="7" t="str">
        <f>IFERROR(__xludf.DUMMYFUNCTION("""COMPUTED_VALUE"""),"IP-Poster")</f>
        <v>IP-Poster</v>
      </c>
      <c r="G3081" s="7" t="str">
        <f>IFERROR(__xludf.DUMMYFUNCTION("""COMPUTED_VALUE"""),"In-Person")</f>
        <v>In-Person</v>
      </c>
      <c r="H3081" s="7" t="str">
        <f>IFERROR(__xludf.DUMMYFUNCTION("""COMPUTED_VALUE"""),"Hall 4/5")</f>
        <v>Hall 4/5</v>
      </c>
      <c r="I3081" s="7" t="str">
        <f>IFERROR(__xludf.DUMMYFUNCTION("""COMPUTED_VALUE"""),"Session 12: IP-Posters")</f>
        <v>Session 12: IP-Posters</v>
      </c>
      <c r="J3081" s="7" t="str">
        <f>IFERROR(__xludf.DUMMYFUNCTION("""COMPUTED_VALUE"""),"Poster Session 4")</f>
        <v>Poster Session 4</v>
      </c>
      <c r="K3081" s="7"/>
      <c r="L3081" s="8">
        <f>IFERROR(__xludf.DUMMYFUNCTION("""COMPUTED_VALUE"""),45868.0)</f>
        <v>45868</v>
      </c>
      <c r="M3081" s="7" t="str">
        <f>IFERROR(__xludf.DUMMYFUNCTION("""COMPUTED_VALUE"""),"11:00-12:30")</f>
        <v>11:00-12:30</v>
      </c>
      <c r="N3081" s="7"/>
    </row>
    <row r="3082">
      <c r="A3082" s="7" t="str">
        <f>IFERROR(__xludf.DUMMYFUNCTION("""COMPUTED_VALUE"""),"4314-MAIN")</f>
        <v>4314-MAIN</v>
      </c>
      <c r="B3082" s="7" t="str">
        <f>IFERROR(__xludf.DUMMYFUNCTION("""COMPUTED_VALUE"""),"Misattribution Matters: Quantifying Unfairness in Authorship Attribution")</f>
        <v>Misattribution Matters: Quantifying Unfairness in Authorship Attribution</v>
      </c>
      <c r="C3082" s="7" t="str">
        <f>IFERROR(__xludf.DUMMYFUNCTION("""COMPUTED_VALUE"""),"Authorship misattribution can have profound consequences in real life. In forensic settings simply being considered as one of the potential authors of an evidential piece of text or communication can result in undesirable scrutiny. This raises a fairness "&amp;"question: Is every author in the candidate pool 
at equal risk of misattribution? Standard evaluation measures for authorship attribution systems do not explicitly account for this notion of fairness. We introduce a simple measure, Misattribution Unfairne"&amp;"ss Index ($MAUI_k$), which is based on how often authors are ranked in the top $k$ for texts they did not write. Using this measure we quantify the unfairness of five models on two different datasets. All models exhibit high levels of unfairness with incr"&amp;"eased risks for some authors. Furthermore, we find that this unfairness relates to how the models embed the authors as vectors in the latent search space. In particular, we observe that the risk of misattribution is higher for authors closer to the centro"&amp;"id (or center) of the embedded authors in the haystack. These results indicate the potential for harm and the need for communicating with and calibrating end users on misattribution risk when building and providing such models for downstream use.")</f>
        <v>Authorship misattribution can have profound consequences in real life. In forensic settings simply being considered as one of the potential authors of an evidential piece of text or communication can result in undesirable scrutiny. This raises a fairness question: Is every author in the candidate pool 
at equal risk of misattribution? Standard evaluation measures for authorship attribution systems do not explicitly account for this notion of fairness. We introduce a simple measure, Misattribution Unfairness Index ($MAUI_k$), which is based on how often authors are ranked in the top $k$ for texts they did not write. Using this measure we quantify the unfairness of five models on two different datasets. All models exhibit high levels of unfairness with increased risks for some authors. Furthermore, we find that this unfairness relates to how the models embed the authors as vectors in the latent search space. In particular, we observe that the risk of misattribution is higher for authors closer to the centroid (or center) of the embedded authors in the haystack. These results indicate the potential for harm and the need for communicating with and calibrating end users on misattribution risk when building and providing such models for downstream use.</v>
      </c>
      <c r="D3082" s="7" t="str">
        <f>IFERROR(__xludf.DUMMYFUNCTION("""COMPUTED_VALUE"""),"Pegah Alipoormolabashi")</f>
        <v>Pegah Alipoormolabashi</v>
      </c>
      <c r="E3082" s="7" t="str">
        <f>IFERROR(__xludf.DUMMYFUNCTION("""COMPUTED_VALUE"""),"Yes")</f>
        <v>Yes</v>
      </c>
      <c r="F3082" s="7" t="str">
        <f>IFERROR(__xludf.DUMMYFUNCTION("""COMPUTED_VALUE"""),"V-Presentation")</f>
        <v>V-Presentation</v>
      </c>
      <c r="G3082" s="7" t="str">
        <f>IFERROR(__xludf.DUMMYFUNCTION("""COMPUTED_VALUE"""),"Virtual/Gather")</f>
        <v>Virtual/Gather</v>
      </c>
      <c r="H3082" s="7" t="str">
        <f>IFERROR(__xludf.DUMMYFUNCTION("""COMPUTED_VALUE"""),"Zoom")</f>
        <v>Zoom</v>
      </c>
      <c r="I3082" s="7" t="str">
        <f>IFERROR(__xludf.DUMMYFUNCTION("""COMPUTED_VALUE"""),"Session 10: V-Presenations")</f>
        <v>Session 10: V-Presenations</v>
      </c>
      <c r="J3082" s="7" t="str">
        <f>IFERROR(__xludf.DUMMYFUNCTION("""COMPUTED_VALUE"""),"Virtual Presentations 3")</f>
        <v>Virtual Presentations 3</v>
      </c>
      <c r="K3082" s="7"/>
      <c r="L3082" s="8">
        <f>IFERROR(__xludf.DUMMYFUNCTION("""COMPUTED_VALUE"""),45867.0)</f>
        <v>45867</v>
      </c>
      <c r="M3082" s="7" t="str">
        <f>IFERROR(__xludf.DUMMYFUNCTION("""COMPUTED_VALUE"""),"16:00-17:30")</f>
        <v>16:00-17:30</v>
      </c>
      <c r="N3082" s="7"/>
    </row>
    <row r="3083">
      <c r="A3083" s="7" t="str">
        <f>IFERROR(__xludf.DUMMYFUNCTION("""COMPUTED_VALUE"""),"4316-MAIN")</f>
        <v>4316-MAIN</v>
      </c>
      <c r="B3083" s="7" t="str">
        <f>IFERROR(__xludf.DUMMYFUNCTION("""COMPUTED_VALUE"""),"Cross-Lingual Auto Evaluation for Assessing Multilingual LLMs")</f>
        <v>Cross-Lingual Auto Evaluation for Assessing Multilingual LLMs</v>
      </c>
      <c r="C3083" s="7" t="str">
        <f>IFERROR(__xludf.DUMMYFUNCTION("""COMPUTED_VALUE"""),"Evaluating machine-generated text remains a significant challenge in NLP, especially for non-English languages. Current methodologies, including automated metrics, human assessments, and LLM-based evaluations, predominantly focus on English, revealing a s"&amp;"ignificant gap in multilingual evaluation frameworks. We introduce the Cross Lingual Auto Evaluation (CIA) Suite, an extensible framework that includes evaluator LLMs (Hercule) and a novel test set (Recon) specifically designed for multilingual evaluation"&amp;". Our test set features 500 human-annotated instructions spanning various task capabilities along with human judgment scores across six languages. This would enable benchmarking of general-purpose multilingual LLMs and facilitate meta-evaluation of Evalua"&amp;"tor LLMs. The proposed model, Hercule, is a cross-lingual evaluation model that addresses the scarcity of reference answers in the target language by learning to assign scores to responses based on easily available reference answers in English. Our experi"&amp;"ments demonstrate that Hercule aligns more closely with human judgments compared to proprietary models, demonstrating the effectiveness of such cross-lingual evaluation in low resource scenarios. Further, it is also effective in zero-shot evaluation on un"&amp;"seen languages. This study is the first comprehensive examination of cross-lingual evaluation using LLMs, presenting a scalable and effective approach for multilingual assessment. All code, datasets, and models will be publicly available to enable further"&amp;" research in this important area.")</f>
        <v>Evaluating machine-generated text remains a significant challenge in NLP, especially for non-English languages. Current methodologies, including automated metrics, human assessments, and LLM-based evaluations, predominantly focus on English, revealing a significant gap in multilingual evaluation frameworks. We introduce the Cross Lingual Auto Evaluation (CIA) Suite, an extensible framework that includes evaluator LLMs (Hercule) and a novel test set (Recon) specifically designed for multilingual evaluation. Our test set features 500 human-annotated instructions spanning various task capabilities along with human judgment scores across six languages. This would enable benchmarking of general-purpose multilingual LLMs and facilitate meta-evaluation of Evaluator LLMs. The proposed model, Hercule, is a cross-lingual evaluation model that addresses the scarcity of reference answers in the target language by learning to assign scores to responses based on easily available reference answers in English. Our experiments demonstrate that Hercule aligns more closely with human judgments compared to proprietary models, demonstrating the effectiveness of such cross-lingual evaluation in low resource scenarios. Further, it is also effective in zero-shot evaluation on unseen languages. This study is the first comprehensive examination of cross-lingual evaluation using LLMs, presenting a scalable and effective approach for multilingual assessment. All code, datasets, and models will be publicly available to enable further research in this important area.</v>
      </c>
      <c r="D3083" s="7" t="str">
        <f>IFERROR(__xludf.DUMMYFUNCTION("""COMPUTED_VALUE"""),"Sumanth Doddapaneni")</f>
        <v>Sumanth Doddapaneni</v>
      </c>
      <c r="E3083" s="7" t="str">
        <f>IFERROR(__xludf.DUMMYFUNCTION("""COMPUTED_VALUE"""),"Yes")</f>
        <v>Yes</v>
      </c>
      <c r="F3083" s="7" t="str">
        <f>IFERROR(__xludf.DUMMYFUNCTION("""COMPUTED_VALUE"""),"IP-Poster")</f>
        <v>IP-Poster</v>
      </c>
      <c r="G3083" s="7" t="str">
        <f>IFERROR(__xludf.DUMMYFUNCTION("""COMPUTED_VALUE"""),"In-Person")</f>
        <v>In-Person</v>
      </c>
      <c r="H3083" s="7" t="str">
        <f>IFERROR(__xludf.DUMMYFUNCTION("""COMPUTED_VALUE"""),"Hall 4/5")</f>
        <v>Hall 4/5</v>
      </c>
      <c r="I3083" s="7" t="str">
        <f>IFERROR(__xludf.DUMMYFUNCTION("""COMPUTED_VALUE"""),"Session 12: IP-Posters")</f>
        <v>Session 12: IP-Posters</v>
      </c>
      <c r="J3083" s="7" t="str">
        <f>IFERROR(__xludf.DUMMYFUNCTION("""COMPUTED_VALUE"""),"Poster Session 4")</f>
        <v>Poster Session 4</v>
      </c>
      <c r="K3083" s="7"/>
      <c r="L3083" s="8">
        <f>IFERROR(__xludf.DUMMYFUNCTION("""COMPUTED_VALUE"""),45868.0)</f>
        <v>45868</v>
      </c>
      <c r="M3083" s="7" t="str">
        <f>IFERROR(__xludf.DUMMYFUNCTION("""COMPUTED_VALUE"""),"11:00-12:30")</f>
        <v>11:00-12:30</v>
      </c>
      <c r="N3083" s="7"/>
    </row>
    <row r="3084">
      <c r="A3084" s="7" t="str">
        <f>IFERROR(__xludf.DUMMYFUNCTION("""COMPUTED_VALUE"""),"4323-MAIN")</f>
        <v>4323-MAIN</v>
      </c>
      <c r="B3084" s="7" t="str">
        <f>IFERROR(__xludf.DUMMYFUNCTION("""COMPUTED_VALUE"""),"DeepReview: Improving LLM-based Paper Review with Human-like Deep Thinking Process")</f>
        <v>DeepReview: Improving LLM-based Paper Review with Human-like Deep Thinking Process</v>
      </c>
      <c r="C3084" s="7" t="str">
        <f>IFERROR(__xludf.DUMMYFUNCTION("""COMPUTED_VALUE"""),"Large Language Models (LLMs) are increasingly utilized in scientific research assessment, particularly in automated paper review. However, existing LLM-based review systems face significant challenges, including limited domain expertise, hallucinated reas"&amp;"oning, and a lack of structured evaluation. To address these limitations, we introduce DeepReview, a multi-stage framework designed to emulate expert reviewers by incorporating structured analysis, literature retrieval, and evidence-based argumentation. U"&amp;"sing DeepReview-13K, a curated dataset with structured annotations, we train DeepReviewer-14B, which outperforms CycleReviewer-70B with fewer tokens. In its best mode, DeepReviewer-14B achieves win rates of 88.21% and 80.20% against GPT-o1 and DeepSeek-R1"&amp;" in evaluations. Our work sets a new benchmark for LLM-based paper review, with all resources publicly available.")</f>
        <v>Large Language Models (LLMs) are increasingly utilized in scientific research assessment, particularly in automated paper review. However, existing LLM-based review systems face significant challenges, including limited domain expertise, hallucinated reasoning, and a lack of structured evaluation. To address these limitations, we introduce DeepReview, a multi-stage framework designed to emulate expert reviewers by incorporating structured analysis, literature retrieval, and evidence-based argumentation. Using DeepReview-13K, a curated dataset with structured annotations, we train DeepReviewer-14B, which outperforms CycleReviewer-70B with fewer tokens. In its best mode, DeepReviewer-14B achieves win rates of 88.21% and 80.20% against GPT-o1 and DeepSeek-R1 in evaluations. Our work sets a new benchmark for LLM-based paper review, with all resources publicly available.</v>
      </c>
      <c r="D3084" s="7" t="str">
        <f>IFERROR(__xludf.DUMMYFUNCTION("""COMPUTED_VALUE"""),"Yue Zhang")</f>
        <v>Yue Zhang</v>
      </c>
      <c r="E3084" s="7" t="str">
        <f>IFERROR(__xludf.DUMMYFUNCTION("""COMPUTED_VALUE"""),"Yes")</f>
        <v>Yes</v>
      </c>
      <c r="F3084" s="7" t="str">
        <f>IFERROR(__xludf.DUMMYFUNCTION("""COMPUTED_VALUE"""),"IP-Poster")</f>
        <v>IP-Poster</v>
      </c>
      <c r="G3084" s="7" t="str">
        <f>IFERROR(__xludf.DUMMYFUNCTION("""COMPUTED_VALUE"""),"In-Person")</f>
        <v>In-Person</v>
      </c>
      <c r="H3084" s="7" t="str">
        <f>IFERROR(__xludf.DUMMYFUNCTION("""COMPUTED_VALUE"""),"Hall 4/5")</f>
        <v>Hall 4/5</v>
      </c>
      <c r="I3084" s="7" t="str">
        <f>IFERROR(__xludf.DUMMYFUNCTION("""COMPUTED_VALUE"""),"Session 12: IP-Posters")</f>
        <v>Session 12: IP-Posters</v>
      </c>
      <c r="J3084" s="7" t="str">
        <f>IFERROR(__xludf.DUMMYFUNCTION("""COMPUTED_VALUE"""),"Poster Session 4")</f>
        <v>Poster Session 4</v>
      </c>
      <c r="K3084" s="7"/>
      <c r="L3084" s="8">
        <f>IFERROR(__xludf.DUMMYFUNCTION("""COMPUTED_VALUE"""),45868.0)</f>
        <v>45868</v>
      </c>
      <c r="M3084" s="7" t="str">
        <f>IFERROR(__xludf.DUMMYFUNCTION("""COMPUTED_VALUE"""),"11:00-12:30")</f>
        <v>11:00-12:30</v>
      </c>
      <c r="N3084" s="7"/>
    </row>
    <row r="3085">
      <c r="A3085" s="7" t="str">
        <f>IFERROR(__xludf.DUMMYFUNCTION("""COMPUTED_VALUE"""),"4328-MAIN")</f>
        <v>4328-MAIN</v>
      </c>
      <c r="B3085" s="7" t="str">
        <f>IFERROR(__xludf.DUMMYFUNCTION("""COMPUTED_VALUE"""),"Bypass Back-propagation: Optimization-based Structural Pruning for Large Language Models via Policy Gradient")</f>
        <v>Bypass Back-propagation: Optimization-based Structural Pruning for Large Language Models via Policy Gradient</v>
      </c>
      <c r="C3085" s="7" t="str">
        <f>IFERROR(__xludf.DUMMYFUNCTION("""COMPUTED_VALUE"""),"Recent Large-Language Models (LLMs) pruning methods typically operate at the post-training phase without the expensive weight finetuning, however, their pruning criteria often rely on **heuristically hand-crafted metrics**, potentially leading to suboptim"&amp;"al performance. We instead propose a novel **optimization-based structural pruning** that learns the pruning masks in a probabilistic space directly by optimizing the loss of the pruned model. To preserve the efficiency, our method **eliminates the back-p"&amp;"ropagation** through the LLM *per se* during the optimization, requiring only **the forward pass of the LLM**. We achieve this by learning an underlying Bernoulli distribution to sample binary pruning masks, where we decouple the Bernoulli parameters from"&amp;" the LLM loss, thus facilitating an efficient optimization via *policy gradient estimator* without back-propagation. As a result, our method is able to 1) *support global and heterogeneous pruning* (*i.e.*, our method automatically determines different re"&amp;"dundancy for different layers), and 2) *optionally initialize with a metric-based method* (for our Bernoulli distributions). Extensive experiments conducted on LLaMA, LLaMA-2, LLaMA-3, Vicuna, and Mistral models using the C4 and WikiText2 datasets demonst"&amp;"rate the promising performance of our method in efficiency and effectiveness.")</f>
        <v>Recent Large-Language Models (LLMs) pruning methods typically operate at the post-training phase without the expensive weight finetuning, however, their pruning criteria often rely on **heuristically hand-crafted metrics**, potentially leading to suboptimal performance. We instead propose a novel **optimization-based structural pruning** that learns the pruning masks in a probabilistic space directly by optimizing the loss of the pruned model. To preserve the efficiency, our method **eliminates the back-propagation** through the LLM *per se* during the optimization, requiring only **the forward pass of the LLM**. We achieve this by learning an underlying Bernoulli distribution to sample binary pruning masks, where we decouple the Bernoulli parameters from the LLM loss, thus facilitating an efficient optimization via *policy gradient estimator* without back-propagation. As a result, our method is able to 1) *support global and heterogeneous pruning* (*i.e.*, our method automatically determines different redundancy for different layers), and 2) *optionally initialize with a metric-based method* (for our Bernoulli distributions). Extensive experiments conducted on LLaMA, LLaMA-2, LLaMA-3, Vicuna, and Mistral models using the C4 and WikiText2 datasets demonstrate the promising performance of our method in efficiency and effectiveness.</v>
      </c>
      <c r="D3085" s="7" t="str">
        <f>IFERROR(__xludf.DUMMYFUNCTION("""COMPUTED_VALUE"""),"Zujing Liu")</f>
        <v>Zujing Liu</v>
      </c>
      <c r="E3085" s="7" t="str">
        <f>IFERROR(__xludf.DUMMYFUNCTION("""COMPUTED_VALUE"""),"Yes")</f>
        <v>Yes</v>
      </c>
      <c r="F3085" s="7" t="str">
        <f>IFERROR(__xludf.DUMMYFUNCTION("""COMPUTED_VALUE"""),"V-Presentation")</f>
        <v>V-Presentation</v>
      </c>
      <c r="G3085" s="7" t="str">
        <f>IFERROR(__xludf.DUMMYFUNCTION("""COMPUTED_VALUE"""),"Virtual/Gather")</f>
        <v>Virtual/Gather</v>
      </c>
      <c r="H3085" s="7" t="str">
        <f>IFERROR(__xludf.DUMMYFUNCTION("""COMPUTED_VALUE"""),"Zoom")</f>
        <v>Zoom</v>
      </c>
      <c r="I3085" s="7" t="str">
        <f>IFERROR(__xludf.DUMMYFUNCTION("""COMPUTED_VALUE"""),"Session 7: V--Presentations ")</f>
        <v>Session 7: V--Presentations </v>
      </c>
      <c r="J3085" s="7" t="str">
        <f>IFERROR(__xludf.DUMMYFUNCTION("""COMPUTED_VALUE"""),"Virtual Presentations 2")</f>
        <v>Virtual Presentations 2</v>
      </c>
      <c r="K3085" s="7"/>
      <c r="L3085" s="8">
        <f>IFERROR(__xludf.DUMMYFUNCTION("""COMPUTED_VALUE"""),45867.0)</f>
        <v>45867</v>
      </c>
      <c r="M3085" s="7" t="str">
        <f>IFERROR(__xludf.DUMMYFUNCTION("""COMPUTED_VALUE"""),"10:30-12:00")</f>
        <v>10:30-12:00</v>
      </c>
      <c r="N3085" s="7"/>
    </row>
    <row r="3086">
      <c r="A3086" s="7" t="str">
        <f>IFERROR(__xludf.DUMMYFUNCTION("""COMPUTED_VALUE"""),"4329-MAIN")</f>
        <v>4329-MAIN</v>
      </c>
      <c r="B3086" s="7" t="str">
        <f>IFERROR(__xludf.DUMMYFUNCTION("""COMPUTED_VALUE"""),"Zero-Shot Text-to-Speech for Vietnamese")</f>
        <v>Zero-Shot Text-to-Speech for Vietnamese</v>
      </c>
      <c r="C3086" s="7" t="str">
        <f>IFERROR(__xludf.DUMMYFUNCTION("""COMPUTED_VALUE"""),"This paper introduces PhoAudiobook, a newly curated dataset comprising 941 hours of high-quality audio for Vietnamese text-to-speech. Using PhoAudiobook, we conduct experiments on three leading zero-shot TTS models: VALL-E, VoiceCraft, and XTTS-V2. Our fi"&amp;"ndings demonstrate that PhoAudiobook consistently enhances model performance across various metrics. Moreover, VALL-E and VoiceCraft exhibit superior performance in synthesizing short sentences, highlighting their robustness in handling diverse linguistic"&amp;" contexts. We publicly release PhoAudiobook to facilitate further research and development in Vietnamese text-to-speech.")</f>
        <v>This paper introduces PhoAudiobook, a newly curated dataset comprising 941 hours of high-quality audio for Vietnamese text-to-speech. Using PhoAudiobook, we conduct experiments on three leading zero-shot TTS models: VALL-E, VoiceCraft, and XTTS-V2. Our findings demonstrate that PhoAudiobook consistently enhances model performance across various metrics. Moreover, VALL-E and VoiceCraft exhibit superior performance in synthesizing short sentences, highlighting their robustness in handling diverse linguistic contexts. We publicly release PhoAudiobook to facilitate further research and development in Vietnamese text-to-speech.</v>
      </c>
      <c r="D3086" s="7" t="str">
        <f>IFERROR(__xludf.DUMMYFUNCTION("""COMPUTED_VALUE"""),"Dat Quoc Nguyen")</f>
        <v>Dat Quoc Nguyen</v>
      </c>
      <c r="E3086" s="7" t="str">
        <f>IFERROR(__xludf.DUMMYFUNCTION("""COMPUTED_VALUE"""),"Yes")</f>
        <v>Yes</v>
      </c>
      <c r="F3086" s="7" t="str">
        <f>IFERROR(__xludf.DUMMYFUNCTION("""COMPUTED_VALUE"""),"IP-Poster")</f>
        <v>IP-Poster</v>
      </c>
      <c r="G3086" s="7" t="str">
        <f>IFERROR(__xludf.DUMMYFUNCTION("""COMPUTED_VALUE"""),"In-Person")</f>
        <v>In-Person</v>
      </c>
      <c r="H3086" s="7" t="str">
        <f>IFERROR(__xludf.DUMMYFUNCTION("""COMPUTED_VALUE"""),"Hall 4/5")</f>
        <v>Hall 4/5</v>
      </c>
      <c r="I3086" s="7" t="str">
        <f>IFERROR(__xludf.DUMMYFUNCTION("""COMPUTED_VALUE"""),"Session 12: IP-Posters")</f>
        <v>Session 12: IP-Posters</v>
      </c>
      <c r="J3086" s="7" t="str">
        <f>IFERROR(__xludf.DUMMYFUNCTION("""COMPUTED_VALUE"""),"Poster Session 4")</f>
        <v>Poster Session 4</v>
      </c>
      <c r="K3086" s="7"/>
      <c r="L3086" s="8">
        <f>IFERROR(__xludf.DUMMYFUNCTION("""COMPUTED_VALUE"""),45868.0)</f>
        <v>45868</v>
      </c>
      <c r="M3086" s="7" t="str">
        <f>IFERROR(__xludf.DUMMYFUNCTION("""COMPUTED_VALUE"""),"11:00-12:30")</f>
        <v>11:00-12:30</v>
      </c>
      <c r="N3086" s="7"/>
    </row>
    <row r="3087">
      <c r="A3087" s="7" t="str">
        <f>IFERROR(__xludf.DUMMYFUNCTION("""COMPUTED_VALUE"""),"4332-MAIN")</f>
        <v>4332-MAIN</v>
      </c>
      <c r="B3087" s="7" t="str">
        <f>IFERROR(__xludf.DUMMYFUNCTION("""COMPUTED_VALUE"""),"Tree-of-Debate: Multi-Persona Debate Trees Elicit Critical Thinking for Scientific Comparative Analysis")</f>
        <v>Tree-of-Debate: Multi-Persona Debate Trees Elicit Critical Thinking for Scientific Comparative Analysis</v>
      </c>
      <c r="C3087" s="7" t="str">
        <f>IFERROR(__xludf.DUMMYFUNCTION("""COMPUTED_VALUE"""),"With the exponential growth of research facilitated by modern technology and improved accessibility, scientific discoveries have become increasingly fragmented within and across fields. This makes it challenging to assess the significance, novelty, increm"&amp;"ental findings, and equivalent ideas between related works, particularly those from different research communities. Large language models (LLMs) have recently demonstrated strong quantitative and qualitative reasoning abilities, and multi-agent LLM debate"&amp;"s have shown promise in handling complex reasoning tasks by exploring diverse perspectives and reasoning paths. Inspired by this, we introduce Tree-of-Debate (ToD), a framework which converts scientific papers into LLM personas that debate their respectiv"&amp;"e novelties. To emphasize structured, critical reasoning rather than focusing solely on outcomes, ToD dynamically constructs a debate tree, enabling fine-grained analysis of independent novelty arguments within scholarly articles. Through experiments on s"&amp;"cientific literature across various domains, evaluated by expert researchers, we demonstrate that ToD generates informative arguments, effectively contrasts papers, and supports researchers in their literature review.")</f>
        <v>With the exponential growth of research facilitated by modern technology and improved accessibility, scientific discoveries have become increasingly fragmented within and across fields. This makes it challenging to assess the significance, novelty, incremental findings, and equivalent ideas between related works, particularly those from different research communities. Large language models (LLMs) have recently demonstrated strong quantitative and qualitative reasoning abilities, and multi-agent LLM debates have shown promise in handling complex reasoning tasks by exploring diverse perspectives and reasoning paths. Inspired by this, we introduce Tree-of-Debate (ToD), a framework which converts scientific papers into LLM personas that debate their respective novelties. To emphasize structured, critical reasoning rather than focusing solely on outcomes, ToD dynamically constructs a debate tree, enabling fine-grained analysis of independent novelty arguments within scholarly articles. Through experiments on scientific literature across various domains, evaluated by expert researchers, we demonstrate that ToD generates informative arguments, effectively contrasts papers, and supports researchers in their literature review.</v>
      </c>
      <c r="D3087" s="7" t="str">
        <f>IFERROR(__xludf.DUMMYFUNCTION("""COMPUTED_VALUE"""),"Priyanka Kargupta")</f>
        <v>Priyanka Kargupta</v>
      </c>
      <c r="E3087" s="7" t="str">
        <f>IFERROR(__xludf.DUMMYFUNCTION("""COMPUTED_VALUE"""),"Yes")</f>
        <v>Yes</v>
      </c>
      <c r="F3087" s="7" t="str">
        <f>IFERROR(__xludf.DUMMYFUNCTION("""COMPUTED_VALUE"""),"IP-Oral")</f>
        <v>IP-Oral</v>
      </c>
      <c r="G3087" s="7" t="str">
        <f>IFERROR(__xludf.DUMMYFUNCTION("""COMPUTED_VALUE"""),"In-Person")</f>
        <v>In-Person</v>
      </c>
      <c r="H3087" s="7" t="str">
        <f>IFERROR(__xludf.DUMMYFUNCTION("""COMPUTED_VALUE"""),"Hall N.2")</f>
        <v>Hall N.2</v>
      </c>
      <c r="I3087" s="7" t="str">
        <f>IFERROR(__xludf.DUMMYFUNCTION("""COMPUTED_VALUE"""),"Session 9: IP-Orals")</f>
        <v>Session 9: IP-Orals</v>
      </c>
      <c r="J3087" s="7" t="str">
        <f>IFERROR(__xludf.DUMMYFUNCTION("""COMPUTED_VALUE"""),"Summarization and Information Extraction ")</f>
        <v>Summarization and Information Extraction </v>
      </c>
      <c r="K3087" s="7"/>
      <c r="L3087" s="8">
        <f>IFERROR(__xludf.DUMMYFUNCTION("""COMPUTED_VALUE"""),45867.0)</f>
        <v>45867</v>
      </c>
      <c r="M3087" s="7" t="str">
        <f>IFERROR(__xludf.DUMMYFUNCTION("""COMPUTED_VALUE"""),"14:00-15:30")</f>
        <v>14:00-15:30</v>
      </c>
      <c r="N3087" s="7">
        <f>IFERROR(__xludf.DUMMYFUNCTION("""COMPUTED_VALUE"""),6.0)</f>
        <v>6</v>
      </c>
    </row>
    <row r="3088">
      <c r="A3088" s="7" t="str">
        <f>IFERROR(__xludf.DUMMYFUNCTION("""COMPUTED_VALUE"""),"4333-MAIN")</f>
        <v>4333-MAIN</v>
      </c>
      <c r="B3088" s="7" t="str">
        <f>IFERROR(__xludf.DUMMYFUNCTION("""COMPUTED_VALUE"""),"Hierarchical Memory Organization for Wikipedia Generation")</f>
        <v>Hierarchical Memory Organization for Wikipedia Generation</v>
      </c>
      <c r="C3088" s="7" t="str">
        <f>IFERROR(__xludf.DUMMYFUNCTION("""COMPUTED_VALUE"""),"Generating Wikipedia articles autonomously is a challenging task requiring the integration of accurate, comprehensive, and well-structured information from diverse sources. This paper introduces the Memory Organization-based Generation (MOG) framework, a "&amp;"novel approach to address these challenges by leveraging a hierarchical memory architecture. MOG extracts fine-grained memory units from web documents, recursively organizes them into a Wikipedia-style hierarchical structure, and uses this structure to gu"&amp;"ide the generation process. This ensures alignment between memory and the article outline, improving both informativeness and verifiability while minimizing hallucinations. Additionally, a citation module is implemented to enhance traceability by linking "&amp;"every generated sentence to specific memory units. Evaluations on our newly created WikiStart dataset demonstrate that MOG outperforms baseline methods in producing informative and reliable articles, making it particularly robust in real-world scenarios.")</f>
        <v>Generating Wikipedia articles autonomously is a challenging task requiring the integration of accurate, comprehensive, and well-structured information from diverse sources. This paper introduces the Memory Organization-based Generation (MOG) framework, a novel approach to address these challenges by leveraging a hierarchical memory architecture. MOG extracts fine-grained memory units from web documents, recursively organizes them into a Wikipedia-style hierarchical structure, and uses this structure to guide the generation process. This ensures alignment between memory and the article outline, improving both informativeness and verifiability while minimizing hallucinations. Additionally, a citation module is implemented to enhance traceability by linking every generated sentence to specific memory units. Evaluations on our newly created WikiStart dataset demonstrate that MOG outperforms baseline methods in producing informative and reliable articles, making it particularly robust in real-world scenarios.</v>
      </c>
      <c r="D3088" s="7" t="str">
        <f>IFERROR(__xludf.DUMMYFUNCTION("""COMPUTED_VALUE"""),"Eugene J. Yu")</f>
        <v>Eugene J. Yu</v>
      </c>
      <c r="E3088" s="7" t="str">
        <f>IFERROR(__xludf.DUMMYFUNCTION("""COMPUTED_VALUE"""),"Yes")</f>
        <v>Yes</v>
      </c>
      <c r="F3088" s="7" t="str">
        <f>IFERROR(__xludf.DUMMYFUNCTION("""COMPUTED_VALUE"""),"IP-Poster")</f>
        <v>IP-Poster</v>
      </c>
      <c r="G3088" s="7" t="str">
        <f>IFERROR(__xludf.DUMMYFUNCTION("""COMPUTED_VALUE"""),"In-Person")</f>
        <v>In-Person</v>
      </c>
      <c r="H3088" s="7" t="str">
        <f>IFERROR(__xludf.DUMMYFUNCTION("""COMPUTED_VALUE"""),"Hall 4/5")</f>
        <v>Hall 4/5</v>
      </c>
      <c r="I3088" s="7" t="str">
        <f>IFERROR(__xludf.DUMMYFUNCTION("""COMPUTED_VALUE"""),"Session 7: IP-Posters")</f>
        <v>Session 7: IP-Posters</v>
      </c>
      <c r="J3088" s="7" t="str">
        <f>IFERROR(__xludf.DUMMYFUNCTION("""COMPUTED_VALUE"""),"Poster Session 2")</f>
        <v>Poster Session 2</v>
      </c>
      <c r="K3088" s="7"/>
      <c r="L3088" s="8">
        <f>IFERROR(__xludf.DUMMYFUNCTION("""COMPUTED_VALUE"""),45867.0)</f>
        <v>45867</v>
      </c>
      <c r="M3088" s="7" t="str">
        <f>IFERROR(__xludf.DUMMYFUNCTION("""COMPUTED_VALUE"""),"10:30-12:00")</f>
        <v>10:30-12:00</v>
      </c>
      <c r="N3088" s="7"/>
    </row>
    <row r="3089">
      <c r="A3089" s="7" t="str">
        <f>IFERROR(__xludf.DUMMYFUNCTION("""COMPUTED_VALUE"""),"4336-MAIN")</f>
        <v>4336-MAIN</v>
      </c>
      <c r="B3089" s="7" t="str">
        <f>IFERROR(__xludf.DUMMYFUNCTION("""COMPUTED_VALUE"""),"Class Distillation with Mahalanobis Contrast: An Efficient Training Paradigm for Pragmatic Language Understanding Tasks")</f>
        <v>Class Distillation with Mahalanobis Contrast: An Efficient Training Paradigm for Pragmatic Language Understanding Tasks</v>
      </c>
      <c r="C3089" s="7" t="str">
        <f>IFERROR(__xludf.DUMMYFUNCTION("""COMPUTED_VALUE"""),"Detecting deviant language such as sexism, or nuanced language such as metaphors or sarcasm, is crucial for enhancing the safety, clarity, and interpretation of social interactions. While existing classifiers deliver strong results on these tasks, they of"&amp;"ten come with significant computational cost and high data demands. In this work, we propose \textbf{Cla}ss \textbf{D}istillation (ClaD), a novel training paradigm that targets the core challenge: distilling a small, well-defined target class from a highl"&amp;"y diverse and heterogeneous background. ClaD integrates two key innovations: (i) a loss function informed by the structural properties of class distributions, based on Mahalanobis distance, and (ii) an interpretable decision algorithm optimized for class "&amp;"separation. Across three benchmark detection tasks -- sexism, metaphor, and sarcasm -- ClaD outperforms competitive baselines, and even with smaller language models and orders of magnitude fewer parameters, achieves performance comparable to several large"&amp;" language models. These results demonstrate ClaD as an efficient tool for pragmatic language understanding tasks that require gleaning a small target class from a larger heterogeneous background.")</f>
        <v>Detecting deviant language such as sexism, or nuanced language such as metaphors or sarcasm, is crucial for enhancing the safety, clarity, and interpretation of social interactions. While existing classifiers deliver strong results on these tasks, they often come with significant computational cost and high data demands. In this work, we propose \textbf{Cla}ss \textbf{D}istillation (ClaD), a novel training paradigm that targets the core challenge: distilling a small, well-defined target class from a highly diverse and heterogeneous background. ClaD integrates two key innovations: (i) a loss function informed by the structural properties of class distributions, based on Mahalanobis distance, and (ii) an interpretable decision algorithm optimized for class separation. Across three benchmark detection tasks -- sexism, metaphor, and sarcasm -- ClaD outperforms competitive baselines, and even with smaller language models and orders of magnitude fewer parameters, achieves performance comparable to several large language models. These results demonstrate ClaD as an efficient tool for pragmatic language understanding tasks that require gleaning a small target class from a larger heterogeneous background.</v>
      </c>
      <c r="D3089" s="7" t="str">
        <f>IFERROR(__xludf.DUMMYFUNCTION("""COMPUTED_VALUE"""),"Chenlu Wang")</f>
        <v>Chenlu Wang</v>
      </c>
      <c r="E3089" s="7" t="str">
        <f>IFERROR(__xludf.DUMMYFUNCTION("""COMPUTED_VALUE"""),"Yes")</f>
        <v>Yes</v>
      </c>
      <c r="F3089" s="7" t="str">
        <f>IFERROR(__xludf.DUMMYFUNCTION("""COMPUTED_VALUE"""),"V-Presentation")</f>
        <v>V-Presentation</v>
      </c>
      <c r="G3089" s="7" t="str">
        <f>IFERROR(__xludf.DUMMYFUNCTION("""COMPUTED_VALUE"""),"Virtual/Gather")</f>
        <v>Virtual/Gather</v>
      </c>
      <c r="H3089" s="7" t="str">
        <f>IFERROR(__xludf.DUMMYFUNCTION("""COMPUTED_VALUE"""),"Zoom")</f>
        <v>Zoom</v>
      </c>
      <c r="I3089" s="7" t="str">
        <f>IFERROR(__xludf.DUMMYFUNCTION("""COMPUTED_VALUE"""),"Session 10: V-Presenations")</f>
        <v>Session 10: V-Presenations</v>
      </c>
      <c r="J3089" s="7" t="str">
        <f>IFERROR(__xludf.DUMMYFUNCTION("""COMPUTED_VALUE"""),"Virtual Presentations 3")</f>
        <v>Virtual Presentations 3</v>
      </c>
      <c r="K3089" s="7"/>
      <c r="L3089" s="8">
        <f>IFERROR(__xludf.DUMMYFUNCTION("""COMPUTED_VALUE"""),45867.0)</f>
        <v>45867</v>
      </c>
      <c r="M3089" s="7" t="str">
        <f>IFERROR(__xludf.DUMMYFUNCTION("""COMPUTED_VALUE"""),"16:00-17:30")</f>
        <v>16:00-17:30</v>
      </c>
      <c r="N3089" s="7"/>
    </row>
    <row r="3090">
      <c r="A3090" s="7" t="str">
        <f>IFERROR(__xludf.DUMMYFUNCTION("""COMPUTED_VALUE"""),"4341-MAIN")</f>
        <v>4341-MAIN</v>
      </c>
      <c r="B3090" s="7" t="str">
        <f>IFERROR(__xludf.DUMMYFUNCTION("""COMPUTED_VALUE"""),"Structure-aware Domain Knowledge Injection for Large Language Models")</f>
        <v>Structure-aware Domain Knowledge Injection for Large Language Models</v>
      </c>
      <c r="C3090" s="7" t="str">
        <f>IFERROR(__xludf.DUMMYFUNCTION("""COMPUTED_VALUE"""),"This paper introduces a pioneering methodology, termed StructTuning, to efficiently transform foundation Large Language Models (LLMs) into domain specialists. It significantly reduces the training corpus needs to a mere 5% while achieving an impressive 10"&amp;"0% of traditional knowledge injection performance. Motivated by structured human education, we propose a novel two-stage strategy for knowledge injection and alignment: Structure-aware Continual Pre-Training (SCPT) and Structure-aware Supervised Fine-Tuni"&amp;"ng (SSFT). In the SCPT phase, we automatically extract the domain knowledge taxonomy and reorganize the training corpora, enabling LLMs to effectively link textual segments to targeted knowledge points within the taxonomy. In the SSFT phase, we explicitly"&amp;" prompt models to elucidate the underlying knowledge structure in their outputs, leveraging the structured domain insight to address practical problems. Our ultimate method was extensively evaluated across model architectures and scales on LongBench and M"&amp;"MedBench datasets, demonstrating superior performance against other knowledge injection methods. We also explored our method’s scalability across different training corpus sizes, laying the foundation to enhance domain-specific LLMs with better data utili"&amp;"zation.")</f>
        <v>This paper introduces a pioneering methodology, termed StructTuning, to efficiently transform foundation Large Language Models (LLMs) into domain specialists. It significantly reduces the training corpus needs to a mere 5% while achieving an impressive 100% of traditional knowledge injection performance. Motivated by structured human education, we propose a novel two-stage strategy for knowledge injection and alignment: Structure-aware Continual Pre-Training (SCPT) and Structure-aware Supervised Fine-Tuning (SSFT). In the SCPT phase, we automatically extract the domain knowledge taxonomy and reorganize the training corpora, enabling LLMs to effectively link textual segments to targeted knowledge points within the taxonomy. In the SSFT phase, we explicitly prompt models to elucidate the underlying knowledge structure in their outputs, leveraging the structured domain insight to address practical problems. Our ultimate method was extensively evaluated across model architectures and scales on LongBench and MMedBench datasets, demonstrating superior performance against other knowledge injection methods. We also explored our method’s scalability across different training corpus sizes, laying the foundation to enhance domain-specific LLMs with better data utilization.</v>
      </c>
      <c r="D3090" s="7" t="str">
        <f>IFERROR(__xludf.DUMMYFUNCTION("""COMPUTED_VALUE"""),"Kai Liu")</f>
        <v>Kai Liu</v>
      </c>
      <c r="E3090" s="7" t="str">
        <f>IFERROR(__xludf.DUMMYFUNCTION("""COMPUTED_VALUE"""),"Yes")</f>
        <v>Yes</v>
      </c>
      <c r="F3090" s="7" t="str">
        <f>IFERROR(__xludf.DUMMYFUNCTION("""COMPUTED_VALUE"""),"V-Presentation")</f>
        <v>V-Presentation</v>
      </c>
      <c r="G3090" s="7" t="str">
        <f>IFERROR(__xludf.DUMMYFUNCTION("""COMPUTED_VALUE"""),"Virtual/Gather")</f>
        <v>Virtual/Gather</v>
      </c>
      <c r="H3090" s="7" t="str">
        <f>IFERROR(__xludf.DUMMYFUNCTION("""COMPUTED_VALUE"""),"Zoom")</f>
        <v>Zoom</v>
      </c>
      <c r="I3090" s="7" t="str">
        <f>IFERROR(__xludf.DUMMYFUNCTION("""COMPUTED_VALUE"""),"Session 2: V-Presentations")</f>
        <v>Session 2: V-Presentations</v>
      </c>
      <c r="J3090" s="7" t="str">
        <f>IFERROR(__xludf.DUMMYFUNCTION("""COMPUTED_VALUE"""),"Virtual Presentations 1")</f>
        <v>Virtual Presentations 1</v>
      </c>
      <c r="K3090" s="7"/>
      <c r="L3090" s="8">
        <f>IFERROR(__xludf.DUMMYFUNCTION("""COMPUTED_VALUE"""),45866.0)</f>
        <v>45866</v>
      </c>
      <c r="M3090" s="7" t="str">
        <f>IFERROR(__xludf.DUMMYFUNCTION("""COMPUTED_VALUE"""),"11:00-12:30")</f>
        <v>11:00-12:30</v>
      </c>
      <c r="N3090" s="7"/>
    </row>
    <row r="3091">
      <c r="A3091" s="7" t="str">
        <f>IFERROR(__xludf.DUMMYFUNCTION("""COMPUTED_VALUE"""),"4342-MAIN")</f>
        <v>4342-MAIN</v>
      </c>
      <c r="B3091" s="7" t="str">
        <f>IFERROR(__xludf.DUMMYFUNCTION("""COMPUTED_VALUE"""),"FinMME: A Financial Multi-Modal Evaluation Dataset")</f>
        <v>FinMME: A Financial Multi-Modal Evaluation Dataset</v>
      </c>
      <c r="C3091" s="7" t="str">
        <f>IFERROR(__xludf.DUMMYFUNCTION("""COMPUTED_VALUE"""),"Multimodal Large Language Models (MLLMs) have experienced rapid development in recent years. However, in the financial domain, there is a notable lack of effective and specialized multimodal evaluation datasets. To advance the development of MLLMs in the "&amp;"finance domain, we introduce FinMME, encompassing more than 11,000 high-quality financial research samples across 18 financial domains and 6 asset classes, featuring 10 major chart types and 21 subtypes. We ensure data quality through 20 annotators and ca"&amp;"refully designed validation mechanisms. Additionally, we develop FinScore, an evaluation system incorporating hallucination penalties and multi-dimensional capability assessment to provide an unbiased evaluation. Extensive experimental results demonstrate"&amp;" that even state-of-the-art models like GPT-4o exhibit unsatisfactory performance on FinMME, highlighting its challenging nature. The benchmark exhibits high robustness with prediction variations under different prompts remaining below 1\%, demonstrating "&amp;"superior reliability compared to existing datasets. Our dataset and evaluation protocol are available at https://huggingface.co/datasets/luojunyu/FinMME and https://github.com/luo-junyu/FinMME.")</f>
        <v>Multimodal Large Language Models (MLLMs) have experienced rapid development in recent years. However, in the financial domain, there is a notable lack of effective and specialized multimodal evaluation datasets. To advance the development of MLLMs in the finance domain, we introduce FinMME, encompassing more than 11,000 high-quality financial research samples across 18 financial domains and 6 asset classes, featuring 10 major chart types and 21 subtypes. We ensure data quality through 20 annotators and carefully designed validation mechanisms. Additionally, we develop FinScore, an evaluation system incorporating hallucination penalties and multi-dimensional capability assessment to provide an unbiased evaluation. Extensive experimental results demonstrate that even state-of-the-art models like GPT-4o exhibit unsatisfactory performance on FinMME, highlighting its challenging nature. The benchmark exhibits high robustness with prediction variations under different prompts remaining below 1\%, demonstrating superior reliability compared to existing datasets. Our dataset and evaluation protocol are available at https://huggingface.co/datasets/luojunyu/FinMME and https://github.com/luo-junyu/FinMME.</v>
      </c>
      <c r="D3091" s="7" t="str">
        <f>IFERROR(__xludf.DUMMYFUNCTION("""COMPUTED_VALUE"""),"Junyu Luo")</f>
        <v>Junyu Luo</v>
      </c>
      <c r="E3091" s="7" t="str">
        <f>IFERROR(__xludf.DUMMYFUNCTION("""COMPUTED_VALUE"""),"Yes")</f>
        <v>Yes</v>
      </c>
      <c r="F3091" s="7" t="str">
        <f>IFERROR(__xludf.DUMMYFUNCTION("""COMPUTED_VALUE"""),"IP-Poster")</f>
        <v>IP-Poster</v>
      </c>
      <c r="G3091" s="7" t="str">
        <f>IFERROR(__xludf.DUMMYFUNCTION("""COMPUTED_VALUE"""),"In-Person")</f>
        <v>In-Person</v>
      </c>
      <c r="H3091" s="7" t="str">
        <f>IFERROR(__xludf.DUMMYFUNCTION("""COMPUTED_VALUE"""),"Hall 4/5")</f>
        <v>Hall 4/5</v>
      </c>
      <c r="I3091" s="7" t="str">
        <f>IFERROR(__xludf.DUMMYFUNCTION("""COMPUTED_VALUE"""),"Session 10: IP-Posters")</f>
        <v>Session 10: IP-Posters</v>
      </c>
      <c r="J3091" s="7" t="str">
        <f>IFERROR(__xludf.DUMMYFUNCTION("""COMPUTED_VALUE"""),"Poster Session 3")</f>
        <v>Poster Session 3</v>
      </c>
      <c r="K3091" s="7"/>
      <c r="L3091" s="8">
        <f>IFERROR(__xludf.DUMMYFUNCTION("""COMPUTED_VALUE"""),45867.0)</f>
        <v>45867</v>
      </c>
      <c r="M3091" s="7" t="str">
        <f>IFERROR(__xludf.DUMMYFUNCTION("""COMPUTED_VALUE"""),"16:00-17:30")</f>
        <v>16:00-17:30</v>
      </c>
      <c r="N3091" s="7"/>
    </row>
    <row r="3092">
      <c r="A3092" s="7" t="str">
        <f>IFERROR(__xludf.DUMMYFUNCTION("""COMPUTED_VALUE"""),"4343-MAIN")</f>
        <v>4343-MAIN</v>
      </c>
      <c r="B3092" s="7" t="str">
        <f>IFERROR(__xludf.DUMMYFUNCTION("""COMPUTED_VALUE"""),"Dialectal Coverage And Generalization in Arabic Speech Recognition")</f>
        <v>Dialectal Coverage And Generalization in Arabic Speech Recognition</v>
      </c>
      <c r="C3092" s="7" t="str">
        <f>IFERROR(__xludf.DUMMYFUNCTION("""COMPUTED_VALUE"""),"Developing robust automatic speech recognition (ASR) systems for Arabic requires effective strategies to manage its diversity. Existing ASR systems mainly cover the modern standard Arabic (MSA) variety and few high-resource dialects, but fall short in cov"&amp;"erage and generalization across the multitude of spoken variants. Code-switching with English and French is also common in different regions of the Arab world, which challenges the performance of monolingual Arabic models. In this work, we introduce a sui"&amp;"te of ASR models optimized to effectively recognize multiple variants of spoken Arabic, including MSA, various dialects, and code-switching. We provide open-source pre-trained models that cover data from 17 Arabic-speaking countries, and fine-tuned MSA an"&amp;"d dialectal ASR models that include at least 11 variants, as well as multi-lingual ASR models covering embedded languages in code-switched utterances. We evaluate ASR performance across these spoken varieties and demonstrate both coverage and performance "&amp;"gains compared to prior models.")</f>
        <v>Developing robust automatic speech recognition (ASR) systems for Arabic requires effective strategies to manage its diversity. Existing ASR systems mainly cover the modern standard Arabic (MSA) variety and few high-resource dialects, but fall short in coverage and generalization across the multitude of spoken variants. Code-switching with English and French is also common in different regions of the Arab world, which challenges the performance of monolingual Arabic models. In this work, we introduce a suite of ASR models optimized to effectively recognize multiple variants of spoken Arabic, including MSA, various dialects, and code-switching. We provide open-source pre-trained models that cover data from 17 Arabic-speaking countries, and fine-tuned MSA and dialectal ASR models that include at least 11 variants, as well as multi-lingual ASR models covering embedded languages in code-switched utterances. We evaluate ASR performance across these spoken varieties and demonstrate both coverage and performance gains compared to prior models.</v>
      </c>
      <c r="D3092" s="7" t="str">
        <f>IFERROR(__xludf.DUMMYFUNCTION("""COMPUTED_VALUE"""),"Hawau Olamide Toyin")</f>
        <v>Hawau Olamide Toyin</v>
      </c>
      <c r="E3092" s="7" t="str">
        <f>IFERROR(__xludf.DUMMYFUNCTION("""COMPUTED_VALUE"""),"Yes")</f>
        <v>Yes</v>
      </c>
      <c r="F3092" s="7" t="str">
        <f>IFERROR(__xludf.DUMMYFUNCTION("""COMPUTED_VALUE"""),"IP-Poster")</f>
        <v>IP-Poster</v>
      </c>
      <c r="G3092" s="7" t="str">
        <f>IFERROR(__xludf.DUMMYFUNCTION("""COMPUTED_VALUE"""),"In-Person")</f>
        <v>In-Person</v>
      </c>
      <c r="H3092" s="7" t="str">
        <f>IFERROR(__xludf.DUMMYFUNCTION("""COMPUTED_VALUE"""),"Hall 4/5")</f>
        <v>Hall 4/5</v>
      </c>
      <c r="I3092" s="7" t="str">
        <f>IFERROR(__xludf.DUMMYFUNCTION("""COMPUTED_VALUE"""),"Session 10: IP-Posters")</f>
        <v>Session 10: IP-Posters</v>
      </c>
      <c r="J3092" s="7" t="str">
        <f>IFERROR(__xludf.DUMMYFUNCTION("""COMPUTED_VALUE"""),"Poster Session 3")</f>
        <v>Poster Session 3</v>
      </c>
      <c r="K3092" s="7"/>
      <c r="L3092" s="8">
        <f>IFERROR(__xludf.DUMMYFUNCTION("""COMPUTED_VALUE"""),45867.0)</f>
        <v>45867</v>
      </c>
      <c r="M3092" s="7" t="str">
        <f>IFERROR(__xludf.DUMMYFUNCTION("""COMPUTED_VALUE"""),"16:00-17:30")</f>
        <v>16:00-17:30</v>
      </c>
      <c r="N3092" s="7"/>
    </row>
    <row r="3093">
      <c r="A3093" s="7" t="str">
        <f>IFERROR(__xludf.DUMMYFUNCTION("""COMPUTED_VALUE"""),"4348-MAIN")</f>
        <v>4348-MAIN</v>
      </c>
      <c r="B3093" s="7" t="str">
        <f>IFERROR(__xludf.DUMMYFUNCTION("""COMPUTED_VALUE"""),"Can LLMs Generate High-Quality Test Cases for Algorithm Problems? TestCase-Eval: A Systematic Evaluation of Fault Coverage and Exposure")</f>
        <v>Can LLMs Generate High-Quality Test Cases for Algorithm Problems? TestCase-Eval: A Systematic Evaluation of Fault Coverage and Exposure</v>
      </c>
      <c r="C3093" s="7" t="str">
        <f>IFERROR(__xludf.DUMMYFUNCTION("""COMPUTED_VALUE"""),"We introduce TestCase-Eval, a new benchmark for systematic evaluation of LLMs in test-case generation. TestCase-Eval includes 500 algorithm problems and 100,000 human-crafted solutions from the Codeforces platform. It focuses on two pivotal tasks: (1) Fau"&amp;"lt Coverage, which measures how well LLM-generated test sets probe diverse input scenarios and cover a wide range of potential failure modes. (2) Fault Exposure, which evaluates whether LLMs can craft a tailored test input that reveals a specific incorrec"&amp;"t code implementation. We provide a comprehensive assessment of 19 state-of-the-art open-source and proprietary LLMs on TestCase-Eval, offering insights into their strengths and limitations in generating effective test cases for algorithm problems.")</f>
        <v>We introduce TestCase-Eval, a new benchmark for systematic evaluation of LLMs in test-case generation. TestCase-Eval includes 500 algorithm problems and 100,000 human-crafted solutions from the Codeforces platform. It focuses on two pivotal tasks: (1) Fault Coverage, which measures how well LLM-generated test sets probe diverse input scenarios and cover a wide range of potential failure modes. (2) Fault Exposure, which evaluates whether LLMs can craft a tailored test input that reveals a specific incorrect code implementation. We provide a comprehensive assessment of 19 state-of-the-art open-source and proprietary LLMs on TestCase-Eval, offering insights into their strengths and limitations in generating effective test cases for algorithm problems.</v>
      </c>
      <c r="D3093" s="7" t="str">
        <f>IFERROR(__xludf.DUMMYFUNCTION("""COMPUTED_VALUE"""),"Zheyuan Yang")</f>
        <v>Zheyuan Yang</v>
      </c>
      <c r="E3093" s="7" t="str">
        <f>IFERROR(__xludf.DUMMYFUNCTION("""COMPUTED_VALUE"""),"Yes")</f>
        <v>Yes</v>
      </c>
      <c r="F3093" s="7" t="str">
        <f>IFERROR(__xludf.DUMMYFUNCTION("""COMPUTED_VALUE"""),"V-Presentation")</f>
        <v>V-Presentation</v>
      </c>
      <c r="G3093" s="7" t="str">
        <f>IFERROR(__xludf.DUMMYFUNCTION("""COMPUTED_VALUE"""),"Virtual/Gather")</f>
        <v>Virtual/Gather</v>
      </c>
      <c r="H3093" s="7" t="str">
        <f>IFERROR(__xludf.DUMMYFUNCTION("""COMPUTED_VALUE"""),"Zoom")</f>
        <v>Zoom</v>
      </c>
      <c r="I3093" s="7" t="str">
        <f>IFERROR(__xludf.DUMMYFUNCTION("""COMPUTED_VALUE"""),"Session 12: V-Presentations")</f>
        <v>Session 12: V-Presentations</v>
      </c>
      <c r="J3093" s="7" t="str">
        <f>IFERROR(__xludf.DUMMYFUNCTION("""COMPUTED_VALUE"""),"Virtual Presentations 4")</f>
        <v>Virtual Presentations 4</v>
      </c>
      <c r="K3093" s="7"/>
      <c r="L3093" s="8">
        <f>IFERROR(__xludf.DUMMYFUNCTION("""COMPUTED_VALUE"""),45868.0)</f>
        <v>45868</v>
      </c>
      <c r="M3093" s="7" t="str">
        <f>IFERROR(__xludf.DUMMYFUNCTION("""COMPUTED_VALUE"""),"11:00-12:30")</f>
        <v>11:00-12:30</v>
      </c>
      <c r="N3093" s="7"/>
    </row>
    <row r="3094">
      <c r="A3094" s="7" t="str">
        <f>IFERROR(__xludf.DUMMYFUNCTION("""COMPUTED_VALUE"""),"4351-MAIN")</f>
        <v>4351-MAIN</v>
      </c>
      <c r="B3094" s="7" t="str">
        <f>IFERROR(__xludf.DUMMYFUNCTION("""COMPUTED_VALUE"""),"EditInspector: A Benchmark for Evaluation of Text-Guided Image Edits")</f>
        <v>EditInspector: A Benchmark for Evaluation of Text-Guided Image Edits</v>
      </c>
      <c r="C3094" s="7" t="str">
        <f>IFERROR(__xludf.DUMMYFUNCTION("""COMPUTED_VALUE"""),"Text-guided image editing, fueled by recent advancements in generative AI, is becoming increasingly widespread. This trend highlights the need for a comprehensive framework to verify text-guided edits and assess their quality. To address this need, we int"&amp;"roduce EditInspector, a novel benchmark for evaluation of text-guided image edits, based on human annotations collected using an extensive template for edit verification. We leverage EditInspector to evaluate the performance of state-of-the-art (SoTA) vis"&amp;"ion and language models in assessing edits across various dimensions, including accuracy, artifact detection, visual quality, seamless integration with the image scene, adherence to common sense, and the ability to describe edit-induced changes. Our findi"&amp;"ngs indicate that current models struggle to evaluate edits comprehensively and frequently hallucinate when describing the changes. To address these challenges, we propose two novel methods that outperform SoTA models in both artifact detection and differ"&amp;"ence caption generation.")</f>
        <v>Text-guided image editing, fueled by recent advancements in generative AI, is becoming increasingly widespread. This trend highlights the need for a comprehensive framework to verify text-guided edits and assess their quality. To address this need, we introduce EditInspector, a novel benchmark for evaluation of text-guided image edits, based on human annotations collected using an extensive template for edit verification. We leverage EditInspector to evaluate the performance of state-of-the-art (SoTA) vision and language models in assessing edits across various dimensions, including accuracy, artifact detection, visual quality, seamless integration with the image scene, adherence to common sense, and the ability to describe edit-induced changes. Our findings indicate that current models struggle to evaluate edits comprehensively and frequently hallucinate when describing the changes. To address these challenges, we propose two novel methods that outperform SoTA models in both artifact detection and difference caption generation.</v>
      </c>
      <c r="D3094" s="7" t="str">
        <f>IFERROR(__xludf.DUMMYFUNCTION("""COMPUTED_VALUE"""),"Ron Yosef")</f>
        <v>Ron Yosef</v>
      </c>
      <c r="E3094" s="7" t="str">
        <f>IFERROR(__xludf.DUMMYFUNCTION("""COMPUTED_VALUE"""),"Yes")</f>
        <v>Yes</v>
      </c>
      <c r="F3094" s="7" t="str">
        <f>IFERROR(__xludf.DUMMYFUNCTION("""COMPUTED_VALUE"""),"IP-Poster")</f>
        <v>IP-Poster</v>
      </c>
      <c r="G3094" s="7" t="str">
        <f>IFERROR(__xludf.DUMMYFUNCTION("""COMPUTED_VALUE"""),"In-Person")</f>
        <v>In-Person</v>
      </c>
      <c r="H3094" s="7" t="str">
        <f>IFERROR(__xludf.DUMMYFUNCTION("""COMPUTED_VALUE"""),"Hall 4/5")</f>
        <v>Hall 4/5</v>
      </c>
      <c r="I3094" s="7" t="str">
        <f>IFERROR(__xludf.DUMMYFUNCTION("""COMPUTED_VALUE"""),"Session 2: IP-Posters ")</f>
        <v>Session 2: IP-Posters </v>
      </c>
      <c r="J3094" s="7" t="str">
        <f>IFERROR(__xludf.DUMMYFUNCTION("""COMPUTED_VALUE"""),"Poster Session 1")</f>
        <v>Poster Session 1</v>
      </c>
      <c r="K3094" s="7"/>
      <c r="L3094" s="8">
        <f>IFERROR(__xludf.DUMMYFUNCTION("""COMPUTED_VALUE"""),45866.0)</f>
        <v>45866</v>
      </c>
      <c r="M3094" s="7" t="str">
        <f>IFERROR(__xludf.DUMMYFUNCTION("""COMPUTED_VALUE"""),"11:00-12:30")</f>
        <v>11:00-12:30</v>
      </c>
      <c r="N3094" s="7"/>
    </row>
    <row r="3095">
      <c r="A3095" s="7" t="str">
        <f>IFERROR(__xludf.DUMMYFUNCTION("""COMPUTED_VALUE"""),"4354-MAIN")</f>
        <v>4354-MAIN</v>
      </c>
      <c r="B3095" s="7" t="str">
        <f>IFERROR(__xludf.DUMMYFUNCTION("""COMPUTED_VALUE"""),"Reconsidering LLM Uncertainty Estimation Methods in the Wild")</f>
        <v>Reconsidering LLM Uncertainty Estimation Methods in the Wild</v>
      </c>
      <c r="C3095" s="7" t="str">
        <f>IFERROR(__xludf.DUMMYFUNCTION("""COMPUTED_VALUE"""),"Large Language Model (LLM) Uncertainty Estimation (UE) methods have become a crucial tool for detecting hallucinations in recent years. While numerous UE methods have been proposed, most existing studies evaluate them in isolated short-form QA settings us"&amp;"ing threshold-independent metrics such as AUROC or PRR. However, real-world deployment of UE methods introduces several challenges. In this work, we systematically examine four key aspects of deploying UE methods in practical settings. Specifically, we as"&amp;"sess (1) the sensitivity of UE methods to decision threshold selection, (2) their robustness to query transformations such as typos, adversarial prompts, and prior chat history, (3) their applicability to long-form generation, and (4) strategies for handl"&amp;"ing multiple UE scores for a single query. Our evaluations on 19 UE methods reveal that most of them are highly sensitive to threshold selection when there is a distribution shift in the calibration dataset. While these methods generally exhibit robustnes"&amp;"s against previous chat history and typos, they are significantly vulnerable to adversarial prompts. Additionally, while existing UE methods can be adapted for long-form generation through various strategies, there remains considerable room for improvemen"&amp;"t. Lastly, ensembling multiple UE scores at test time provides a notable performance boost, which highlights its potential as a practical improvement strategy. Code is available at: https://github.com/duygunuryldz/uncertainty_in_the_wild.")</f>
        <v>Large Language Model (LLM) Uncertainty Estimation (UE) methods have become a crucial tool for detecting hallucinations in recent years. While numerous UE methods have been proposed, most existing studies evaluate them in isolated short-form QA settings using threshold-independent metrics such as AUROC or PRR. However, real-world deployment of UE methods introduces several challenges. In this work, we systematically examine four key aspects of deploying UE methods in practical settings. Specifically, we assess (1) the sensitivity of UE methods to decision threshold selection, (2) their robustness to query transformations such as typos, adversarial prompts, and prior chat history, (3) their applicability to long-form generation, and (4) strategies for handling multiple UE scores for a single query. Our evaluations on 19 UE methods reveal that most of them are highly sensitive to threshold selection when there is a distribution shift in the calibration dataset. While these methods generally exhibit robustness against previous chat history and typos, they are significantly vulnerable to adversarial prompts. Additionally, while existing UE methods can be adapted for long-form generation through various strategies, there remains considerable room for improvement. Lastly, ensembling multiple UE scores at test time provides a notable performance boost, which highlights its potential as a practical improvement strategy. Code is available at: https://github.com/duygunuryldz/uncertainty_in_the_wild.</v>
      </c>
      <c r="D3095" s="7" t="str">
        <f>IFERROR(__xludf.DUMMYFUNCTION("""COMPUTED_VALUE"""),"Sungmin Kang")</f>
        <v>Sungmin Kang</v>
      </c>
      <c r="E3095" s="7" t="str">
        <f>IFERROR(__xludf.DUMMYFUNCTION("""COMPUTED_VALUE"""),"Yes")</f>
        <v>Yes</v>
      </c>
      <c r="F3095" s="7" t="str">
        <f>IFERROR(__xludf.DUMMYFUNCTION("""COMPUTED_VALUE"""),"IP-Poster")</f>
        <v>IP-Poster</v>
      </c>
      <c r="G3095" s="7" t="str">
        <f>IFERROR(__xludf.DUMMYFUNCTION("""COMPUTED_VALUE"""),"In-Person")</f>
        <v>In-Person</v>
      </c>
      <c r="H3095" s="7" t="str">
        <f>IFERROR(__xludf.DUMMYFUNCTION("""COMPUTED_VALUE"""),"Hall 4/5")</f>
        <v>Hall 4/5</v>
      </c>
      <c r="I3095" s="7" t="str">
        <f>IFERROR(__xludf.DUMMYFUNCTION("""COMPUTED_VALUE"""),"Session 10: IP-Posters")</f>
        <v>Session 10: IP-Posters</v>
      </c>
      <c r="J3095" s="7" t="str">
        <f>IFERROR(__xludf.DUMMYFUNCTION("""COMPUTED_VALUE"""),"Poster Session 3")</f>
        <v>Poster Session 3</v>
      </c>
      <c r="K3095" s="7"/>
      <c r="L3095" s="8">
        <f>IFERROR(__xludf.DUMMYFUNCTION("""COMPUTED_VALUE"""),45867.0)</f>
        <v>45867</v>
      </c>
      <c r="M3095" s="7" t="str">
        <f>IFERROR(__xludf.DUMMYFUNCTION("""COMPUTED_VALUE"""),"16:00-17:30")</f>
        <v>16:00-17:30</v>
      </c>
      <c r="N3095" s="7"/>
    </row>
    <row r="3096">
      <c r="A3096" s="7" t="str">
        <f>IFERROR(__xludf.DUMMYFUNCTION("""COMPUTED_VALUE"""),"4357-MAIN")</f>
        <v>4357-MAIN</v>
      </c>
      <c r="B3096" s="7" t="str">
        <f>IFERROR(__xludf.DUMMYFUNCTION("""COMPUTED_VALUE"""),"Are Optimal Algorithms Still Optimal? Rethinking Sorting in LLM-Based Pairwise Ranking with Batching and Caching")</f>
        <v>Are Optimal Algorithms Still Optimal? Rethinking Sorting in LLM-Based Pairwise Ranking with Batching and Caching</v>
      </c>
      <c r="C3096" s="7" t="str">
        <f>IFERROR(__xludf.DUMMYFUNCTION("""COMPUTED_VALUE"""),"We introduce a novel framework for analyzing sorting algorithms in pairwise ranking prompting (PRP), re-centering the cost model around LLM inferences rather than traditional pairwise comparisons. While classical metrics based on comparison counts have tr"&amp;"aditionally been used to gauge efficiency, our analysis reveals that expensive LLM inferences overturn these predictions; accordingly, our framework encourages strategies such as batching and caching to mitigate inference costs. We show that algorithms op"&amp;"timal in the classical setting can lose efficiency when LLM inferences dominate the cost under certain optimizations.")</f>
        <v>We introduce a novel framework for analyzing sorting algorithms in pairwise ranking prompting (PRP), re-centering the cost model around LLM inferences rather than traditional pairwise comparisons. While classical metrics based on comparison counts have traditionally been used to gauge efficiency, our analysis reveals that expensive LLM inferences overturn these predictions; accordingly, our framework encourages strategies such as batching and caching to mitigate inference costs. We show that algorithms optimal in the classical setting can lose efficiency when LLM inferences dominate the cost under certain optimizations.</v>
      </c>
      <c r="D3096" s="7" t="str">
        <f>IFERROR(__xludf.DUMMYFUNCTION("""COMPUTED_VALUE"""),"Juan Wisznia")</f>
        <v>Juan Wisznia</v>
      </c>
      <c r="E3096" s="7" t="str">
        <f>IFERROR(__xludf.DUMMYFUNCTION("""COMPUTED_VALUE"""),"Yes")</f>
        <v>Yes</v>
      </c>
      <c r="F3096" s="7" t="str">
        <f>IFERROR(__xludf.DUMMYFUNCTION("""COMPUTED_VALUE"""),"IP-Poster")</f>
        <v>IP-Poster</v>
      </c>
      <c r="G3096" s="7" t="str">
        <f>IFERROR(__xludf.DUMMYFUNCTION("""COMPUTED_VALUE"""),"In-Person")</f>
        <v>In-Person</v>
      </c>
      <c r="H3096" s="7" t="str">
        <f>IFERROR(__xludf.DUMMYFUNCTION("""COMPUTED_VALUE"""),"Hall 4/5")</f>
        <v>Hall 4/5</v>
      </c>
      <c r="I3096" s="7" t="str">
        <f>IFERROR(__xludf.DUMMYFUNCTION("""COMPUTED_VALUE"""),"Session 2: IP-Posters ")</f>
        <v>Session 2: IP-Posters </v>
      </c>
      <c r="J3096" s="7" t="str">
        <f>IFERROR(__xludf.DUMMYFUNCTION("""COMPUTED_VALUE"""),"Poster Session 1")</f>
        <v>Poster Session 1</v>
      </c>
      <c r="K3096" s="7"/>
      <c r="L3096" s="8">
        <f>IFERROR(__xludf.DUMMYFUNCTION("""COMPUTED_VALUE"""),45866.0)</f>
        <v>45866</v>
      </c>
      <c r="M3096" s="7" t="str">
        <f>IFERROR(__xludf.DUMMYFUNCTION("""COMPUTED_VALUE"""),"11:00-12:30")</f>
        <v>11:00-12:30</v>
      </c>
      <c r="N3096" s="7"/>
    </row>
    <row r="3097">
      <c r="A3097" s="7" t="str">
        <f>IFERROR(__xludf.DUMMYFUNCTION("""COMPUTED_VALUE"""),"4360-MAIN")</f>
        <v>4360-MAIN</v>
      </c>
      <c r="B3097" s="7" t="str">
        <f>IFERROR(__xludf.DUMMYFUNCTION("""COMPUTED_VALUE"""),"Bregman Conditional Random Fields: Sequence Labeling with Parallelizable Inference Algorithms")</f>
        <v>Bregman Conditional Random Fields: Sequence Labeling with Parallelizable Inference Algorithms</v>
      </c>
      <c r="C3097" s="7" t="str">
        <f>IFERROR(__xludf.DUMMYFUNCTION("""COMPUTED_VALUE"""),"We propose a novel discriminative model for sequence labeling called Bregman conditional random fields (BCRF).
Contrary to standard linear-chain conditional random fields,
BCRF allows fast parallelizable inference algorithms based on iterative Bregman pro"&amp;"jections.
We show how such models can be learned using Fenchel-Young losses, including extension for learning from partial labels.
Experimentally, our approach delivers comparable results to CRF while being faster, and achieves better results in highly co"&amp;"nstrained settings compared to mean field, another parallelizable alternative.")</f>
        <v>We propose a novel discriminative model for sequence labeling called Bregman conditional random fields (BCRF).
Contrary to standard linear-chain conditional random fields,
BCRF allows fast parallelizable inference algorithms based on iterative Bregman projections.
We show how such models can be learned using Fenchel-Young losses, including extension for learning from partial labels.
Experimentally, our approach delivers comparable results to CRF while being faster, and achieves better results in highly constrained settings compared to mean field, another parallelizable alternative.</v>
      </c>
      <c r="D3097" s="7" t="str">
        <f>IFERROR(__xludf.DUMMYFUNCTION("""COMPUTED_VALUE"""),"Caio Corro")</f>
        <v>Caio Corro</v>
      </c>
      <c r="E3097" s="7" t="str">
        <f>IFERROR(__xludf.DUMMYFUNCTION("""COMPUTED_VALUE"""),"Yes")</f>
        <v>Yes</v>
      </c>
      <c r="F3097" s="7" t="str">
        <f>IFERROR(__xludf.DUMMYFUNCTION("""COMPUTED_VALUE"""),"IP-Oral")</f>
        <v>IP-Oral</v>
      </c>
      <c r="G3097" s="7" t="str">
        <f>IFERROR(__xludf.DUMMYFUNCTION("""COMPUTED_VALUE"""),"In-Person")</f>
        <v>In-Person</v>
      </c>
      <c r="H3097" s="7" t="str">
        <f>IFERROR(__xludf.DUMMYFUNCTION("""COMPUTED_VALUE"""),"Room 1.86")</f>
        <v>Room 1.86</v>
      </c>
      <c r="I3097" s="7" t="str">
        <f>IFERROR(__xludf.DUMMYFUNCTION("""COMPUTED_VALUE"""),"Session 9: IP-Orals")</f>
        <v>Session 9: IP-Orals</v>
      </c>
      <c r="J3097" s="7" t="str">
        <f>IFERROR(__xludf.DUMMYFUNCTION("""COMPUTED_VALUE"""),"Phonology, Morphology, and Syntax")</f>
        <v>Phonology, Morphology, and Syntax</v>
      </c>
      <c r="K3097" s="7"/>
      <c r="L3097" s="8">
        <f>IFERROR(__xludf.DUMMYFUNCTION("""COMPUTED_VALUE"""),45867.0)</f>
        <v>45867</v>
      </c>
      <c r="M3097" s="7" t="str">
        <f>IFERROR(__xludf.DUMMYFUNCTION("""COMPUTED_VALUE"""),"14:00-15:30")</f>
        <v>14:00-15:30</v>
      </c>
      <c r="N3097" s="7">
        <f>IFERROR(__xludf.DUMMYFUNCTION("""COMPUTED_VALUE"""),7.0)</f>
        <v>7</v>
      </c>
    </row>
    <row r="3098">
      <c r="A3098" s="7" t="str">
        <f>IFERROR(__xludf.DUMMYFUNCTION("""COMPUTED_VALUE"""),"4368-MAIN")</f>
        <v>4368-MAIN</v>
      </c>
      <c r="B3098" s="7" t="str">
        <f>IFERROR(__xludf.DUMMYFUNCTION("""COMPUTED_VALUE"""),"SEE: Strategic Exploration and Exploitation for Cohesive In-Context Prompt Optimization")</f>
        <v>SEE: Strategic Exploration and Exploitation for Cohesive In-Context Prompt Optimization</v>
      </c>
      <c r="C3098" s="7" t="str">
        <f>IFERROR(__xludf.DUMMYFUNCTION("""COMPUTED_VALUE"""),"Designing optimal prompts for Large Language Models (LLMs) is a complex and resource-intensive task, often requiring substantial human expertise. Existing approaches typically separate the optimization of prompt instructions and in-context learning exampl"&amp;"es, leading to incohesive, suboptimal results. To overcome this limitation, we propose a novel Cohesive In-Context Prompt Optimization framework that refines both prompt instructions and examples. In our formulation, coherence refers to the degree to whic"&amp;"h instructions and examples work synergistically to improve task performance—emerging as a byproduct of performance-driven optimization. However, formulating such an optimization in the discrete and high-dimensional space of natural language poses signifi"&amp;"cant challenges in both convergence and computational efficiency. To address these issues, we introduce SEE, a scalable and efficient prompt optimization framework that adopts metaheuristic optimization principles and strategically balances exploration an"&amp;"d exploitation to enhance optimization performance and achieve efficient convergence. SEE features a quad-phased design that alternates between global traversal (exploration) and local optimization (exploitation) and adaptively chooses LLM operators durin"&amp;"g the optimization process. We have conducted a comprehensive evaluation across 35 benchmark tasks, and SEE significantly outperforms state-of-the-art baseline methods by a large margin, achieving an average performance gain of **13.94** while reducing co"&amp;"mputational costs by **58.67%**.")</f>
        <v>Designing optimal prompts for Large Language Models (LLMs) is a complex and resource-intensive task, often requiring substantial human expertise. Existing approaches typically separate the optimization of prompt instructions and in-context learning examples, leading to incohesive, suboptimal results. To overcome this limitation, we propose a novel Cohesive In-Context Prompt Optimization framework that refines both prompt instructions and examples. In our formulation, coherence refers to the degree to which instructions and examples work synergistically to improve task performance—emerging as a byproduct of performance-driven optimization. However, formulating such an optimization in the discrete and high-dimensional space of natural language poses significant challenges in both convergence and computational efficiency. To address these issues, we introduce SEE, a scalable and efficient prompt optimization framework that adopts metaheuristic optimization principles and strategically balances exploration and exploitation to enhance optimization performance and achieve efficient convergence. SEE features a quad-phased design that alternates between global traversal (exploration) and local optimization (exploitation) and adaptively chooses LLM operators during the optimization process. We have conducted a comprehensive evaluation across 35 benchmark tasks, and SEE significantly outperforms state-of-the-art baseline methods by a large margin, achieving an average performance gain of **13.94** while reducing computational costs by **58.67%**.</v>
      </c>
      <c r="D3098" s="7" t="str">
        <f>IFERROR(__xludf.DUMMYFUNCTION("""COMPUTED_VALUE"""),"Wendi Cui, Damien Lopez")</f>
        <v>Wendi Cui, Damien Lopez</v>
      </c>
      <c r="E3098" s="7" t="str">
        <f>IFERROR(__xludf.DUMMYFUNCTION("""COMPUTED_VALUE"""),"Yes")</f>
        <v>Yes</v>
      </c>
      <c r="F3098" s="7" t="str">
        <f>IFERROR(__xludf.DUMMYFUNCTION("""COMPUTED_VALUE"""),"V-Presentation")</f>
        <v>V-Presentation</v>
      </c>
      <c r="G3098" s="7" t="str">
        <f>IFERROR(__xludf.DUMMYFUNCTION("""COMPUTED_VALUE"""),"Virtual/Gather")</f>
        <v>Virtual/Gather</v>
      </c>
      <c r="H3098" s="7" t="str">
        <f>IFERROR(__xludf.DUMMYFUNCTION("""COMPUTED_VALUE"""),"Zoom")</f>
        <v>Zoom</v>
      </c>
      <c r="I3098" s="7" t="str">
        <f>IFERROR(__xludf.DUMMYFUNCTION("""COMPUTED_VALUE"""),"Session 10: V-Presenations")</f>
        <v>Session 10: V-Presenations</v>
      </c>
      <c r="J3098" s="7" t="str">
        <f>IFERROR(__xludf.DUMMYFUNCTION("""COMPUTED_VALUE"""),"Virtual Presentations 3")</f>
        <v>Virtual Presentations 3</v>
      </c>
      <c r="K3098" s="7"/>
      <c r="L3098" s="8">
        <f>IFERROR(__xludf.DUMMYFUNCTION("""COMPUTED_VALUE"""),45867.0)</f>
        <v>45867</v>
      </c>
      <c r="M3098" s="7" t="str">
        <f>IFERROR(__xludf.DUMMYFUNCTION("""COMPUTED_VALUE"""),"16:00-17:30")</f>
        <v>16:00-17:30</v>
      </c>
      <c r="N3098" s="7"/>
    </row>
    <row r="3099">
      <c r="A3099" s="7" t="str">
        <f>IFERROR(__xludf.DUMMYFUNCTION("""COMPUTED_VALUE"""),"4371-MAIN")</f>
        <v>4371-MAIN</v>
      </c>
      <c r="B3099" s="7" t="str">
        <f>IFERROR(__xludf.DUMMYFUNCTION("""COMPUTED_VALUE"""),"Programming by Example meets Historical Linguistics: A Large Language Model Based Approach to Sound Law Induction")</f>
        <v>Programming by Example meets Historical Linguistics: A Large Language Model Based Approach to Sound Law Induction</v>
      </c>
      <c r="C3099" s="7" t="str">
        <f>IFERROR(__xludf.DUMMYFUNCTION("""COMPUTED_VALUE"""),"Historical linguists have long written ""programs"" that convert reconstructed words in an ancestor language into their attested descendants via ordered string rewrite functions (called sound laws) However, writing these programs is time-consuming, motiva"&amp;"ting the development of automated Sound Law Induction (SLI) which we formulate as Programming by Examples (PBE) with Large Language Models (LLMs) in this paper. While LLMs have been effective for code generation, recent work has shown that PBE is challeng"&amp;"ing but improvable by fine-tuning, especially with training data drawn from the same distribution as evaluation data. In this paper, we create a conceptual framework of what constitutes a ""similar distribution"" for SLI and propose four kinds of syntheti"&amp;"c data generation methods with varying amounts of inductive bias to investigate what leads to the best performance. Based on the results, we create a SOTA open-source model for SLI as PBE (+6% pass rate with a third of the parameters of the second-best LL"&amp;"M) and also highlight exciting future directions for PBE research.")</f>
        <v>Historical linguists have long written "programs" that convert reconstructed words in an ancestor language into their attested descendants via ordered string rewrite functions (called sound laws) However, writing these programs is time-consuming, motivating the development of automated Sound Law Induction (SLI) which we formulate as Programming by Examples (PBE) with Large Language Models (LLMs) in this paper. While LLMs have been effective for code generation, recent work has shown that PBE is challenging but improvable by fine-tuning, especially with training data drawn from the same distribution as evaluation data. In this paper, we create a conceptual framework of what constitutes a "similar distribution" for SLI and propose four kinds of synthetic data generation methods with varying amounts of inductive bias to investigate what leads to the best performance. Based on the results, we create a SOTA open-source model for SLI as PBE (+6% pass rate with a third of the parameters of the second-best LLM) and also highlight exciting future directions for PBE research.</v>
      </c>
      <c r="D3099" s="7" t="str">
        <f>IFERROR(__xludf.DUMMYFUNCTION("""COMPUTED_VALUE"""),"David Mortensen")</f>
        <v>David Mortensen</v>
      </c>
      <c r="E3099" s="7" t="str">
        <f>IFERROR(__xludf.DUMMYFUNCTION("""COMPUTED_VALUE"""),"Yes")</f>
        <v>Yes</v>
      </c>
      <c r="F3099" s="7" t="str">
        <f>IFERROR(__xludf.DUMMYFUNCTION("""COMPUTED_VALUE"""),"IP-Oral")</f>
        <v>IP-Oral</v>
      </c>
      <c r="G3099" s="7" t="str">
        <f>IFERROR(__xludf.DUMMYFUNCTION("""COMPUTED_VALUE"""),"In-Person")</f>
        <v>In-Person</v>
      </c>
      <c r="H3099" s="7" t="str">
        <f>IFERROR(__xludf.DUMMYFUNCTION("""COMPUTED_VALUE"""),"Room 1.86")</f>
        <v>Room 1.86</v>
      </c>
      <c r="I3099" s="7" t="str">
        <f>IFERROR(__xludf.DUMMYFUNCTION("""COMPUTED_VALUE"""),"Session 9: IP-Orals")</f>
        <v>Session 9: IP-Orals</v>
      </c>
      <c r="J3099" s="7" t="str">
        <f>IFERROR(__xludf.DUMMYFUNCTION("""COMPUTED_VALUE"""),"Phonology, Morphology, and Syntax")</f>
        <v>Phonology, Morphology, and Syntax</v>
      </c>
      <c r="K3099" s="7"/>
      <c r="L3099" s="8">
        <f>IFERROR(__xludf.DUMMYFUNCTION("""COMPUTED_VALUE"""),45867.0)</f>
        <v>45867</v>
      </c>
      <c r="M3099" s="7" t="str">
        <f>IFERROR(__xludf.DUMMYFUNCTION("""COMPUTED_VALUE"""),"14:00-15:30")</f>
        <v>14:00-15:30</v>
      </c>
      <c r="N3099" s="7">
        <f>IFERROR(__xludf.DUMMYFUNCTION("""COMPUTED_VALUE"""),8.0)</f>
        <v>8</v>
      </c>
    </row>
    <row r="3100">
      <c r="A3100" s="7" t="str">
        <f>IFERROR(__xludf.DUMMYFUNCTION("""COMPUTED_VALUE"""),"4372-MAIN")</f>
        <v>4372-MAIN</v>
      </c>
      <c r="B3100" s="7" t="str">
        <f>IFERROR(__xludf.DUMMYFUNCTION("""COMPUTED_VALUE"""),"Synergizing Unsupervised Episode Detection with LLMs for Large-Scale News Events")</f>
        <v>Synergizing Unsupervised Episode Detection with LLMs for Large-Scale News Events</v>
      </c>
      <c r="C3100" s="7" t="str">
        <f>IFERROR(__xludf.DUMMYFUNCTION("""COMPUTED_VALUE"""),"State-of-the-art automatic event detection struggles with interpretability and adaptability to evolving large-scale key events---unlike episodic structures, which excel in these areas. Often overlooked, episodes represent cohesive clusters of core entitie"&amp;"s performing actions at a specific time and location; a partially ordered sequence of episodes can represent a key event. This paper introduces a novel task, **episode detection**, which identifies episodes within a news corpus of key event articles. Dete"&amp;"cting episodes poses unique challenges, as they lack explicit temporal or locational markers and cannot be merged using semantic similarity alone. While large language models (LLMs) can aid with these reasoning difficulties, they suffer with long contexts"&amp;" typical of news corpora. To address these challenges, we introduce **EpiMine**, an unsupervised framework that identifies a key event's candidate episodes by leveraging natural episodic partitions in articles, estimated through shifts in discriminative t"&amp;"erm combinations. These candidate episodes are more cohesive and representative of true episodes, synergizing with LLMs to better interpret and refine them into final episodes. We apply EpiMine to our three diverse, real-world event datasets annotated at "&amp;"the episode level, where it achieves a 59.2% average gain across all metrics compared to baselines.")</f>
        <v>State-of-the-art automatic event detection struggles with interpretability and adaptability to evolving large-scale key events---unlike episodic structures, which excel in these areas. Often overlooked, episodes represent cohesive clusters of core entities performing actions at a specific time and location; a partially ordered sequence of episodes can represent a key event. This paper introduces a novel task, **episode detection**, which identifies episodes within a news corpus of key event articles. Detecting episodes poses unique challenges, as they lack explicit temporal or locational markers and cannot be merged using semantic similarity alone. While large language models (LLMs) can aid with these reasoning difficulties, they suffer with long contexts typical of news corpora. To address these challenges, we introduce **EpiMine**, an unsupervised framework that identifies a key event's candidate episodes by leveraging natural episodic partitions in articles, estimated through shifts in discriminative term combinations. These candidate episodes are more cohesive and representative of true episodes, synergizing with LLMs to better interpret and refine them into final episodes. We apply EpiMine to our three diverse, real-world event datasets annotated at the episode level, where it achieves a 59.2% average gain across all metrics compared to baselines.</v>
      </c>
      <c r="D3100" s="7" t="str">
        <f>IFERROR(__xludf.DUMMYFUNCTION("""COMPUTED_VALUE"""),"Priyanka Kargupta")</f>
        <v>Priyanka Kargupta</v>
      </c>
      <c r="E3100" s="7" t="str">
        <f>IFERROR(__xludf.DUMMYFUNCTION("""COMPUTED_VALUE"""),"Yes")</f>
        <v>Yes</v>
      </c>
      <c r="F3100" s="7" t="str">
        <f>IFERROR(__xludf.DUMMYFUNCTION("""COMPUTED_VALUE"""),"IP-Oral")</f>
        <v>IP-Oral</v>
      </c>
      <c r="G3100" s="7" t="str">
        <f>IFERROR(__xludf.DUMMYFUNCTION("""COMPUTED_VALUE"""),"In-Person")</f>
        <v>In-Person</v>
      </c>
      <c r="H3100" s="7" t="str">
        <f>IFERROR(__xludf.DUMMYFUNCTION("""COMPUTED_VALUE"""),"Hall N.2")</f>
        <v>Hall N.2</v>
      </c>
      <c r="I3100" s="7" t="str">
        <f>IFERROR(__xludf.DUMMYFUNCTION("""COMPUTED_VALUE"""),"Session 9: IP-Orals")</f>
        <v>Session 9: IP-Orals</v>
      </c>
      <c r="J3100" s="7" t="str">
        <f>IFERROR(__xludf.DUMMYFUNCTION("""COMPUTED_VALUE"""),"Summarization and Information Extraction ")</f>
        <v>Summarization and Information Extraction </v>
      </c>
      <c r="K3100" s="7"/>
      <c r="L3100" s="8">
        <f>IFERROR(__xludf.DUMMYFUNCTION("""COMPUTED_VALUE"""),45867.0)</f>
        <v>45867</v>
      </c>
      <c r="M3100" s="7" t="str">
        <f>IFERROR(__xludf.DUMMYFUNCTION("""COMPUTED_VALUE"""),"14:00-15:30")</f>
        <v>14:00-15:30</v>
      </c>
      <c r="N3100" s="7">
        <f>IFERROR(__xludf.DUMMYFUNCTION("""COMPUTED_VALUE"""),7.0)</f>
        <v>7</v>
      </c>
    </row>
    <row r="3101">
      <c r="A3101" s="7" t="str">
        <f>IFERROR(__xludf.DUMMYFUNCTION("""COMPUTED_VALUE"""),"4378-MAIN")</f>
        <v>4378-MAIN</v>
      </c>
      <c r="B3101" s="7" t="str">
        <f>IFERROR(__xludf.DUMMYFUNCTION("""COMPUTED_VALUE"""),"Beyond True or False: Retrieval-Augmented Hierarchical Analysis of Nuanced Claims")</f>
        <v>Beyond True or False: Retrieval-Augmented Hierarchical Analysis of Nuanced Claims</v>
      </c>
      <c r="C3101" s="7" t="str">
        <f>IFERROR(__xludf.DUMMYFUNCTION("""COMPUTED_VALUE"""),"Claims made by individuals or entities are oftentimes nuanced and cannot be clearly labeled as entirely ""true"" or ""false""---as is frequently the case with scientific and political claims. However, a claim (e.g., ""vaccine A is better than vaccine B"")"&amp;" can be dissected into its integral aspects and sub-aspects (e.g., efficacy, safety, distribution), which are individually easier to validate. This enables a more comprehensive, structured response that provides a well-rounded perspective on a given probl"&amp;"em while also allowing the reader to prioritize specific angles of interest within the claim (e.g., safety towards children). Thus, we propose ClaimSpect, a retrieval-augmented generation-based framework for automatically constructing a hierarchy of aspec"&amp;"ts typically considered when addressing a claim and enriching them with corpus-specific perspectives. This structure hierarchically partitions an input corpus to retrieve relevant segments, which assist in discovering new sub-aspects. Moreover, these segm"&amp;"ents enable the discovery of varying perspectives towards an aspect of the claim (e.g., support, neutral, or oppose) and their respective prevalence (e.g., ""how many biomedical papers believe vaccine A is more transportable than B?""). We apply ClaimSpec"&amp;"t to a wide variety of real-world scientific and political claims featured in our constructed dataset, showcasing its robustness and accuracy in deconstructing a nuanced claim and representing perspectives within a corpus. Through real-world case studies "&amp;"and human evaluation, we validate its effectiveness over multiple baselines.")</f>
        <v>Claims made by individuals or entities are oftentimes nuanced and cannot be clearly labeled as entirely "true" or "false"---as is frequently the case with scientific and political claims. However, a claim (e.g., "vaccine A is better than vaccine B") can be dissected into its integral aspects and sub-aspects (e.g., efficacy, safety, distribution), which are individually easier to validate. This enables a more comprehensive, structured response that provides a well-rounded perspective on a given problem while also allowing the reader to prioritize specific angles of interest within the claim (e.g., safety towards children). Thus, we propose ClaimSpect, a retrieval-augmented generation-based framework for automatically constructing a hierarchy of aspects typically considered when addressing a claim and enriching them with corpus-specific perspectives. This structure hierarchically partitions an input corpus to retrieve relevant segments, which assist in discovering new sub-aspects. Moreover, these segments enable the discovery of varying perspectives towards an aspect of the claim (e.g., support, neutral, or oppose) and their respective prevalence (e.g., "how many biomedical papers believe vaccine A is more transportable than B?"). We apply ClaimSpect to a wide variety of real-world scientific and political claims featured in our constructed dataset, showcasing its robustness and accuracy in deconstructing a nuanced claim and representing perspectives within a corpus. Through real-world case studies and human evaluation, we validate its effectiveness over multiple baselines.</v>
      </c>
      <c r="D3101" s="7" t="str">
        <f>IFERROR(__xludf.DUMMYFUNCTION("""COMPUTED_VALUE"""),"Priyanka Kargupta")</f>
        <v>Priyanka Kargupta</v>
      </c>
      <c r="E3101" s="7" t="str">
        <f>IFERROR(__xludf.DUMMYFUNCTION("""COMPUTED_VALUE"""),"Yes")</f>
        <v>Yes</v>
      </c>
      <c r="F3101" s="7" t="str">
        <f>IFERROR(__xludf.DUMMYFUNCTION("""COMPUTED_VALUE"""),"IP-Poster")</f>
        <v>IP-Poster</v>
      </c>
      <c r="G3101" s="7" t="str">
        <f>IFERROR(__xludf.DUMMYFUNCTION("""COMPUTED_VALUE"""),"In-Person")</f>
        <v>In-Person</v>
      </c>
      <c r="H3101" s="7" t="str">
        <f>IFERROR(__xludf.DUMMYFUNCTION("""COMPUTED_VALUE"""),"Hall 4/5")</f>
        <v>Hall 4/5</v>
      </c>
      <c r="I3101" s="7" t="str">
        <f>IFERROR(__xludf.DUMMYFUNCTION("""COMPUTED_VALUE"""),"Session 12: IP-Posters")</f>
        <v>Session 12: IP-Posters</v>
      </c>
      <c r="J3101" s="7" t="str">
        <f>IFERROR(__xludf.DUMMYFUNCTION("""COMPUTED_VALUE"""),"Poster Session 4")</f>
        <v>Poster Session 4</v>
      </c>
      <c r="K3101" s="7"/>
      <c r="L3101" s="8">
        <f>IFERROR(__xludf.DUMMYFUNCTION("""COMPUTED_VALUE"""),45868.0)</f>
        <v>45868</v>
      </c>
      <c r="M3101" s="7" t="str">
        <f>IFERROR(__xludf.DUMMYFUNCTION("""COMPUTED_VALUE"""),"11:00-12:30")</f>
        <v>11:00-12:30</v>
      </c>
      <c r="N3101" s="7"/>
    </row>
    <row r="3102">
      <c r="A3102" s="7" t="str">
        <f>IFERROR(__xludf.DUMMYFUNCTION("""COMPUTED_VALUE"""),"4382-MAIN")</f>
        <v>4382-MAIN</v>
      </c>
      <c r="B3102" s="7" t="str">
        <f>IFERROR(__xludf.DUMMYFUNCTION("""COMPUTED_VALUE"""),"The Task Shield: Enforcing Task Alignment to Defend Against Indirect Prompt Injection in LLM Agents")</f>
        <v>The Task Shield: Enforcing Task Alignment to Defend Against Indirect Prompt Injection in LLM Agents</v>
      </c>
      <c r="C3102" s="7" t="str">
        <f>IFERROR(__xludf.DUMMYFUNCTION("""COMPUTED_VALUE"""),"Large Language Model (LLM) agents are increasingly being deployed as conversational assistants capable of performing complex real-world tasks through tool integration. This enhanced ability to interact with external systems and process various data source"&amp;"s, while powerful, introduces significant security vulnerabilities. In particular, indirect prompt injection attacks pose a critical threat, where malicious instructions embedded within external data sources can manipulate agents to deviate from user inte"&amp;"ntions. 
While existing defenses show promise, they struggle to maintain robust security while preserving task functionality. We propose a novel and orthogonal perspective that reframes agent security from preventing harmful actions to ensuring task align"&amp;"ment, requiring every agent action to serve user objectives. Based on this insight, we develop Task Shield, a test-time defense mechanism that systematically verifies whether each instruction and tool call contributes to user-specified goals. Through expe"&amp;"riments on the AgentDojo benchmark, we demonstrate that Task Shield reduces attack success rates (2.07\%) while maintaining high task utility (69.79\%) on GPT-4o, significantly outperforming existing defenses in various real-world scenarios.")</f>
        <v>Large Language Model (LLM) agents are increasingly being deployed as conversational assistants capable of performing complex real-world tasks through tool integration. This enhanced ability to interact with external systems and process various data sources, while powerful, introduces significant security vulnerabilities. In particular, indirect prompt injection attacks pose a critical threat, where malicious instructions embedded within external data sources can manipulate agents to deviate from user intentions. 
While existing defenses show promise, they struggle to maintain robust security while preserving task functionality. We propose a novel and orthogonal perspective that reframes agent security from preventing harmful actions to ensuring task alignment, requiring every agent action to serve user objectives. Based on this insight, we develop Task Shield, a test-time defense mechanism that systematically verifies whether each instruction and tool call contributes to user-specified goals. Through experiments on the AgentDojo benchmark, we demonstrate that Task Shield reduces attack success rates (2.07\%) while maintaining high task utility (69.79\%) on GPT-4o, significantly outperforming existing defenses in various real-world scenarios.</v>
      </c>
      <c r="D3102" s="7" t="str">
        <f>IFERROR(__xludf.DUMMYFUNCTION("""COMPUTED_VALUE"""),"Feiran Jia")</f>
        <v>Feiran Jia</v>
      </c>
      <c r="E3102" s="7" t="str">
        <f>IFERROR(__xludf.DUMMYFUNCTION("""COMPUTED_VALUE"""),"Yes")</f>
        <v>Yes</v>
      </c>
      <c r="F3102" s="7" t="str">
        <f>IFERROR(__xludf.DUMMYFUNCTION("""COMPUTED_VALUE"""),"V-Presentation")</f>
        <v>V-Presentation</v>
      </c>
      <c r="G3102" s="7" t="str">
        <f>IFERROR(__xludf.DUMMYFUNCTION("""COMPUTED_VALUE"""),"Virtual/Gather")</f>
        <v>Virtual/Gather</v>
      </c>
      <c r="H3102" s="7" t="str">
        <f>IFERROR(__xludf.DUMMYFUNCTION("""COMPUTED_VALUE"""),"Zoom")</f>
        <v>Zoom</v>
      </c>
      <c r="I3102" s="7" t="str">
        <f>IFERROR(__xludf.DUMMYFUNCTION("""COMPUTED_VALUE"""),"Session 10: V-Presenations")</f>
        <v>Session 10: V-Presenations</v>
      </c>
      <c r="J3102" s="7" t="str">
        <f>IFERROR(__xludf.DUMMYFUNCTION("""COMPUTED_VALUE"""),"Virtual Presentations 3")</f>
        <v>Virtual Presentations 3</v>
      </c>
      <c r="K3102" s="7"/>
      <c r="L3102" s="8">
        <f>IFERROR(__xludf.DUMMYFUNCTION("""COMPUTED_VALUE"""),45867.0)</f>
        <v>45867</v>
      </c>
      <c r="M3102" s="7" t="str">
        <f>IFERROR(__xludf.DUMMYFUNCTION("""COMPUTED_VALUE"""),"16:00-17:30")</f>
        <v>16:00-17:30</v>
      </c>
      <c r="N3102" s="7"/>
    </row>
    <row r="3103">
      <c r="A3103" s="7" t="str">
        <f>IFERROR(__xludf.DUMMYFUNCTION("""COMPUTED_VALUE"""),"4396-MAIN")</f>
        <v>4396-MAIN</v>
      </c>
      <c r="B3103" s="7" t="str">
        <f>IFERROR(__xludf.DUMMYFUNCTION("""COMPUTED_VALUE"""),"Sandcastles in the Storm: Revisiting the (Im)possibility of Strong Watermarking")</f>
        <v>Sandcastles in the Storm: Revisiting the (Im)possibility of Strong Watermarking</v>
      </c>
      <c r="C3103" s="7" t="str">
        <f>IFERROR(__xludf.DUMMYFUNCTION("""COMPUTED_VALUE"""),"Watermarking AI-generated text is critical for combating misuse. Yet recent theoretical work argues that any watermark can be erased via random walk attacks that perturb text while preserving quality. However, such attacks rely on two key assumptions: (1)"&amp;" rapid mixing (watermarks dissolve quickly under perturbations) and (2) reliable quality preservation (automated quality oracles perfectly guide edits). Through large-scale experiments and human-validated assessments, we find mixing is slow: 100% of pertu"&amp;"rbed texts retain traces of their origin after hundreds of edits, defying rapid mixing. Oracles falter, as state-of-the-art quality detectors misjudge edits (77% accuracy), compounding errors during attacks. Ultimately, attacks underperform: automated wal"&amp;"ks remove watermarks just 26% of the time -- dropping to 10% under human quality review. These findings challenge the inevitability of watermark removal. Instead, practical barriers -- slow mixing and imperfect quality control -- reveal watermarking to be"&amp;" far more robust than theoretical models suggest. The gap between idealized attacks and real-world feasibility underscores the need for stronger watermarking methods and more realistic attack models.")</f>
        <v>Watermarking AI-generated text is critical for combating misuse. Yet recent theoretical work argues that any watermark can be erased via random walk attacks that perturb text while preserving quality. However, such attacks rely on two key assumptions: (1) rapid mixing (watermarks dissolve quickly under perturbations) and (2) reliable quality preservation (automated quality oracles perfectly guide edits). Through large-scale experiments and human-validated assessments, we find mixing is slow: 100% of perturbed texts retain traces of their origin after hundreds of edits, defying rapid mixing. Oracles falter, as state-of-the-art quality detectors misjudge edits (77% accuracy), compounding errors during attacks. Ultimately, attacks underperform: automated walks remove watermarks just 26% of the time -- dropping to 10% under human quality review. These findings challenge the inevitability of watermark removal. Instead, practical barriers -- slow mixing and imperfect quality control -- reveal watermarking to be far more robust than theoretical models suggest. The gap between idealized attacks and real-world feasibility underscores the need for stronger watermarking methods and more realistic attack models.</v>
      </c>
      <c r="D3103" s="7" t="str">
        <f>IFERROR(__xludf.DUMMYFUNCTION("""COMPUTED_VALUE"""),"Fabrice Harel-Canada")</f>
        <v>Fabrice Harel-Canada</v>
      </c>
      <c r="E3103" s="7" t="str">
        <f>IFERROR(__xludf.DUMMYFUNCTION("""COMPUTED_VALUE"""),"Yes")</f>
        <v>Yes</v>
      </c>
      <c r="F3103" s="7" t="str">
        <f>IFERROR(__xludf.DUMMYFUNCTION("""COMPUTED_VALUE"""),"IP-Poster")</f>
        <v>IP-Poster</v>
      </c>
      <c r="G3103" s="7" t="str">
        <f>IFERROR(__xludf.DUMMYFUNCTION("""COMPUTED_VALUE"""),"In-Person")</f>
        <v>In-Person</v>
      </c>
      <c r="H3103" s="7" t="str">
        <f>IFERROR(__xludf.DUMMYFUNCTION("""COMPUTED_VALUE"""),"Hall 4/5")</f>
        <v>Hall 4/5</v>
      </c>
      <c r="I3103" s="7" t="str">
        <f>IFERROR(__xludf.DUMMYFUNCTION("""COMPUTED_VALUE"""),"Session 7: IP-Posters")</f>
        <v>Session 7: IP-Posters</v>
      </c>
      <c r="J3103" s="7" t="str">
        <f>IFERROR(__xludf.DUMMYFUNCTION("""COMPUTED_VALUE"""),"Poster Session 2")</f>
        <v>Poster Session 2</v>
      </c>
      <c r="K3103" s="7"/>
      <c r="L3103" s="8">
        <f>IFERROR(__xludf.DUMMYFUNCTION("""COMPUTED_VALUE"""),45867.0)</f>
        <v>45867</v>
      </c>
      <c r="M3103" s="7" t="str">
        <f>IFERROR(__xludf.DUMMYFUNCTION("""COMPUTED_VALUE"""),"10:30-12:00")</f>
        <v>10:30-12:00</v>
      </c>
      <c r="N3103" s="7"/>
    </row>
    <row r="3104">
      <c r="A3104" s="7" t="str">
        <f>IFERROR(__xludf.DUMMYFUNCTION("""COMPUTED_VALUE"""),"4398-MAIN")</f>
        <v>4398-MAIN</v>
      </c>
      <c r="B3104" s="7" t="str">
        <f>IFERROR(__xludf.DUMMYFUNCTION("""COMPUTED_VALUE"""),"Time-MQA: Time Series Multi-Task Question Answering with Context Enhancement")</f>
        <v>Time-MQA: Time Series Multi-Task Question Answering with Context Enhancement</v>
      </c>
      <c r="C3104" s="7" t="str">
        <f>IFERROR(__xludf.DUMMYFUNCTION("""COMPUTED_VALUE"""),"Time series data are foundational in finance, healthcare, and energy domains. However, most existing methods and datasets remain focused on a narrow spectrum of tasks, such as forecasting or anomaly detection. To bridge this gap, we introduce Time Series "&amp;"Multi-Task Question Answering (Time-MQA), a unified framework that enables natural language queries across multiple time series tasks - numerical analytical tasks and open-ended question answering with reasoning. Central to Time-MQA is the TSQA dataset, a"&amp;" large-scale dataset containing $\sim$200k question-answer pairs derived from diverse time series spanning environment, traffic, etc. This comprehensive resource covers various time series lengths and promotes robust model development. We further demonstr"&amp;"ate how continually pre-training large language models (Mistral 7B, Llama-3 8B, and Qwen-2.5 7B) on the TSQA dataset enhanced time series reasoning capabilities, moving beyond mere numeric tasks and enabling more advanced and intuitive interactions with t"&amp;"emporal data. The complete TSQA dataset, models, user study questionnaires for evaluation, and other related materials have been open-sourced here.")</f>
        <v>Time series data are foundational in finance, healthcare, and energy domains. However, most existing methods and datasets remain focused on a narrow spectrum of tasks, such as forecasting or anomaly detection. To bridge this gap, we introduce Time Series Multi-Task Question Answering (Time-MQA), a unified framework that enables natural language queries across multiple time series tasks - numerical analytical tasks and open-ended question answering with reasoning. Central to Time-MQA is the TSQA dataset, a large-scale dataset containing $\sim$200k question-answer pairs derived from diverse time series spanning environment, traffic, etc. This comprehensive resource covers various time series lengths and promotes robust model development. We further demonstrate how continually pre-training large language models (Mistral 7B, Llama-3 8B, and Qwen-2.5 7B) on the TSQA dataset enhanced time series reasoning capabilities, moving beyond mere numeric tasks and enabling more advanced and intuitive interactions with temporal data. The complete TSQA dataset, models, user study questionnaires for evaluation, and other related materials have been open-sourced here.</v>
      </c>
      <c r="D3104" s="7" t="str">
        <f>IFERROR(__xludf.DUMMYFUNCTION("""COMPUTED_VALUE"""),"Yiyuan Yang")</f>
        <v>Yiyuan Yang</v>
      </c>
      <c r="E3104" s="7" t="str">
        <f>IFERROR(__xludf.DUMMYFUNCTION("""COMPUTED_VALUE"""),"Yes")</f>
        <v>Yes</v>
      </c>
      <c r="F3104" s="7" t="str">
        <f>IFERROR(__xludf.DUMMYFUNCTION("""COMPUTED_VALUE"""),"IP-Poster")</f>
        <v>IP-Poster</v>
      </c>
      <c r="G3104" s="7" t="str">
        <f>IFERROR(__xludf.DUMMYFUNCTION("""COMPUTED_VALUE"""),"In-Person")</f>
        <v>In-Person</v>
      </c>
      <c r="H3104" s="7" t="str">
        <f>IFERROR(__xludf.DUMMYFUNCTION("""COMPUTED_VALUE"""),"Hall 4/5")</f>
        <v>Hall 4/5</v>
      </c>
      <c r="I3104" s="7" t="str">
        <f>IFERROR(__xludf.DUMMYFUNCTION("""COMPUTED_VALUE"""),"Session 7: IP-Posters")</f>
        <v>Session 7: IP-Posters</v>
      </c>
      <c r="J3104" s="7" t="str">
        <f>IFERROR(__xludf.DUMMYFUNCTION("""COMPUTED_VALUE"""),"Poster Session 2")</f>
        <v>Poster Session 2</v>
      </c>
      <c r="K3104" s="7"/>
      <c r="L3104" s="8">
        <f>IFERROR(__xludf.DUMMYFUNCTION("""COMPUTED_VALUE"""),45867.0)</f>
        <v>45867</v>
      </c>
      <c r="M3104" s="7" t="str">
        <f>IFERROR(__xludf.DUMMYFUNCTION("""COMPUTED_VALUE"""),"10:30-12:00")</f>
        <v>10:30-12:00</v>
      </c>
      <c r="N3104" s="7"/>
    </row>
    <row r="3105">
      <c r="A3105" s="7" t="str">
        <f>IFERROR(__xludf.DUMMYFUNCTION("""COMPUTED_VALUE"""),"4404-MAIN")</f>
        <v>4404-MAIN</v>
      </c>
      <c r="B3105" s="7" t="str">
        <f>IFERROR(__xludf.DUMMYFUNCTION("""COMPUTED_VALUE"""),"From Perceptions to Decisions: Wildfire Evacuation Decision Prediction with Behavioral Theory-informed LLMs")</f>
        <v>From Perceptions to Decisions: Wildfire Evacuation Decision Prediction with Behavioral Theory-informed LLMs</v>
      </c>
      <c r="C3105" s="7" t="str">
        <f>IFERROR(__xludf.DUMMYFUNCTION("""COMPUTED_VALUE"""),"Evacuation decision prediction is critical for efficient and effective wildfire response by helping emergency management anticipate traffic congestion and bottlenecks, allocate resources, and minimize negative impacts. Traditional statistical methods for "&amp;"evacuation decision prediction fail to capture the complex and diverse behavioral logic of different individuals. In this work, for the first time, we introduce *FLARE*, short for facilitating LLM for advanced reasoning on wildfire evacuation decision pre"&amp;"diction, a Large Language Model (LLM)-based framework that integrates behavioral theories and models to streamline the Chain-of-Thought (CoT) reasoning and subsequently integrate with memory-based Reinforcement Learning (RL) module to provide accurate eva"&amp;"cuation decision prediction and understanding. Our proposed method addresses the limitations of using existing LLMs for evacuation behavioral predictions, such as limited survey data, mismatching with behavioral theory, conflicting individual preferences,"&amp;" implicit and complex mental states, and intractable mental state-behavior mapping. Experiments on three post-wildfire survey datasets show an average of 20.47\% performance improvement over traditional theory-informed behavioral models, with strong cross"&amp;"-event generalizability. Our complete code is publicly available at https://github.com/SusuXu-s-Lab/FLARE")</f>
        <v>Evacuation decision prediction is critical for efficient and effective wildfire response by helping emergency management anticipate traffic congestion and bottlenecks, allocate resources, and minimize negative impacts. Traditional statistical methods for evacuation decision prediction fail to capture the complex and diverse behavioral logic of different individuals. In this work, for the first time, we introduce *FLARE*, short for facilitating LLM for advanced reasoning on wildfire evacuation decision prediction, a Large Language Model (LLM)-based framework that integrates behavioral theories and models to streamline the Chain-of-Thought (CoT) reasoning and subsequently integrate with memory-based Reinforcement Learning (RL) module to provide accurate evacuation decision prediction and understanding. Our proposed method addresses the limitations of using existing LLMs for evacuation behavioral predictions, such as limited survey data, mismatching with behavioral theory, conflicting individual preferences, implicit and complex mental states, and intractable mental state-behavior mapping. Experiments on three post-wildfire survey datasets show an average of 20.47\% performance improvement over traditional theory-informed behavioral models, with strong cross-event generalizability. Our complete code is publicly available at https://github.com/SusuXu-s-Lab/FLARE</v>
      </c>
      <c r="D3105" s="7" t="str">
        <f>IFERROR(__xludf.DUMMYFUNCTION("""COMPUTED_VALUE"""),"Ruxiao Chen")</f>
        <v>Ruxiao Chen</v>
      </c>
      <c r="E3105" s="7" t="str">
        <f>IFERROR(__xludf.DUMMYFUNCTION("""COMPUTED_VALUE"""),"Yes")</f>
        <v>Yes</v>
      </c>
      <c r="F3105" s="7" t="str">
        <f>IFERROR(__xludf.DUMMYFUNCTION("""COMPUTED_VALUE"""),"IP-Poster")</f>
        <v>IP-Poster</v>
      </c>
      <c r="G3105" s="7" t="str">
        <f>IFERROR(__xludf.DUMMYFUNCTION("""COMPUTED_VALUE"""),"In-Person")</f>
        <v>In-Person</v>
      </c>
      <c r="H3105" s="7" t="str">
        <f>IFERROR(__xludf.DUMMYFUNCTION("""COMPUTED_VALUE"""),"Hall 4/5")</f>
        <v>Hall 4/5</v>
      </c>
      <c r="I3105" s="7" t="str">
        <f>IFERROR(__xludf.DUMMYFUNCTION("""COMPUTED_VALUE"""),"Session 12: IP-Posters")</f>
        <v>Session 12: IP-Posters</v>
      </c>
      <c r="J3105" s="7" t="str">
        <f>IFERROR(__xludf.DUMMYFUNCTION("""COMPUTED_VALUE"""),"Poster Session 4")</f>
        <v>Poster Session 4</v>
      </c>
      <c r="K3105" s="7"/>
      <c r="L3105" s="8">
        <f>IFERROR(__xludf.DUMMYFUNCTION("""COMPUTED_VALUE"""),45868.0)</f>
        <v>45868</v>
      </c>
      <c r="M3105" s="7" t="str">
        <f>IFERROR(__xludf.DUMMYFUNCTION("""COMPUTED_VALUE"""),"11:00-12:30")</f>
        <v>11:00-12:30</v>
      </c>
      <c r="N3105" s="7"/>
    </row>
    <row r="3106">
      <c r="A3106" s="7" t="str">
        <f>IFERROR(__xludf.DUMMYFUNCTION("""COMPUTED_VALUE"""),"4410-MAIN")</f>
        <v>4410-MAIN</v>
      </c>
      <c r="B3106" s="7" t="str">
        <f>IFERROR(__xludf.DUMMYFUNCTION("""COMPUTED_VALUE"""),"GETReason: Enhancing Image Context Extraction through Hierarchical Multi-Agent Reasoning")</f>
        <v>GETReason: Enhancing Image Context Extraction through Hierarchical Multi-Agent Reasoning</v>
      </c>
      <c r="C3106" s="7" t="str">
        <f>IFERROR(__xludf.DUMMYFUNCTION("""COMPUTED_VALUE"""),"Publicly significant images from events carry valuable contextual information with applications in domains such as journalism and education. However, existing methodologies often struggle to accurately extract this contextual relevance from images. To add"&amp;"ress this challenge, we introduce GETREASON (Geospatial Event Temporal Reasoning), a framework designed to go beyond surfacelevel image descriptions and infer deeper contextual meaning. We hypothesize that extracting global event, temporal, and geospatial"&amp;" information from an image enables a more accurate understanding of its contextual significance. We also introduce a new metric GREAT (Geospatial, Reasoning and Event Accuracy with Temporal alignment) for a reasoning capturing evaluation. Our layered mult"&amp;"i-agentic approach, evaluated using a reasoning-weighted metric, demonstrates that meaningful information can be inferred from images, allowing them to be effectively linked to their corresponding events and broader contextual background.")</f>
        <v>Publicly significant images from events carry valuable contextual information with applications in domains such as journalism and education. However, existing methodologies often struggle to accurately extract this contextual relevance from images. To address this challenge, we introduce GETREASON (Geospatial Event Temporal Reasoning), a framework designed to go beyond surfacelevel image descriptions and infer deeper contextual meaning. We hypothesize that extracting global event, temporal, and geospatial information from an image enables a more accurate understanding of its contextual significance. We also introduce a new metric GREAT (Geospatial, Reasoning and Event Accuracy with Temporal alignment) for a reasoning capturing evaluation. Our layered multi-agentic approach, evaluated using a reasoning-weighted metric, demonstrates that meaningful information can be inferred from images, allowing them to be effectively linked to their corresponding events and broader contextual background.</v>
      </c>
      <c r="D3106" s="7" t="str">
        <f>IFERROR(__xludf.DUMMYFUNCTION("""COMPUTED_VALUE"""),"Shikhhar Siingh")</f>
        <v>Shikhhar Siingh</v>
      </c>
      <c r="E3106" s="7" t="str">
        <f>IFERROR(__xludf.DUMMYFUNCTION("""COMPUTED_VALUE"""),"Yes")</f>
        <v>Yes</v>
      </c>
      <c r="F3106" s="7" t="str">
        <f>IFERROR(__xludf.DUMMYFUNCTION("""COMPUTED_VALUE"""),"IP-Poster")</f>
        <v>IP-Poster</v>
      </c>
      <c r="G3106" s="7" t="str">
        <f>IFERROR(__xludf.DUMMYFUNCTION("""COMPUTED_VALUE"""),"In-Person")</f>
        <v>In-Person</v>
      </c>
      <c r="H3106" s="7" t="str">
        <f>IFERROR(__xludf.DUMMYFUNCTION("""COMPUTED_VALUE"""),"Hall 4/5")</f>
        <v>Hall 4/5</v>
      </c>
      <c r="I3106" s="7" t="str">
        <f>IFERROR(__xludf.DUMMYFUNCTION("""COMPUTED_VALUE"""),"Session 7: IP-Posters")</f>
        <v>Session 7: IP-Posters</v>
      </c>
      <c r="J3106" s="7" t="str">
        <f>IFERROR(__xludf.DUMMYFUNCTION("""COMPUTED_VALUE"""),"Poster Session 2")</f>
        <v>Poster Session 2</v>
      </c>
      <c r="K3106" s="7"/>
      <c r="L3106" s="8">
        <f>IFERROR(__xludf.DUMMYFUNCTION("""COMPUTED_VALUE"""),45867.0)</f>
        <v>45867</v>
      </c>
      <c r="M3106" s="7" t="str">
        <f>IFERROR(__xludf.DUMMYFUNCTION("""COMPUTED_VALUE"""),"10:30-12:00")</f>
        <v>10:30-12:00</v>
      </c>
      <c r="N3106" s="7"/>
    </row>
    <row r="3107">
      <c r="A3107" s="7" t="str">
        <f>IFERROR(__xludf.DUMMYFUNCTION("""COMPUTED_VALUE"""),"4413-MAIN")</f>
        <v>4413-MAIN</v>
      </c>
      <c r="B3107" s="7" t="str">
        <f>IFERROR(__xludf.DUMMYFUNCTION("""COMPUTED_VALUE"""),"Hanging in the Balance: Pivotal Moments in Crisis Counseling Conversations")</f>
        <v>Hanging in the Balance: Pivotal Moments in Crisis Counseling Conversations</v>
      </c>
      <c r="C3107" s="7" t="str">
        <f>IFERROR(__xludf.DUMMYFUNCTION("""COMPUTED_VALUE"""),"During a conversation, there can come certain moments where its outcome hangs in the balance. In these pivotal moments, how one responds can put the conversation on substantially different trajectories leading to significantly different outcomes. Systems "&amp;"that can detect when such moments arise could assist conversationalists in domains with highly consequential outcomes, such as mental health crisis counseling.
In this work, we introduce an unsupervised computational method for detecting such pivotal mom"&amp;"ents as they happen. The intuition is that a moment is pivotal if our expectation of the conversation’s outcome varies widely depending on what might be said next. By applying our method to crisis counseling conversations, we first validate it by showing "&amp;"that it aligns with human perception—counselors take significantly longer to respond during moments detected by our method—and with the eventual conversational trajectory—which is more likely to change course at these times. We then use our framework to e"&amp;"xplore the relation between the counselor’s response during pivotal moments and the eventual outcome of the session.")</f>
        <v>During a conversation, there can come certain moments where its outcome hangs in the balance. In these pivotal moments, how one responds can put the conversation on substantially different trajectories leading to significantly different outcomes. Systems that can detect when such moments arise could assist conversationalists in domains with highly consequential outcomes, such as mental health crisis counseling.
In this work, we introduce an unsupervised computational method for detecting such pivotal moments as they happen. The intuition is that a moment is pivotal if our expectation of the conversation’s outcome varies widely depending on what might be said next. By applying our method to crisis counseling conversations, we first validate it by showing that it aligns with human perception—counselors take significantly longer to respond during moments detected by our method—and with the eventual conversational trajectory—which is more likely to change course at these times. We then use our framework to explore the relation between the counselor’s response during pivotal moments and the eventual outcome of the session.</v>
      </c>
      <c r="D3107" s="7" t="str">
        <f>IFERROR(__xludf.DUMMYFUNCTION("""COMPUTED_VALUE"""),"Vivian Nguyen")</f>
        <v>Vivian Nguyen</v>
      </c>
      <c r="E3107" s="7" t="str">
        <f>IFERROR(__xludf.DUMMYFUNCTION("""COMPUTED_VALUE"""),"Yes")</f>
        <v>Yes</v>
      </c>
      <c r="F3107" s="7" t="str">
        <f>IFERROR(__xludf.DUMMYFUNCTION("""COMPUTED_VALUE"""),"IP-Poster")</f>
        <v>IP-Poster</v>
      </c>
      <c r="G3107" s="7" t="str">
        <f>IFERROR(__xludf.DUMMYFUNCTION("""COMPUTED_VALUE"""),"In-Person")</f>
        <v>In-Person</v>
      </c>
      <c r="H3107" s="7" t="str">
        <f>IFERROR(__xludf.DUMMYFUNCTION("""COMPUTED_VALUE"""),"Hall 4/5")</f>
        <v>Hall 4/5</v>
      </c>
      <c r="I3107" s="7" t="str">
        <f>IFERROR(__xludf.DUMMYFUNCTION("""COMPUTED_VALUE"""),"Session 12: IP-Posters")</f>
        <v>Session 12: IP-Posters</v>
      </c>
      <c r="J3107" s="7" t="str">
        <f>IFERROR(__xludf.DUMMYFUNCTION("""COMPUTED_VALUE"""),"Poster Session 4")</f>
        <v>Poster Session 4</v>
      </c>
      <c r="K3107" s="7"/>
      <c r="L3107" s="8">
        <f>IFERROR(__xludf.DUMMYFUNCTION("""COMPUTED_VALUE"""),45868.0)</f>
        <v>45868</v>
      </c>
      <c r="M3107" s="7" t="str">
        <f>IFERROR(__xludf.DUMMYFUNCTION("""COMPUTED_VALUE"""),"11:00-12:30")</f>
        <v>11:00-12:30</v>
      </c>
      <c r="N3107" s="7"/>
    </row>
    <row r="3108">
      <c r="A3108" s="7" t="str">
        <f>IFERROR(__xludf.DUMMYFUNCTION("""COMPUTED_VALUE"""),"4415-MAIN")</f>
        <v>4415-MAIN</v>
      </c>
      <c r="B3108" s="7" t="str">
        <f>IFERROR(__xludf.DUMMYFUNCTION("""COMPUTED_VALUE"""),"Unveiling the Potential of BERT-family: A New Recipe for Building Scalable, General and Competitive Large Language Models")</f>
        <v>Unveiling the Potential of BERT-family: A New Recipe for Building Scalable, General and Competitive Large Language Models</v>
      </c>
      <c r="C3108" s="7" t="str">
        <f>IFERROR(__xludf.DUMMYFUNCTION("""COMPUTED_VALUE"""),"BERT-family have been increasingly explored for adaptation to scenarios beyond language understanding tasks, with more recent efforts focused on enabling them to become good instruction followers. These explorations have endowed BERT-family with new roles"&amp;" and human expectations, showcasing their potential on par with current state-of-the-art (SOTA) large language models (LLMs). However, several certain shortcomings in previous BERT-family, such as the relatively sub-optimal training corpora, learning proc"&amp;"edure, and model architecture, all impede the further advancement of these models for serving as general and competitive LLMs. Therefore, we aim to address these deficiencies in this paper. Our study not only introduces a more suitable pre-training task t"&amp;"hat helps BERT-family excel in wider applications to realize generality but also explores the integration of cutting-edge technologies into our model to further enhance their capabilities. Our final models, termed **Bi**directional **G**eneral **L**anguag"&amp;"e **M**odels (**BiGLM**), exhibit performance levels comparable to current SOTA LLMs across a spectrum of tasks. Moreover, we conduct detailed analyses to study the effects of scaling and training corpora for BiGLM. To the best of our knowledge, our work "&amp;"represents the early attempt to offer a recipe for building novel types of scalable, general, and competitive LLMs that diverge from current autoregressive modeling methodology. Our codes and models are available on Github.")</f>
        <v>BERT-family have been increasingly explored for adaptation to scenarios beyond language understanding tasks, with more recent efforts focused on enabling them to become good instruction followers. These explorations have endowed BERT-family with new roles and human expectations, showcasing their potential on par with current state-of-the-art (SOTA) large language models (LLMs). However, several certain shortcomings in previous BERT-family, such as the relatively sub-optimal training corpora, learning procedure, and model architecture, all impede the further advancement of these models for serving as general and competitive LLMs. Therefore, we aim to address these deficiencies in this paper. Our study not only introduces a more suitable pre-training task that helps BERT-family excel in wider applications to realize generality but also explores the integration of cutting-edge technologies into our model to further enhance their capabilities. Our final models, termed **Bi**directional **G**eneral **L**anguage **M**odels (**BiGLM**), exhibit performance levels comparable to current SOTA LLMs across a spectrum of tasks. Moreover, we conduct detailed analyses to study the effects of scaling and training corpora for BiGLM. To the best of our knowledge, our work represents the early attempt to offer a recipe for building novel types of scalable, general, and competitive LLMs that diverge from current autoregressive modeling methodology. Our codes and models are available on Github.</v>
      </c>
      <c r="D3108" s="7" t="str">
        <f>IFERROR(__xludf.DUMMYFUNCTION("""COMPUTED_VALUE"""),"Yisheng Xiao")</f>
        <v>Yisheng Xiao</v>
      </c>
      <c r="E3108" s="7" t="str">
        <f>IFERROR(__xludf.DUMMYFUNCTION("""COMPUTED_VALUE"""),"Yes")</f>
        <v>Yes</v>
      </c>
      <c r="F3108" s="7" t="str">
        <f>IFERROR(__xludf.DUMMYFUNCTION("""COMPUTED_VALUE"""),"IP-Oral")</f>
        <v>IP-Oral</v>
      </c>
      <c r="G3108" s="7" t="str">
        <f>IFERROR(__xludf.DUMMYFUNCTION("""COMPUTED_VALUE"""),"In-Person")</f>
        <v>In-Person</v>
      </c>
      <c r="H3108" s="7" t="str">
        <f>IFERROR(__xludf.DUMMYFUNCTION("""COMPUTED_VALUE"""),"Hall C")</f>
        <v>Hall C</v>
      </c>
      <c r="I3108" s="7" t="str">
        <f>IFERROR(__xludf.DUMMYFUNCTION("""COMPUTED_VALUE"""),"Session 9: IP-Orals")</f>
        <v>Session 9: IP-Orals</v>
      </c>
      <c r="J3108" s="7" t="str">
        <f>IFERROR(__xludf.DUMMYFUNCTION("""COMPUTED_VALUE"""),"Language Modeling 1")</f>
        <v>Language Modeling 1</v>
      </c>
      <c r="K3108" s="7"/>
      <c r="L3108" s="8">
        <f>IFERROR(__xludf.DUMMYFUNCTION("""COMPUTED_VALUE"""),45867.0)</f>
        <v>45867</v>
      </c>
      <c r="M3108" s="7" t="str">
        <f>IFERROR(__xludf.DUMMYFUNCTION("""COMPUTED_VALUE"""),"14:00-15:30")</f>
        <v>14:00-15:30</v>
      </c>
      <c r="N3108" s="7">
        <f>IFERROR(__xludf.DUMMYFUNCTION("""COMPUTED_VALUE"""),7.0)</f>
        <v>7</v>
      </c>
    </row>
    <row r="3109">
      <c r="A3109" s="7" t="str">
        <f>IFERROR(__xludf.DUMMYFUNCTION("""COMPUTED_VALUE"""),"4421-MAIN")</f>
        <v>4421-MAIN</v>
      </c>
      <c r="B3109" s="7" t="str">
        <f>IFERROR(__xludf.DUMMYFUNCTION("""COMPUTED_VALUE"""),"TaxoAdapt: Aligning LLM-Based Multidimensional Taxonomy Construction to Evolving Research Corpora")</f>
        <v>TaxoAdapt: Aligning LLM-Based Multidimensional Taxonomy Construction to Evolving Research Corpora</v>
      </c>
      <c r="C3109" s="7" t="str">
        <f>IFERROR(__xludf.DUMMYFUNCTION("""COMPUTED_VALUE"""),"The rapid evolution of scientific fields introduces challenges in organizing and retrieving scientific literature. While expert-curated taxonomies have traditionally addressed this need, the process is time-consuming and expensive. Furthermore, recent aut"&amp;"omatic taxonomy construction methods either (1) over-rely on a specific corpus, sacrificing generalizability, or (2) depend heavily on the general knowledge of large language models (LLMs) contained within their pre-training datasets, often overlooking th"&amp;"e dynamic nature of evolving scientific domains. Additionally, these approaches fail to account for the multi-faceted nature of scientific literature, where a single research paper may contribute to multiple dimensions (e.g., methodology, new tasks, evalu"&amp;"ation metrics, benchmarks). To address these gaps, we propose TaxoAdapt, a framework that dynamically adapts an LLM-generated taxonomy to a given corpus across multiple dimensions. TaxoAdapt performs iterative hierarchical classification, expanding both t"&amp;"he taxonomy width and depth based on corpus' topical distribution. We demonstrate its state-of-the-art performance across a diverse set of computer science conferences over the years to showcase its ability to structure and capture the evolution of scient"&amp;"ific fields. As a multidimensional method, TaxoAdapt generates taxonomies that are 26.51% more granularity-preserving and 50.41% more coherent than the most competitive baselines judged by LLMs.")</f>
        <v>The rapid evolution of scientific fields introduces challenges in organizing and retrieving scientific literature. While expert-curated taxonomies have traditionally addressed this need, the process is time-consuming and expensive. Furthermore, recent automatic taxonomy construction methods either (1) over-rely on a specific corpus, sacrificing generalizability, or (2) depend heavily on the general knowledge of large language models (LLMs) contained within their pre-training datasets, often overlooking the dynamic nature of evolving scientific domains. Additionally, these approaches fail to account for the multi-faceted nature of scientific literature, where a single research paper may contribute to multiple dimensions (e.g., methodology, new tasks, evaluation metrics, benchmarks). To address these gaps, we propose TaxoAdapt, a framework that dynamically adapts an LLM-generated taxonomy to a given corpus across multiple dimensions. TaxoAdapt performs iterative hierarchical classification, expanding both the taxonomy width and depth based on corpus' topical distribution. We demonstrate its state-of-the-art performance across a diverse set of computer science conferences over the years to showcase its ability to structure and capture the evolution of scientific fields. As a multidimensional method, TaxoAdapt generates taxonomies that are 26.51% more granularity-preserving and 50.41% more coherent than the most competitive baselines judged by LLMs.</v>
      </c>
      <c r="D3109" s="7" t="str">
        <f>IFERROR(__xludf.DUMMYFUNCTION("""COMPUTED_VALUE"""),"Priyanka Kargupta")</f>
        <v>Priyanka Kargupta</v>
      </c>
      <c r="E3109" s="7" t="str">
        <f>IFERROR(__xludf.DUMMYFUNCTION("""COMPUTED_VALUE"""),"Yes")</f>
        <v>Yes</v>
      </c>
      <c r="F3109" s="7" t="str">
        <f>IFERROR(__xludf.DUMMYFUNCTION("""COMPUTED_VALUE"""),"IP-Poster")</f>
        <v>IP-Poster</v>
      </c>
      <c r="G3109" s="7" t="str">
        <f>IFERROR(__xludf.DUMMYFUNCTION("""COMPUTED_VALUE"""),"In-Person")</f>
        <v>In-Person</v>
      </c>
      <c r="H3109" s="7" t="str">
        <f>IFERROR(__xludf.DUMMYFUNCTION("""COMPUTED_VALUE"""),"Hall 4/5")</f>
        <v>Hall 4/5</v>
      </c>
      <c r="I3109" s="7" t="str">
        <f>IFERROR(__xludf.DUMMYFUNCTION("""COMPUTED_VALUE"""),"Session 7: IP-Posters")</f>
        <v>Session 7: IP-Posters</v>
      </c>
      <c r="J3109" s="7" t="str">
        <f>IFERROR(__xludf.DUMMYFUNCTION("""COMPUTED_VALUE"""),"Poster Session 2")</f>
        <v>Poster Session 2</v>
      </c>
      <c r="K3109" s="7"/>
      <c r="L3109" s="8">
        <f>IFERROR(__xludf.DUMMYFUNCTION("""COMPUTED_VALUE"""),45867.0)</f>
        <v>45867</v>
      </c>
      <c r="M3109" s="7" t="str">
        <f>IFERROR(__xludf.DUMMYFUNCTION("""COMPUTED_VALUE"""),"10:30-12:00")</f>
        <v>10:30-12:00</v>
      </c>
      <c r="N3109" s="7"/>
    </row>
    <row r="3110">
      <c r="A3110" s="7" t="str">
        <f>IFERROR(__xludf.DUMMYFUNCTION("""COMPUTED_VALUE"""),"4422-MAIN")</f>
        <v>4422-MAIN</v>
      </c>
      <c r="B3110" s="7" t="str">
        <f>IFERROR(__xludf.DUMMYFUNCTION("""COMPUTED_VALUE"""),"An Empirical Study of Iterative Refinements for Non-autoregressive Translation")</f>
        <v>An Empirical Study of Iterative Refinements for Non-autoregressive Translation</v>
      </c>
      <c r="C3110" s="7" t="str">
        <f>IFERROR(__xludf.DUMMYFUNCTION("""COMPUTED_VALUE"""),"Iterative non-autoregressive (NAR) models share a spirit of mixed autoregressive (AR) and fully NAR models, seeking a balance between generation quality and inference efficiency. These models have recently demonstrated impressive performance in varied gen"&amp;"eration tasks, surpassing the autoregressive Transformer. However, they also face several challenges that impede further development. In this work, we target building more efficient and competitive iterative NAR models. Firstly, we produce two simple metr"&amp;"ics to identify the potential problems existing in current refinement processes, and look back on the various iterative NAR models to find the key factors for realizing our purpose. Subsequently, based on the analyses of the limitations of previous infere"&amp;"nce algorithms, we propose a simple yet effective strategy to conduct efficient refinements without performance declines. Experiments on five widely used datasets show that our final models set the new state-of-the-art performance compared to all previous"&amp;" NAR models, even with fewer decoding steps, and outperform AR Transformer by around one BLEU on average. Our codes and models are available on Github.")</f>
        <v>Iterative non-autoregressive (NAR) models share a spirit of mixed autoregressive (AR) and fully NAR models, seeking a balance between generation quality and inference efficiency. These models have recently demonstrated impressive performance in varied generation tasks, surpassing the autoregressive Transformer. However, they also face several challenges that impede further development. In this work, we target building more efficient and competitive iterative NAR models. Firstly, we produce two simple metrics to identify the potential problems existing in current refinement processes, and look back on the various iterative NAR models to find the key factors for realizing our purpose. Subsequently, based on the analyses of the limitations of previous inference algorithms, we propose a simple yet effective strategy to conduct efficient refinements without performance declines. Experiments on five widely used datasets show that our final models set the new state-of-the-art performance compared to all previous NAR models, even with fewer decoding steps, and outperform AR Transformer by around one BLEU on average. Our codes and models are available on Github.</v>
      </c>
      <c r="D3110" s="7" t="str">
        <f>IFERROR(__xludf.DUMMYFUNCTION("""COMPUTED_VALUE"""),"Yisheng Xiao")</f>
        <v>Yisheng Xiao</v>
      </c>
      <c r="E3110" s="7" t="str">
        <f>IFERROR(__xludf.DUMMYFUNCTION("""COMPUTED_VALUE"""),"Yes")</f>
        <v>Yes</v>
      </c>
      <c r="F3110" s="7" t="str">
        <f>IFERROR(__xludf.DUMMYFUNCTION("""COMPUTED_VALUE"""),"IP-Poster")</f>
        <v>IP-Poster</v>
      </c>
      <c r="G3110" s="7" t="str">
        <f>IFERROR(__xludf.DUMMYFUNCTION("""COMPUTED_VALUE"""),"In-Person")</f>
        <v>In-Person</v>
      </c>
      <c r="H3110" s="7" t="str">
        <f>IFERROR(__xludf.DUMMYFUNCTION("""COMPUTED_VALUE"""),"Hall 4/5")</f>
        <v>Hall 4/5</v>
      </c>
      <c r="I3110" s="7" t="str">
        <f>IFERROR(__xludf.DUMMYFUNCTION("""COMPUTED_VALUE"""),"Session 10: IP-Posters")</f>
        <v>Session 10: IP-Posters</v>
      </c>
      <c r="J3110" s="7" t="str">
        <f>IFERROR(__xludf.DUMMYFUNCTION("""COMPUTED_VALUE"""),"Poster Session 3")</f>
        <v>Poster Session 3</v>
      </c>
      <c r="K3110" s="7"/>
      <c r="L3110" s="8">
        <f>IFERROR(__xludf.DUMMYFUNCTION("""COMPUTED_VALUE"""),45867.0)</f>
        <v>45867</v>
      </c>
      <c r="M3110" s="7" t="str">
        <f>IFERROR(__xludf.DUMMYFUNCTION("""COMPUTED_VALUE"""),"16:00-17:30")</f>
        <v>16:00-17:30</v>
      </c>
      <c r="N3110" s="7"/>
    </row>
    <row r="3111">
      <c r="A3111" s="7" t="str">
        <f>IFERROR(__xludf.DUMMYFUNCTION("""COMPUTED_VALUE"""),"4426-MAIN")</f>
        <v>4426-MAIN</v>
      </c>
      <c r="B3111" s="7" t="str">
        <f>IFERROR(__xludf.DUMMYFUNCTION("""COMPUTED_VALUE"""),"Retrofitting Large Language Models with Dynamic Tokenization")</f>
        <v>Retrofitting Large Language Models with Dynamic Tokenization</v>
      </c>
      <c r="C3111" s="7" t="str">
        <f>IFERROR(__xludf.DUMMYFUNCTION("""COMPUTED_VALUE"""),"Current language models (LMs) use a fixed, static subword tokenizer. This default choice typically results in degraded efficiency and language capabilities, especially in languages other than English. To address this issue, we challenge the static design "&amp;"and propose retrofitting LMs with dynamic tokenization: a way to dynamically decide on token boundaries based on the input text via a subword-merging algorithm inspired by byte-pair encoding. We merge frequent subword sequences in a batch, then apply a pr"&amp;"e-trained embedding-prediction hypernetwork to compute the token embeddings on-the-fly. For encoder-style models (e.g., XLM-R), this on average reduces token sequence lengths by &gt;20% across 14 languages while degrading performance by less than 2%. The sam"&amp;"e method applied to pre-filling and scoring in decoder-style models (e.g., Mistral-7B) results in minimal performance degradation at up to 17% reduction in sequence length. Overall, we find that dynamic tokenization can mitigate the limitations of static "&amp;"tokenization by substantially improving inference speed and promoting fairness across languages, enabling more equitable and adaptable LMs.")</f>
        <v>Current language models (LMs) use a fixed, static subword tokenizer. This default choice typically results in degraded efficiency and language capabilities, especially in languages other than English. To address this issue, we challenge the static design and propose retrofitting LMs with dynamic tokenization: a way to dynamically decide on token boundaries based on the input text via a subword-merging algorithm inspired by byte-pair encoding. We merge frequent subword sequences in a batch, then apply a pre-trained embedding-prediction hypernetwork to compute the token embeddings on-the-fly. For encoder-style models (e.g., XLM-R), this on average reduces token sequence lengths by &gt;20% across 14 languages while degrading performance by less than 2%. The same method applied to pre-filling and scoring in decoder-style models (e.g., Mistral-7B) results in minimal performance degradation at up to 17% reduction in sequence length. Overall, we find that dynamic tokenization can mitigate the limitations of static tokenization by substantially improving inference speed and promoting fairness across languages, enabling more equitable and adaptable LMs.</v>
      </c>
      <c r="D3111" s="7" t="str">
        <f>IFERROR(__xludf.DUMMYFUNCTION("""COMPUTED_VALUE"""),"Darius Feher")</f>
        <v>Darius Feher</v>
      </c>
      <c r="E3111" s="7" t="str">
        <f>IFERROR(__xludf.DUMMYFUNCTION("""COMPUTED_VALUE"""),"Yes")</f>
        <v>Yes</v>
      </c>
      <c r="F3111" s="7" t="str">
        <f>IFERROR(__xludf.DUMMYFUNCTION("""COMPUTED_VALUE"""),"IP-Poster")</f>
        <v>IP-Poster</v>
      </c>
      <c r="G3111" s="7" t="str">
        <f>IFERROR(__xludf.DUMMYFUNCTION("""COMPUTED_VALUE"""),"In-Person")</f>
        <v>In-Person</v>
      </c>
      <c r="H3111" s="7" t="str">
        <f>IFERROR(__xludf.DUMMYFUNCTION("""COMPUTED_VALUE"""),"Hall 4/5")</f>
        <v>Hall 4/5</v>
      </c>
      <c r="I3111" s="7" t="str">
        <f>IFERROR(__xludf.DUMMYFUNCTION("""COMPUTED_VALUE"""),"Session 2: IP-Posters ")</f>
        <v>Session 2: IP-Posters </v>
      </c>
      <c r="J3111" s="7" t="str">
        <f>IFERROR(__xludf.DUMMYFUNCTION("""COMPUTED_VALUE"""),"Poster Session 1")</f>
        <v>Poster Session 1</v>
      </c>
      <c r="K3111" s="7"/>
      <c r="L3111" s="8">
        <f>IFERROR(__xludf.DUMMYFUNCTION("""COMPUTED_VALUE"""),45866.0)</f>
        <v>45866</v>
      </c>
      <c r="M3111" s="7" t="str">
        <f>IFERROR(__xludf.DUMMYFUNCTION("""COMPUTED_VALUE"""),"11:00-12:30")</f>
        <v>11:00-12:30</v>
      </c>
      <c r="N3111" s="7"/>
    </row>
    <row r="3112">
      <c r="A3112" s="7" t="str">
        <f>IFERROR(__xludf.DUMMYFUNCTION("""COMPUTED_VALUE"""),"4428-MAIN")</f>
        <v>4428-MAIN</v>
      </c>
      <c r="B3112" s="7" t="str">
        <f>IFERROR(__xludf.DUMMYFUNCTION("""COMPUTED_VALUE"""),"Principled Content Selection to Generate Diverse and Personalized Multi-Document Summaries")</f>
        <v>Principled Content Selection to Generate Diverse and Personalized Multi-Document Summaries</v>
      </c>
      <c r="C3112" s="7" t="str">
        <f>IFERROR(__xludf.DUMMYFUNCTION("""COMPUTED_VALUE"""),"While large language models (LLMs) are increasingly capable of handling longer contexts, recent work has demonstrated that they exhibit the _""lost in the middle""_ phenomenon  (Liu et al., 2024)  of unevenly attending to different parts of the provided c"&amp;"ontext. This hinders their ability to cover diverse source material in multi-document summarization, as noted in the DiverseSumm benchmark (Huang et al., 2024). In this work, we contend that principled content selection is a simple way to increase source "&amp;"coverage on this task. As opposed to prompting an LLM to perform the summarization in a single step, we explicitly divide the task into three steps---(1) reducing document collections to atomic key points, (2) using determinantal point processes (DPP) to "&amp;"perform select key points that prioritize diverse content, and (3) rewriting to the final summary. By combining prompting steps, for extraction and rewriting, with principled techniques, for content selection, we consistently improve source coverage on th"&amp;"e DiverseSumm benchmark across various LLMs. Finally, we also show that by incorporating relevance to a provided user intent into the DPP kernel, we can generate _personalized_ summaries that cover _relevant_ source information while retaining coverage.")</f>
        <v>While large language models (LLMs) are increasingly capable of handling longer contexts, recent work has demonstrated that they exhibit the _"lost in the middle"_ phenomenon  (Liu et al., 2024)  of unevenly attending to different parts of the provided context. This hinders their ability to cover diverse source material in multi-document summarization, as noted in the DiverseSumm benchmark (Huang et al., 2024). In this work, we contend that principled content selection is a simple way to increase source coverage on this task. As opposed to prompting an LLM to perform the summarization in a single step, we explicitly divide the task into three steps---(1) reducing document collections to atomic key points, (2) using determinantal point processes (DPP) to perform select key points that prioritize diverse content, and (3) rewriting to the final summary. By combining prompting steps, for extraction and rewriting, with principled techniques, for content selection, we consistently improve source coverage on the DiverseSumm benchmark across various LLMs. Finally, we also show that by incorporating relevance to a provided user intent into the DPP kernel, we can generate _personalized_ summaries that cover _relevant_ source information while retaining coverage.</v>
      </c>
      <c r="D3112" s="7" t="str">
        <f>IFERROR(__xludf.DUMMYFUNCTION("""COMPUTED_VALUE"""),"Vishakh Padmakumar")</f>
        <v>Vishakh Padmakumar</v>
      </c>
      <c r="E3112" s="7" t="str">
        <f>IFERROR(__xludf.DUMMYFUNCTION("""COMPUTED_VALUE"""),"Yes")</f>
        <v>Yes</v>
      </c>
      <c r="F3112" s="7" t="str">
        <f>IFERROR(__xludf.DUMMYFUNCTION("""COMPUTED_VALUE"""),"IP-Poster")</f>
        <v>IP-Poster</v>
      </c>
      <c r="G3112" s="7" t="str">
        <f>IFERROR(__xludf.DUMMYFUNCTION("""COMPUTED_VALUE"""),"In-Person")</f>
        <v>In-Person</v>
      </c>
      <c r="H3112" s="7" t="str">
        <f>IFERROR(__xludf.DUMMYFUNCTION("""COMPUTED_VALUE"""),"Hall 4/5")</f>
        <v>Hall 4/5</v>
      </c>
      <c r="I3112" s="7" t="str">
        <f>IFERROR(__xludf.DUMMYFUNCTION("""COMPUTED_VALUE"""),"Session 2: IP-Posters ")</f>
        <v>Session 2: IP-Posters </v>
      </c>
      <c r="J3112" s="7" t="str">
        <f>IFERROR(__xludf.DUMMYFUNCTION("""COMPUTED_VALUE"""),"Poster Session 1")</f>
        <v>Poster Session 1</v>
      </c>
      <c r="K3112" s="7"/>
      <c r="L3112" s="8">
        <f>IFERROR(__xludf.DUMMYFUNCTION("""COMPUTED_VALUE"""),45866.0)</f>
        <v>45866</v>
      </c>
      <c r="M3112" s="7" t="str">
        <f>IFERROR(__xludf.DUMMYFUNCTION("""COMPUTED_VALUE"""),"11:00-12:30")</f>
        <v>11:00-12:30</v>
      </c>
      <c r="N3112" s="7"/>
    </row>
    <row r="3113">
      <c r="A3113" s="7" t="str">
        <f>IFERROR(__xludf.DUMMYFUNCTION("""COMPUTED_VALUE"""),"4431-MAIN")</f>
        <v>4431-MAIN</v>
      </c>
      <c r="B3113" s="7" t="str">
        <f>IFERROR(__xludf.DUMMYFUNCTION("""COMPUTED_VALUE"""),"Bilingual Zero-Shot Stance Detection")</f>
        <v>Bilingual Zero-Shot Stance Detection</v>
      </c>
      <c r="C3113" s="7" t="str">
        <f>IFERROR(__xludf.DUMMYFUNCTION("""COMPUTED_VALUE"""),"Zero-shot stance detection (ZSSD) aims to determine whether the author of a text is in support, against, or neutral toward a target that is unseen during training. In this paper, we investigate ZSSD within a bilingual framework and compare it with cross-l"&amp;"ingual and monolingual scenarios, in settings that have not previously been explored. Our study focuses on both noun-phrase and claim targets within in-domain and out-of-domain bilingual ZSSD scenarios. To support this research, we assemble Bi-STANCE, a c"&amp;"omprehensive bilingual ZSSD dataset consisting of over 100,000 annotated text-target pairs in both Chinese and English, sourced from existing datasets. Additionally, we examine a more challenging aspect of bilingual ZSSD by focusing on claim targets with "&amp;"a low occurrence of shared words with their corresponding texts. As part of Bi-STANCE, we created an extended dataset that emphasizes this challenging scenario. To the best of our knowledge, we are the first to explore this difficult ZSSD setting. We inve"&amp;"stigate these tasks using state-of-the-art pre-trained language models (PLMs) and large language models (LLMs). We release our dataset and code at https://github.com/chenyez/BiSTANCE.")</f>
        <v>Zero-shot stance detection (ZSSD) aims to determine whether the author of a text is in support, against, or neutral toward a target that is unseen during training. In this paper, we investigate ZSSD within a bilingual framework and compare it with cross-lingual and monolingual scenarios, in settings that have not previously been explored. Our study focuses on both noun-phrase and claim targets within in-domain and out-of-domain bilingual ZSSD scenarios. To support this research, we assemble Bi-STANCE, a comprehensive bilingual ZSSD dataset consisting of over 100,000 annotated text-target pairs in both Chinese and English, sourced from existing datasets. Additionally, we examine a more challenging aspect of bilingual ZSSD by focusing on claim targets with a low occurrence of shared words with their corresponding texts. As part of Bi-STANCE, we created an extended dataset that emphasizes this challenging scenario. To the best of our knowledge, we are the first to explore this difficult ZSSD setting. We investigate these tasks using state-of-the-art pre-trained language models (PLMs) and large language models (LLMs). We release our dataset and code at https://github.com/chenyez/BiSTANCE.</v>
      </c>
      <c r="D3113" s="7" t="str">
        <f>IFERROR(__xludf.DUMMYFUNCTION("""COMPUTED_VALUE"""),"Chenye Zhao")</f>
        <v>Chenye Zhao</v>
      </c>
      <c r="E3113" s="7" t="str">
        <f>IFERROR(__xludf.DUMMYFUNCTION("""COMPUTED_VALUE"""),"yes")</f>
        <v>yes</v>
      </c>
      <c r="F3113" s="7" t="str">
        <f>IFERROR(__xludf.DUMMYFUNCTION("""COMPUTED_VALUE"""),"V-Presentation")</f>
        <v>V-Presentation</v>
      </c>
      <c r="G3113" s="7" t="str">
        <f>IFERROR(__xludf.DUMMYFUNCTION("""COMPUTED_VALUE"""),"Virtual/Gather")</f>
        <v>Virtual/Gather</v>
      </c>
      <c r="H3113" s="7" t="str">
        <f>IFERROR(__xludf.DUMMYFUNCTION("""COMPUTED_VALUE"""),"Zoom")</f>
        <v>Zoom</v>
      </c>
      <c r="I3113" s="7" t="str">
        <f>IFERROR(__xludf.DUMMYFUNCTION("""COMPUTED_VALUE"""),"Session 10: V-Presentations")</f>
        <v>Session 10: V-Presentations</v>
      </c>
      <c r="J3113" s="7" t="str">
        <f>IFERROR(__xludf.DUMMYFUNCTION("""COMPUTED_VALUE"""),"Virtual Presentations 3")</f>
        <v>Virtual Presentations 3</v>
      </c>
      <c r="K3113" s="7"/>
      <c r="L3113" s="8">
        <f>IFERROR(__xludf.DUMMYFUNCTION("""COMPUTED_VALUE"""),45867.0)</f>
        <v>45867</v>
      </c>
      <c r="M3113" s="7" t="str">
        <f>IFERROR(__xludf.DUMMYFUNCTION("""COMPUTED_VALUE"""),"16:00-17:30")</f>
        <v>16:00-17:30</v>
      </c>
      <c r="N3113" s="7"/>
    </row>
    <row r="3114">
      <c r="A3114" s="7" t="str">
        <f>IFERROR(__xludf.DUMMYFUNCTION("""COMPUTED_VALUE"""),"4434-MAIN")</f>
        <v>4434-MAIN</v>
      </c>
      <c r="B3114" s="7" t="str">
        <f>IFERROR(__xludf.DUMMYFUNCTION("""COMPUTED_VALUE"""),"GrammaMT: Improving Machine Translation with Grammar-Informed In-Context Learning")</f>
        <v>GrammaMT: Improving Machine Translation with Grammar-Informed In-Context Learning</v>
      </c>
      <c r="C3114" s="7" t="str">
        <f>IFERROR(__xludf.DUMMYFUNCTION("""COMPUTED_VALUE"""),"We introduce GrammaMT, a grammatically-aware prompting approach for machine translation that uses Interlinear Glossed Text (IGT), a common form of linguistic description providing morphological and lexical annotations for source sentences. GrammaMT propos"&amp;"es three prompting strategies: gloss-shot, chain-gloss and model-gloss. All are training-free, requiring only a few examples that involve minimal effort to collect, and making them well-suited for low-resource setups. Experiments show that GrammaMT enhanc"&amp;"es translation performance on open-source instruction-tuned LLMs for various low- to high-resource languages across three benchmarks: (1) the largest IGT corpus, (2) the challenging 2023 SIGMORPHON Shared Task data over endangered languages, and (3) even "&amp;"in an out-of-domain setting with FLORES. Moreover, ablation studies reveal that leveraging gloss resources could substantially boost MT performance (by over 17 BLEU points) if LLMs accurately generate or access input sentence glosses.")</f>
        <v>We introduce GrammaMT, a grammatically-aware prompting approach for machine translation that uses Interlinear Glossed Text (IGT), a common form of linguistic description providing morphological and lexical annotations for source sentences. GrammaMT proposes three prompting strategies: gloss-shot, chain-gloss and model-gloss. All are training-free, requiring only a few examples that involve minimal effort to collect, and making them well-suited for low-resource setups. Experiments show that GrammaMT enhances translation performance on open-source instruction-tuned LLMs for various low- to high-resource languages across three benchmarks: (1) the largest IGT corpus, (2) the challenging 2023 SIGMORPHON Shared Task data over endangered languages, and (3) even in an out-of-domain setting with FLORES. Moreover, ablation studies reveal that leveraging gloss resources could substantially boost MT performance (by over 17 BLEU points) if LLMs accurately generate or access input sentence glosses.</v>
      </c>
      <c r="D3114" s="7" t="str">
        <f>IFERROR(__xludf.DUMMYFUNCTION("""COMPUTED_VALUE"""),"Rita Ramos")</f>
        <v>Rita Ramos</v>
      </c>
      <c r="E3114" s="7" t="str">
        <f>IFERROR(__xludf.DUMMYFUNCTION("""COMPUTED_VALUE"""),"Yes")</f>
        <v>Yes</v>
      </c>
      <c r="F3114" s="7" t="str">
        <f>IFERROR(__xludf.DUMMYFUNCTION("""COMPUTED_VALUE"""),"IP-Poster")</f>
        <v>IP-Poster</v>
      </c>
      <c r="G3114" s="7" t="str">
        <f>IFERROR(__xludf.DUMMYFUNCTION("""COMPUTED_VALUE"""),"In-Person")</f>
        <v>In-Person</v>
      </c>
      <c r="H3114" s="7" t="str">
        <f>IFERROR(__xludf.DUMMYFUNCTION("""COMPUTED_VALUE"""),"Hall 4/5")</f>
        <v>Hall 4/5</v>
      </c>
      <c r="I3114" s="7" t="str">
        <f>IFERROR(__xludf.DUMMYFUNCTION("""COMPUTED_VALUE"""),"Session 10: IP-Posters")</f>
        <v>Session 10: IP-Posters</v>
      </c>
      <c r="J3114" s="7" t="str">
        <f>IFERROR(__xludf.DUMMYFUNCTION("""COMPUTED_VALUE"""),"Poster Session 3")</f>
        <v>Poster Session 3</v>
      </c>
      <c r="K3114" s="7"/>
      <c r="L3114" s="8">
        <f>IFERROR(__xludf.DUMMYFUNCTION("""COMPUTED_VALUE"""),45867.0)</f>
        <v>45867</v>
      </c>
      <c r="M3114" s="7" t="str">
        <f>IFERROR(__xludf.DUMMYFUNCTION("""COMPUTED_VALUE"""),"16:00-17:30")</f>
        <v>16:00-17:30</v>
      </c>
      <c r="N3114" s="7"/>
    </row>
    <row r="3115">
      <c r="A3115" s="7" t="str">
        <f>IFERROR(__xludf.DUMMYFUNCTION("""COMPUTED_VALUE"""),"4436-MAIN")</f>
        <v>4436-MAIN</v>
      </c>
      <c r="B3115" s="7" t="str">
        <f>IFERROR(__xludf.DUMMYFUNCTION("""COMPUTED_VALUE"""),"Theorem Prover as a Judge for Synthetic Data Generation")</f>
        <v>Theorem Prover as a Judge for Synthetic Data Generation</v>
      </c>
      <c r="C3115" s="7" t="str">
        <f>IFERROR(__xludf.DUMMYFUNCTION("""COMPUTED_VALUE"""),"The demand for synthetic data in mathematical reasoning has increased due to its potential to enhance the mathematical capabilities of large language models (LLMs). However, ensuring the validity of intermediate reasoning steps remains a significant chall"&amp;"enge, affecting data quality. While formal verification via theorem provers effectively validates LLM reasoning, the autoformalisation of mathematical proofs remains error-prone. In response, we introduce *iterative autoformalisation*, an approach that it"&amp;"eratively refines theorem prover formalisation to mitigate errors, thereby increasing the execution rate on the Lean prover from 60% to 87%. Building upon that, we introduce *Theorem Prover as a Judge (TP-as-a-Judge)*, a method that employs theorem prover"&amp;" formalisation to rigorously assess LLM intermediate reasoning, effectively integrating autoformalisation with synthetic data generation. Finally, we present *Reinforcement Learning from Theorem Prover Feedback (RLTPF),* a framework that replaces human an"&amp;"notation with theorem prover feedback in Reinforcement Learning from Human Feedback (RLHF). Across multiple LLMs, applying *TP-as-a-Judge* and *RLTPF* improves benchmarks with only 3,508 samples, achieving 5.56% accuracy gain on Mistral-7B for MultiArith,"&amp;" 6.00% on Llama-2-7B for SVAMP, and 3.55% on Llama-3.1-8B for AQUA.")</f>
        <v>The demand for synthetic data in mathematical reasoning has increased due to its potential to enhance the mathematical capabilities of large language models (LLMs). However, ensuring the validity of intermediate reasoning steps remains a significant challenge, affecting data quality. While formal verification via theorem provers effectively validates LLM reasoning, the autoformalisation of mathematical proofs remains error-prone. In response, we introduce *iterative autoformalisation*, an approach that iteratively refines theorem prover formalisation to mitigate errors, thereby increasing the execution rate on the Lean prover from 60% to 87%. Building upon that, we introduce *Theorem Prover as a Judge (TP-as-a-Judge)*, a method that employs theorem prover formalisation to rigorously assess LLM intermediate reasoning, effectively integrating autoformalisation with synthetic data generation. Finally, we present *Reinforcement Learning from Theorem Prover Feedback (RLTPF),* a framework that replaces human annotation with theorem prover feedback in Reinforcement Learning from Human Feedback (RLHF). Across multiple LLMs, applying *TP-as-a-Judge* and *RLTPF* improves benchmarks with only 3,508 samples, achieving 5.56% accuracy gain on Mistral-7B for MultiArith, 6.00% on Llama-2-7B for SVAMP, and 3.55% on Llama-3.1-8B for AQUA.</v>
      </c>
      <c r="D3115" s="7" t="str">
        <f>IFERROR(__xludf.DUMMYFUNCTION("""COMPUTED_VALUE"""),"Joshua Ong Jun Leang")</f>
        <v>Joshua Ong Jun Leang</v>
      </c>
      <c r="E3115" s="7" t="str">
        <f>IFERROR(__xludf.DUMMYFUNCTION("""COMPUTED_VALUE"""),"Yes")</f>
        <v>Yes</v>
      </c>
      <c r="F3115" s="7" t="str">
        <f>IFERROR(__xludf.DUMMYFUNCTION("""COMPUTED_VALUE"""),"IP-Poster")</f>
        <v>IP-Poster</v>
      </c>
      <c r="G3115" s="7" t="str">
        <f>IFERROR(__xludf.DUMMYFUNCTION("""COMPUTED_VALUE"""),"In-Person")</f>
        <v>In-Person</v>
      </c>
      <c r="H3115" s="7" t="str">
        <f>IFERROR(__xludf.DUMMYFUNCTION("""COMPUTED_VALUE"""),"Hall 4/5")</f>
        <v>Hall 4/5</v>
      </c>
      <c r="I3115" s="7" t="str">
        <f>IFERROR(__xludf.DUMMYFUNCTION("""COMPUTED_VALUE"""),"Session 12: IP-Posters")</f>
        <v>Session 12: IP-Posters</v>
      </c>
      <c r="J3115" s="7" t="str">
        <f>IFERROR(__xludf.DUMMYFUNCTION("""COMPUTED_VALUE"""),"Poster Session 4")</f>
        <v>Poster Session 4</v>
      </c>
      <c r="K3115" s="7"/>
      <c r="L3115" s="8">
        <f>IFERROR(__xludf.DUMMYFUNCTION("""COMPUTED_VALUE"""),45868.0)</f>
        <v>45868</v>
      </c>
      <c r="M3115" s="7" t="str">
        <f>IFERROR(__xludf.DUMMYFUNCTION("""COMPUTED_VALUE"""),"11:00-12:30")</f>
        <v>11:00-12:30</v>
      </c>
      <c r="N3115" s="7"/>
    </row>
    <row r="3116">
      <c r="A3116" s="7" t="str">
        <f>IFERROR(__xludf.DUMMYFUNCTION("""COMPUTED_VALUE"""),"4438-MAIN")</f>
        <v>4438-MAIN</v>
      </c>
      <c r="B3116" s="7" t="str">
        <f>IFERROR(__xludf.DUMMYFUNCTION("""COMPUTED_VALUE"""),"Measuring the Effect of Transcription Noise on Downstream Language Understanding Tasks")</f>
        <v>Measuring the Effect of Transcription Noise on Downstream Language Understanding Tasks</v>
      </c>
      <c r="C3116" s="7" t="str">
        <f>IFERROR(__xludf.DUMMYFUNCTION("""COMPUTED_VALUE"""),"With the increasing prevalence of recorded human speech, spoken language understanding (SLU) is essential for its efficient processing. In order to process the speech, it is commonly transcribed using automatic speech recognition technology. This speech-t"&amp;"o-text transition introduces errors into the transcripts, which subsequently propagate to downstream NLP tasks, such as dialogue summarization. While it is known that transcript noise affects downstream tasks, a general-purpose and systematic approach to "&amp;"analyzing its effects across different noise severities and types has not been addressed. We propose a configurable framework for assessing task models in diverse noisy settings, and for examining the impact of transcript-cleaning techniques. The framewor"&amp;"k facilitates the investigation of task model behavior, which can in turn support the development of effective SLU solutions. We exemplify the utility of our framework on three SLU tasks and four task models, offering insights regarding the effect of tran"&amp;"script noise on tasks in general and models in particular. For instance, we find that task models can tolerate a certain level of noise, and are affected differently by the types of errors in the transcript.")</f>
        <v>With the increasing prevalence of recorded human speech, spoken language understanding (SLU) is essential for its efficient processing. In order to process the speech, it is commonly transcribed using automatic speech recognition technology. This speech-to-text transition introduces errors into the transcripts, which subsequently propagate to downstream NLP tasks, such as dialogue summarization. While it is known that transcript noise affects downstream tasks, a general-purpose and systematic approach to analyzing its effects across different noise severities and types has not been addressed. We propose a configurable framework for assessing task models in diverse noisy settings, and for examining the impact of transcript-cleaning techniques. The framework facilitates the investigation of task model behavior, which can in turn support the development of effective SLU solutions. We exemplify the utility of our framework on three SLU tasks and four task models, offering insights regarding the effect of transcript noise on tasks in general and models in particular. For instance, we find that task models can tolerate a certain level of noise, and are affected differently by the types of errors in the transcript.</v>
      </c>
      <c r="D3116" s="7" t="str">
        <f>IFERROR(__xludf.DUMMYFUNCTION("""COMPUTED_VALUE"""),"Ori Shapira")</f>
        <v>Ori Shapira</v>
      </c>
      <c r="E3116" s="7" t="str">
        <f>IFERROR(__xludf.DUMMYFUNCTION("""COMPUTED_VALUE"""),"Yes")</f>
        <v>Yes</v>
      </c>
      <c r="F3116" s="7" t="str">
        <f>IFERROR(__xludf.DUMMYFUNCTION("""COMPUTED_VALUE"""),"IP-Poster")</f>
        <v>IP-Poster</v>
      </c>
      <c r="G3116" s="7" t="str">
        <f>IFERROR(__xludf.DUMMYFUNCTION("""COMPUTED_VALUE"""),"In-Person")</f>
        <v>In-Person</v>
      </c>
      <c r="H3116" s="7" t="str">
        <f>IFERROR(__xludf.DUMMYFUNCTION("""COMPUTED_VALUE"""),"Hall 4/5")</f>
        <v>Hall 4/5</v>
      </c>
      <c r="I3116" s="7" t="str">
        <f>IFERROR(__xludf.DUMMYFUNCTION("""COMPUTED_VALUE"""),"Session 2: IP-Posters ")</f>
        <v>Session 2: IP-Posters </v>
      </c>
      <c r="J3116" s="7" t="str">
        <f>IFERROR(__xludf.DUMMYFUNCTION("""COMPUTED_VALUE"""),"Poster Session 1")</f>
        <v>Poster Session 1</v>
      </c>
      <c r="K3116" s="7"/>
      <c r="L3116" s="8">
        <f>IFERROR(__xludf.DUMMYFUNCTION("""COMPUTED_VALUE"""),45866.0)</f>
        <v>45866</v>
      </c>
      <c r="M3116" s="7" t="str">
        <f>IFERROR(__xludf.DUMMYFUNCTION("""COMPUTED_VALUE"""),"11:00-12:30")</f>
        <v>11:00-12:30</v>
      </c>
      <c r="N3116" s="7"/>
    </row>
    <row r="3117">
      <c r="A3117" s="7" t="str">
        <f>IFERROR(__xludf.DUMMYFUNCTION("""COMPUTED_VALUE"""),"4439-MAIN")</f>
        <v>4439-MAIN</v>
      </c>
      <c r="B3117" s="7" t="str">
        <f>IFERROR(__xludf.DUMMYFUNCTION("""COMPUTED_VALUE"""),"Can You Trust LLMs' Judgements of the Validity of Simple Inferences With Partisan Conclusions? -- No!")</f>
        <v>Can You Trust LLMs' Judgements of the Validity of Simple Inferences With Partisan Conclusions? -- No!</v>
      </c>
      <c r="C3117" s="7" t="str">
        <f>IFERROR(__xludf.DUMMYFUNCTION("""COMPUTED_VALUE"""),"This article examines LLMs’ ability to correctly label simple inferences with partisan conclusions. For this, we develop a dataset with both formal and material inferences, containing logically equivalent pairs of inferences with conclusions that favor ei"&amp;"ther the political left or the political right. This allows us to focus on political bias as a source of decrease in performance. Our samples are synthetically generated and thus highly controlled, covering both English and German. We assess the performan"&amp;"ce of 16 configurations of both open and proprietary state-of-the-art LLMs on that dataset, finding generally unreliable performance as well as widespread political bias which, in the case of the English samples, persists throughout our experimental setti"&amp;"ngs.")</f>
        <v>This article examines LLMs’ ability to correctly label simple inferences with partisan conclusions. For this, we develop a dataset with both formal and material inferences, containing logically equivalent pairs of inferences with conclusions that favor either the political left or the political right. This allows us to focus on political bias as a source of decrease in performance. Our samples are synthetically generated and thus highly controlled, covering both English and German. We assess the performance of 16 configurations of both open and proprietary state-of-the-art LLMs on that dataset, finding generally unreliable performance as well as widespread political bias which, in the case of the English samples, persists throughout our experimental settings.</v>
      </c>
      <c r="D3117" s="7" t="str">
        <f>IFERROR(__xludf.DUMMYFUNCTION("""COMPUTED_VALUE"""),"Reto Gubelmann")</f>
        <v>Reto Gubelmann</v>
      </c>
      <c r="E3117" s="7" t="str">
        <f>IFERROR(__xludf.DUMMYFUNCTION("""COMPUTED_VALUE"""),"Yes")</f>
        <v>Yes</v>
      </c>
      <c r="F3117" s="7" t="str">
        <f>IFERROR(__xludf.DUMMYFUNCTION("""COMPUTED_VALUE"""),"IP-Poster")</f>
        <v>IP-Poster</v>
      </c>
      <c r="G3117" s="7" t="str">
        <f>IFERROR(__xludf.DUMMYFUNCTION("""COMPUTED_VALUE"""),"In-Person")</f>
        <v>In-Person</v>
      </c>
      <c r="H3117" s="7" t="str">
        <f>IFERROR(__xludf.DUMMYFUNCTION("""COMPUTED_VALUE"""),"Hall 4/5")</f>
        <v>Hall 4/5</v>
      </c>
      <c r="I3117" s="7" t="str">
        <f>IFERROR(__xludf.DUMMYFUNCTION("""COMPUTED_VALUE"""),"Session 2: IP-Posters ")</f>
        <v>Session 2: IP-Posters </v>
      </c>
      <c r="J3117" s="7" t="str">
        <f>IFERROR(__xludf.DUMMYFUNCTION("""COMPUTED_VALUE"""),"Poster Session 1")</f>
        <v>Poster Session 1</v>
      </c>
      <c r="K3117" s="7"/>
      <c r="L3117" s="8">
        <f>IFERROR(__xludf.DUMMYFUNCTION("""COMPUTED_VALUE"""),45866.0)</f>
        <v>45866</v>
      </c>
      <c r="M3117" s="7" t="str">
        <f>IFERROR(__xludf.DUMMYFUNCTION("""COMPUTED_VALUE"""),"11:00-12:30")</f>
        <v>11:00-12:30</v>
      </c>
      <c r="N3117" s="7"/>
    </row>
    <row r="3118">
      <c r="A3118" s="7" t="str">
        <f>IFERROR(__xludf.DUMMYFUNCTION("""COMPUTED_VALUE"""),"4450-MAIN")</f>
        <v>4450-MAIN</v>
      </c>
      <c r="B3118" s="7" t="str">
        <f>IFERROR(__xludf.DUMMYFUNCTION("""COMPUTED_VALUE"""),"PARME: Parallel Corpora for Low-Resourced Middle Eastern Languages")</f>
        <v>PARME: Parallel Corpora for Low-Resourced Middle Eastern Languages</v>
      </c>
      <c r="C3118" s="7" t="str">
        <f>IFERROR(__xludf.DUMMYFUNCTION("""COMPUTED_VALUE"""),"The Middle East is characterized by remarkable linguistic diversity, with over 400 million inhabitants speaking more than 60 languages across multiple language families. This study presents a pioneering work in developing the first parallel corpora for ei"&amp;"ght severely under-resourced varieties in the region–PARME, addressing fundamental challenges in low-resource scenarios including non-standardized writing and dialectal complexity. Through an extensive community-driven initiative, volunteers contributed t"&amp;"o the creation of over 36,000 translated sentences, marking a significant milestone in resource development. We evaluate machine translation capabilities through zero-shot approaches and fine-tuning experiments with pretrained machine translation models a"&amp;"nd provide a comprehensive analysis of limitations. Our findings reveal significant gaps in existing technologies for processing the selected languages, highlighting critical areas for improvement in language technology for Middle Eastern languages.")</f>
        <v>The Middle East is characterized by remarkable linguistic diversity, with over 400 million inhabitants speaking more than 60 languages across multiple language families. This study presents a pioneering work in developing the first parallel corpora for eight severely under-resourced varieties in the region–PARME, addressing fundamental challenges in low-resource scenarios including non-standardized writing and dialectal complexity. Through an extensive community-driven initiative, volunteers contributed to the creation of over 36,000 translated sentences, marking a significant milestone in resource development. We evaluate machine translation capabilities through zero-shot approaches and fine-tuning experiments with pretrained machine translation models and provide a comprehensive analysis of limitations. Our findings reveal significant gaps in existing technologies for processing the selected languages, highlighting critical areas for improvement in language technology for Middle Eastern languages.</v>
      </c>
      <c r="D3118" s="7" t="str">
        <f>IFERROR(__xludf.DUMMYFUNCTION("""COMPUTED_VALUE"""),"Sina Ahmadi")</f>
        <v>Sina Ahmadi</v>
      </c>
      <c r="E3118" s="7" t="str">
        <f>IFERROR(__xludf.DUMMYFUNCTION("""COMPUTED_VALUE"""),"Yes")</f>
        <v>Yes</v>
      </c>
      <c r="F3118" s="7" t="str">
        <f>IFERROR(__xludf.DUMMYFUNCTION("""COMPUTED_VALUE"""),"IP-Oral")</f>
        <v>IP-Oral</v>
      </c>
      <c r="G3118" s="7" t="str">
        <f>IFERROR(__xludf.DUMMYFUNCTION("""COMPUTED_VALUE"""),"In-Person")</f>
        <v>In-Person</v>
      </c>
      <c r="H3118" s="7" t="str">
        <f>IFERROR(__xludf.DUMMYFUNCTION("""COMPUTED_VALUE"""),"Hall A ")</f>
        <v>Hall A </v>
      </c>
      <c r="I3118" s="7" t="str">
        <f>IFERROR(__xludf.DUMMYFUNCTION("""COMPUTED_VALUE"""),"Session 3: IP-Orals")</f>
        <v>Session 3: IP-Orals</v>
      </c>
      <c r="J3118" s="7" t="str">
        <f>IFERROR(__xludf.DUMMYFUNCTION("""COMPUTED_VALUE"""),"Resources and Evaluation 1")</f>
        <v>Resources and Evaluation 1</v>
      </c>
      <c r="K3118" s="7"/>
      <c r="L3118" s="8">
        <f>IFERROR(__xludf.DUMMYFUNCTION("""COMPUTED_VALUE"""),45866.0)</f>
        <v>45866</v>
      </c>
      <c r="M3118" s="7" t="str">
        <f>IFERROR(__xludf.DUMMYFUNCTION("""COMPUTED_VALUE"""),"14:00-15:30")</f>
        <v>14:00-15:30</v>
      </c>
      <c r="N3118" s="7">
        <f>IFERROR(__xludf.DUMMYFUNCTION("""COMPUTED_VALUE"""),8.0)</f>
        <v>8</v>
      </c>
    </row>
    <row r="3119">
      <c r="A3119" s="7" t="str">
        <f>IFERROR(__xludf.DUMMYFUNCTION("""COMPUTED_VALUE"""),"4452-MAIN")</f>
        <v>4452-MAIN</v>
      </c>
      <c r="B3119" s="7" t="str">
        <f>IFERROR(__xludf.DUMMYFUNCTION("""COMPUTED_VALUE"""),"METAL: A Multi-Agent Framework for Chart Generation with Test-Time Scaling")</f>
        <v>METAL: A Multi-Agent Framework for Chart Generation with Test-Time Scaling</v>
      </c>
      <c r="C3119" s="7" t="str">
        <f>IFERROR(__xludf.DUMMYFUNCTION("""COMPUTED_VALUE"""),"Chart generation aims to generate code to produce charts satisfying the desired visual properties, e.g., texts, layout, color, and type. It has great potential to empower the automatic professional report generation in financial analysis, research present"&amp;"ation, education, and healthcare. In this work, we build a vision-language model (VLM) based multi-agent framework for effective automatic chart generation. Generating high-quality charts requires both strong visual design skills and precise coding capabi"&amp;"lities that embed the desired visual properties into code. Such a complex multi-modal reasoning process is difficult for direct prompting of VLMs. To resolve these challenges, we propose METAL, a multi-agent framework that decomposes the task of chart gen"&amp;"eration into the iterative collaboration among specialized agents. METAL achieves a 5.2\% improvement in the F1 score over the current best result in the chart generation task. Additionally, METAL improves chart generation performance by 11.33% over Direc"&amp;"t Prompting with LLaMA-3.2-11B.
Furthermore, the METAL framework exhibits the phenomenon of test-time scaling: its performance increases monotonically as the logarithm of computational budget grows from 512 to 8192 tokens.")</f>
        <v>Chart generation aims to generate code to produce charts satisfying the desired visual properties, e.g., texts, layout, color, and type. It has great potential to empower the automatic professional report generation in financial analysis, research presentation, education, and healthcare. In this work, we build a vision-language model (VLM) based multi-agent framework for effective automatic chart generation. Generating high-quality charts requires both strong visual design skills and precise coding capabilities that embed the desired visual properties into code. Such a complex multi-modal reasoning process is difficult for direct prompting of VLMs. To resolve these challenges, we propose METAL, a multi-agent framework that decomposes the task of chart generation into the iterative collaboration among specialized agents. METAL achieves a 5.2\% improvement in the F1 score over the current best result in the chart generation task. Additionally, METAL improves chart generation performance by 11.33% over Direct Prompting with LLaMA-3.2-11B.
Furthermore, the METAL framework exhibits the phenomenon of test-time scaling: its performance increases monotonically as the logarithm of computational budget grows from 512 to 8192 tokens.</v>
      </c>
      <c r="D3119" s="7" t="str">
        <f>IFERROR(__xludf.DUMMYFUNCTION("""COMPUTED_VALUE"""),"Bingxuan Li")</f>
        <v>Bingxuan Li</v>
      </c>
      <c r="E3119" s="7" t="str">
        <f>IFERROR(__xludf.DUMMYFUNCTION("""COMPUTED_VALUE"""),"Yes")</f>
        <v>Yes</v>
      </c>
      <c r="F3119" s="7" t="str">
        <f>IFERROR(__xludf.DUMMYFUNCTION("""COMPUTED_VALUE"""),"V-Presentation")</f>
        <v>V-Presentation</v>
      </c>
      <c r="G3119" s="7" t="str">
        <f>IFERROR(__xludf.DUMMYFUNCTION("""COMPUTED_VALUE"""),"Virtual/Gather")</f>
        <v>Virtual/Gather</v>
      </c>
      <c r="H3119" s="7" t="str">
        <f>IFERROR(__xludf.DUMMYFUNCTION("""COMPUTED_VALUE"""),"Zoom")</f>
        <v>Zoom</v>
      </c>
      <c r="I3119" s="7" t="str">
        <f>IFERROR(__xludf.DUMMYFUNCTION("""COMPUTED_VALUE"""),"Session 10: V-Presentations")</f>
        <v>Session 10: V-Presentations</v>
      </c>
      <c r="J3119" s="7" t="str">
        <f>IFERROR(__xludf.DUMMYFUNCTION("""COMPUTED_VALUE"""),"Virtual Presentations 3")</f>
        <v>Virtual Presentations 3</v>
      </c>
      <c r="K3119" s="7"/>
      <c r="L3119" s="8">
        <f>IFERROR(__xludf.DUMMYFUNCTION("""COMPUTED_VALUE"""),45867.0)</f>
        <v>45867</v>
      </c>
      <c r="M3119" s="7" t="str">
        <f>IFERROR(__xludf.DUMMYFUNCTION("""COMPUTED_VALUE"""),"16:00-17:30")</f>
        <v>16:00-17:30</v>
      </c>
      <c r="N3119" s="7"/>
    </row>
    <row r="3120">
      <c r="A3120" s="7" t="str">
        <f>IFERROR(__xludf.DUMMYFUNCTION("""COMPUTED_VALUE"""),"4453-MAIN")</f>
        <v>4453-MAIN</v>
      </c>
      <c r="B3120" s="7" t="str">
        <f>IFERROR(__xludf.DUMMYFUNCTION("""COMPUTED_VALUE"""),"ConLoan: A Contrastive Multilingual Dataset for Evaluating Loanwords")</f>
        <v>ConLoan: A Contrastive Multilingual Dataset for Evaluating Loanwords</v>
      </c>
      <c r="C3120" s="7" t="str">
        <f>IFERROR(__xludf.DUMMYFUNCTION("""COMPUTED_VALUE"""),"Lexical borrowing, the adoption of words from one language into another, is a ubiquitous linguistic phenomenon influenced by geopolitical, societal, and technological factors. This paper introduces ConLoan--a novel contrastive dataset comprising sentences"&amp;" with and without loanwords across 10 languages. Through systematic evaluation using this dataset, we investigate how state-of-the-art machine translation and language models process loanwords compared to their native alternatives. Our experiments reveal "&amp;"that these systems show systematic preferences for loanwords over native terms and exhibit varying performance across languages. These findings provide valuable insights for developing more linguistically robust NLP systems.")</f>
        <v>Lexical borrowing, the adoption of words from one language into another, is a ubiquitous linguistic phenomenon influenced by geopolitical, societal, and technological factors. This paper introduces ConLoan--a novel contrastive dataset comprising sentences with and without loanwords across 10 languages. Through systematic evaluation using this dataset, we investigate how state-of-the-art machine translation and language models process loanwords compared to their native alternatives. Our experiments reveal that these systems show systematic preferences for loanwords over native terms and exhibit varying performance across languages. These findings provide valuable insights for developing more linguistically robust NLP systems.</v>
      </c>
      <c r="D3120" s="7" t="str">
        <f>IFERROR(__xludf.DUMMYFUNCTION("""COMPUTED_VALUE"""),"Sina Ahmadi")</f>
        <v>Sina Ahmadi</v>
      </c>
      <c r="E3120" s="7" t="str">
        <f>IFERROR(__xludf.DUMMYFUNCTION("""COMPUTED_VALUE"""),"Yes")</f>
        <v>Yes</v>
      </c>
      <c r="F3120" s="7" t="str">
        <f>IFERROR(__xludf.DUMMYFUNCTION("""COMPUTED_VALUE"""),"IP-Poster")</f>
        <v>IP-Poster</v>
      </c>
      <c r="G3120" s="7" t="str">
        <f>IFERROR(__xludf.DUMMYFUNCTION("""COMPUTED_VALUE"""),"In-Person")</f>
        <v>In-Person</v>
      </c>
      <c r="H3120" s="7" t="str">
        <f>IFERROR(__xludf.DUMMYFUNCTION("""COMPUTED_VALUE"""),"Hall 4/5")</f>
        <v>Hall 4/5</v>
      </c>
      <c r="I3120" s="7" t="str">
        <f>IFERROR(__xludf.DUMMYFUNCTION("""COMPUTED_VALUE"""),"Session 2: IP-Posters ")</f>
        <v>Session 2: IP-Posters </v>
      </c>
      <c r="J3120" s="7" t="str">
        <f>IFERROR(__xludf.DUMMYFUNCTION("""COMPUTED_VALUE"""),"Poster Session 1")</f>
        <v>Poster Session 1</v>
      </c>
      <c r="K3120" s="7"/>
      <c r="L3120" s="8">
        <f>IFERROR(__xludf.DUMMYFUNCTION("""COMPUTED_VALUE"""),45866.0)</f>
        <v>45866</v>
      </c>
      <c r="M3120" s="7" t="str">
        <f>IFERROR(__xludf.DUMMYFUNCTION("""COMPUTED_VALUE"""),"11:00-12:30")</f>
        <v>11:00-12:30</v>
      </c>
      <c r="N3120" s="7"/>
    </row>
    <row r="3121">
      <c r="A3121" s="7" t="str">
        <f>IFERROR(__xludf.DUMMYFUNCTION("""COMPUTED_VALUE"""),"4454-MAIN")</f>
        <v>4454-MAIN</v>
      </c>
      <c r="B3121" s="7" t="str">
        <f>IFERROR(__xludf.DUMMYFUNCTION("""COMPUTED_VALUE"""),"A Theory of LLM Sampling: Part Descriptive and Part Prescriptive")</f>
        <v>A Theory of LLM Sampling: Part Descriptive and Part Prescriptive</v>
      </c>
      <c r="C3121" s="7" t="str">
        <f>IFERROR(__xludf.DUMMYFUNCTION("""COMPUTED_VALUE"""),"Large Language Models (LLMs) are increasingly utilized in autonomous decision-making, where they sample options from vast action spaces. However, the heuristics that guide this sampling process remain under-explored. We study this sampling behavior and sh"&amp;"ow that this underlying heuristics resembles that of human decision-making: comprising a descriptive component (reflecting statistical norm) and a prescriptive component (implicit ideal encoded in the LLM) of a concept. We show that this deviation of a sa"&amp;"mple from the statistical norm towards a prescriptive component consistently appears in concepts across diverse real-world domains like public health, and economic trends. To further illustrate the theory, we demonstrate that concept prototypes in LLMs ar"&amp;"e affected by prescriptive norms, similar to the concept of normality in humans. Through case studies and comparison with human studies, we illustrate that in real-world applications, the shift of samples toward an ideal value in LLMs' outputs can result "&amp;"in significantly biased decision-making, raising ethical concerns.")</f>
        <v>Large Language Models (LLMs) are increasingly utilized in autonomous decision-making, where they sample options from vast action spaces. However, the heuristics that guide this sampling process remain under-explored. We study this sampling behavior and show that this underlying heuristics resembles that of human decision-making: comprising a descriptive component (reflecting statistical norm) and a prescriptive component (implicit ideal encoded in the LLM) of a concept. We show that this deviation of a sample from the statistical norm towards a prescriptive component consistently appears in concepts across diverse real-world domains like public health, and economic trends. To further illustrate the theory, we demonstrate that concept prototypes in LLMs are affected by prescriptive norms, similar to the concept of normality in humans. Through case studies and comparison with human studies, we illustrate that in real-world applications, the shift of samples toward an ideal value in LLMs' outputs can result in significantly biased decision-making, raising ethical concerns.</v>
      </c>
      <c r="D3121" s="7" t="str">
        <f>IFERROR(__xludf.DUMMYFUNCTION("""COMPUTED_VALUE"""),"Sarath Sivaprasad")</f>
        <v>Sarath Sivaprasad</v>
      </c>
      <c r="E3121" s="7" t="str">
        <f>IFERROR(__xludf.DUMMYFUNCTION("""COMPUTED_VALUE"""),"Yes")</f>
        <v>Yes</v>
      </c>
      <c r="F3121" s="7" t="str">
        <f>IFERROR(__xludf.DUMMYFUNCTION("""COMPUTED_VALUE"""),"IP-Oral")</f>
        <v>IP-Oral</v>
      </c>
      <c r="G3121" s="7" t="str">
        <f>IFERROR(__xludf.DUMMYFUNCTION("""COMPUTED_VALUE"""),"In-Person")</f>
        <v>In-Person</v>
      </c>
      <c r="H3121" s="7" t="str">
        <f>IFERROR(__xludf.DUMMYFUNCTION("""COMPUTED_VALUE"""),"Hall N.1")</f>
        <v>Hall N.1</v>
      </c>
      <c r="I3121" s="7" t="str">
        <f>IFERROR(__xludf.DUMMYFUNCTION("""COMPUTED_VALUE"""),"Session 11: IP-Orals ")</f>
        <v>Session 11: IP-Orals </v>
      </c>
      <c r="J3121" s="7" t="str">
        <f>IFERROR(__xludf.DUMMYFUNCTION("""COMPUTED_VALUE"""),"Panel 4: Interpretability and model analysis")</f>
        <v>Panel 4: Interpretability and model analysis</v>
      </c>
      <c r="K3121" s="7"/>
      <c r="L3121" s="8">
        <f>IFERROR(__xludf.DUMMYFUNCTION("""COMPUTED_VALUE"""),45868.0)</f>
        <v>45868</v>
      </c>
      <c r="M3121" s="7" t="str">
        <f>IFERROR(__xludf.DUMMYFUNCTION("""COMPUTED_VALUE"""),"09:00-10:30")</f>
        <v>09:00-10:30</v>
      </c>
      <c r="N3121" s="7">
        <f>IFERROR(__xludf.DUMMYFUNCTION("""COMPUTED_VALUE"""),4.0)</f>
        <v>4</v>
      </c>
    </row>
    <row r="3122">
      <c r="A3122" s="7" t="str">
        <f>IFERROR(__xludf.DUMMYFUNCTION("""COMPUTED_VALUE"""),"4457-MAIN")</f>
        <v>4457-MAIN</v>
      </c>
      <c r="B3122" s="7" t="str">
        <f>IFERROR(__xludf.DUMMYFUNCTION("""COMPUTED_VALUE"""),"MEraser: An Effective Fingerprint Erasure Approach for Large Language Models")</f>
        <v>MEraser: An Effective Fingerprint Erasure Approach for Large Language Models</v>
      </c>
      <c r="C3122" s="7" t="str">
        <f>IFERROR(__xludf.DUMMYFUNCTION("""COMPUTED_VALUE"""),"Large Language Models (LLMs) have become increasingly prevalent across various sectors, raising critical concerns about model ownership and intellectual property protection. Although backdoor-based fingerprinting has emerged as a promising solution for mo"&amp;"del authentication, effective attacks for removing these fingerprints remain largely unexplored. Therefore, We present Mismatched Eraser (MEraser), a novel method for effectively removing backdoor-based fingerprints from LLMs while maintaining model perfo"&amp;"rmance. Our approach leverages a two-phase fine-tuning strategy utilizing carefully constructed mismatched and clean datasets. Through extensive evaluation across multiple LLM architectures and fingerprinting methods, we demonstrate that MEraser achieves "&amp;"complete fingerprinting removal while maintaining model performance with minimal training data of fewer than 1,000 samples. Furthermore, we introduce a transferable erasure mechanism that enables effective fingerprinting removal across different models wi"&amp;"thout repeated training. In conclusion, our approach provides a practical solution for fingerprinting removal in LLMs, reveals critical vulnerabilities in current fingerprinting techniques, and establishes comprehensive evaluation benchmarks for developin"&amp;"g more resilient model protection methods in the future.")</f>
        <v>Large Language Models (LLMs) have become increasingly prevalent across various sectors, raising critical concerns about model ownership and intellectual property protection. Although backdoor-based fingerprinting has emerged as a promising solution for model authentication, effective attacks for removing these fingerprints remain largely unexplored. Therefore, We present Mismatched Eraser (MEraser), a novel method for effectively removing backdoor-based fingerprints from LLMs while maintaining model performance. Our approach leverages a two-phase fine-tuning strategy utilizing carefully constructed mismatched and clean datasets. Through extensive evaluation across multiple LLM architectures and fingerprinting methods, we demonstrate that MEraser achieves complete fingerprinting removal while maintaining model performance with minimal training data of fewer than 1,000 samples. Furthermore, we introduce a transferable erasure mechanism that enables effective fingerprinting removal across different models without repeated training. In conclusion, our approach provides a practical solution for fingerprinting removal in LLMs, reveals critical vulnerabilities in current fingerprinting techniques, and establishes comprehensive evaluation benchmarks for developing more resilient model protection methods in the future.</v>
      </c>
      <c r="D3122" s="7" t="str">
        <f>IFERROR(__xludf.DUMMYFUNCTION("""COMPUTED_VALUE"""),"Zhenhua Xu")</f>
        <v>Zhenhua Xu</v>
      </c>
      <c r="E3122" s="7" t="str">
        <f>IFERROR(__xludf.DUMMYFUNCTION("""COMPUTED_VALUE"""),"Yes")</f>
        <v>Yes</v>
      </c>
      <c r="F3122" s="7" t="str">
        <f>IFERROR(__xludf.DUMMYFUNCTION("""COMPUTED_VALUE"""),"IP-Poster")</f>
        <v>IP-Poster</v>
      </c>
      <c r="G3122" s="7" t="str">
        <f>IFERROR(__xludf.DUMMYFUNCTION("""COMPUTED_VALUE"""),"In-Person")</f>
        <v>In-Person</v>
      </c>
      <c r="H3122" s="7" t="str">
        <f>IFERROR(__xludf.DUMMYFUNCTION("""COMPUTED_VALUE"""),"Hall 4/5")</f>
        <v>Hall 4/5</v>
      </c>
      <c r="I3122" s="7" t="str">
        <f>IFERROR(__xludf.DUMMYFUNCTION("""COMPUTED_VALUE"""),"Session 2: IP-Posters ")</f>
        <v>Session 2: IP-Posters </v>
      </c>
      <c r="J3122" s="7" t="str">
        <f>IFERROR(__xludf.DUMMYFUNCTION("""COMPUTED_VALUE"""),"Poster Session 1")</f>
        <v>Poster Session 1</v>
      </c>
      <c r="K3122" s="7"/>
      <c r="L3122" s="8">
        <f>IFERROR(__xludf.DUMMYFUNCTION("""COMPUTED_VALUE"""),45866.0)</f>
        <v>45866</v>
      </c>
      <c r="M3122" s="7" t="str">
        <f>IFERROR(__xludf.DUMMYFUNCTION("""COMPUTED_VALUE"""),"11:00-12:30")</f>
        <v>11:00-12:30</v>
      </c>
      <c r="N3122" s="7"/>
    </row>
    <row r="3123">
      <c r="A3123" s="7" t="str">
        <f>IFERROR(__xludf.DUMMYFUNCTION("""COMPUTED_VALUE"""),"4458-MAIN")</f>
        <v>4458-MAIN</v>
      </c>
      <c r="B3123" s="7" t="str">
        <f>IFERROR(__xludf.DUMMYFUNCTION("""COMPUTED_VALUE"""),"VISA: Retrieval Augmented Generation with Visual Source Attribution")</f>
        <v>VISA: Retrieval Augmented Generation with Visual Source Attribution</v>
      </c>
      <c r="C3123" s="7" t="str">
        <f>IFERROR(__xludf.DUMMYFUNCTION("""COMPUTED_VALUE"""),"Generation with source attribution is important for enhancing the verifiability of retrieval-augmented generation (RAG) systems. However, existing approaches in RAG primarily link generated content to document-level references, making it challenging for u"&amp;"sers to locate evidence among multiple content-rich retrieved documents. To address this challenge, we propose Retrieval-Augmented Generation with Visual Source Attribution (VISA), a novel approach that combines answer generation with visual source attrib"&amp;"ution. Leveraging large vision-language models (VLMs), VISA identifies the evidence and highlights the exact regions that support the generated answers with bounding boxes in the retrieved document screenshots. To evaluate its effectiveness, we curated tw"&amp;"o datasets: Wiki-VISA, based on crawled Wikipedia webpage screenshots, and Paper-VISA, derived from PubLayNet and tailored to the medical domain. Experimental results demonstrate the effectiveness of VISA for visual source attribution on documents' origin"&amp;"al look, as well as highlighting the challenges for improvement.")</f>
        <v>Generation with source attribution is important for enhancing the verifiability of retrieval-augmented generation (RAG) systems. However, existing approaches in RAG primarily link generated content to document-level references, making it challenging for users to locate evidence among multiple content-rich retrieved documents. To address this challenge, we propose Retrieval-Augmented Generation with Visual Source Attribution (VISA), a novel approach that combines answer generation with visual source attribution. Leveraging large vision-language models (VLMs), VISA identifies the evidence and highlights the exact regions that support the generated answers with bounding boxes in the retrieved document screenshots. To evaluate its effectiveness, we curated two datasets: Wiki-VISA, based on crawled Wikipedia webpage screenshots, and Paper-VISA, derived from PubLayNet and tailored to the medical domain. Experimental results demonstrate the effectiveness of VISA for visual source attribution on documents' original look, as well as highlighting the challenges for improvement.</v>
      </c>
      <c r="D3123" s="7" t="str">
        <f>IFERROR(__xludf.DUMMYFUNCTION("""COMPUTED_VALUE"""),"Xueguang Ma")</f>
        <v>Xueguang Ma</v>
      </c>
      <c r="E3123" s="7" t="str">
        <f>IFERROR(__xludf.DUMMYFUNCTION("""COMPUTED_VALUE"""),"Yes")</f>
        <v>Yes</v>
      </c>
      <c r="F3123" s="7" t="str">
        <f>IFERROR(__xludf.DUMMYFUNCTION("""COMPUTED_VALUE"""),"IP-Poster")</f>
        <v>IP-Poster</v>
      </c>
      <c r="G3123" s="7" t="str">
        <f>IFERROR(__xludf.DUMMYFUNCTION("""COMPUTED_VALUE"""),"In-Person")</f>
        <v>In-Person</v>
      </c>
      <c r="H3123" s="7" t="str">
        <f>IFERROR(__xludf.DUMMYFUNCTION("""COMPUTED_VALUE"""),"Hall 4/5")</f>
        <v>Hall 4/5</v>
      </c>
      <c r="I3123" s="7" t="str">
        <f>IFERROR(__xludf.DUMMYFUNCTION("""COMPUTED_VALUE"""),"Session 12: IP-Posters")</f>
        <v>Session 12: IP-Posters</v>
      </c>
      <c r="J3123" s="7" t="str">
        <f>IFERROR(__xludf.DUMMYFUNCTION("""COMPUTED_VALUE"""),"Poster Session 4")</f>
        <v>Poster Session 4</v>
      </c>
      <c r="K3123" s="7"/>
      <c r="L3123" s="8">
        <f>IFERROR(__xludf.DUMMYFUNCTION("""COMPUTED_VALUE"""),45868.0)</f>
        <v>45868</v>
      </c>
      <c r="M3123" s="7" t="str">
        <f>IFERROR(__xludf.DUMMYFUNCTION("""COMPUTED_VALUE"""),"11:00-12:30")</f>
        <v>11:00-12:30</v>
      </c>
      <c r="N3123" s="7"/>
    </row>
    <row r="3124">
      <c r="A3124" s="7" t="str">
        <f>IFERROR(__xludf.DUMMYFUNCTION("""COMPUTED_VALUE"""),"4461-MAIN")</f>
        <v>4461-MAIN</v>
      </c>
      <c r="B3124" s="7" t="str">
        <f>IFERROR(__xludf.DUMMYFUNCTION("""COMPUTED_VALUE"""),"DRAMA: Diverse Augmentation from Large Language Models Towards Smaller Generalizable Dense Retrievers")</f>
        <v>DRAMA: Diverse Augmentation from Large Language Models Towards Smaller Generalizable Dense Retrievers</v>
      </c>
      <c r="C3124" s="7" t="str">
        <f>IFERROR(__xludf.DUMMYFUNCTION("""COMPUTED_VALUE"""),"Large language models (LLMs) have demonstrated strong effectiveness and robustness when fine-tuned as dense retrievers.
However, their large parameter size presents significant computational challenges at inference time.
While smaller retrievers offer bet"&amp;"ter efficiency, they often fail to generalize effectively with limited supervised fine-tuning data.
In this work, we introduce DRAMA, a training framework that leverages LLMs to train smaller generalizable dense retrievers.
In particular, we adopt pruned "&amp;"LLMs as the backbone and train on diverse LLM-augmented data in a single-stage contrastive learning setup.
Experiments show that DRAMA offers better multilingual and long-context capabilities than traditional encoder-based retrievers, and achieves strong "&amp;"performance across multiple tasks and languages.")</f>
        <v>Large language models (LLMs) have demonstrated strong effectiveness and robustness when fine-tuned as dense retrievers.
However, their large parameter size presents significant computational challenges at inference time.
While smaller retrievers offer better efficiency, they often fail to generalize effectively with limited supervised fine-tuning data.
In this work, we introduce DRAMA, a training framework that leverages LLMs to train smaller generalizable dense retrievers.
In particular, we adopt pruned LLMs as the backbone and train on diverse LLM-augmented data in a single-stage contrastive learning setup.
Experiments show that DRAMA offers better multilingual and long-context capabilities than traditional encoder-based retrievers, and achieves strong performance across multiple tasks and languages.</v>
      </c>
      <c r="D3124" s="7" t="str">
        <f>IFERROR(__xludf.DUMMYFUNCTION("""COMPUTED_VALUE"""),"Xueguang Ma")</f>
        <v>Xueguang Ma</v>
      </c>
      <c r="E3124" s="7" t="str">
        <f>IFERROR(__xludf.DUMMYFUNCTION("""COMPUTED_VALUE"""),"Yes")</f>
        <v>Yes</v>
      </c>
      <c r="F3124" s="7" t="str">
        <f>IFERROR(__xludf.DUMMYFUNCTION("""COMPUTED_VALUE"""),"IP-Poster")</f>
        <v>IP-Poster</v>
      </c>
      <c r="G3124" s="7" t="str">
        <f>IFERROR(__xludf.DUMMYFUNCTION("""COMPUTED_VALUE"""),"In-Person")</f>
        <v>In-Person</v>
      </c>
      <c r="H3124" s="7" t="str">
        <f>IFERROR(__xludf.DUMMYFUNCTION("""COMPUTED_VALUE"""),"Hall 4/5")</f>
        <v>Hall 4/5</v>
      </c>
      <c r="I3124" s="7" t="str">
        <f>IFERROR(__xludf.DUMMYFUNCTION("""COMPUTED_VALUE"""),"Session 2: IP-Posters ")</f>
        <v>Session 2: IP-Posters </v>
      </c>
      <c r="J3124" s="7" t="str">
        <f>IFERROR(__xludf.DUMMYFUNCTION("""COMPUTED_VALUE"""),"Poster Session 1")</f>
        <v>Poster Session 1</v>
      </c>
      <c r="K3124" s="7"/>
      <c r="L3124" s="8">
        <f>IFERROR(__xludf.DUMMYFUNCTION("""COMPUTED_VALUE"""),45866.0)</f>
        <v>45866</v>
      </c>
      <c r="M3124" s="7" t="str">
        <f>IFERROR(__xludf.DUMMYFUNCTION("""COMPUTED_VALUE"""),"11:00-12:30")</f>
        <v>11:00-12:30</v>
      </c>
      <c r="N3124" s="7"/>
    </row>
    <row r="3125">
      <c r="A3125" s="7" t="str">
        <f>IFERROR(__xludf.DUMMYFUNCTION("""COMPUTED_VALUE"""),"4465-MAIN")</f>
        <v>4465-MAIN</v>
      </c>
      <c r="B3125" s="7" t="str">
        <f>IFERROR(__xludf.DUMMYFUNCTION("""COMPUTED_VALUE"""),"Stochastic Chameleons: Irrelevant Context Hallucinations Reveal Class-Based (Mis)Generalization in LLMs")</f>
        <v>Stochastic Chameleons: Irrelevant Context Hallucinations Reveal Class-Based (Mis)Generalization in LLMs</v>
      </c>
      <c r="C3125" s="7" t="str">
        <f>IFERROR(__xludf.DUMMYFUNCTION("""COMPUTED_VALUE"""),"The widespread success of LLMs on NLP benchmarks has been accompanied by concerns that LLMs function primarily as stochastic parrots that reproduce texts similar to what they saw during pre-training, often erroneously. But what is the nature of their erro"&amp;"rs, and do these errors exhibit any regularities? In this work, we examine irrelevant context hallucinations, in which models integrate misleading contextual cues into their predictions. Through behavioral analysis, we show that these errors result from a"&amp;" structured yet flawed mechanism that we term _class-based (mis)generalization_, in which models combine abstract class cues with features extracted from the query or context to derive answers. Furthermore, mechanistic interpretability experiments on Llam"&amp;"a-3, Mistral, and Pythia across 39 factual recall relation types reveal that this behavior is reflected in the model's internal computations: (i) abstract class representations are constructed in lower layers before being refined into specific answers in "&amp;"higher layers, (ii) feature selection is governed by two competing circuits --- one prioritizing direct query-based reasoning, the other incorporating contextual cues --- whose relative influences determine the final output. Our findings provide a more nu"&amp;"anced perspective on the stochastic parrot argument: through form-based training, LLMs can exhibit generalization leveraging abstractions, albeit in unreliable ways based on contextual cues — what we term _stochastic chameleons_.")</f>
        <v>The widespread success of LLMs on NLP benchmarks has been accompanied by concerns that LLMs function primarily as stochastic parrots that reproduce texts similar to what they saw during pre-training, often erroneously. But what is the nature of their errors, and do these errors exhibit any regularities? In this work, we examine irrelevant context hallucinations, in which models integrate misleading contextual cues into their predictions. Through behavioral analysis, we show that these errors result from a structured yet flawed mechanism that we term _class-based (mis)generalization_, in which models combine abstract class cues with features extracted from the query or context to derive answers. Furthermore, mechanistic interpretability experiments on Llama-3, Mistral, and Pythia across 39 factual recall relation types reveal that this behavior is reflected in the model's internal computations: (i) abstract class representations are constructed in lower layers before being refined into specific answers in higher layers, (ii) feature selection is governed by two competing circuits --- one prioritizing direct query-based reasoning, the other incorporating contextual cues --- whose relative influences determine the final output. Our findings provide a more nuanced perspective on the stochastic parrot argument: through form-based training, LLMs can exhibit generalization leveraging abstractions, albeit in unreliable ways based on contextual cues — what we term _stochastic chameleons_.</v>
      </c>
      <c r="D3125" s="7" t="str">
        <f>IFERROR(__xludf.DUMMYFUNCTION("""COMPUTED_VALUE"""),"Ziling Cheng")</f>
        <v>Ziling Cheng</v>
      </c>
      <c r="E3125" s="7" t="str">
        <f>IFERROR(__xludf.DUMMYFUNCTION("""COMPUTED_VALUE"""),"Yes")</f>
        <v>Yes</v>
      </c>
      <c r="F3125" s="7" t="str">
        <f>IFERROR(__xludf.DUMMYFUNCTION("""COMPUTED_VALUE"""),"IP-Poster")</f>
        <v>IP-Poster</v>
      </c>
      <c r="G3125" s="7" t="str">
        <f>IFERROR(__xludf.DUMMYFUNCTION("""COMPUTED_VALUE"""),"In-Person")</f>
        <v>In-Person</v>
      </c>
      <c r="H3125" s="7" t="str">
        <f>IFERROR(__xludf.DUMMYFUNCTION("""COMPUTED_VALUE"""),"Hall 4/5")</f>
        <v>Hall 4/5</v>
      </c>
      <c r="I3125" s="7" t="str">
        <f>IFERROR(__xludf.DUMMYFUNCTION("""COMPUTED_VALUE"""),"Session 10: IP-Posters")</f>
        <v>Session 10: IP-Posters</v>
      </c>
      <c r="J3125" s="7" t="str">
        <f>IFERROR(__xludf.DUMMYFUNCTION("""COMPUTED_VALUE"""),"Poster Session 3")</f>
        <v>Poster Session 3</v>
      </c>
      <c r="K3125" s="7"/>
      <c r="L3125" s="8">
        <f>IFERROR(__xludf.DUMMYFUNCTION("""COMPUTED_VALUE"""),45867.0)</f>
        <v>45867</v>
      </c>
      <c r="M3125" s="7" t="str">
        <f>IFERROR(__xludf.DUMMYFUNCTION("""COMPUTED_VALUE"""),"16:00-17:30")</f>
        <v>16:00-17:30</v>
      </c>
      <c r="N3125" s="7"/>
    </row>
    <row r="3126">
      <c r="A3126" s="7" t="str">
        <f>IFERROR(__xludf.DUMMYFUNCTION("""COMPUTED_VALUE"""),"4468-MAIN")</f>
        <v>4468-MAIN</v>
      </c>
      <c r="B3126" s="7" t="str">
        <f>IFERROR(__xludf.DUMMYFUNCTION("""COMPUTED_VALUE"""),"TreeCut: A Synthetic Unanswerable Math Word Problem Dataset for LLM Hallucination Evaluation")</f>
        <v>TreeCut: A Synthetic Unanswerable Math Word Problem Dataset for LLM Hallucination Evaluation</v>
      </c>
      <c r="C3126" s="7" t="str">
        <f>IFERROR(__xludf.DUMMYFUNCTION("""COMPUTED_VALUE"""),"Large language models (LLMs) now achieve near-human performance on standard math word problem benchmarks (e.g., GSM8K), yet their true reasoning ability remains disputed. A key concern is that models often produce confident, yet unfounded, answers to unan"&amp;"swerable problems. We introduce TreeCut, a synthetic dataset that systematically generates infinite unanswerable math word problems and their answerable counterparts, by representing each question as a tree and removing chosen necessary conditions. Experi"&amp;"ments show TreeCut effectively induce hallucinations in large language models, including GPT-4o and o3-mini, with rates of 64% and 44% in their respective worst-case scenarios under zero-shot setting. Further analysis highlights that deeper or more comple"&amp;"x trees, composite item names, and removing necessary condition near the middle of a path all increase the likelihood of hallucinations, underscoring the persistent challenges LLMs face in identifying unanswerable math problems. The dataset generation cod"&amp;"e and sample data are available at \url{https://github.com/j-bagel/treecut-math}.")</f>
        <v>Large language models (LLMs) now achieve near-human performance on standard math word problem benchmarks (e.g., GSM8K), yet their true reasoning ability remains disputed. A key concern is that models often produce confident, yet unfounded, answers to unanswerable problems. We introduce TreeCut, a synthetic dataset that systematically generates infinite unanswerable math word problems and their answerable counterparts, by representing each question as a tree and removing chosen necessary conditions. Experiments show TreeCut effectively induce hallucinations in large language models, including GPT-4o and o3-mini, with rates of 64% and 44% in their respective worst-case scenarios under zero-shot setting. Further analysis highlights that deeper or more complex trees, composite item names, and removing necessary condition near the middle of a path all increase the likelihood of hallucinations, underscoring the persistent challenges LLMs face in identifying unanswerable math problems. The dataset generation code and sample data are available at \url{https://github.com/j-bagel/treecut-math}.</v>
      </c>
      <c r="D3126" s="7" t="str">
        <f>IFERROR(__xludf.DUMMYFUNCTION("""COMPUTED_VALUE"""),"Jialin Ouyang")</f>
        <v>Jialin Ouyang</v>
      </c>
      <c r="E3126" s="7" t="str">
        <f>IFERROR(__xludf.DUMMYFUNCTION("""COMPUTED_VALUE"""),"Yes")</f>
        <v>Yes</v>
      </c>
      <c r="F3126" s="7" t="str">
        <f>IFERROR(__xludf.DUMMYFUNCTION("""COMPUTED_VALUE"""),"V-Presentation")</f>
        <v>V-Presentation</v>
      </c>
      <c r="G3126" s="7" t="str">
        <f>IFERROR(__xludf.DUMMYFUNCTION("""COMPUTED_VALUE"""),"Virtual/Gather")</f>
        <v>Virtual/Gather</v>
      </c>
      <c r="H3126" s="7" t="str">
        <f>IFERROR(__xludf.DUMMYFUNCTION("""COMPUTED_VALUE"""),"Zoom")</f>
        <v>Zoom</v>
      </c>
      <c r="I3126" s="7" t="str">
        <f>IFERROR(__xludf.DUMMYFUNCTION("""COMPUTED_VALUE"""),"Session 10: V-Presenations")</f>
        <v>Session 10: V-Presenations</v>
      </c>
      <c r="J3126" s="7" t="str">
        <f>IFERROR(__xludf.DUMMYFUNCTION("""COMPUTED_VALUE"""),"Virtual Presentations 3")</f>
        <v>Virtual Presentations 3</v>
      </c>
      <c r="K3126" s="7"/>
      <c r="L3126" s="8">
        <f>IFERROR(__xludf.DUMMYFUNCTION("""COMPUTED_VALUE"""),45867.0)</f>
        <v>45867</v>
      </c>
      <c r="M3126" s="7" t="str">
        <f>IFERROR(__xludf.DUMMYFUNCTION("""COMPUTED_VALUE"""),"16:00-17:30")</f>
        <v>16:00-17:30</v>
      </c>
      <c r="N3126" s="7"/>
    </row>
    <row r="3127">
      <c r="A3127" s="7" t="str">
        <f>IFERROR(__xludf.DUMMYFUNCTION("""COMPUTED_VALUE"""),"4471-MAIN")</f>
        <v>4471-MAIN</v>
      </c>
      <c r="B3127" s="7" t="str">
        <f>IFERROR(__xludf.DUMMYFUNCTION("""COMPUTED_VALUE"""),"MAPoRL: Multi-Agent Post-Co-Training for Collaborative Large Language Models with Reinforcement Learning")</f>
        <v>MAPoRL: Multi-Agent Post-Co-Training for Collaborative Large Language Models with Reinforcement Learning</v>
      </c>
      <c r="C3127" s="7" t="str">
        <f>IFERROR(__xludf.DUMMYFUNCTION("""COMPUTED_VALUE"""),"Leveraging multi-agentic frameworks to enhance large language models (LLMs) has demonstrated significant potential recently, with most existing studies focusing on prompting and developing workflows with frozen LLMs. In this paper, we aim to further unlea"&amp;"sh the power of such multi-agentic frameworks for post-training LLMs for better collaboration. Specifically, we develop a new paradigm of Multi-Agent Post-co-training for collaborative LLMs with Reinforcement Learning (MAPoRL). In MAPoRL, multiple LLMs fi"&amp;"rst generate their own responses and engage in discussions to collaboratively enhance the final response output; the final output is then scored by a verifier, where the scores serve as the reward and is maximized through multi-agent RL. Additionally, MAP"&amp;"oRL also reshapes the reward above with additional incentives to encourage corrective and persuasive outputs in the discussions. A key novelty from most existing LLM post-training paradigms is the advocacy of co-training multiple LLMs together, and the us"&amp;"e of RL for better generalization. Accompanied by a few analytical insights, our experiments show that training single LLMs solely is insufficient for encouraging collaboration, while multi-agent co-training can significantly enhance the collaboration per"&amp;"formance across multiple datasets, with generalization to unseen domains, compared to that of multiple LLMs before post-training.")</f>
        <v>Leveraging multi-agentic frameworks to enhance large language models (LLMs) has demonstrated significant potential recently, with most existing studies focusing on prompting and developing workflows with frozen LLMs. In this paper, we aim to further unleash the power of such multi-agentic frameworks for post-training LLMs for better collaboration. Specifically, we develop a new paradigm of Multi-Agent Post-co-training for collaborative LLMs with Reinforcement Learning (MAPoRL). In MAPoRL, multiple LLMs first generate their own responses and engage in discussions to collaboratively enhance the final response output; the final output is then scored by a verifier, where the scores serve as the reward and is maximized through multi-agent RL. Additionally, MAPoRL also reshapes the reward above with additional incentives to encourage corrective and persuasive outputs in the discussions. A key novelty from most existing LLM post-training paradigms is the advocacy of co-training multiple LLMs together, and the use of RL for better generalization. Accompanied by a few analytical insights, our experiments show that training single LLMs solely is insufficient for encouraging collaboration, while multi-agent co-training can significantly enhance the collaboration performance across multiple datasets, with generalization to unseen domains, compared to that of multiple LLMs before post-training.</v>
      </c>
      <c r="D3127" s="7" t="str">
        <f>IFERROR(__xludf.DUMMYFUNCTION("""COMPUTED_VALUE"""),"Joo-kyung kim")</f>
        <v>Joo-kyung kim</v>
      </c>
      <c r="E3127" s="7" t="str">
        <f>IFERROR(__xludf.DUMMYFUNCTION("""COMPUTED_VALUE"""),"Yes")</f>
        <v>Yes</v>
      </c>
      <c r="F3127" s="7" t="str">
        <f>IFERROR(__xludf.DUMMYFUNCTION("""COMPUTED_VALUE"""),"IP-Poster")</f>
        <v>IP-Poster</v>
      </c>
      <c r="G3127" s="7" t="str">
        <f>IFERROR(__xludf.DUMMYFUNCTION("""COMPUTED_VALUE"""),"In-Person")</f>
        <v>In-Person</v>
      </c>
      <c r="H3127" s="7" t="str">
        <f>IFERROR(__xludf.DUMMYFUNCTION("""COMPUTED_VALUE"""),"Hall 4/5")</f>
        <v>Hall 4/5</v>
      </c>
      <c r="I3127" s="7" t="str">
        <f>IFERROR(__xludf.DUMMYFUNCTION("""COMPUTED_VALUE"""),"Session 7: IP-Posters")</f>
        <v>Session 7: IP-Posters</v>
      </c>
      <c r="J3127" s="7" t="str">
        <f>IFERROR(__xludf.DUMMYFUNCTION("""COMPUTED_VALUE"""),"Poster Session 2")</f>
        <v>Poster Session 2</v>
      </c>
      <c r="K3127" s="7"/>
      <c r="L3127" s="8">
        <f>IFERROR(__xludf.DUMMYFUNCTION("""COMPUTED_VALUE"""),45867.0)</f>
        <v>45867</v>
      </c>
      <c r="M3127" s="7" t="str">
        <f>IFERROR(__xludf.DUMMYFUNCTION("""COMPUTED_VALUE"""),"10:30-12:00")</f>
        <v>10:30-12:00</v>
      </c>
      <c r="N3127" s="7"/>
    </row>
    <row r="3128">
      <c r="A3128" s="7" t="str">
        <f>IFERROR(__xludf.DUMMYFUNCTION("""COMPUTED_VALUE"""),"4479-MAIN")</f>
        <v>4479-MAIN</v>
      </c>
      <c r="B3128" s="7" t="str">
        <f>IFERROR(__xludf.DUMMYFUNCTION("""COMPUTED_VALUE"""),"Map&amp;Make: Schema Guided Text to Table Generation")</f>
        <v>Map&amp;Make: Schema Guided Text to Table Generation</v>
      </c>
      <c r="C3128" s="7" t="str">
        <f>IFERROR(__xludf.DUMMYFUNCTION("""COMPUTED_VALUE"""),"Transforming dense, unstructured text into interpretable tables—commonly referred to as Text-to-Table generation—is a key task in information extraction. Existing methods often overlook what complex information to extract and how to infer it from text. We"&amp;" present Map&amp;Make, a versatile approach that decomposes text into atomic propositions to infer latent schemas, which are then used to generate tables capturing both qualitative nuances and quantitative facts. We evaluate our method on three challenging da"&amp;"tasets: Rotowire, known for its complex, multi-table schema; Livesum which requires numerical aggregation; and Wiki40 which require open text extraction from mulitple domains. By correcting hallucination errors in Rotowire, we also provide a cleaner bench"&amp;"mark. Our method shows significant gains in both accuracy and interpretability across comprehensive comparative and referenceless metrics. Finally, ablation studies highlight the key factors driving performance and validate the utility of our approach in "&amp;"structured summarization. Code and data are available at: https://coral-lab-asu.github.io/map-make.")</f>
        <v>Transforming dense, unstructured text into interpretable tables—commonly referred to as Text-to-Table generation—is a key task in information extraction. Existing methods often overlook what complex information to extract and how to infer it from text. We present Map&amp;Make, a versatile approach that decomposes text into atomic propositions to infer latent schemas, which are then used to generate tables capturing both qualitative nuances and quantitative facts. We evaluate our method on three challenging datasets: Rotowire, known for its complex, multi-table schema; Livesum which requires numerical aggregation; and Wiki40 which require open text extraction from mulitple domains. By correcting hallucination errors in Rotowire, we also provide a cleaner benchmark. Our method shows significant gains in both accuracy and interpretability across comprehensive comparative and referenceless metrics. Finally, ablation studies highlight the key factors driving performance and validate the utility of our approach in structured summarization. Code and data are available at: https://coral-lab-asu.github.io/map-make.</v>
      </c>
      <c r="D3128" s="7" t="str">
        <f>IFERROR(__xludf.DUMMYFUNCTION("""COMPUTED_VALUE"""),"Naman Ahuja")</f>
        <v>Naman Ahuja</v>
      </c>
      <c r="E3128" s="7" t="str">
        <f>IFERROR(__xludf.DUMMYFUNCTION("""COMPUTED_VALUE"""),"Yes")</f>
        <v>Yes</v>
      </c>
      <c r="F3128" s="7" t="str">
        <f>IFERROR(__xludf.DUMMYFUNCTION("""COMPUTED_VALUE"""),"IP-Oral")</f>
        <v>IP-Oral</v>
      </c>
      <c r="G3128" s="7" t="str">
        <f>IFERROR(__xludf.DUMMYFUNCTION("""COMPUTED_VALUE"""),"In-Person")</f>
        <v>In-Person</v>
      </c>
      <c r="H3128" s="7" t="str">
        <f>IFERROR(__xludf.DUMMYFUNCTION("""COMPUTED_VALUE"""),"Hall N.2")</f>
        <v>Hall N.2</v>
      </c>
      <c r="I3128" s="7" t="str">
        <f>IFERROR(__xludf.DUMMYFUNCTION("""COMPUTED_VALUE"""),"Session 9: IP-Orals")</f>
        <v>Session 9: IP-Orals</v>
      </c>
      <c r="J3128" s="7" t="str">
        <f>IFERROR(__xludf.DUMMYFUNCTION("""COMPUTED_VALUE"""),"Summarization and Information Extraction ")</f>
        <v>Summarization and Information Extraction </v>
      </c>
      <c r="K3128" s="7"/>
      <c r="L3128" s="8">
        <f>IFERROR(__xludf.DUMMYFUNCTION("""COMPUTED_VALUE"""),45867.0)</f>
        <v>45867</v>
      </c>
      <c r="M3128" s="7" t="str">
        <f>IFERROR(__xludf.DUMMYFUNCTION("""COMPUTED_VALUE"""),"14:00-15:30")</f>
        <v>14:00-15:30</v>
      </c>
      <c r="N3128" s="7">
        <f>IFERROR(__xludf.DUMMYFUNCTION("""COMPUTED_VALUE"""),8.0)</f>
        <v>8</v>
      </c>
    </row>
    <row r="3129">
      <c r="A3129" s="7" t="str">
        <f>IFERROR(__xludf.DUMMYFUNCTION("""COMPUTED_VALUE"""),"4481-MAIN")</f>
        <v>4481-MAIN</v>
      </c>
      <c r="B3129" s="7" t="str">
        <f>IFERROR(__xludf.DUMMYFUNCTION("""COMPUTED_VALUE"""),"WinSpot: GUI Grounding Benchmark with Multimodal Large Language Models")</f>
        <v>WinSpot: GUI Grounding Benchmark with Multimodal Large Language Models</v>
      </c>
      <c r="C3129" s="7" t="str">
        <f>IFERROR(__xludf.DUMMYFUNCTION("""COMPUTED_VALUE"""),"Graphical User Interface (GUI) automation relies on accurate GUI grounding. However, obtaining large-scale, high-quality labeled data remains a key challenge, particularly in desktop environments like Windows Operating System (OS). Existing datasets prima"&amp;"rily focus on structured web-based elements, leaving a gap in real-world GUI interaction data for non-web applications. To address this, we introduce a new framework that leverages LLMs to generate large-scale GUI grounding data, enabling automated and sc"&amp;"alable labeling across diverse interfaces. To ensure high accuracy and reliability, we manually validated and refined 5,000 GUI coordinate-instruction pairs, creating WinSpot—the first benchmark specifically designed for GUI grounding tasks in Windows env"&amp;"ironments. WinSpot provides a high-quality dataset for training and evaluating visual GUI agents, establishing a foundation for future research in GUI automation across diverse and unstructured desktop environments.")</f>
        <v>Graphical User Interface (GUI) automation relies on accurate GUI grounding. However, obtaining large-scale, high-quality labeled data remains a key challenge, particularly in desktop environments like Windows Operating System (OS). Existing datasets primarily focus on structured web-based elements, leaving a gap in real-world GUI interaction data for non-web applications. To address this, we introduce a new framework that leverages LLMs to generate large-scale GUI grounding data, enabling automated and scalable labeling across diverse interfaces. To ensure high accuracy and reliability, we manually validated and refined 5,000 GUI coordinate-instruction pairs, creating WinSpot—the first benchmark specifically designed for GUI grounding tasks in Windows environments. WinSpot provides a high-quality dataset for training and evaluating visual GUI agents, establishing a foundation for future research in GUI automation across diverse and unstructured desktop environments.</v>
      </c>
      <c r="D3129" s="7" t="str">
        <f>IFERROR(__xludf.DUMMYFUNCTION("""COMPUTED_VALUE"""),"Zheng Hui")</f>
        <v>Zheng Hui</v>
      </c>
      <c r="E3129" s="7" t="str">
        <f>IFERROR(__xludf.DUMMYFUNCTION("""COMPUTED_VALUE"""),"Yes")</f>
        <v>Yes</v>
      </c>
      <c r="F3129" s="7" t="str">
        <f>IFERROR(__xludf.DUMMYFUNCTION("""COMPUTED_VALUE"""),"IP-Poster")</f>
        <v>IP-Poster</v>
      </c>
      <c r="G3129" s="7" t="str">
        <f>IFERROR(__xludf.DUMMYFUNCTION("""COMPUTED_VALUE"""),"In-Person")</f>
        <v>In-Person</v>
      </c>
      <c r="H3129" s="7" t="str">
        <f>IFERROR(__xludf.DUMMYFUNCTION("""COMPUTED_VALUE"""),"Hall 4/5")</f>
        <v>Hall 4/5</v>
      </c>
      <c r="I3129" s="7" t="str">
        <f>IFERROR(__xludf.DUMMYFUNCTION("""COMPUTED_VALUE"""),"Session 7: IP-Posters")</f>
        <v>Session 7: IP-Posters</v>
      </c>
      <c r="J3129" s="7" t="str">
        <f>IFERROR(__xludf.DUMMYFUNCTION("""COMPUTED_VALUE"""),"Poster Session 2")</f>
        <v>Poster Session 2</v>
      </c>
      <c r="K3129" s="7"/>
      <c r="L3129" s="8">
        <f>IFERROR(__xludf.DUMMYFUNCTION("""COMPUTED_VALUE"""),45867.0)</f>
        <v>45867</v>
      </c>
      <c r="M3129" s="7" t="str">
        <f>IFERROR(__xludf.DUMMYFUNCTION("""COMPUTED_VALUE"""),"10:30-12:00")</f>
        <v>10:30-12:00</v>
      </c>
      <c r="N3129" s="7"/>
    </row>
    <row r="3130">
      <c r="A3130" s="7" t="str">
        <f>IFERROR(__xludf.DUMMYFUNCTION("""COMPUTED_VALUE"""),"4482-MAIN")</f>
        <v>4482-MAIN</v>
      </c>
      <c r="B3130" s="7" t="str">
        <f>IFERROR(__xludf.DUMMYFUNCTION("""COMPUTED_VALUE"""),"IRIS: Interpretable Retrieval-Augmented Classification for Long Interspersed Document Sequences")</f>
        <v>IRIS: Interpretable Retrieval-Augmented Classification for Long Interspersed Document Sequences</v>
      </c>
      <c r="C3130" s="7" t="str">
        <f>IFERROR(__xludf.DUMMYFUNCTION("""COMPUTED_VALUE"""),"Transformer-based models have achieved state-of-the-art performance in document classification but struggle with long-text processing due to the quadratic computational complexity in the self-attention module. Existing solutions, such as sparse attention,"&amp;" hierarchical models, and key sentence extraction, partially address the issue but still fall short when the input sequence is exceptionally lengthy. To address this challenge, we propose **IRIS** (**I**nterpretable **R**etrieval-Augmented Classification "&amp;"for long **I**nterspersed Document **S**equences), a novel, lightweight framework that utilizes retrieval to efficiently classify long documents while enhancing interpretability. IRIS segments documents into chunks, stores their embeddings in a vector dat"&amp;"abase, and retrieves those most relevant to a given task using learnable query vectors. A linear attention mechanism then aggregates the retrieved embeddings for classification, allowing the model to process arbitrarily long documents without increasing c"&amp;"omputational cost and remaining trainable on a single GPU. Our experiments across six datasets show that IRIS achieves comparable performance to baseline models on standard benchmarks, and excels in three clinical note disease risk prediction tasks where "&amp;"documents are extremely long and key information is sparse. Furthermore, IRIS provides global interpretability by revealing a clear summary of key risk factors identified by the model. These findings highlight the potential of IRIS as an efficient and int"&amp;"erpretable solution for long-document classification, particularly in healthcare applications where both performance and explainability are crucial.")</f>
        <v>Transformer-based models have achieved state-of-the-art performance in document classification but struggle with long-text processing due to the quadratic computational complexity in the self-attention module. Existing solutions, such as sparse attention, hierarchical models, and key sentence extraction, partially address the issue but still fall short when the input sequence is exceptionally lengthy. To address this challenge, we propose **IRIS** (**I**nterpretable **R**etrieval-Augmented Classification for long **I**nterspersed Document **S**equences), a novel, lightweight framework that utilizes retrieval to efficiently classify long documents while enhancing interpretability. IRIS segments documents into chunks, stores their embeddings in a vector database, and retrieves those most relevant to a given task using learnable query vectors. A linear attention mechanism then aggregates the retrieved embeddings for classification, allowing the model to process arbitrarily long documents without increasing computational cost and remaining trainable on a single GPU. Our experiments across six datasets show that IRIS achieves comparable performance to baseline models on standard benchmarks, and excels in three clinical note disease risk prediction tasks where documents are extremely long and key information is sparse. Furthermore, IRIS provides global interpretability by revealing a clear summary of key risk factors identified by the model. These findings highlight the potential of IRIS as an efficient and interpretable solution for long-document classification, particularly in healthcare applications where both performance and explainability are crucial.</v>
      </c>
      <c r="D3130" s="7" t="str">
        <f>IFERROR(__xludf.DUMMYFUNCTION("""COMPUTED_VALUE"""),"Fengnan Li")</f>
        <v>Fengnan Li</v>
      </c>
      <c r="E3130" s="7" t="str">
        <f>IFERROR(__xludf.DUMMYFUNCTION("""COMPUTED_VALUE"""),"Yes")</f>
        <v>Yes</v>
      </c>
      <c r="F3130" s="7" t="str">
        <f>IFERROR(__xludf.DUMMYFUNCTION("""COMPUTED_VALUE"""),"IP-Poster")</f>
        <v>IP-Poster</v>
      </c>
      <c r="G3130" s="7" t="str">
        <f>IFERROR(__xludf.DUMMYFUNCTION("""COMPUTED_VALUE"""),"In-Person")</f>
        <v>In-Person</v>
      </c>
      <c r="H3130" s="7" t="str">
        <f>IFERROR(__xludf.DUMMYFUNCTION("""COMPUTED_VALUE"""),"Hall 4/5")</f>
        <v>Hall 4/5</v>
      </c>
      <c r="I3130" s="7" t="str">
        <f>IFERROR(__xludf.DUMMYFUNCTION("""COMPUTED_VALUE"""),"Session 12: IP-Posters")</f>
        <v>Session 12: IP-Posters</v>
      </c>
      <c r="J3130" s="7" t="str">
        <f>IFERROR(__xludf.DUMMYFUNCTION("""COMPUTED_VALUE"""),"Poster Session 4")</f>
        <v>Poster Session 4</v>
      </c>
      <c r="K3130" s="7"/>
      <c r="L3130" s="8">
        <f>IFERROR(__xludf.DUMMYFUNCTION("""COMPUTED_VALUE"""),45868.0)</f>
        <v>45868</v>
      </c>
      <c r="M3130" s="7" t="str">
        <f>IFERROR(__xludf.DUMMYFUNCTION("""COMPUTED_VALUE"""),"11:00-12:30")</f>
        <v>11:00-12:30</v>
      </c>
      <c r="N3130" s="7"/>
    </row>
    <row r="3131">
      <c r="A3131" s="7" t="str">
        <f>IFERROR(__xludf.DUMMYFUNCTION("""COMPUTED_VALUE"""),"4483-MAIN")</f>
        <v>4483-MAIN</v>
      </c>
      <c r="B3131" s="7" t="str">
        <f>IFERROR(__xludf.DUMMYFUNCTION("""COMPUTED_VALUE"""),"Spurious Correlations and Beyond: Understanding and Mitigating Shortcut Learning in SDOH Extraction with Large Language Models")</f>
        <v>Spurious Correlations and Beyond: Understanding and Mitigating Shortcut Learning in SDOH Extraction with Large Language Models</v>
      </c>
      <c r="C3131" s="7" t="str">
        <f>IFERROR(__xludf.DUMMYFUNCTION("""COMPUTED_VALUE"""),"Social determinants of health (SDOH) extraction from clinical text is critical for downstream healthcare analytics. Although large language models (LLMs) have shown promise, they may rely on superficial cues leading to spurious predictions. Using the MIMI"&amp;"C portion of the SHAC (Social History Annotation Corpus) dataset and focusing on drug status extraction as a case study, we demonstrate that mentions of alcohol or smoking can falsely induce models to predict current/past drug use where none is present, w"&amp;"hile also uncovering concerning gender disparities in model performance. We further evaluate mitigation strategies—such as prompt engineering and chain-of-thought reasoning—to reduce these false positives, providing insights into enhancing LLM reliability"&amp;" in health domains.")</f>
        <v>Social determinants of health (SDOH) extraction from clinical text is critical for downstream healthcare analytics. Although large language models (LLMs) have shown promise, they may rely on superficial cues leading to spurious predictions. Using the MIMIC portion of the SHAC (Social History Annotation Corpus) dataset and focusing on drug status extraction as a case study, we demonstrate that mentions of alcohol or smoking can falsely induce models to predict current/past drug use where none is present, while also uncovering concerning gender disparities in model performance. We further evaluate mitigation strategies—such as prompt engineering and chain-of-thought reasoning—to reduce these false positives, providing insights into enhancing LLM reliability in health domains.</v>
      </c>
      <c r="D3131" s="7" t="str">
        <f>IFERROR(__xludf.DUMMYFUNCTION("""COMPUTED_VALUE"""),"Fardin Ahsan Sakib")</f>
        <v>Fardin Ahsan Sakib</v>
      </c>
      <c r="E3131" s="7" t="str">
        <f>IFERROR(__xludf.DUMMYFUNCTION("""COMPUTED_VALUE"""),"Yes")</f>
        <v>Yes</v>
      </c>
      <c r="F3131" s="7" t="str">
        <f>IFERROR(__xludf.DUMMYFUNCTION("""COMPUTED_VALUE"""),"V-Presentation")</f>
        <v>V-Presentation</v>
      </c>
      <c r="G3131" s="7" t="str">
        <f>IFERROR(__xludf.DUMMYFUNCTION("""COMPUTED_VALUE"""),"In-Person")</f>
        <v>In-Person</v>
      </c>
      <c r="H3131" s="7" t="str">
        <f>IFERROR(__xludf.DUMMYFUNCTION("""COMPUTED_VALUE"""),"Zoom")</f>
        <v>Zoom</v>
      </c>
      <c r="I3131" s="7" t="str">
        <f>IFERROR(__xludf.DUMMYFUNCTION("""COMPUTED_VALUE"""),"Session 2: IP-Posters ")</f>
        <v>Session 2: IP-Posters </v>
      </c>
      <c r="J3131" s="7" t="str">
        <f>IFERROR(__xludf.DUMMYFUNCTION("""COMPUTED_VALUE"""),"Virtual Presentations 1")</f>
        <v>Virtual Presentations 1</v>
      </c>
      <c r="K3131" s="7"/>
      <c r="L3131" s="8">
        <f>IFERROR(__xludf.DUMMYFUNCTION("""COMPUTED_VALUE"""),45866.0)</f>
        <v>45866</v>
      </c>
      <c r="M3131" s="7" t="str">
        <f>IFERROR(__xludf.DUMMYFUNCTION("""COMPUTED_VALUE"""),"11:00-12:30")</f>
        <v>11:00-12:30</v>
      </c>
      <c r="N3131" s="7"/>
    </row>
    <row r="3132">
      <c r="A3132" s="7" t="str">
        <f>IFERROR(__xludf.DUMMYFUNCTION("""COMPUTED_VALUE"""),"4490-MAIN")</f>
        <v>4490-MAIN</v>
      </c>
      <c r="B3132" s="7" t="str">
        <f>IFERROR(__xludf.DUMMYFUNCTION("""COMPUTED_VALUE"""),"Symmetrical Visual Contrastive Optimization: Aligning Vision-Language Models with Minimal Contrastive Images")</f>
        <v>Symmetrical Visual Contrastive Optimization: Aligning Vision-Language Models with Minimal Contrastive Images</v>
      </c>
      <c r="C3132" s="7" t="str">
        <f>IFERROR(__xludf.DUMMYFUNCTION("""COMPUTED_VALUE"""),"Recent studies have shown that Large Vision-Language Models (VLMs) tend to neglect image content and over-rely on language-model priors, resulting in errors in visually grounded tasks and hallucinations. We hypothesize that this issue arises because exist"&amp;"ing VLMs are not explicitly trained to generate texts that are accurately grounded in fine-grained image details. To enhance visual feedback during VLM training, we propose S-VCO (Symmetrical Visual Contrastive Optimization), a novel finetuning objective "&amp;"that steers the model toward capturing important visual details and aligning them with corresponding text tokens. To further facilitate this detailed alignment, we introduce MVC, a paired image-text dataset built by automatically filtering and augmenting "&amp;"visual counterfactual data to challenge the model with hard contrastive cases involving Minimal Visual Contrasts. Experiments show that our method consistently improves VLM performance across diverse benchmarks covering various abilities and domains, achi"&amp;"eving up to a 22% reduction in hallucinations, and significant gains in vision-centric and general tasks. Notably, these improvements become increasingly pronounced in benchmarks with higher visual dependency. In short, S-VCO offers a significant enhancem"&amp;"ent of VLM's visually-dependent task performance while retaining or even improving the model's general abilities.")</f>
        <v>Recent studies have shown that Large Vision-Language Models (VLMs) tend to neglect image content and over-rely on language-model priors, resulting in errors in visually grounded tasks and hallucinations. We hypothesize that this issue arises because existing VLMs are not explicitly trained to generate texts that are accurately grounded in fine-grained image details. To enhance visual feedback during VLM training, we propose S-VCO (Symmetrical Visual Contrastive Optimization), a novel finetuning objective that steers the model toward capturing important visual details and aligning them with corresponding text tokens. To further facilitate this detailed alignment, we introduce MVC, a paired image-text dataset built by automatically filtering and augmenting visual counterfactual data to challenge the model with hard contrastive cases involving Minimal Visual Contrasts. Experiments show that our method consistently improves VLM performance across diverse benchmarks covering various abilities and domains, achieving up to a 22% reduction in hallucinations, and significant gains in vision-centric and general tasks. Notably, these improvements become increasingly pronounced in benchmarks with higher visual dependency. In short, S-VCO offers a significant enhancement of VLM's visually-dependent task performance while retaining or even improving the model's general abilities.</v>
      </c>
      <c r="D3132" s="7" t="str">
        <f>IFERROR(__xludf.DUMMYFUNCTION("""COMPUTED_VALUE"""),"Shengguang Wu")</f>
        <v>Shengguang Wu</v>
      </c>
      <c r="E3132" s="7" t="str">
        <f>IFERROR(__xludf.DUMMYFUNCTION("""COMPUTED_VALUE"""),"Yes")</f>
        <v>Yes</v>
      </c>
      <c r="F3132" s="7" t="str">
        <f>IFERROR(__xludf.DUMMYFUNCTION("""COMPUTED_VALUE"""),"V-Presentation")</f>
        <v>V-Presentation</v>
      </c>
      <c r="G3132" s="7" t="str">
        <f>IFERROR(__xludf.DUMMYFUNCTION("""COMPUTED_VALUE"""),"Virtual/Gather")</f>
        <v>Virtual/Gather</v>
      </c>
      <c r="H3132" s="7" t="str">
        <f>IFERROR(__xludf.DUMMYFUNCTION("""COMPUTED_VALUE"""),"Zoom")</f>
        <v>Zoom</v>
      </c>
      <c r="I3132" s="7" t="str">
        <f>IFERROR(__xludf.DUMMYFUNCTION("""COMPUTED_VALUE"""),"Session 10: V-Presenations")</f>
        <v>Session 10: V-Presenations</v>
      </c>
      <c r="J3132" s="7" t="str">
        <f>IFERROR(__xludf.DUMMYFUNCTION("""COMPUTED_VALUE"""),"Virtual Presentations 3")</f>
        <v>Virtual Presentations 3</v>
      </c>
      <c r="K3132" s="7"/>
      <c r="L3132" s="8">
        <f>IFERROR(__xludf.DUMMYFUNCTION("""COMPUTED_VALUE"""),45867.0)</f>
        <v>45867</v>
      </c>
      <c r="M3132" s="7" t="str">
        <f>IFERROR(__xludf.DUMMYFUNCTION("""COMPUTED_VALUE"""),"16:00-17:30")</f>
        <v>16:00-17:30</v>
      </c>
      <c r="N3132" s="7"/>
    </row>
    <row r="3133">
      <c r="A3133" s="7" t="str">
        <f>IFERROR(__xludf.DUMMYFUNCTION("""COMPUTED_VALUE"""),"4491-MAIN")</f>
        <v>4491-MAIN</v>
      </c>
      <c r="B3133" s="7" t="str">
        <f>IFERROR(__xludf.DUMMYFUNCTION("""COMPUTED_VALUE"""),"Enhancing NER by Harnessing Multiple Datasets with Conditional Variational Autoencoders")</f>
        <v>Enhancing NER by Harnessing Multiple Datasets with Conditional Variational Autoencoders</v>
      </c>
      <c r="C3133" s="7" t="str">
        <f>IFERROR(__xludf.DUMMYFUNCTION("""COMPUTED_VALUE"""),"We propose a novel method to integrate a Conditional Variational Autoencoder (CVAE) into a span-based Named Entity Recognition (NER) model to model the shared and unshared information among labels in multiple datasets and ease the training on the datasets"&amp;". 
Experimental results using multiple biomedical datasets show the effectiveness of the proposed method, achieving improved performance on the BioRED dataset.")</f>
        <v>We propose a novel method to integrate a Conditional Variational Autoencoder (CVAE) into a span-based Named Entity Recognition (NER) model to model the shared and unshared information among labels in multiple datasets and ease the training on the datasets. 
Experimental results using multiple biomedical datasets show the effectiveness of the proposed method, achieving improved performance on the BioRED dataset.</v>
      </c>
      <c r="D3133" s="7" t="str">
        <f>IFERROR(__xludf.DUMMYFUNCTION("""COMPUTED_VALUE"""),"Makoto Miwa")</f>
        <v>Makoto Miwa</v>
      </c>
      <c r="E3133" s="7" t="str">
        <f>IFERROR(__xludf.DUMMYFUNCTION("""COMPUTED_VALUE"""),"Yes")</f>
        <v>Yes</v>
      </c>
      <c r="F3133" s="7" t="str">
        <f>IFERROR(__xludf.DUMMYFUNCTION("""COMPUTED_VALUE"""),"IP-Poster")</f>
        <v>IP-Poster</v>
      </c>
      <c r="G3133" s="7" t="str">
        <f>IFERROR(__xludf.DUMMYFUNCTION("""COMPUTED_VALUE"""),"In-Person")</f>
        <v>In-Person</v>
      </c>
      <c r="H3133" s="7" t="str">
        <f>IFERROR(__xludf.DUMMYFUNCTION("""COMPUTED_VALUE"""),"Hall 4/5")</f>
        <v>Hall 4/5</v>
      </c>
      <c r="I3133" s="7" t="str">
        <f>IFERROR(__xludf.DUMMYFUNCTION("""COMPUTED_VALUE"""),"Session 7: IP-Posters")</f>
        <v>Session 7: IP-Posters</v>
      </c>
      <c r="J3133" s="7" t="str">
        <f>IFERROR(__xludf.DUMMYFUNCTION("""COMPUTED_VALUE"""),"Poster Session 2")</f>
        <v>Poster Session 2</v>
      </c>
      <c r="K3133" s="7"/>
      <c r="L3133" s="8">
        <f>IFERROR(__xludf.DUMMYFUNCTION("""COMPUTED_VALUE"""),45867.0)</f>
        <v>45867</v>
      </c>
      <c r="M3133" s="7" t="str">
        <f>IFERROR(__xludf.DUMMYFUNCTION("""COMPUTED_VALUE"""),"10:30-12:00")</f>
        <v>10:30-12:00</v>
      </c>
      <c r="N3133" s="7"/>
    </row>
    <row r="3134">
      <c r="A3134" s="7" t="str">
        <f>IFERROR(__xludf.DUMMYFUNCTION("""COMPUTED_VALUE"""),"4499-MAIN")</f>
        <v>4499-MAIN</v>
      </c>
      <c r="B3134" s="7" t="str">
        <f>IFERROR(__xludf.DUMMYFUNCTION("""COMPUTED_VALUE"""),"CHEER-Ekman: Fine-grained Embodied Emotion Classification")</f>
        <v>CHEER-Ekman: Fine-grained Embodied Emotion Classification</v>
      </c>
      <c r="C3134" s="7" t="str">
        <f>IFERROR(__xludf.DUMMYFUNCTION("""COMPUTED_VALUE"""),"Emotions manifest through physical experiences and bodily reactions, yet identifying such embodied emotions in text remains understudied. We present an embodied emotion classification dataset, CHEER-Ekman, extending the existing binary embodied emotion da"&amp;"taset with Ekman's six basic emotion categories. Using automatic best-worst scaling with large language models, we achieve performance superior to supervised approaches on our new dataset. Our investigation reveals that simplified prompting instructions a"&amp;"nd chain-of-thought reasoning significantly improve emotion recognition accuracy, enabling smaller models to achieve competitive performance with larger ones.")</f>
        <v>Emotions manifest through physical experiences and bodily reactions, yet identifying such embodied emotions in text remains understudied. We present an embodied emotion classification dataset, CHEER-Ekman, extending the existing binary embodied emotion dataset with Ekman's six basic emotion categories. Using automatic best-worst scaling with large language models, we achieve performance superior to supervised approaches on our new dataset. Our investigation reveals that simplified prompting instructions and chain-of-thought reasoning significantly improve emotion recognition accuracy, enabling smaller models to achieve competitive performance with larger ones.</v>
      </c>
      <c r="D3134" s="7" t="str">
        <f>IFERROR(__xludf.DUMMYFUNCTION("""COMPUTED_VALUE"""),"Phan Anh Duong")</f>
        <v>Phan Anh Duong</v>
      </c>
      <c r="E3134" s="7" t="str">
        <f>IFERROR(__xludf.DUMMYFUNCTION("""COMPUTED_VALUE"""),"Yes")</f>
        <v>Yes</v>
      </c>
      <c r="F3134" s="7" t="str">
        <f>IFERROR(__xludf.DUMMYFUNCTION("""COMPUTED_VALUE"""),"V-Presentation")</f>
        <v>V-Presentation</v>
      </c>
      <c r="G3134" s="7" t="str">
        <f>IFERROR(__xludf.DUMMYFUNCTION("""COMPUTED_VALUE"""),"Virtual/Gather")</f>
        <v>Virtual/Gather</v>
      </c>
      <c r="H3134" s="7" t="str">
        <f>IFERROR(__xludf.DUMMYFUNCTION("""COMPUTED_VALUE"""),"Zoom")</f>
        <v>Zoom</v>
      </c>
      <c r="I3134" s="7" t="str">
        <f>IFERROR(__xludf.DUMMYFUNCTION("""COMPUTED_VALUE"""),"Session 10: V-Presenations")</f>
        <v>Session 10: V-Presenations</v>
      </c>
      <c r="J3134" s="7" t="str">
        <f>IFERROR(__xludf.DUMMYFUNCTION("""COMPUTED_VALUE"""),"Virtual Presentations 3")</f>
        <v>Virtual Presentations 3</v>
      </c>
      <c r="K3134" s="7"/>
      <c r="L3134" s="8">
        <f>IFERROR(__xludf.DUMMYFUNCTION("""COMPUTED_VALUE"""),45867.0)</f>
        <v>45867</v>
      </c>
      <c r="M3134" s="7" t="str">
        <f>IFERROR(__xludf.DUMMYFUNCTION("""COMPUTED_VALUE"""),"16:00-17:30")</f>
        <v>16:00-17:30</v>
      </c>
      <c r="N3134" s="7"/>
    </row>
    <row r="3135">
      <c r="A3135" s="7" t="str">
        <f>IFERROR(__xludf.DUMMYFUNCTION("""COMPUTED_VALUE"""),"4502-MAIN")</f>
        <v>4502-MAIN</v>
      </c>
      <c r="B3135" s="7" t="str">
        <f>IFERROR(__xludf.DUMMYFUNCTION("""COMPUTED_VALUE"""),"Can we Retrieve Everything All at Once? ARM: An Alignment-Oriented LLM-based Retrieval Method")</f>
        <v>Can we Retrieve Everything All at Once? ARM: An Alignment-Oriented LLM-based Retrieval Method</v>
      </c>
      <c r="C3135" s="7" t="str">
        <f>IFERROR(__xludf.DUMMYFUNCTION("""COMPUTED_VALUE"""),"Real-world open-domain questions can be complex, especially when answering them requires integrating information from multiple sources. Effectively identifying the necessary information involves *aligning* it with the available data and its organization. "&amp;"However, existing RAG solutions address the alignment problem in a limited manner. Using off-the-shelf LLMs for question decomposition lacks awareness of the available data and its structure, often resulting in suboptimal retrieval performance. Alternativ"&amp;"ely, iteratively generating follow-up queries and interacting with the data collection, as explored in agentic RAG approaches, shows potential but is often *inefficient* since each successive query depends on previous results rather than being guided by t"&amp;"he overall organization of the available data. To address the *alignment* problem, we introduce an LLM-based retrieval method --- ARM, designed to better align questions with the organization of the data collection. Instead of solely matching query uttera"&amp;"nce, ARM explores *relationships among data objects*, enabling a retrieve-all-at-once solution for complex queries. Experimental results demonstrate that ARM significantly outperforms existing RAG methods on various complex open-domain QA tasks across mul"&amp;"tiple modalities, achieving superior retrieval performance and downstream accuracy while significantly lowering monetary costs.")</f>
        <v>Real-world open-domain questions can be complex, especially when answering them requires integrating information from multiple sources. Effectively identifying the necessary information involves *aligning* it with the available data and its organization. However, existing RAG solutions address the alignment problem in a limited manner. Using off-the-shelf LLMs for question decomposition lacks awareness of the available data and its structure, often resulting in suboptimal retrieval performance. Alternatively, iteratively generating follow-up queries and interacting with the data collection, as explored in agentic RAG approaches, shows potential but is often *inefficient* since each successive query depends on previous results rather than being guided by the overall organization of the available data. To address the *alignment* problem, we introduce an LLM-based retrieval method --- ARM, designed to better align questions with the organization of the data collection. Instead of solely matching query utterance, ARM explores *relationships among data objects*, enabling a retrieve-all-at-once solution for complex queries. Experimental results demonstrate that ARM significantly outperforms existing RAG methods on various complex open-domain QA tasks across multiple modalities, achieving superior retrieval performance and downstream accuracy while significantly lowering monetary costs.</v>
      </c>
      <c r="D3135" s="7" t="str">
        <f>IFERROR(__xludf.DUMMYFUNCTION("""COMPUTED_VALUE"""),"Dan Roth")</f>
        <v>Dan Roth</v>
      </c>
      <c r="E3135" s="7" t="str">
        <f>IFERROR(__xludf.DUMMYFUNCTION("""COMPUTED_VALUE"""),"Yes")</f>
        <v>Yes</v>
      </c>
      <c r="F3135" s="7" t="str">
        <f>IFERROR(__xludf.DUMMYFUNCTION("""COMPUTED_VALUE"""),"IP-Poster")</f>
        <v>IP-Poster</v>
      </c>
      <c r="G3135" s="7" t="str">
        <f>IFERROR(__xludf.DUMMYFUNCTION("""COMPUTED_VALUE"""),"In-Person")</f>
        <v>In-Person</v>
      </c>
      <c r="H3135" s="7" t="str">
        <f>IFERROR(__xludf.DUMMYFUNCTION("""COMPUTED_VALUE"""),"Hall 4/5")</f>
        <v>Hall 4/5</v>
      </c>
      <c r="I3135" s="7" t="str">
        <f>IFERROR(__xludf.DUMMYFUNCTION("""COMPUTED_VALUE"""),"Session 2: IP-Posters ")</f>
        <v>Session 2: IP-Posters </v>
      </c>
      <c r="J3135" s="7" t="str">
        <f>IFERROR(__xludf.DUMMYFUNCTION("""COMPUTED_VALUE"""),"Poster Session 1")</f>
        <v>Poster Session 1</v>
      </c>
      <c r="K3135" s="7"/>
      <c r="L3135" s="8">
        <f>IFERROR(__xludf.DUMMYFUNCTION("""COMPUTED_VALUE"""),45866.0)</f>
        <v>45866</v>
      </c>
      <c r="M3135" s="7" t="str">
        <f>IFERROR(__xludf.DUMMYFUNCTION("""COMPUTED_VALUE"""),"11:00-12:30")</f>
        <v>11:00-12:30</v>
      </c>
      <c r="N3135" s="7"/>
    </row>
    <row r="3136">
      <c r="A3136" s="7" t="str">
        <f>IFERROR(__xludf.DUMMYFUNCTION("""COMPUTED_VALUE"""),"4505-MAIN")</f>
        <v>4505-MAIN</v>
      </c>
      <c r="B3136" s="7" t="str">
        <f>IFERROR(__xludf.DUMMYFUNCTION("""COMPUTED_VALUE"""),"R2D2: Remembering, Replaying and Dynamic Decision Making with a Reflective Agentic Memory")</f>
        <v>R2D2: Remembering, Replaying and Dynamic Decision Making with a Reflective Agentic Memory</v>
      </c>
      <c r="C3136" s="7" t="str">
        <f>IFERROR(__xludf.DUMMYFUNCTION("""COMPUTED_VALUE"""),"The proliferation of web agents necessitates advanced navigation and interaction strategies within complex web environments. Current models often struggle with efficient navigation and action execution due to limited visibility and understanding of web st"&amp;"ructures. Our proposed R2D2 framework addresses these challenges by integrating two paradigms: Remember and Reflect. The Remember paradigm utilizes a replay buffer that aids agents in reconstructing the web environment dynamically, thus enabling the formu"&amp;"lation of a detailed ``map'' of previously visited pages. This helps in reducing navigational errors and optimizing the decision-making process during web interactions. Conversely, the Reflect paradigm allows agents to learn from past mistakes by providin"&amp;"g a mechanism for error analysis and strategy refinement, enhancing overall task performance. We evaluate R2D2 using the WEBARENA benchmark, demonstrating significant improvements over existing methods, including a 50% reduction in navigation errors and a"&amp;" threefold increase in task completion rates. Our findings suggest that a combination of memory-enhanced navigation and reflective learning promisingly advances the capabilities of web agents, potentially benefiting various applications such as automated "&amp;"customer service and personal digital assistants.")</f>
        <v>The proliferation of web agents necessitates advanced navigation and interaction strategies within complex web environments. Current models often struggle with efficient navigation and action execution due to limited visibility and understanding of web structures. Our proposed R2D2 framework addresses these challenges by integrating two paradigms: Remember and Reflect. The Remember paradigm utilizes a replay buffer that aids agents in reconstructing the web environment dynamically, thus enabling the formulation of a detailed ``map'' of previously visited pages. This helps in reducing navigational errors and optimizing the decision-making process during web interactions. Conversely, the Reflect paradigm allows agents to learn from past mistakes by providing a mechanism for error analysis and strategy refinement, enhancing overall task performance. We evaluate R2D2 using the WEBARENA benchmark, demonstrating significant improvements over existing methods, including a 50% reduction in navigation errors and a threefold increase in task completion rates. Our findings suggest that a combination of memory-enhanced navigation and reflective learning promisingly advances the capabilities of web agents, potentially benefiting various applications such as automated customer service and personal digital assistants.</v>
      </c>
      <c r="D3136" s="7" t="str">
        <f>IFERROR(__xludf.DUMMYFUNCTION("""COMPUTED_VALUE"""),"Jonathan May ")</f>
        <v>Jonathan May </v>
      </c>
      <c r="E3136" s="7" t="str">
        <f>IFERROR(__xludf.DUMMYFUNCTION("""COMPUTED_VALUE"""),"Yes")</f>
        <v>Yes</v>
      </c>
      <c r="F3136" s="7" t="str">
        <f>IFERROR(__xludf.DUMMYFUNCTION("""COMPUTED_VALUE"""),"IP-Poster")</f>
        <v>IP-Poster</v>
      </c>
      <c r="G3136" s="7" t="str">
        <f>IFERROR(__xludf.DUMMYFUNCTION("""COMPUTED_VALUE"""),"In-Person")</f>
        <v>In-Person</v>
      </c>
      <c r="H3136" s="7" t="str">
        <f>IFERROR(__xludf.DUMMYFUNCTION("""COMPUTED_VALUE"""),"Hall 4/5")</f>
        <v>Hall 4/5</v>
      </c>
      <c r="I3136" s="7" t="str">
        <f>IFERROR(__xludf.DUMMYFUNCTION("""COMPUTED_VALUE"""),"Session 12: IP-Posters")</f>
        <v>Session 12: IP-Posters</v>
      </c>
      <c r="J3136" s="7" t="str">
        <f>IFERROR(__xludf.DUMMYFUNCTION("""COMPUTED_VALUE"""),"Poster Session 4")</f>
        <v>Poster Session 4</v>
      </c>
      <c r="K3136" s="7"/>
      <c r="L3136" s="8">
        <f>IFERROR(__xludf.DUMMYFUNCTION("""COMPUTED_VALUE"""),45868.0)</f>
        <v>45868</v>
      </c>
      <c r="M3136" s="7" t="str">
        <f>IFERROR(__xludf.DUMMYFUNCTION("""COMPUTED_VALUE"""),"11:00-12:30")</f>
        <v>11:00-12:30</v>
      </c>
      <c r="N3136" s="7"/>
    </row>
    <row r="3137">
      <c r="A3137" s="7" t="str">
        <f>IFERROR(__xludf.DUMMYFUNCTION("""COMPUTED_VALUE"""),"4511-MAIN")</f>
        <v>4511-MAIN</v>
      </c>
      <c r="B3137" s="7" t="str">
        <f>IFERROR(__xludf.DUMMYFUNCTION("""COMPUTED_VALUE"""),"ScanEZ: Integrating Cognitive Models with Self-Supervised Learning for Spatiotemporal Scanpath Prediction")</f>
        <v>ScanEZ: Integrating Cognitive Models with Self-Supervised Learning for Spatiotemporal Scanpath Prediction</v>
      </c>
      <c r="C3137" s="7" t="str">
        <f>IFERROR(__xludf.DUMMYFUNCTION("""COMPUTED_VALUE"""),"Accurately predicting human scanpaths during
reading is vital for diverse fields and downstream tasks, from educational technologies to
automatic question answering. To date, however, progress in this direction remains limited by scarce gaze data. We over"&amp;"come the
issue with ScanEZ, a self-supervised framework grounded in cognitive models of reading.
ScanEZ jointly models the spatial and temporal dimensions of scanpaths by leveraging synthetic data and a 3-D gaze objective inspired by
masked language model"&amp;"ing. With this framework, we provide evidence that two key factors
in scanpath prediction during reading are: the
use of masked modeling of both spatial and
temporal patterns of eye movements, and cognitive model simulations as an inductive bias
to kick-s"&amp;"tart training. Our approach achieves
state-of-the-art results on established datasets
(e.g., up to 31.4% negative log-likelihood improvement on CELER L1), and proves portable
across different experimental conditions.")</f>
        <v>Accurately predicting human scanpaths during
reading is vital for diverse fields and downstream tasks, from educational technologies to
automatic question answering. To date, however, progress in this direction remains limited by scarce gaze data. We overcome the
issue with ScanEZ, a self-supervised framework grounded in cognitive models of reading.
ScanEZ jointly models the spatial and temporal dimensions of scanpaths by leveraging synthetic data and a 3-D gaze objective inspired by
masked language modeling. With this framework, we provide evidence that two key factors
in scanpath prediction during reading are: the
use of masked modeling of both spatial and
temporal patterns of eye movements, and cognitive model simulations as an inductive bias
to kick-start training. Our approach achieves
state-of-the-art results on established datasets
(e.g., up to 31.4% negative log-likelihood improvement on CELER L1), and proves portable
across different experimental conditions.</v>
      </c>
      <c r="D3137" s="7" t="str">
        <f>IFERROR(__xludf.DUMMYFUNCTION("""COMPUTED_VALUE"""),"Ekta Sood")</f>
        <v>Ekta Sood</v>
      </c>
      <c r="E3137" s="7" t="str">
        <f>IFERROR(__xludf.DUMMYFUNCTION("""COMPUTED_VALUE"""),"Yes")</f>
        <v>Yes</v>
      </c>
      <c r="F3137" s="7" t="str">
        <f>IFERROR(__xludf.DUMMYFUNCTION("""COMPUTED_VALUE"""),"IP-Poster")</f>
        <v>IP-Poster</v>
      </c>
      <c r="G3137" s="7" t="str">
        <f>IFERROR(__xludf.DUMMYFUNCTION("""COMPUTED_VALUE"""),"In-Person")</f>
        <v>In-Person</v>
      </c>
      <c r="H3137" s="7" t="str">
        <f>IFERROR(__xludf.DUMMYFUNCTION("""COMPUTED_VALUE"""),"Hall 4/5")</f>
        <v>Hall 4/5</v>
      </c>
      <c r="I3137" s="7" t="str">
        <f>IFERROR(__xludf.DUMMYFUNCTION("""COMPUTED_VALUE"""),"Session 12: IP-Posters")</f>
        <v>Session 12: IP-Posters</v>
      </c>
      <c r="J3137" s="7" t="str">
        <f>IFERROR(__xludf.DUMMYFUNCTION("""COMPUTED_VALUE"""),"Poster Session 4")</f>
        <v>Poster Session 4</v>
      </c>
      <c r="K3137" s="7"/>
      <c r="L3137" s="8">
        <f>IFERROR(__xludf.DUMMYFUNCTION("""COMPUTED_VALUE"""),45868.0)</f>
        <v>45868</v>
      </c>
      <c r="M3137" s="7" t="str">
        <f>IFERROR(__xludf.DUMMYFUNCTION("""COMPUTED_VALUE"""),"11:00-12:30")</f>
        <v>11:00-12:30</v>
      </c>
      <c r="N3137" s="7"/>
    </row>
    <row r="3138">
      <c r="A3138" s="7" t="str">
        <f>IFERROR(__xludf.DUMMYFUNCTION("""COMPUTED_VALUE"""),"4518-MAIN")</f>
        <v>4518-MAIN</v>
      </c>
      <c r="B3138" s="7" t="str">
        <f>IFERROR(__xludf.DUMMYFUNCTION("""COMPUTED_VALUE"""),"FairI Tales: Evaluation of Fairness in Indian Contexts with a Focus on Bias and Stereotypes")</f>
        <v>FairI Tales: Evaluation of Fairness in Indian Contexts with a Focus on Bias and Stereotypes</v>
      </c>
      <c r="C3138" s="7" t="str">
        <f>IFERROR(__xludf.DUMMYFUNCTION("""COMPUTED_VALUE"""),"Existing studies on fairness are largely Western-focused, making them inadequate for culturally diverse countries such as India. To address this gap, we introduce INDIC-BIAS, a comprehensive India-centric benchmark designed to evaluate fairness of LLMs ac"&amp;"ross 85 identity groups encompassing diverse castes, religions, regions, and tribes. We first consult domain experts to curate over 1,800 socio-cultural topics spanning behaviors and situations, where biases and stereotypes are likely to emerge. Grounded "&amp;"in these topics, we generate and manually validate 20,000 real-world scenario templates to probe LLMs for fairness. We structure these templates into three evaluation tasks: plausibility, judgment, and generation. Our evaluation of 14 popular LLMs on thes"&amp;"e tasks reveals strong negative biases against marginalized identities, with models frequently reinforcing common stereotypes. Additionally, we find that models struggle to mitigate bias even when explicitly asked to rationalize their decision. Our evalua"&amp;"tion provides evidence of both allocative and representational harms that current LLMs could cause towards Indian identities, calling for a more cautious usage in practical applications. We release INDIC-BIAS as an open-source benchmark to advance researc"&amp;"h on benchmarking and mitigating biases and stereotypes in the Indian context.")</f>
        <v>Existing studies on fairness are largely Western-focused, making them inadequate for culturally diverse countries such as India. To address this gap, we introduce INDIC-BIAS, a comprehensive India-centric benchmark designed to evaluate fairness of LLMs across 85 identity groups encompassing diverse castes, religions, regions, and tribes. We first consult domain experts to curate over 1,800 socio-cultural topics spanning behaviors and situations, where biases and stereotypes are likely to emerge. Grounded in these topics, we generate and manually validate 20,000 real-world scenario templates to probe LLMs for fairness. We structure these templates into three evaluation tasks: plausibility, judgment, and generation. Our evaluation of 14 popular LLMs on these tasks reveals strong negative biases against marginalized identities, with models frequently reinforcing common stereotypes. Additionally, we find that models struggle to mitigate bias even when explicitly asked to rationalize their decision. Our evaluation provides evidence of both allocative and representational harms that current LLMs could cause towards Indian identities, calling for a more cautious usage in practical applications. We release INDIC-BIAS as an open-source benchmark to advance research on benchmarking and mitigating biases and stereotypes in the Indian context.</v>
      </c>
      <c r="D3138" s="7" t="str">
        <f>IFERROR(__xludf.DUMMYFUNCTION("""COMPUTED_VALUE"""),"Mohammed Safi Ur Rahman Khan")</f>
        <v>Mohammed Safi Ur Rahman Khan</v>
      </c>
      <c r="E3138" s="7" t="str">
        <f>IFERROR(__xludf.DUMMYFUNCTION("""COMPUTED_VALUE"""),"Yes")</f>
        <v>Yes</v>
      </c>
      <c r="F3138" s="7" t="str">
        <f>IFERROR(__xludf.DUMMYFUNCTION("""COMPUTED_VALUE"""),"IP-Poster")</f>
        <v>IP-Poster</v>
      </c>
      <c r="G3138" s="7" t="str">
        <f>IFERROR(__xludf.DUMMYFUNCTION("""COMPUTED_VALUE"""),"In-Person")</f>
        <v>In-Person</v>
      </c>
      <c r="H3138" s="7" t="str">
        <f>IFERROR(__xludf.DUMMYFUNCTION("""COMPUTED_VALUE"""),"Hall 4/5")</f>
        <v>Hall 4/5</v>
      </c>
      <c r="I3138" s="7" t="str">
        <f>IFERROR(__xludf.DUMMYFUNCTION("""COMPUTED_VALUE"""),"Session 2: IP-Posters ")</f>
        <v>Session 2: IP-Posters </v>
      </c>
      <c r="J3138" s="7" t="str">
        <f>IFERROR(__xludf.DUMMYFUNCTION("""COMPUTED_VALUE"""),"Poster Session 1")</f>
        <v>Poster Session 1</v>
      </c>
      <c r="K3138" s="7"/>
      <c r="L3138" s="8">
        <f>IFERROR(__xludf.DUMMYFUNCTION("""COMPUTED_VALUE"""),45866.0)</f>
        <v>45866</v>
      </c>
      <c r="M3138" s="7" t="str">
        <f>IFERROR(__xludf.DUMMYFUNCTION("""COMPUTED_VALUE"""),"11:00-12:30")</f>
        <v>11:00-12:30</v>
      </c>
      <c r="N3138" s="7"/>
    </row>
    <row r="3139">
      <c r="A3139" s="7" t="str">
        <f>IFERROR(__xludf.DUMMYFUNCTION("""COMPUTED_VALUE"""),"4524-MAIN")</f>
        <v>4524-MAIN</v>
      </c>
      <c r="B3139" s="7" t="str">
        <f>IFERROR(__xludf.DUMMYFUNCTION("""COMPUTED_VALUE"""),"SpeechIQ: Speech-Agentic Intelligence Quotient Across Cognitive Levels in Voice Understanding by Large Language Models")</f>
        <v>SpeechIQ: Speech-Agentic Intelligence Quotient Across Cognitive Levels in Voice Understanding by Large Language Models</v>
      </c>
      <c r="C3139" s="7" t="str">
        <f>IFERROR(__xludf.DUMMYFUNCTION("""COMPUTED_VALUE"""),"We introduce Speech-based Intelligence Quotient (SIQ) as a new form of human cognition-inspired evaluation pipeline for voice understanding large language models (LLM_{Voice}), designed to assess their voice understanding ability. 
Moving beyond popular v"&amp;"oice understanding metrics such as word error rate (WER), SIQ examines LLM_{Voice} across three cognitive levels motivated by Bloom’s Taxonomy: (1) Remembering (i.e., WER for verbatim accuracy); (2) Understanding (i.e., similarity of LLM's interpretations"&amp;"); and (3) Application (i.e., QA accuracy for simulating downstream tasks). We demonstrate that SIQ not only quantifies voice understanding abilities but also provides unified comparisons between cascaded methods (e.g., ASR-LLM) and end-to-end models, ide"&amp;"ntifies annotation errors in existing benchmarks, and detects hallucinations in LLM_{Voice}. Our framework represents a first-of-its-kind intelligence examination that bridges cognitive principles with voice-oriented benchmarks, while exposing overlooked "&amp;"challenges in multi-modal training. Our code and data will be open source to encourage future studies.")</f>
        <v>We introduce Speech-based Intelligence Quotient (SIQ) as a new form of human cognition-inspired evaluation pipeline for voice understanding large language models (LLM_{Voice}), designed to assess their voice understanding ability. 
Moving beyond popular voice understanding metrics such as word error rate (WER), SIQ examines LLM_{Voice} across three cognitive levels motivated by Bloom’s Taxonomy: (1) Remembering (i.e., WER for verbatim accuracy); (2) Understanding (i.e., similarity of LLM's interpretations); and (3) Application (i.e., QA accuracy for simulating downstream tasks). We demonstrate that SIQ not only quantifies voice understanding abilities but also provides unified comparisons between cascaded methods (e.g., ASR-LLM) and end-to-end models, identifies annotation errors in existing benchmarks, and detects hallucinations in LLM_{Voice}. Our framework represents a first-of-its-kind intelligence examination that bridges cognitive principles with voice-oriented benchmarks, while exposing overlooked challenges in multi-modal training. Our code and data will be open source to encourage future studies.</v>
      </c>
      <c r="D3139" s="7" t="str">
        <f>IFERROR(__xludf.DUMMYFUNCTION("""COMPUTED_VALUE"""),"Huck Yang")</f>
        <v>Huck Yang</v>
      </c>
      <c r="E3139" s="7" t="str">
        <f>IFERROR(__xludf.DUMMYFUNCTION("""COMPUTED_VALUE"""),"Yes")</f>
        <v>Yes</v>
      </c>
      <c r="F3139" s="7" t="str">
        <f>IFERROR(__xludf.DUMMYFUNCTION("""COMPUTED_VALUE"""),"IP-Poster")</f>
        <v>IP-Poster</v>
      </c>
      <c r="G3139" s="7" t="str">
        <f>IFERROR(__xludf.DUMMYFUNCTION("""COMPUTED_VALUE"""),"In-Person")</f>
        <v>In-Person</v>
      </c>
      <c r="H3139" s="7" t="str">
        <f>IFERROR(__xludf.DUMMYFUNCTION("""COMPUTED_VALUE"""),"Hall 4/5")</f>
        <v>Hall 4/5</v>
      </c>
      <c r="I3139" s="7" t="str">
        <f>IFERROR(__xludf.DUMMYFUNCTION("""COMPUTED_VALUE"""),"Session 2: IP-Posters ")</f>
        <v>Session 2: IP-Posters </v>
      </c>
      <c r="J3139" s="7" t="str">
        <f>IFERROR(__xludf.DUMMYFUNCTION("""COMPUTED_VALUE"""),"Poster Session 1")</f>
        <v>Poster Session 1</v>
      </c>
      <c r="K3139" s="7"/>
      <c r="L3139" s="8">
        <f>IFERROR(__xludf.DUMMYFUNCTION("""COMPUTED_VALUE"""),45866.0)</f>
        <v>45866</v>
      </c>
      <c r="M3139" s="7" t="str">
        <f>IFERROR(__xludf.DUMMYFUNCTION("""COMPUTED_VALUE"""),"11:00-12:30")</f>
        <v>11:00-12:30</v>
      </c>
      <c r="N3139" s="7"/>
    </row>
    <row r="3140">
      <c r="A3140" s="7" t="str">
        <f>IFERROR(__xludf.DUMMYFUNCTION("""COMPUTED_VALUE"""),"4527-MAIN")</f>
        <v>4527-MAIN</v>
      </c>
      <c r="B3140" s="7" t="str">
        <f>IFERROR(__xludf.DUMMYFUNCTION("""COMPUTED_VALUE"""),"Predicting Implicit Arguments in Procedural Video Instructions")</f>
        <v>Predicting Implicit Arguments in Procedural Video Instructions</v>
      </c>
      <c r="C3140" s="7" t="str">
        <f>IFERROR(__xludf.DUMMYFUNCTION("""COMPUTED_VALUE"""),"Procedural texts help AI enhance reasoning about context and action sequences. Transforming these into Semantic Role Labeling (SRL) improves understanding of individual steps by identifying predicate-argument structure like {verb,what,where/with}. Procedu"&amp;"ral instructions are highly elliptic, for instance, (i) add cucumber to the bowl and (ii) add sliced tomatoes, the second step’s where argument is inferred from the context, referring to where the cucumber was placed. Prior SRL benchmarks often miss impli"&amp;"cit arguments, leading to incomplete understanding. To address this, we introduce Implicit-VidSRL, a dataset that necessitates inferring implicit and explicit arguments from contextual information in multimodal cooking procedures. Our proposed dataset ben"&amp;"chmarks multimodal models’ contextual reasoning, requiring entity tracking through visual changes in recipes. We study recent multimodal LLMs and reveal that they struggle to predict implicit arguments of what and where/with from multi-modal procedural da"&amp;"ta given the verb. Lastly, we propose iSRL-Qwen2-VL, which achieves a 17% relative improvement in F1-score for what-implicit and a 14.7% for where/with-implicit semantic roles over GPT-4o.")</f>
        <v>Procedural texts help AI enhance reasoning about context and action sequences. Transforming these into Semantic Role Labeling (SRL) improves understanding of individual steps by identifying predicate-argument structure like {verb,what,where/with}. Procedural instructions are highly elliptic, for instance, (i) add cucumber to the bowl and (ii) add sliced tomatoes, the second step’s where argument is inferred from the context, referring to where the cucumber was placed. Prior SRL benchmarks often miss implicit arguments, leading to incomplete understanding. To address this, we introduce Implicit-VidSRL, a dataset that necessitates inferring implicit and explicit arguments from contextual information in multimodal cooking procedures. Our proposed dataset benchmarks multimodal models’ contextual reasoning, requiring entity tracking through visual changes in recipes. We study recent multimodal LLMs and reveal that they struggle to predict implicit arguments of what and where/with from multi-modal procedural data given the verb. Lastly, we propose iSRL-Qwen2-VL, which achieves a 17% relative improvement in F1-score for what-implicit and a 14.7% for where/with-implicit semantic roles over GPT-4o.</v>
      </c>
      <c r="D3140" s="7" t="str">
        <f>IFERROR(__xludf.DUMMYFUNCTION("""COMPUTED_VALUE"""),"Anil Batra")</f>
        <v>Anil Batra</v>
      </c>
      <c r="E3140" s="7" t="str">
        <f>IFERROR(__xludf.DUMMYFUNCTION("""COMPUTED_VALUE"""),"Yes")</f>
        <v>Yes</v>
      </c>
      <c r="F3140" s="7" t="str">
        <f>IFERROR(__xludf.DUMMYFUNCTION("""COMPUTED_VALUE"""),"IP-Poster")</f>
        <v>IP-Poster</v>
      </c>
      <c r="G3140" s="7" t="str">
        <f>IFERROR(__xludf.DUMMYFUNCTION("""COMPUTED_VALUE"""),"In-Person")</f>
        <v>In-Person</v>
      </c>
      <c r="H3140" s="7" t="str">
        <f>IFERROR(__xludf.DUMMYFUNCTION("""COMPUTED_VALUE"""),"Hall 4/5")</f>
        <v>Hall 4/5</v>
      </c>
      <c r="I3140" s="7" t="str">
        <f>IFERROR(__xludf.DUMMYFUNCTION("""COMPUTED_VALUE"""),"Session 2: IP-Posters ")</f>
        <v>Session 2: IP-Posters </v>
      </c>
      <c r="J3140" s="7" t="str">
        <f>IFERROR(__xludf.DUMMYFUNCTION("""COMPUTED_VALUE"""),"Poster Session 1")</f>
        <v>Poster Session 1</v>
      </c>
      <c r="K3140" s="7"/>
      <c r="L3140" s="8">
        <f>IFERROR(__xludf.DUMMYFUNCTION("""COMPUTED_VALUE"""),45866.0)</f>
        <v>45866</v>
      </c>
      <c r="M3140" s="7" t="str">
        <f>IFERROR(__xludf.DUMMYFUNCTION("""COMPUTED_VALUE"""),"11:00-12:30")</f>
        <v>11:00-12:30</v>
      </c>
      <c r="N3140" s="7"/>
    </row>
    <row r="3141">
      <c r="A3141" s="7" t="str">
        <f>IFERROR(__xludf.DUMMYFUNCTION("""COMPUTED_VALUE"""),"4537-MAIN")</f>
        <v>4537-MAIN</v>
      </c>
      <c r="B3141" s="7" t="str">
        <f>IFERROR(__xludf.DUMMYFUNCTION("""COMPUTED_VALUE"""),"InjecGuard: Benchmarking and Mitigating Over-defense in Prompt Injection Guardrail Models")</f>
        <v>InjecGuard: Benchmarking and Mitigating Over-defense in Prompt Injection Guardrail Models</v>
      </c>
      <c r="C3141" s="7" t="str">
        <f>IFERROR(__xludf.DUMMYFUNCTION("""COMPUTED_VALUE"""),"Prompt injection attacks pose a critical threat to large language models (LLMs), enabling goal hijacking and data leakage. Prompt guard models, though effective in defense, suffer from over-defense—falsely flagging benign inputs as malicious due to trigge"&amp;"r word bias. To address this issue, 
we introduce NotInject, an evaluation dataset that systematically measures over-defense across various prompt guard models. NotInject contains 339 benign samples enriched with trigger words common in prompt injection a"&amp;"ttacks, enabling fine-grained evaluation. Our results show that state-of-the-art models suffer from over-defense issues, with accuracy dropping close to random guessing levels (60%). To mitigate this, we propose PIGuard, a novel prompt guard model that in"&amp;"corporates a new training strategy, Mitigating Over-defense for Free (MOF), which significantly reduces the bias on trigger words. PIGuard demonstrates state-of-the-art performance on diverse benchmarks including NotInject, surpassing the existing best mo"&amp;"del by 30.4%, offering a robust and open-source solution for detecting prompt injection attacks. The code and datasets are released at https://github.com/leolee99/PIGuard.")</f>
        <v>Prompt injection attacks pose a critical threat to large language models (LLMs), enabling goal hijacking and data leakage. Prompt guard models, though effective in defense, suffer from over-defense—falsely flagging benign inputs as malicious due to trigger word bias. To address this issue, 
we introduce NotInject, an evaluation dataset that systematically measures over-defense across various prompt guard models. NotInject contains 339 benign samples enriched with trigger words common in prompt injection attacks, enabling fine-grained evaluation. Our results show that state-of-the-art models suffer from over-defense issues, with accuracy dropping close to random guessing levels (60%). To mitigate this, we propose PIGuard, a novel prompt guard model that incorporates a new training strategy, Mitigating Over-defense for Free (MOF), which significantly reduces the bias on trigger words. PIGuard demonstrates state-of-the-art performance on diverse benchmarks including NotInject, surpassing the existing best model by 30.4%, offering a robust and open-source solution for detecting prompt injection attacks. The code and datasets are released at https://github.com/leolee99/PIGuard.</v>
      </c>
      <c r="D3141" s="7" t="str">
        <f>IFERROR(__xludf.DUMMYFUNCTION("""COMPUTED_VALUE"""),"Hao Li")</f>
        <v>Hao Li</v>
      </c>
      <c r="E3141" s="7" t="str">
        <f>IFERROR(__xludf.DUMMYFUNCTION("""COMPUTED_VALUE"""),"Yes")</f>
        <v>Yes</v>
      </c>
      <c r="F3141" s="7" t="str">
        <f>IFERROR(__xludf.DUMMYFUNCTION("""COMPUTED_VALUE"""),"IP-Poster")</f>
        <v>IP-Poster</v>
      </c>
      <c r="G3141" s="7" t="str">
        <f>IFERROR(__xludf.DUMMYFUNCTION("""COMPUTED_VALUE"""),"In-Person")</f>
        <v>In-Person</v>
      </c>
      <c r="H3141" s="7" t="str">
        <f>IFERROR(__xludf.DUMMYFUNCTION("""COMPUTED_VALUE"""),"Hall 4/5")</f>
        <v>Hall 4/5</v>
      </c>
      <c r="I3141" s="7" t="str">
        <f>IFERROR(__xludf.DUMMYFUNCTION("""COMPUTED_VALUE"""),"Session 2: IP-Posters ")</f>
        <v>Session 2: IP-Posters </v>
      </c>
      <c r="J3141" s="7" t="str">
        <f>IFERROR(__xludf.DUMMYFUNCTION("""COMPUTED_VALUE"""),"Poster Session 1")</f>
        <v>Poster Session 1</v>
      </c>
      <c r="K3141" s="7"/>
      <c r="L3141" s="8">
        <f>IFERROR(__xludf.DUMMYFUNCTION("""COMPUTED_VALUE"""),45866.0)</f>
        <v>45866</v>
      </c>
      <c r="M3141" s="7" t="str">
        <f>IFERROR(__xludf.DUMMYFUNCTION("""COMPUTED_VALUE"""),"11:00-12:30")</f>
        <v>11:00-12:30</v>
      </c>
      <c r="N3141" s="7"/>
    </row>
    <row r="3142">
      <c r="A3142" s="7" t="str">
        <f>IFERROR(__xludf.DUMMYFUNCTION("""COMPUTED_VALUE"""),"4549-MAIN")</f>
        <v>4549-MAIN</v>
      </c>
      <c r="B3142" s="7" t="str">
        <f>IFERROR(__xludf.DUMMYFUNCTION("""COMPUTED_VALUE"""),"CLIPErase: Efficient Unlearning of Visual-Textual Associations in CLIP")</f>
        <v>CLIPErase: Efficient Unlearning of Visual-Textual Associations in CLIP</v>
      </c>
      <c r="C3142" s="7" t="str">
        <f>IFERROR(__xludf.DUMMYFUNCTION("""COMPUTED_VALUE"""),"Machine unlearning (MU) has gained significant attention as a means to remove the influence of specific data from a trained model without requiring full retraining. While progress has been made in unimodal domains like text and image classification, unlea"&amp;"rning in multimodal models remains relatively under-explored. In this work, we address the unique challenges of unlearning in CLIP, a prominent multimodal model that aligns visual and textual representations. We introduce CLIPErase, a novel approach that "&amp;"disentangles and selectively forgets both visual and textual associations, ensuring that unlearning does not compromise model performance.
CLIPErase consists of three key modules: a Forgetting Module that disrupts the associations in the forget set, a Ret"&amp;"ention Module that preserves performance on the retain set, and a Consistency Module that maintains consistency with the original model. Extensive experiments on CIFAR-100, Flickr30K, and Conceptual 12M across five CLIP downstream tasks, as well as an eva"&amp;"luation on diffusion models, demonstrate that CLIPErase effectively removes designated associations from multimodal samples in downstream tasks, while preserving the model’s performance on the retain set after unlearning.")</f>
        <v>Machine unlearning (MU) has gained significant attention as a means to remove the influence of specific data from a trained model without requiring full retraining. While progress has been made in unimodal domains like text and image classification, unlearning in multimodal models remains relatively under-explored. In this work, we address the unique challenges of unlearning in CLIP, a prominent multimodal model that aligns visual and textual representations. We introduce CLIPErase, a novel approach that disentangles and selectively forgets both visual and textual associations, ensuring that unlearning does not compromise model performance.
CLIPErase consists of three key modules: a Forgetting Module that disrupts the associations in the forget set, a Retention Module that preserves performance on the retain set, and a Consistency Module that maintains consistency with the original model. Extensive experiments on CIFAR-100, Flickr30K, and Conceptual 12M across five CLIP downstream tasks, as well as an evaluation on diffusion models, demonstrate that CLIPErase effectively removes designated associations from multimodal samples in downstream tasks, while preserving the model’s performance on the retain set after unlearning.</v>
      </c>
      <c r="D3142" s="7" t="str">
        <f>IFERROR(__xludf.DUMMYFUNCTION("""COMPUTED_VALUE"""),"Tianyu Yang")</f>
        <v>Tianyu Yang</v>
      </c>
      <c r="E3142" s="7" t="str">
        <f>IFERROR(__xludf.DUMMYFUNCTION("""COMPUTED_VALUE"""),"Yes")</f>
        <v>Yes</v>
      </c>
      <c r="F3142" s="7" t="str">
        <f>IFERROR(__xludf.DUMMYFUNCTION("""COMPUTED_VALUE"""),"IP-Poster")</f>
        <v>IP-Poster</v>
      </c>
      <c r="G3142" s="7" t="str">
        <f>IFERROR(__xludf.DUMMYFUNCTION("""COMPUTED_VALUE"""),"In-Person")</f>
        <v>In-Person</v>
      </c>
      <c r="H3142" s="7" t="str">
        <f>IFERROR(__xludf.DUMMYFUNCTION("""COMPUTED_VALUE"""),"Hall 4/5")</f>
        <v>Hall 4/5</v>
      </c>
      <c r="I3142" s="7" t="str">
        <f>IFERROR(__xludf.DUMMYFUNCTION("""COMPUTED_VALUE"""),"Session 10: IP-Posters")</f>
        <v>Session 10: IP-Posters</v>
      </c>
      <c r="J3142" s="7" t="str">
        <f>IFERROR(__xludf.DUMMYFUNCTION("""COMPUTED_VALUE"""),"Poster Session 3")</f>
        <v>Poster Session 3</v>
      </c>
      <c r="K3142" s="7"/>
      <c r="L3142" s="8">
        <f>IFERROR(__xludf.DUMMYFUNCTION("""COMPUTED_VALUE"""),45867.0)</f>
        <v>45867</v>
      </c>
      <c r="M3142" s="7" t="str">
        <f>IFERROR(__xludf.DUMMYFUNCTION("""COMPUTED_VALUE"""),"16:00-17:30")</f>
        <v>16:00-17:30</v>
      </c>
      <c r="N3142" s="7"/>
    </row>
    <row r="3143">
      <c r="A3143" s="7" t="str">
        <f>IFERROR(__xludf.DUMMYFUNCTION("""COMPUTED_VALUE"""),"4550-MAIN")</f>
        <v>4550-MAIN</v>
      </c>
      <c r="B3143" s="7" t="str">
        <f>IFERROR(__xludf.DUMMYFUNCTION("""COMPUTED_VALUE"""),"ViGiL3D: A Linguistically Diverse Dataset for 3D Visual Grounding")</f>
        <v>ViGiL3D: A Linguistically Diverse Dataset for 3D Visual Grounding</v>
      </c>
      <c r="C3143" s="7" t="str">
        <f>IFERROR(__xludf.DUMMYFUNCTION("""COMPUTED_VALUE"""),"3D visual grounding (3DVG) involves localizing entities in a 3D scene referred to by natural language text. Such models are useful for embodied AI and scene retrieval applications, which involve searching for objects or patterns using natural language des"&amp;"criptions. While recent works have focused on LLM-based scaling of 3DVG datasets, these datasets do not capture the full range of potential prompts which could be specified in the English language. To ensure that we are scaling up and testing against a us"&amp;"eful and representative set of prompts, we propose a framework for linguistically analyzing 3DVG prompts and introduce Visual Grounding with Diverse Language in 3D (ViGiL3D), a diagnostic dataset for evaluating visual grounding methods against a diverse s"&amp;"et of language patterns. We evaluate existing open-vocabulary 3DVG methods to demonstrate that these methods are not yet proficient in understanding and identifying the targets of more challenging, out-of-distribution prompts, toward real-world applicatio"&amp;"ns.")</f>
        <v>3D visual grounding (3DVG) involves localizing entities in a 3D scene referred to by natural language text. Such models are useful for embodied AI and scene retrieval applications, which involve searching for objects or patterns using natural language descriptions. While recent works have focused on LLM-based scaling of 3DVG datasets, these datasets do not capture the full range of potential prompts which could be specified in the English language. To ensure that we are scaling up and testing against a useful and representative set of prompts, we propose a framework for linguistically analyzing 3DVG prompts and introduce Visual Grounding with Diverse Language in 3D (ViGiL3D), a diagnostic dataset for evaluating visual grounding methods against a diverse set of language patterns. We evaluate existing open-vocabulary 3DVG methods to demonstrate that these methods are not yet proficient in understanding and identifying the targets of more challenging, out-of-distribution prompts, toward real-world applications.</v>
      </c>
      <c r="D3143" s="7" t="str">
        <f>IFERROR(__xludf.DUMMYFUNCTION("""COMPUTED_VALUE"""),"Austin T. Wang")</f>
        <v>Austin T. Wang</v>
      </c>
      <c r="E3143" s="7" t="str">
        <f>IFERROR(__xludf.DUMMYFUNCTION("""COMPUTED_VALUE"""),"Yes")</f>
        <v>Yes</v>
      </c>
      <c r="F3143" s="7" t="str">
        <f>IFERROR(__xludf.DUMMYFUNCTION("""COMPUTED_VALUE"""),"IP-Poster")</f>
        <v>IP-Poster</v>
      </c>
      <c r="G3143" s="7" t="str">
        <f>IFERROR(__xludf.DUMMYFUNCTION("""COMPUTED_VALUE"""),"In-Person")</f>
        <v>In-Person</v>
      </c>
      <c r="H3143" s="7" t="str">
        <f>IFERROR(__xludf.DUMMYFUNCTION("""COMPUTED_VALUE"""),"Hall 4/5")</f>
        <v>Hall 4/5</v>
      </c>
      <c r="I3143" s="7" t="str">
        <f>IFERROR(__xludf.DUMMYFUNCTION("""COMPUTED_VALUE"""),"Session 2: IP-Posters ")</f>
        <v>Session 2: IP-Posters </v>
      </c>
      <c r="J3143" s="7" t="str">
        <f>IFERROR(__xludf.DUMMYFUNCTION("""COMPUTED_VALUE"""),"Poster Session 1")</f>
        <v>Poster Session 1</v>
      </c>
      <c r="K3143" s="7"/>
      <c r="L3143" s="8">
        <f>IFERROR(__xludf.DUMMYFUNCTION("""COMPUTED_VALUE"""),45866.0)</f>
        <v>45866</v>
      </c>
      <c r="M3143" s="7" t="str">
        <f>IFERROR(__xludf.DUMMYFUNCTION("""COMPUTED_VALUE"""),"11:00-12:30")</f>
        <v>11:00-12:30</v>
      </c>
      <c r="N3143" s="7"/>
    </row>
    <row r="3144">
      <c r="A3144" s="7" t="str">
        <f>IFERROR(__xludf.DUMMYFUNCTION("""COMPUTED_VALUE"""),"4561-MAIN")</f>
        <v>4561-MAIN</v>
      </c>
      <c r="B3144" s="7" t="str">
        <f>IFERROR(__xludf.DUMMYFUNCTION("""COMPUTED_VALUE"""),"The time scale of redundancy between prosody and linguistic context")</f>
        <v>The time scale of redundancy between prosody and linguistic context</v>
      </c>
      <c r="C3144" s="7" t="str">
        <f>IFERROR(__xludf.DUMMYFUNCTION("""COMPUTED_VALUE"""),"In spoken communication, information is transmitted not only via words, but also through a rich array of non-verbal signals, including prosody---the non-segmental auditory features of speech. Do these different communication channels carry distinct inform"&amp;"ation? Prior work has shown that the information carried by prosodic features is substantially redundant with that carried by the surrounding words. Here, we systematically examine the time scale of this relationship, studying how it varies with the lengt"&amp;"h of past and future contexts. We find that a word's prosodic features require an extended past context (3-8 words across different features) to be reliably predicted. Given that long-scale contextual information decays in memory, prosody may facilitate c"&amp;"ommunication by adding information that is locally unique. We also find that a word’s prosodic features show some redundancy with future words, but only with a short scale of 1-2 words, consistent with reports of incremental short-term planning in languag"&amp;"e production. Thus, prosody may facilitate communication by helping listeners predict upcoming material. In tandem, our results highlight potentially distinct roles that prosody plays in facilitating integration of words into past contexts and in helping "&amp;"predict upcoming words.")</f>
        <v>In spoken communication, information is transmitted not only via words, but also through a rich array of non-verbal signals, including prosody---the non-segmental auditory features of speech. Do these different communication channels carry distinct information? Prior work has shown that the information carried by prosodic features is substantially redundant with that carried by the surrounding words. Here, we systematically examine the time scale of this relationship, studying how it varies with the length of past and future contexts. We find that a word's prosodic features require an extended past context (3-8 words across different features) to be reliably predicted. Given that long-scale contextual information decays in memory, prosody may facilitate communication by adding information that is locally unique. We also find that a word’s prosodic features show some redundancy with future words, but only with a short scale of 1-2 words, consistent with reports of incremental short-term planning in language production. Thus, prosody may facilitate communication by helping listeners predict upcoming material. In tandem, our results highlight potentially distinct roles that prosody plays in facilitating integration of words into past contexts and in helping predict upcoming words.</v>
      </c>
      <c r="D3144" s="7" t="str">
        <f>IFERROR(__xludf.DUMMYFUNCTION("""COMPUTED_VALUE"""),"Tiago Pimentel")</f>
        <v>Tiago Pimentel</v>
      </c>
      <c r="E3144" s="7" t="str">
        <f>IFERROR(__xludf.DUMMYFUNCTION("""COMPUTED_VALUE"""),"Yes")</f>
        <v>Yes</v>
      </c>
      <c r="F3144" s="7" t="str">
        <f>IFERROR(__xludf.DUMMYFUNCTION("""COMPUTED_VALUE"""),"IP-Poster")</f>
        <v>IP-Poster</v>
      </c>
      <c r="G3144" s="7" t="str">
        <f>IFERROR(__xludf.DUMMYFUNCTION("""COMPUTED_VALUE"""),"In-Person")</f>
        <v>In-Person</v>
      </c>
      <c r="H3144" s="7" t="str">
        <f>IFERROR(__xludf.DUMMYFUNCTION("""COMPUTED_VALUE"""),"Hall 4/5")</f>
        <v>Hall 4/5</v>
      </c>
      <c r="I3144" s="7" t="str">
        <f>IFERROR(__xludf.DUMMYFUNCTION("""COMPUTED_VALUE"""),"Session 12: IP-Posters")</f>
        <v>Session 12: IP-Posters</v>
      </c>
      <c r="J3144" s="7" t="str">
        <f>IFERROR(__xludf.DUMMYFUNCTION("""COMPUTED_VALUE"""),"Poster Session 4")</f>
        <v>Poster Session 4</v>
      </c>
      <c r="K3144" s="7"/>
      <c r="L3144" s="8">
        <f>IFERROR(__xludf.DUMMYFUNCTION("""COMPUTED_VALUE"""),45868.0)</f>
        <v>45868</v>
      </c>
      <c r="M3144" s="7" t="str">
        <f>IFERROR(__xludf.DUMMYFUNCTION("""COMPUTED_VALUE"""),"11:00-12:30")</f>
        <v>11:00-12:30</v>
      </c>
      <c r="N3144" s="7"/>
    </row>
    <row r="3145">
      <c r="A3145" s="7" t="str">
        <f>IFERROR(__xludf.DUMMYFUNCTION("""COMPUTED_VALUE"""),"4564-MAIN")</f>
        <v>4564-MAIN</v>
      </c>
      <c r="B3145" s="7" t="str">
        <f>IFERROR(__xludf.DUMMYFUNCTION("""COMPUTED_VALUE"""),"Improving Fairness of Large Language Models in Multi-document Summarization")</f>
        <v>Improving Fairness of Large Language Models in Multi-document Summarization</v>
      </c>
      <c r="C3145" s="7" t="str">
        <f>IFERROR(__xludf.DUMMYFUNCTION("""COMPUTED_VALUE"""),"Fairness in multi-document summarization (MDS) is crucial for providing comprehensive views across documents with diverse social attribute values, which can significantly impact decision-making. For example, a summarization system that tends to overrepres"&amp;"ent negative reviews of products can mislead customers into disregarding good products. Previous works measure fairness in MDS at two levels: summary-level and corpus-level. While summary-level fairness focuses on individual summaries, corpus-level fairne"&amp;"ss focuses on a corpus of summaries. Recent methods primarily focus on summary-level fairness. We propose FairPO, a preference tuning method that focuses on both summary-level and corpus-level fairness in MDS. To improve summary-level fairness, we propose"&amp;" to generate preference pairs by perturbing document sets. To improve corpus-level fairness, we propose fairness-aware preference tuning by dynamically adjusting the weights of preference pairs. Our experiments show that FairPO outperforms strong baseline"&amp;"s while maintaining the critical qualities of summaries. The code is available at https://github.com/leehaoyuan/coverage_fairness")</f>
        <v>Fairness in multi-document summarization (MDS) is crucial for providing comprehensive views across documents with diverse social attribute values, which can significantly impact decision-making. For example, a summarization system that tends to overrepresent negative reviews of products can mislead customers into disregarding good products. Previous works measure fairness in MDS at two levels: summary-level and corpus-level. While summary-level fairness focuses on individual summaries, corpus-level fairness focuses on a corpus of summaries. Recent methods primarily focus on summary-level fairness. We propose FairPO, a preference tuning method that focuses on both summary-level and corpus-level fairness in MDS. To improve summary-level fairness, we propose to generate preference pairs by perturbing document sets. To improve corpus-level fairness, we propose fairness-aware preference tuning by dynamically adjusting the weights of preference pairs. Our experiments show that FairPO outperforms strong baselines while maintaining the critical qualities of summaries. The code is available at https://github.com/leehaoyuan/coverage_fairness</v>
      </c>
      <c r="D3145" s="7" t="str">
        <f>IFERROR(__xludf.DUMMYFUNCTION("""COMPUTED_VALUE"""),"Haoyuan Li")</f>
        <v>Haoyuan Li</v>
      </c>
      <c r="E3145" s="7" t="str">
        <f>IFERROR(__xludf.DUMMYFUNCTION("""COMPUTED_VALUE"""),"Yes")</f>
        <v>Yes</v>
      </c>
      <c r="F3145" s="7" t="str">
        <f>IFERROR(__xludf.DUMMYFUNCTION("""COMPUTED_VALUE"""),"V-Presentation")</f>
        <v>V-Presentation</v>
      </c>
      <c r="G3145" s="7" t="str">
        <f>IFERROR(__xludf.DUMMYFUNCTION("""COMPUTED_VALUE"""),"Virtual/Gather")</f>
        <v>Virtual/Gather</v>
      </c>
      <c r="H3145" s="7" t="str">
        <f>IFERROR(__xludf.DUMMYFUNCTION("""COMPUTED_VALUE"""),"Zoom")</f>
        <v>Zoom</v>
      </c>
      <c r="I3145" s="7" t="str">
        <f>IFERROR(__xludf.DUMMYFUNCTION("""COMPUTED_VALUE"""),"Session 10: V-Presenations")</f>
        <v>Session 10: V-Presenations</v>
      </c>
      <c r="J3145" s="7" t="str">
        <f>IFERROR(__xludf.DUMMYFUNCTION("""COMPUTED_VALUE"""),"Virtual Presentations 3")</f>
        <v>Virtual Presentations 3</v>
      </c>
      <c r="K3145" s="7"/>
      <c r="L3145" s="8">
        <f>IFERROR(__xludf.DUMMYFUNCTION("""COMPUTED_VALUE"""),45867.0)</f>
        <v>45867</v>
      </c>
      <c r="M3145" s="7" t="str">
        <f>IFERROR(__xludf.DUMMYFUNCTION("""COMPUTED_VALUE"""),"16:00-17:30")</f>
        <v>16:00-17:30</v>
      </c>
      <c r="N3145" s="7"/>
    </row>
    <row r="3146">
      <c r="A3146" s="7" t="str">
        <f>IFERROR(__xludf.DUMMYFUNCTION("""COMPUTED_VALUE"""),"4569-MAIN")</f>
        <v>4569-MAIN</v>
      </c>
      <c r="B3146" s="7" t="str">
        <f>IFERROR(__xludf.DUMMYFUNCTION("""COMPUTED_VALUE"""),"Basic Reading Distillation")</f>
        <v>Basic Reading Distillation</v>
      </c>
      <c r="C3146" s="7" t="str">
        <f>IFERROR(__xludf.DUMMYFUNCTION("""COMPUTED_VALUE"""),"Large language models (LLMs) have demonstrated remarkable abilities in various natural language processing areas, but they demand high computation resources which limits their deployment in real-world. Distillation is one technique to solve this problem t"&amp;"hrough either knowledge distillation or task distillation. Both distillation approaches train small models to imitate specific features of LLMs, but they all neglect basic reading education for small models on generic texts that are \emph{unrelated} to do"&amp;"wnstream tasks. In this paper, we propose basic reading distillation (BRD) which educates a small model to imitate LLMs basic reading behaviors, such as named entity recognition, question raising and answering, on each sentence. After such basic education"&amp;", we apply the small model on various tasks including language inference benchmarks and BIG-bench tasks. It shows that the small model can outperform or perform comparable to over 20x bigger LLMs. Analysis reveals that BRD effectively influences the proba"&amp;"bility distribution of the small model, and has orthogonality to either knowledge distillation or task distillation.")</f>
        <v>Large language models (LLMs) have demonstrated remarkable abilities in various natural language processing areas, but they demand high computation resources which limits their deployment in real-world. Distillation is one technique to solve this problem through either knowledge distillation or task distillation. Both distillation approaches train small models to imitate specific features of LLMs, but they all neglect basic reading education for small models on generic texts that are \emph{unrelated} to downstream tasks. In this paper, we propose basic reading distillation (BRD) which educates a small model to imitate LLMs basic reading behaviors, such as named entity recognition, question raising and answering, on each sentence. After such basic education, we apply the small model on various tasks including language inference benchmarks and BIG-bench tasks. It shows that the small model can outperform or perform comparable to over 20x bigger LLMs. Analysis reveals that BRD effectively influences the probability distribution of the small model, and has orthogonality to either knowledge distillation or task distillation.</v>
      </c>
      <c r="D3146" s="7" t="str">
        <f>IFERROR(__xludf.DUMMYFUNCTION("""COMPUTED_VALUE"""),"Zhi Zhou")</f>
        <v>Zhi Zhou</v>
      </c>
      <c r="E3146" s="7" t="str">
        <f>IFERROR(__xludf.DUMMYFUNCTION("""COMPUTED_VALUE"""),"Yes")</f>
        <v>Yes</v>
      </c>
      <c r="F3146" s="7" t="str">
        <f>IFERROR(__xludf.DUMMYFUNCTION("""COMPUTED_VALUE"""),"IP-Poster")</f>
        <v>IP-Poster</v>
      </c>
      <c r="G3146" s="7" t="str">
        <f>IFERROR(__xludf.DUMMYFUNCTION("""COMPUTED_VALUE"""),"In-Person")</f>
        <v>In-Person</v>
      </c>
      <c r="H3146" s="7" t="str">
        <f>IFERROR(__xludf.DUMMYFUNCTION("""COMPUTED_VALUE"""),"Hall 4/5")</f>
        <v>Hall 4/5</v>
      </c>
      <c r="I3146" s="7" t="str">
        <f>IFERROR(__xludf.DUMMYFUNCTION("""COMPUTED_VALUE"""),"Session 2: IP-Posters ")</f>
        <v>Session 2: IP-Posters </v>
      </c>
      <c r="J3146" s="7" t="str">
        <f>IFERROR(__xludf.DUMMYFUNCTION("""COMPUTED_VALUE"""),"Poster Session 1")</f>
        <v>Poster Session 1</v>
      </c>
      <c r="K3146" s="7"/>
      <c r="L3146" s="8">
        <f>IFERROR(__xludf.DUMMYFUNCTION("""COMPUTED_VALUE"""),45866.0)</f>
        <v>45866</v>
      </c>
      <c r="M3146" s="7" t="str">
        <f>IFERROR(__xludf.DUMMYFUNCTION("""COMPUTED_VALUE"""),"11:00-12:30")</f>
        <v>11:00-12:30</v>
      </c>
      <c r="N3146" s="7"/>
    </row>
    <row r="3147">
      <c r="A3147" s="7" t="str">
        <f>IFERROR(__xludf.DUMMYFUNCTION("""COMPUTED_VALUE"""),"4582-MAIN")</f>
        <v>4582-MAIN</v>
      </c>
      <c r="B3147" s="7" t="str">
        <f>IFERROR(__xludf.DUMMYFUNCTION("""COMPUTED_VALUE"""),"Quantized Can Still Be Calibrated: A Unified Framework to Calibration in Quantized Large Language Models")</f>
        <v>Quantized Can Still Be Calibrated: A Unified Framework to Calibration in Quantized Large Language Models</v>
      </c>
      <c r="C3147" s="7" t="str">
        <f>IFERROR(__xludf.DUMMYFUNCTION("""COMPUTED_VALUE"""),"Although weight quantization helps large language models (LLMs) in resource-constrained environments, its influence on the uncertainty calibration remains unexplored. To bridge this gap, we presents a comprehensive investigation of uncertainty calibration"&amp;" for quantized LLMs in this work. Specifically, we propose an analytic method to estimate the upper bound of calibration error (UBCE) for LLMs. Our method separately discusses the calibration error of the model's correct and incorrect predictions, indicat"&amp;"ing a theoretical improvement of calibration error caused by the weight quantization. Our study demonstrates that quantized models consistently exhibit worse calibration performance than full-precision models, supported by consistent analysis across multi"&amp;"ple LLMs and datasets. To address the calibration issues of quantized models, we propose a novel method of post calibration for recovering the calibration performance of quantized models through soft-prompt tuning. Specifically, we inject soft tokens to q"&amp;"uantized models after the embedding layers, and optimize these tokens to recover the calibration error caused by the weight quantization. Experimental results on multiple datasets demonstrate our effectiveness in improving the uncertainty calibration of q"&amp;"uantized LLMs, facilitating more reliable weight quantization in resource-constrained environments.")</f>
        <v>Although weight quantization helps large language models (LLMs) in resource-constrained environments, its influence on the uncertainty calibration remains unexplored. To bridge this gap, we presents a comprehensive investigation of uncertainty calibration for quantized LLMs in this work. Specifically, we propose an analytic method to estimate the upper bound of calibration error (UBCE) for LLMs. Our method separately discusses the calibration error of the model's correct and incorrect predictions, indicating a theoretical improvement of calibration error caused by the weight quantization. Our study demonstrates that quantized models consistently exhibit worse calibration performance than full-precision models, supported by consistent analysis across multiple LLMs and datasets. To address the calibration issues of quantized models, we propose a novel method of post calibration for recovering the calibration performance of quantized models through soft-prompt tuning. Specifically, we inject soft tokens to quantized models after the embedding layers, and optimize these tokens to recover the calibration error caused by the weight quantization. Experimental results on multiple datasets demonstrate our effectiveness in improving the uncertainty calibration of quantized LLMs, facilitating more reliable weight quantization in resource-constrained environments.</v>
      </c>
      <c r="D3147" s="7" t="str">
        <f>IFERROR(__xludf.DUMMYFUNCTION("""COMPUTED_VALUE"""),"Mingyu Zhong")</f>
        <v>Mingyu Zhong</v>
      </c>
      <c r="E3147" s="7" t="str">
        <f>IFERROR(__xludf.DUMMYFUNCTION("""COMPUTED_VALUE"""),"Yes")</f>
        <v>Yes</v>
      </c>
      <c r="F3147" s="7" t="str">
        <f>IFERROR(__xludf.DUMMYFUNCTION("""COMPUTED_VALUE"""),"V-Presentation")</f>
        <v>V-Presentation</v>
      </c>
      <c r="G3147" s="7" t="str">
        <f>IFERROR(__xludf.DUMMYFUNCTION("""COMPUTED_VALUE"""),"Virtual/Gather")</f>
        <v>Virtual/Gather</v>
      </c>
      <c r="H3147" s="7" t="str">
        <f>IFERROR(__xludf.DUMMYFUNCTION("""COMPUTED_VALUE"""),"Zoom")</f>
        <v>Zoom</v>
      </c>
      <c r="I3147" s="7" t="str">
        <f>IFERROR(__xludf.DUMMYFUNCTION("""COMPUTED_VALUE"""),"Session 10: V-Presenations")</f>
        <v>Session 10: V-Presenations</v>
      </c>
      <c r="J3147" s="7" t="str">
        <f>IFERROR(__xludf.DUMMYFUNCTION("""COMPUTED_VALUE"""),"Virtual Presentations 3")</f>
        <v>Virtual Presentations 3</v>
      </c>
      <c r="K3147" s="7"/>
      <c r="L3147" s="8">
        <f>IFERROR(__xludf.DUMMYFUNCTION("""COMPUTED_VALUE"""),45867.0)</f>
        <v>45867</v>
      </c>
      <c r="M3147" s="7" t="str">
        <f>IFERROR(__xludf.DUMMYFUNCTION("""COMPUTED_VALUE"""),"16:00-17:30")</f>
        <v>16:00-17:30</v>
      </c>
      <c r="N3147" s="7"/>
    </row>
    <row r="3148">
      <c r="A3148" s="7" t="str">
        <f>IFERROR(__xludf.DUMMYFUNCTION("""COMPUTED_VALUE"""),"4585-MAIN")</f>
        <v>4585-MAIN</v>
      </c>
      <c r="B3148" s="7" t="str">
        <f>IFERROR(__xludf.DUMMYFUNCTION("""COMPUTED_VALUE"""),"Fine-Grained Spatio-Temporal Modeling of Reading Behavior")</f>
        <v>Fine-Grained Spatio-Temporal Modeling of Reading Behavior</v>
      </c>
      <c r="C3148" s="7" t="str">
        <f>IFERROR(__xludf.DUMMYFUNCTION("""COMPUTED_VALUE"""),"Reading is a process that unfolds across space and time. Standard modeling approaches, however, overlook much of the spatio-temporal dynamics involved in reading by relying on aggregated reading measurements---typically only focusing on fixation durations"&amp;"---and employing models with strong simplifying assumptions. In this paper, we propose a generative model that captures not only how long fixations last, but also where they land and when they occur. To this end, we model reading scanpaths via two conditi"&amp;"onally independent distributions: one for fixation location and timing, and another for fixation duration.
The location (and timing) of fixation shifts, so-called saccades, are modeled using a spatio-temporal Hawkes process, which captures how each fixati"&amp;"on excites the probability of a new fixation occurring near it in time and space. Empirically, our Hawkes process model exhibits higher likelihood on held-out reading data than baselines. The duration time of fixation events is modeled as a function of fi"&amp;"xation-specific features convolved across time, thus capturing non-stationary delayed effects. We find that convolution-based approaches demonstrate weak predictive power when modeling disaggregated fixation durations. Similarly, our analysis of surprisal"&amp;" theory on disaggregated data reveals limited effectiveness in predicting both where fixations occur and how long they last.")</f>
        <v>Reading is a process that unfolds across space and time. Standard modeling approaches, however, overlook much of the spatio-temporal dynamics involved in reading by relying on aggregated reading measurements---typically only focusing on fixation durations---and employing models with strong simplifying assumptions. In this paper, we propose a generative model that captures not only how long fixations last, but also where they land and when they occur. To this end, we model reading scanpaths via two conditionally independent distributions: one for fixation location and timing, and another for fixation duration.
The location (and timing) of fixation shifts, so-called saccades, are modeled using a spatio-temporal Hawkes process, which captures how each fixation excites the probability of a new fixation occurring near it in time and space. Empirically, our Hawkes process model exhibits higher likelihood on held-out reading data than baselines. The duration time of fixation events is modeled as a function of fixation-specific features convolved across time, thus capturing non-stationary delayed effects. We find that convolution-based approaches demonstrate weak predictive power when modeling disaggregated fixation durations. Similarly, our analysis of surprisal theory on disaggregated data reveals limited effectiveness in predicting both where fixations occur and how long they last.</v>
      </c>
      <c r="D3148" s="7" t="str">
        <f>IFERROR(__xludf.DUMMYFUNCTION("""COMPUTED_VALUE"""),"Francesco Ignazio Re")</f>
        <v>Francesco Ignazio Re</v>
      </c>
      <c r="E3148" s="7" t="str">
        <f>IFERROR(__xludf.DUMMYFUNCTION("""COMPUTED_VALUE"""),"Yes")</f>
        <v>Yes</v>
      </c>
      <c r="F3148" s="7" t="str">
        <f>IFERROR(__xludf.DUMMYFUNCTION("""COMPUTED_VALUE"""),"IP-Poster")</f>
        <v>IP-Poster</v>
      </c>
      <c r="G3148" s="7" t="str">
        <f>IFERROR(__xludf.DUMMYFUNCTION("""COMPUTED_VALUE"""),"In-Person")</f>
        <v>In-Person</v>
      </c>
      <c r="H3148" s="7" t="str">
        <f>IFERROR(__xludf.DUMMYFUNCTION("""COMPUTED_VALUE"""),"Hall 4/5")</f>
        <v>Hall 4/5</v>
      </c>
      <c r="I3148" s="7" t="str">
        <f>IFERROR(__xludf.DUMMYFUNCTION("""COMPUTED_VALUE"""),"Session 12: IP-Posters")</f>
        <v>Session 12: IP-Posters</v>
      </c>
      <c r="J3148" s="7" t="str">
        <f>IFERROR(__xludf.DUMMYFUNCTION("""COMPUTED_VALUE"""),"Poster Session 4")</f>
        <v>Poster Session 4</v>
      </c>
      <c r="K3148" s="7"/>
      <c r="L3148" s="8">
        <f>IFERROR(__xludf.DUMMYFUNCTION("""COMPUTED_VALUE"""),45868.0)</f>
        <v>45868</v>
      </c>
      <c r="M3148" s="7" t="str">
        <f>IFERROR(__xludf.DUMMYFUNCTION("""COMPUTED_VALUE"""),"11:00-12:30")</f>
        <v>11:00-12:30</v>
      </c>
      <c r="N3148" s="7"/>
    </row>
    <row r="3149">
      <c r="A3149" s="7" t="str">
        <f>IFERROR(__xludf.DUMMYFUNCTION("""COMPUTED_VALUE"""),"4587-MAIN")</f>
        <v>4587-MAIN</v>
      </c>
      <c r="B3149" s="7" t="str">
        <f>IFERROR(__xludf.DUMMYFUNCTION("""COMPUTED_VALUE"""),"More is not always better? Enhancing Many-Shot In-Context Learning with Differentiated and Reweighting Objectives")</f>
        <v>More is not always better? Enhancing Many-Shot In-Context Learning with Differentiated and Reweighting Objectives</v>
      </c>
      <c r="C3149" s="7" t="str">
        <f>IFERROR(__xludf.DUMMYFUNCTION("""COMPUTED_VALUE"""),"Large language models (LLMs) excel at few-shot in-context learning (ICL) without requiring parameter updates. 
However, as ICL demonstrations increase from a few to many, performance tends to plateau and eventually decline. 
We identify two primary causes"&amp;" for this trend: the suboptimal negative log-likelihood (NLL) optimization objective and the incremental data noise. 
To address these issues, we introduce \textit{DrICL}, a novel optimization method that enhances model performance through \textit{Differe"&amp;"ntiated} and \textit{Reweighting} objectives. 
Globally, DrICL utilizes differentiated learning to optimize the NLL objective, ensuring that many-shot performance surpasses zero-shot levels. 
Locally, it dynamically adjusts the weighting of many-shot demo"&amp;"nstrations by leveraging cumulative advantages inspired by reinforcement learning, thereby mitigating the impact of noisy data.
Recognizing the lack of multi-task datasets with diverse many-shot distributions, we develop the \textit{Many-Shot ICL Benchmar"&amp;"k} (ICL-50)-a large-scale benchmark of 50 tasks that cover shot numbers from 1 to 350 within sequences of up to 8,000 tokens-for both fine-tuning and evaluation purposes.
Experimental results demonstrate that LLMs enhanced with DrICL achieve significant i"&amp;"mprovements in many-shot setups across various tasks, including both in-domain and out-of-domain scenarios.
We release the code and dataset hoping to facilitate further research in many-shot ICL\footnote{https://github.com/xiaoqzhwhu/DrICL}.")</f>
        <v>Large language models (LLMs) excel at few-shot in-context learning (ICL) without requiring parameter updates. 
However, as ICL demonstrations increase from a few to many, performance tends to plateau and eventually decline. 
We identify two primary causes for this trend: the suboptimal negative log-likelihood (NLL) optimization objective and the incremental data noise. 
To address these issues, we introduce \textit{DrICL}, a novel optimization method that enhances model performance through \textit{Differentiated} and \textit{Reweighting} objectives. 
Globally, DrICL utilizes differentiated learning to optimize the NLL objective, ensuring that many-shot performance surpasses zero-shot levels. 
Locally, it dynamically adjusts the weighting of many-shot demonstrations by leveraging cumulative advantages inspired by reinforcement learning, thereby mitigating the impact of noisy data.
Recognizing the lack of multi-task datasets with diverse many-shot distributions, we develop the \textit{Many-Shot ICL Benchmark} (ICL-50)-a large-scale benchmark of 50 tasks that cover shot numbers from 1 to 350 within sequences of up to 8,000 tokens-for both fine-tuning and evaluation purposes.
Experimental results demonstrate that LLMs enhanced with DrICL achieve significant improvements in many-shot setups across various tasks, including both in-domain and out-of-domain scenarios.
We release the code and dataset hoping to facilitate further research in many-shot ICL\footnote{https://github.com/xiaoqzhwhu/DrICL}.</v>
      </c>
      <c r="D3149" s="7" t="str">
        <f>IFERROR(__xludf.DUMMYFUNCTION("""COMPUTED_VALUE"""),"Yuhan Liu")</f>
        <v>Yuhan Liu</v>
      </c>
      <c r="E3149" s="7" t="str">
        <f>IFERROR(__xludf.DUMMYFUNCTION("""COMPUTED_VALUE"""),"Yes")</f>
        <v>Yes</v>
      </c>
      <c r="F3149" s="7" t="str">
        <f>IFERROR(__xludf.DUMMYFUNCTION("""COMPUTED_VALUE"""),"IP-Poster")</f>
        <v>IP-Poster</v>
      </c>
      <c r="G3149" s="7" t="str">
        <f>IFERROR(__xludf.DUMMYFUNCTION("""COMPUTED_VALUE"""),"In-Person")</f>
        <v>In-Person</v>
      </c>
      <c r="H3149" s="7" t="str">
        <f>IFERROR(__xludf.DUMMYFUNCTION("""COMPUTED_VALUE"""),"Hall 4/5")</f>
        <v>Hall 4/5</v>
      </c>
      <c r="I3149" s="7" t="str">
        <f>IFERROR(__xludf.DUMMYFUNCTION("""COMPUTED_VALUE"""),"Session 12: IP-Posters")</f>
        <v>Session 12: IP-Posters</v>
      </c>
      <c r="J3149" s="7" t="str">
        <f>IFERROR(__xludf.DUMMYFUNCTION("""COMPUTED_VALUE"""),"Poster Session 4")</f>
        <v>Poster Session 4</v>
      </c>
      <c r="K3149" s="7"/>
      <c r="L3149" s="8">
        <f>IFERROR(__xludf.DUMMYFUNCTION("""COMPUTED_VALUE"""),45868.0)</f>
        <v>45868</v>
      </c>
      <c r="M3149" s="7" t="str">
        <f>IFERROR(__xludf.DUMMYFUNCTION("""COMPUTED_VALUE"""),"11:00-12:30")</f>
        <v>11:00-12:30</v>
      </c>
      <c r="N3149" s="7"/>
    </row>
    <row r="3150">
      <c r="A3150" s="7" t="str">
        <f>IFERROR(__xludf.DUMMYFUNCTION("""COMPUTED_VALUE"""),"4593-MAIN")</f>
        <v>4593-MAIN</v>
      </c>
      <c r="B3150" s="7" t="str">
        <f>IFERROR(__xludf.DUMMYFUNCTION("""COMPUTED_VALUE"""),"Astute RAG: Overcoming Imperfect Retrieval Augmentation and Knowledge Conflicts for Large Language Models")</f>
        <v>Astute RAG: Overcoming Imperfect Retrieval Augmentation and Knowledge Conflicts for Large Language Models</v>
      </c>
      <c r="C3150" s="7" t="str">
        <f>IFERROR(__xludf.DUMMYFUNCTION("""COMPUTED_VALUE"""),"Retrieval augmented generation (RAG), while effectively integrating external knowledge to address the inherent limitations of large language models (LLMs), can be hindered by imperfect retrieval that contain irrelevant, misleading, or even malicious infor"&amp;"mation. Previous studies have rarely connected the behavior of RAG through joint analysis, particularly regarding error propagation coming from imperfect retrieval and potential conflicts between LLMs' internal knowledge and external sources. Through comp"&amp;"rehensive and controlled analyses under realistic conditions, we find that imperfect retrieval augmentation is inevitable, common, and harmful. We identify the knowledge conflicts between LLM-internal and external knowledge from retrieval as a bottleneck "&amp;"to overcome imperfect retrieval in the post-retrieval stage of RAG. To address this, we propose Astute RAG, a novel RAG approach designed to be resilient to imperfect retrieval augmentation. It adaptively elicits essential information from LLMs' internal "&amp;"knowledge, iteratively consolidates internal and external knowledge with source-awareness, and finalizes the answer according to information reliability. Our experiments with Gemini and Claude demonstrate the superior performance of Astute RAG compared to"&amp;" previous robustness-enhanced RAG approaches. Specifically, Astute RAG is the only RAG method that achieves performance comparable to or even surpassing conventional use of LLMs under the worst-case scenario. Further analysis reveals the effectiveness of "&amp;"Astute RAG in resolving knowledge conflicts, thereby improving the trustworthiness of RAG.")</f>
        <v>Retrieval augmented generation (RAG), while effectively integrating external knowledge to address the inherent limitations of large language models (LLMs), can be hindered by imperfect retrieval that contain irrelevant, misleading, or even malicious information. Previous studies have rarely connected the behavior of RAG through joint analysis, particularly regarding error propagation coming from imperfect retrieval and potential conflicts between LLMs' internal knowledge and external sources. Through comprehensive and controlled analyses under realistic conditions, we find that imperfect retrieval augmentation is inevitable, common, and harmful. We identify the knowledge conflicts between LLM-internal and external knowledge from retrieval as a bottleneck to overcome imperfect retrieval in the post-retrieval stage of RAG. To address this, we propose Astute RAG, a novel RAG approach designed to be resilient to imperfect retrieval augmentation. It adaptively elicits essential information from LLMs' internal knowledge, iteratively consolidates internal and external knowledge with source-awareness, and finalizes the answer according to information reliability. Our experiments with Gemini and Claude demonstrate the superior performance of Astute RAG compared to previous robustness-enhanced RAG approaches. Specifically, Astute RAG is the only RAG method that achieves performance comparable to or even surpassing conventional use of LLMs under the worst-case scenario. Further analysis reveals the effectiveness of Astute RAG in resolving knowledge conflicts, thereby improving the trustworthiness of RAG.</v>
      </c>
      <c r="D3150" s="7" t="str">
        <f>IFERROR(__xludf.DUMMYFUNCTION("""COMPUTED_VALUE"""),"Fei Wang")</f>
        <v>Fei Wang</v>
      </c>
      <c r="E3150" s="7" t="str">
        <f>IFERROR(__xludf.DUMMYFUNCTION("""COMPUTED_VALUE"""),"Yes")</f>
        <v>Yes</v>
      </c>
      <c r="F3150" s="7" t="str">
        <f>IFERROR(__xludf.DUMMYFUNCTION("""COMPUTED_VALUE"""),"V-Presentation")</f>
        <v>V-Presentation</v>
      </c>
      <c r="G3150" s="7" t="str">
        <f>IFERROR(__xludf.DUMMYFUNCTION("""COMPUTED_VALUE"""),"Virtual/Gather")</f>
        <v>Virtual/Gather</v>
      </c>
      <c r="H3150" s="7" t="str">
        <f>IFERROR(__xludf.DUMMYFUNCTION("""COMPUTED_VALUE"""),"Zoom")</f>
        <v>Zoom</v>
      </c>
      <c r="I3150" s="7" t="str">
        <f>IFERROR(__xludf.DUMMYFUNCTION("""COMPUTED_VALUE"""),"Session 10: V-Presenations")</f>
        <v>Session 10: V-Presenations</v>
      </c>
      <c r="J3150" s="7" t="str">
        <f>IFERROR(__xludf.DUMMYFUNCTION("""COMPUTED_VALUE"""),"Virtual Presentations 3")</f>
        <v>Virtual Presentations 3</v>
      </c>
      <c r="K3150" s="7"/>
      <c r="L3150" s="8">
        <f>IFERROR(__xludf.DUMMYFUNCTION("""COMPUTED_VALUE"""),45867.0)</f>
        <v>45867</v>
      </c>
      <c r="M3150" s="7" t="str">
        <f>IFERROR(__xludf.DUMMYFUNCTION("""COMPUTED_VALUE"""),"16:00-17:30")</f>
        <v>16:00-17:30</v>
      </c>
      <c r="N3150" s="7"/>
    </row>
    <row r="3151">
      <c r="A3151" s="7" t="str">
        <f>IFERROR(__xludf.DUMMYFUNCTION("""COMPUTED_VALUE"""),"4596-MAIN")</f>
        <v>4596-MAIN</v>
      </c>
      <c r="B3151" s="7" t="str">
        <f>IFERROR(__xludf.DUMMYFUNCTION("""COMPUTED_VALUE"""),"SubLIME: Subset Selection via Rank Correlation Prediction for Data-Efficient LLM Evaluation")</f>
        <v>SubLIME: Subset Selection via Rank Correlation Prediction for Data-Efficient LLM Evaluation</v>
      </c>
      <c r="C3151" s="7" t="str">
        <f>IFERROR(__xludf.DUMMYFUNCTION("""COMPUTED_VALUE"""),"The rapid expansion of Large Language Models (LLMs) and natural language processing datasets has made exhaustive benchmark evaluations computationally prohibitive. Inspired by high-stakes competitions like the International Mathematical Olympiad-where a f"&amp;"ew well-chosen problems suffice to differentiate top performers—we present SubLIME, which reduces evaluation costs by 80% to 99% while preserving ranking fidelity. It trains a Rank Correlation Prediction (RCP) model that combines limited performance data "&amp;"from only 5-20 anchor LLMs with dataset intrinsic metrics - Difficulty, Quality, and Distributional Dispersion-to predict how closely a candidate subset reflects full-benchmark rankings. Guided by these predictions, SubLIME selects a ``winning'' subset (1"&amp;"-20% of full set data) for evaluating new LLMs, preserving global rankings significant better than other data-efficient methods across ten diverse benchmarks.")</f>
        <v>The rapid expansion of Large Language Models (LLMs) and natural language processing datasets has made exhaustive benchmark evaluations computationally prohibitive. Inspired by high-stakes competitions like the International Mathematical Olympiad-where a few well-chosen problems suffice to differentiate top performers—we present SubLIME, which reduces evaluation costs by 80% to 99% while preserving ranking fidelity. It trains a Rank Correlation Prediction (RCP) model that combines limited performance data from only 5-20 anchor LLMs with dataset intrinsic metrics - Difficulty, Quality, and Distributional Dispersion-to predict how closely a candidate subset reflects full-benchmark rankings. Guided by these predictions, SubLIME selects a ``winning'' subset (1-20% of full set data) for evaluating new LLMs, preserving global rankings significant better than other data-efficient methods across ten diverse benchmarks.</v>
      </c>
      <c r="D3151" s="7" t="str">
        <f>IFERROR(__xludf.DUMMYFUNCTION("""COMPUTED_VALUE"""),"Gayathri Saranathan, Cong Xu")</f>
        <v>Gayathri Saranathan, Cong Xu</v>
      </c>
      <c r="E3151" s="7" t="str">
        <f>IFERROR(__xludf.DUMMYFUNCTION("""COMPUTED_VALUE"""),"Yes")</f>
        <v>Yes</v>
      </c>
      <c r="F3151" s="7" t="str">
        <f>IFERROR(__xludf.DUMMYFUNCTION("""COMPUTED_VALUE"""),"IP-Oral")</f>
        <v>IP-Oral</v>
      </c>
      <c r="G3151" s="7" t="str">
        <f>IFERROR(__xludf.DUMMYFUNCTION("""COMPUTED_VALUE"""),"In-Person")</f>
        <v>In-Person</v>
      </c>
      <c r="H3151" s="7" t="str">
        <f>IFERROR(__xludf.DUMMYFUNCTION("""COMPUTED_VALUE"""),"Hall A ")</f>
        <v>Hall A </v>
      </c>
      <c r="I3151" s="7" t="str">
        <f>IFERROR(__xludf.DUMMYFUNCTION("""COMPUTED_VALUE"""),"Session 11: IP-Orals ")</f>
        <v>Session 11: IP-Orals </v>
      </c>
      <c r="J3151" s="7" t="str">
        <f>IFERROR(__xludf.DUMMYFUNCTION("""COMPUTED_VALUE"""),"Panel 1: Generalisation of NLP models ")</f>
        <v>Panel 1: Generalisation of NLP models </v>
      </c>
      <c r="K3151" s="7"/>
      <c r="L3151" s="8">
        <f>IFERROR(__xludf.DUMMYFUNCTION("""COMPUTED_VALUE"""),45868.0)</f>
        <v>45868</v>
      </c>
      <c r="M3151" s="7" t="str">
        <f>IFERROR(__xludf.DUMMYFUNCTION("""COMPUTED_VALUE"""),"09:00-10:30")</f>
        <v>09:00-10:30</v>
      </c>
      <c r="N3151" s="7">
        <f>IFERROR(__xludf.DUMMYFUNCTION("""COMPUTED_VALUE"""),3.0)</f>
        <v>3</v>
      </c>
    </row>
    <row r="3152">
      <c r="A3152" s="7" t="str">
        <f>IFERROR(__xludf.DUMMYFUNCTION("""COMPUTED_VALUE"""),"4599-MAIN")</f>
        <v>4599-MAIN</v>
      </c>
      <c r="B3152" s="7" t="str">
        <f>IFERROR(__xludf.DUMMYFUNCTION("""COMPUTED_VALUE"""),"M3GQA: A Multi-Entity Multi-Hop Multi-Setting Graph Question Answering Benchmark")</f>
        <v>M3GQA: A Multi-Entity Multi-Hop Multi-Setting Graph Question Answering Benchmark</v>
      </c>
      <c r="C3152" s="7" t="str">
        <f>IFERROR(__xludf.DUMMYFUNCTION("""COMPUTED_VALUE"""),"Recently, GraphRAG systems have achieved remarkable progress in enhancing the performance and reliability of large language models (LLMs). However, most previous benchmarks are template-based and primarily focus on few-entity queries, which are monotypic "&amp;"and simplistic, failing to offer comprehensive and robust assessments. Besides, the lack of ground-truth reasoning paths also hinders the assessments of different components in GraphRAG systems. To address these limitations, we propose $\text{M}^3\text{GQ"&amp;"A}$, a complex, diverse, and high-quality GraphRAG benchmark focusing on multi-entity queries, with six distinct settings for comprehensive evaluation. In order to construct diverse data with semantically correct ground-truth reasoning paths, we introduce"&amp;" a novel reasoning-driven four-step data construction method, including tree sampling, reasoning path backtracking, query creation, and multi-stage refinement and filtering. Extensive experiments demonstrate that $\text{M}^3\text{GQA}$ effectively reflect"&amp;"s the capabilities of GraphRAG methods, offering valuable insights into the model performance and reliability. By pushing the boundaries of current methods, $\text{M}^3\text{GQA}$ establishes a comprehensive, robust, and reliable benchmark for advancing G"&amp;"raphRAG research.")</f>
        <v>Recently, GraphRAG systems have achieved remarkable progress in enhancing the performance and reliability of large language models (LLMs). However, most previous benchmarks are template-based and primarily focus on few-entity queries, which are monotypic and simplistic, failing to offer comprehensive and robust assessments. Besides, the lack of ground-truth reasoning paths also hinders the assessments of different components in GraphRAG systems. To address these limitations, we propose $\text{M}^3\text{GQA}$, a complex, diverse, and high-quality GraphRAG benchmark focusing on multi-entity queries, with six distinct settings for comprehensive evaluation. In order to construct diverse data with semantically correct ground-truth reasoning paths, we introduce a novel reasoning-driven four-step data construction method, including tree sampling, reasoning path backtracking, query creation, and multi-stage refinement and filtering. Extensive experiments demonstrate that $\text{M}^3\text{GQA}$ effectively reflects the capabilities of GraphRAG methods, offering valuable insights into the model performance and reliability. By pushing the boundaries of current methods, $\text{M}^3\text{GQA}$ establishes a comprehensive, robust, and reliable benchmark for advancing GraphRAG research.</v>
      </c>
      <c r="D3152" s="7" t="str">
        <f>IFERROR(__xludf.DUMMYFUNCTION("""COMPUTED_VALUE"""),"Boci Peng")</f>
        <v>Boci Peng</v>
      </c>
      <c r="E3152" s="7" t="str">
        <f>IFERROR(__xludf.DUMMYFUNCTION("""COMPUTED_VALUE"""),"Yes")</f>
        <v>Yes</v>
      </c>
      <c r="F3152" s="7" t="str">
        <f>IFERROR(__xludf.DUMMYFUNCTION("""COMPUTED_VALUE"""),"V-Presentation")</f>
        <v>V-Presentation</v>
      </c>
      <c r="G3152" s="7" t="str">
        <f>IFERROR(__xludf.DUMMYFUNCTION("""COMPUTED_VALUE"""),"Virtual/Gather")</f>
        <v>Virtual/Gather</v>
      </c>
      <c r="H3152" s="7" t="str">
        <f>IFERROR(__xludf.DUMMYFUNCTION("""COMPUTED_VALUE"""),"Zoom")</f>
        <v>Zoom</v>
      </c>
      <c r="I3152" s="7" t="str">
        <f>IFERROR(__xludf.DUMMYFUNCTION("""COMPUTED_VALUE"""),"Session 10: V-Presenations")</f>
        <v>Session 10: V-Presenations</v>
      </c>
      <c r="J3152" s="7" t="str">
        <f>IFERROR(__xludf.DUMMYFUNCTION("""COMPUTED_VALUE"""),"Virtual Presentations 3")</f>
        <v>Virtual Presentations 3</v>
      </c>
      <c r="K3152" s="7"/>
      <c r="L3152" s="8">
        <f>IFERROR(__xludf.DUMMYFUNCTION("""COMPUTED_VALUE"""),45867.0)</f>
        <v>45867</v>
      </c>
      <c r="M3152" s="7" t="str">
        <f>IFERROR(__xludf.DUMMYFUNCTION("""COMPUTED_VALUE"""),"16:00-17:30")</f>
        <v>16:00-17:30</v>
      </c>
      <c r="N3152" s="7"/>
    </row>
    <row r="3153">
      <c r="A3153" s="7" t="str">
        <f>IFERROR(__xludf.DUMMYFUNCTION("""COMPUTED_VALUE"""),"4605-MAIN")</f>
        <v>4605-MAIN</v>
      </c>
      <c r="B3153" s="7" t="str">
        <f>IFERROR(__xludf.DUMMYFUNCTION("""COMPUTED_VALUE"""),"LSSF: Safety Alignment for Large Language Models through Low-Rank Safety Subspace Fusion")</f>
        <v>LSSF: Safety Alignment for Large Language Models through Low-Rank Safety Subspace Fusion</v>
      </c>
      <c r="C3153" s="7" t="str">
        <f>IFERROR(__xludf.DUMMYFUNCTION("""COMPUTED_VALUE"""),"The safety mechanisms of large language models (LLMs) exhibit notable fragility, as even fine-tuning on datasets without harmful content may still undermine their safety capabilities. Meanwhile, existing safety alignment methods predominantly rely on the "&amp;"fine-tuning process, which inadvertently leads to the increased complexity and computational resources required. To address these issues, we introduce LSSF, a novel safety re-alignment framework with \underline{L}ow-Rank \underline{S}afety \underline{S}ub"&amp;"space \underline{F}usison. Our proposed method exploits the low-rank characteristics of safety information in LLMs by constructing a low-rank projection matrix to extract the principal components of safety vectors. Notably, this projection matrix represen"&amp;"ts the low-rank safety subspace of the LLMs, which we have observed to remain stable during fine-tuning process and is isolated from the model's general capabilities. These principal components are used to effectively restore safety alignment when combine"&amp;"d with fine-tuned LLMs through linear arithmetic. Additionally, to account for the varying encoding densities of safety information across different layers of LLMs, we propose a novel metric called safety singular value entropy. This metric quantifies the"&amp;" encoding density and allows for the dynamic computation of the safety-critical rank for each safety vector. Extensive experiments demonstrate that our proposed post-hoc alignment method can effectively restore the safety alignment of fine-tuned models wi"&amp;"th minimal impact on their performance on downstream tasks.")</f>
        <v>The safety mechanisms of large language models (LLMs) exhibit notable fragility, as even fine-tuning on datasets without harmful content may still undermine their safety capabilities. Meanwhile, existing safety alignment methods predominantly rely on the fine-tuning process, which inadvertently leads to the increased complexity and computational resources required. To address these issues, we introduce LSSF, a novel safety re-alignment framework with \underline{L}ow-Rank \underline{S}afety \underline{S}ubspace \underline{F}usison. Our proposed method exploits the low-rank characteristics of safety information in LLMs by constructing a low-rank projection matrix to extract the principal components of safety vectors. Notably, this projection matrix represents the low-rank safety subspace of the LLMs, which we have observed to remain stable during fine-tuning process and is isolated from the model's general capabilities. These principal components are used to effectively restore safety alignment when combined with fine-tuned LLMs through linear arithmetic. Additionally, to account for the varying encoding densities of safety information across different layers of LLMs, we propose a novel metric called safety singular value entropy. This metric quantifies the encoding density and allows for the dynamic computation of the safety-critical rank for each safety vector. Extensive experiments demonstrate that our proposed post-hoc alignment method can effectively restore the safety alignment of fine-tuned models with minimal impact on their performance on downstream tasks.</v>
      </c>
      <c r="D3153" s="7" t="str">
        <f>IFERROR(__xludf.DUMMYFUNCTION("""COMPUTED_VALUE"""),"Guanghao Zhou")</f>
        <v>Guanghao Zhou</v>
      </c>
      <c r="E3153" s="7" t="str">
        <f>IFERROR(__xludf.DUMMYFUNCTION("""COMPUTED_VALUE"""),"Yes")</f>
        <v>Yes</v>
      </c>
      <c r="F3153" s="7" t="str">
        <f>IFERROR(__xludf.DUMMYFUNCTION("""COMPUTED_VALUE"""),"IP-Poster")</f>
        <v>IP-Poster</v>
      </c>
      <c r="G3153" s="7" t="str">
        <f>IFERROR(__xludf.DUMMYFUNCTION("""COMPUTED_VALUE"""),"In-Person")</f>
        <v>In-Person</v>
      </c>
      <c r="H3153" s="7" t="str">
        <f>IFERROR(__xludf.DUMMYFUNCTION("""COMPUTED_VALUE"""),"Hall 4/5")</f>
        <v>Hall 4/5</v>
      </c>
      <c r="I3153" s="7" t="str">
        <f>IFERROR(__xludf.DUMMYFUNCTION("""COMPUTED_VALUE"""),"Session 7: IP-Posters")</f>
        <v>Session 7: IP-Posters</v>
      </c>
      <c r="J3153" s="7" t="str">
        <f>IFERROR(__xludf.DUMMYFUNCTION("""COMPUTED_VALUE"""),"Poster Session 2")</f>
        <v>Poster Session 2</v>
      </c>
      <c r="K3153" s="7"/>
      <c r="L3153" s="8">
        <f>IFERROR(__xludf.DUMMYFUNCTION("""COMPUTED_VALUE"""),45867.0)</f>
        <v>45867</v>
      </c>
      <c r="M3153" s="7" t="str">
        <f>IFERROR(__xludf.DUMMYFUNCTION("""COMPUTED_VALUE"""),"10:30-12:00")</f>
        <v>10:30-12:00</v>
      </c>
      <c r="N3153" s="7"/>
    </row>
    <row r="3154">
      <c r="A3154" s="7" t="str">
        <f>IFERROR(__xludf.DUMMYFUNCTION("""COMPUTED_VALUE"""),"4608-MAIN")</f>
        <v>4608-MAIN</v>
      </c>
      <c r="B3154" s="7" t="str">
        <f>IFERROR(__xludf.DUMMYFUNCTION("""COMPUTED_VALUE"""),"Should I Believe in What Medical AI Says? A Chinese Benchmark for Medication Based on Knowledge and Reasoning")</f>
        <v>Should I Believe in What Medical AI Says? A Chinese Benchmark for Medication Based on Knowledge and Reasoning</v>
      </c>
      <c r="C3154" s="7" t="str">
        <f>IFERROR(__xludf.DUMMYFUNCTION("""COMPUTED_VALUE"""),"Large language models (LLMs) show potential in healthcare but often generate hallucinations, especially when handling unfamiliar information. In medication, a systematic benchmark to evaluate model capabilities is lacking, which is critical given the high"&amp;"-risk nature of medical information. This paper introduces a Chinese benchmark aimed at assessing models in medication tasks, focusing on knowledge and reasoning across six datasets: indication, dosage and administration, contraindicated population, mecha"&amp;"nisms of action, drug recommendation, and drug interaction. We evaluate eight closed-source and five open-source models to identify knowledge boundaries, providing the first systematic analysis of limitations and risks in proprietary medical models.")</f>
        <v>Large language models (LLMs) show potential in healthcare but often generate hallucinations, especially when handling unfamiliar information. In medication, a systematic benchmark to evaluate model capabilities is lacking, which is critical given the high-risk nature of medical information. This paper introduces a Chinese benchmark aimed at assessing models in medication tasks, focusing on knowledge and reasoning across six datasets: indication, dosage and administration, contraindicated population, mechanisms of action, drug recommendation, and drug interaction. We evaluate eight closed-source and five open-source models to identify knowledge boundaries, providing the first systematic analysis of limitations and risks in proprietary medical models.</v>
      </c>
      <c r="D3154" s="7" t="str">
        <f>IFERROR(__xludf.DUMMYFUNCTION("""COMPUTED_VALUE"""),"Yangmin Huang")</f>
        <v>Yangmin Huang</v>
      </c>
      <c r="E3154" s="7" t="str">
        <f>IFERROR(__xludf.DUMMYFUNCTION("""COMPUTED_VALUE"""),"Yes")</f>
        <v>Yes</v>
      </c>
      <c r="F3154" s="7" t="str">
        <f>IFERROR(__xludf.DUMMYFUNCTION("""COMPUTED_VALUE"""),"V-Presentation")</f>
        <v>V-Presentation</v>
      </c>
      <c r="G3154" s="7" t="str">
        <f>IFERROR(__xludf.DUMMYFUNCTION("""COMPUTED_VALUE"""),"Virtual/Gather")</f>
        <v>Virtual/Gather</v>
      </c>
      <c r="H3154" s="7" t="str">
        <f>IFERROR(__xludf.DUMMYFUNCTION("""COMPUTED_VALUE"""),"Zoom")</f>
        <v>Zoom</v>
      </c>
      <c r="I3154" s="7" t="str">
        <f>IFERROR(__xludf.DUMMYFUNCTION("""COMPUTED_VALUE"""),"Session 12: V-Presentations")</f>
        <v>Session 12: V-Presentations</v>
      </c>
      <c r="J3154" s="7" t="str">
        <f>IFERROR(__xludf.DUMMYFUNCTION("""COMPUTED_VALUE"""),"Virtual Presentations 4")</f>
        <v>Virtual Presentations 4</v>
      </c>
      <c r="K3154" s="7"/>
      <c r="L3154" s="8">
        <f>IFERROR(__xludf.DUMMYFUNCTION("""COMPUTED_VALUE"""),45868.0)</f>
        <v>45868</v>
      </c>
      <c r="M3154" s="7" t="str">
        <f>IFERROR(__xludf.DUMMYFUNCTION("""COMPUTED_VALUE"""),"11:00-12:30")</f>
        <v>11:00-12:30</v>
      </c>
      <c r="N3154" s="7"/>
    </row>
    <row r="3155">
      <c r="A3155" s="7" t="str">
        <f>IFERROR(__xludf.DUMMYFUNCTION("""COMPUTED_VALUE"""),"4625-MAIN")</f>
        <v>4625-MAIN</v>
      </c>
      <c r="B3155" s="7" t="str">
        <f>IFERROR(__xludf.DUMMYFUNCTION("""COMPUTED_VALUE"""),"ETF: An Entity Tracing Framework for Hallucination Detection in Code Summaries")</f>
        <v>ETF: An Entity Tracing Framework for Hallucination Detection in Code Summaries</v>
      </c>
      <c r="C3155" s="7" t="str">
        <f>IFERROR(__xludf.DUMMYFUNCTION("""COMPUTED_VALUE"""),"Recent advancements in large language models (LLMs) have significantly enhanced their ability to understand both natural language and code, driving their use in tasks like natural language-to-code (NL2Code) and code summarisation. However, LLMs are prone "&amp;"to hallucination—outputs that stray from intended meanings. Detecting hallucinations in code summarisation is especially difficult due to the complex interplay between programming and natural languages. We introduce a first-of-its-kind dataset, CodeSumEva"&amp;"l, with $\sim$10K samples, curated specifically for hallucination detection in code summarisation. We further propose a novel Entity Tracing Framework (ETF) that a) utilises static program analysis to identify code entities from the program and b) uses LL"&amp;"Ms to map and verify these entities and their intents within generated code summaries. Our experimental analysis demonstrates the framework’s effectiveness, leading to a 73\% F1 score.  The proposed approach provides a method for detecting hallucinations "&amp;"by tracing entities from the summary to the code, allowing us to evaluate summary accuracy and localise the error within the summary.")</f>
        <v>Recent advancements in large language models (LLMs) have significantly enhanced their ability to understand both natural language and code, driving their use in tasks like natural language-to-code (NL2Code) and code summarisation. However, LLMs are prone to hallucination—outputs that stray from intended meanings. Detecting hallucinations in code summarisation is especially difficult due to the complex interplay between programming and natural languages. We introduce a first-of-its-kind dataset, CodeSumEval, with $\sim$10K samples, curated specifically for hallucination detection in code summarisation. We further propose a novel Entity Tracing Framework (ETF) that a) utilises static program analysis to identify code entities from the program and b) uses LLMs to map and verify these entities and their intents within generated code summaries. Our experimental analysis demonstrates the framework’s effectiveness, leading to a 73\% F1 score.  The proposed approach provides a method for detecting hallucinations by tracing entities from the summary to the code, allowing us to evaluate summary accuracy and localise the error within the summary.</v>
      </c>
      <c r="D3155" s="7" t="str">
        <f>IFERROR(__xludf.DUMMYFUNCTION("""COMPUTED_VALUE"""),"Vitobha Munigala")</f>
        <v>Vitobha Munigala</v>
      </c>
      <c r="E3155" s="7" t="str">
        <f>IFERROR(__xludf.DUMMYFUNCTION("""COMPUTED_VALUE"""),"Yes")</f>
        <v>Yes</v>
      </c>
      <c r="F3155" s="7" t="str">
        <f>IFERROR(__xludf.DUMMYFUNCTION("""COMPUTED_VALUE"""),"IP-Poster")</f>
        <v>IP-Poster</v>
      </c>
      <c r="G3155" s="7" t="str">
        <f>IFERROR(__xludf.DUMMYFUNCTION("""COMPUTED_VALUE"""),"In-Person")</f>
        <v>In-Person</v>
      </c>
      <c r="H3155" s="7" t="str">
        <f>IFERROR(__xludf.DUMMYFUNCTION("""COMPUTED_VALUE"""),"Hall 4/5")</f>
        <v>Hall 4/5</v>
      </c>
      <c r="I3155" s="7" t="str">
        <f>IFERROR(__xludf.DUMMYFUNCTION("""COMPUTED_VALUE"""),"Session 7: IP-Posters")</f>
        <v>Session 7: IP-Posters</v>
      </c>
      <c r="J3155" s="7" t="str">
        <f>IFERROR(__xludf.DUMMYFUNCTION("""COMPUTED_VALUE"""),"Poster Session 2")</f>
        <v>Poster Session 2</v>
      </c>
      <c r="K3155" s="7"/>
      <c r="L3155" s="8">
        <f>IFERROR(__xludf.DUMMYFUNCTION("""COMPUTED_VALUE"""),45867.0)</f>
        <v>45867</v>
      </c>
      <c r="M3155" s="7" t="str">
        <f>IFERROR(__xludf.DUMMYFUNCTION("""COMPUTED_VALUE"""),"10:30-12:00")</f>
        <v>10:30-12:00</v>
      </c>
      <c r="N3155" s="7"/>
    </row>
    <row r="3156">
      <c r="A3156" s="7" t="str">
        <f>IFERROR(__xludf.DUMMYFUNCTION("""COMPUTED_VALUE"""),"4627-MAIN")</f>
        <v>4627-MAIN</v>
      </c>
      <c r="B3156" s="7" t="str">
        <f>IFERROR(__xludf.DUMMYFUNCTION("""COMPUTED_VALUE"""),"Meta-Tool: Unleash Open-World Function Calling Capabilities of General-Purpose Large Language Models")</f>
        <v>Meta-Tool: Unleash Open-World Function Calling Capabilities of General-Purpose Large Language Models</v>
      </c>
      <c r="C3156" s="7" t="str">
        <f>IFERROR(__xludf.DUMMYFUNCTION("""COMPUTED_VALUE"""),"Large language models (LLMs) have showcased remarkable capabilities as autonomous agents when augmented with external tools. Equipped with fixed tool sets, LLMs struggle with addressing diverse user inquiries in open-world tasks. To evaluate and boost the"&amp;" performance of LLMs in dealing with complex demands in the real-world, we propose open-world function calling, where LLMs need to retrieve suitable tools from a pre-defined external tool library and use retrieved tools to resolve the user's problem. We i"&amp;"ntroduce Meta-Tool, a versatile and plug-and-play tool retrieval system as the access of LLMs to external tool library. Drawing inspiration from the myriad of enhanced approaches associated with Retrieval-Augmented Generation (RAG), Meta-Tool employs a \t"&amp;"extit{hypothesize-retrieve-invoke} framework. We further propose Meta-Bench, a comprehensive benchmark for evaluating LLMs in open-world function calling and associated tasks. Meta-Bench encompasses $2,800$ dialogues and $7,361$ tools, spanning ten distin"&amp;"ct scenarios to provide robust and diverse test categories. In conjunction, we present MT-LLaMA, a finetuned version of LLaMA-3.1, which exhibits remarkable performance improvements. Our empirical experiments reveal that Meta-Tool significantly enhances t"&amp;"he ability of advanced LLMs to retrieve and leverage the most suitable tools compared to previous tool retrieval methods. Moreover, our fine-tuning enables even smaller-sized LLMs to achieve comparable even exceeding results to GPT-4o. Both the benchmark "&amp;"and the model are made publicly available at https://github.com/qinshengqian/Meta-Tool to foster further research and development in the field.")</f>
        <v>Large language models (LLMs) have showcased remarkable capabilities as autonomous agents when augmented with external tools. Equipped with fixed tool sets, LLMs struggle with addressing diverse user inquiries in open-world tasks. To evaluate and boost the performance of LLMs in dealing with complex demands in the real-world, we propose open-world function calling, where LLMs need to retrieve suitable tools from a pre-defined external tool library and use retrieved tools to resolve the user's problem. We introduce Meta-Tool, a versatile and plug-and-play tool retrieval system as the access of LLMs to external tool library. Drawing inspiration from the myriad of enhanced approaches associated with Retrieval-Augmented Generation (RAG), Meta-Tool employs a \textit{hypothesize-retrieve-invoke} framework. We further propose Meta-Bench, a comprehensive benchmark for evaluating LLMs in open-world function calling and associated tasks. Meta-Bench encompasses $2,800$ dialogues and $7,361$ tools, spanning ten distinct scenarios to provide robust and diverse test categories. In conjunction, we present MT-LLaMA, a finetuned version of LLaMA-3.1, which exhibits remarkable performance improvements. Our empirical experiments reveal that Meta-Tool significantly enhances the ability of advanced LLMs to retrieve and leverage the most suitable tools compared to previous tool retrieval methods. Moreover, our fine-tuning enables even smaller-sized LLMs to achieve comparable even exceeding results to GPT-4o. Both the benchmark and the model are made publicly available at https://github.com/qinshengqian/Meta-Tool to foster further research and development in the field.</v>
      </c>
      <c r="D3156" s="7" t="str">
        <f>IFERROR(__xludf.DUMMYFUNCTION("""COMPUTED_VALUE"""),"Shengqian Qin")</f>
        <v>Shengqian Qin</v>
      </c>
      <c r="E3156" s="7" t="str">
        <f>IFERROR(__xludf.DUMMYFUNCTION("""COMPUTED_VALUE"""),"Yes")</f>
        <v>Yes</v>
      </c>
      <c r="F3156" s="7" t="str">
        <f>IFERROR(__xludf.DUMMYFUNCTION("""COMPUTED_VALUE"""),"IP-Poster")</f>
        <v>IP-Poster</v>
      </c>
      <c r="G3156" s="7" t="str">
        <f>IFERROR(__xludf.DUMMYFUNCTION("""COMPUTED_VALUE"""),"In-Person")</f>
        <v>In-Person</v>
      </c>
      <c r="H3156" s="7" t="str">
        <f>IFERROR(__xludf.DUMMYFUNCTION("""COMPUTED_VALUE"""),"Hall 4/5")</f>
        <v>Hall 4/5</v>
      </c>
      <c r="I3156" s="7" t="str">
        <f>IFERROR(__xludf.DUMMYFUNCTION("""COMPUTED_VALUE"""),"Session 12: IP-Posters")</f>
        <v>Session 12: IP-Posters</v>
      </c>
      <c r="J3156" s="7" t="str">
        <f>IFERROR(__xludf.DUMMYFUNCTION("""COMPUTED_VALUE"""),"Poster Session 4")</f>
        <v>Poster Session 4</v>
      </c>
      <c r="K3156" s="7"/>
      <c r="L3156" s="8">
        <f>IFERROR(__xludf.DUMMYFUNCTION("""COMPUTED_VALUE"""),45868.0)</f>
        <v>45868</v>
      </c>
      <c r="M3156" s="7" t="str">
        <f>IFERROR(__xludf.DUMMYFUNCTION("""COMPUTED_VALUE"""),"11:00-12:30")</f>
        <v>11:00-12:30</v>
      </c>
      <c r="N3156" s="7"/>
    </row>
    <row r="3157">
      <c r="A3157" s="7" t="str">
        <f>IFERROR(__xludf.DUMMYFUNCTION("""COMPUTED_VALUE"""),"4636-MAIN")</f>
        <v>4636-MAIN</v>
      </c>
      <c r="B3157" s="7" t="str">
        <f>IFERROR(__xludf.DUMMYFUNCTION("""COMPUTED_VALUE"""),"Benchmarking and Improving Large Vision-Language Models for Fundamental Visual Graph Understanding and Reasoning")</f>
        <v>Benchmarking and Improving Large Vision-Language Models for Fundamental Visual Graph Understanding and Reasoning</v>
      </c>
      <c r="C3157" s="7" t="str">
        <f>IFERROR(__xludf.DUMMYFUNCTION("""COMPUTED_VALUE"""),"Large Vision-Language Models (LVLMs) have demonstrated remarkable performance across diverse tasks. Despite great success, recent studies show that LVLMs encounter substantial limitations when engaging with visual graphs. To study the reason behind these "&amp;"limitations, we propose VGCure, a comprehensive benchmark covering 22 tasks for examining the fundamental graph understanding and reasoning capacities of LVLMs. Extensive evaluations conducted on 14 LVLMs reveal that LVLMs are weak in basic graph understa"&amp;"nding and reasoning tasks, particularly those concerning relational or structurally complex information. Based on this observation, we propose a structure-aware fine-tuning framework to enhance LVLMs with structure learning abilities through three self-su"&amp;"pervised learning tasks. Experiments validate the effectiveness of our method in improving LVLMs' performance on fundamental and downstream graph learning tasks, as well as enhancing their robustness against complex visual graphs.")</f>
        <v>Large Vision-Language Models (LVLMs) have demonstrated remarkable performance across diverse tasks. Despite great success, recent studies show that LVLMs encounter substantial limitations when engaging with visual graphs. To study the reason behind these limitations, we propose VGCure, a comprehensive benchmark covering 22 tasks for examining the fundamental graph understanding and reasoning capacities of LVLMs. Extensive evaluations conducted on 14 LVLMs reveal that LVLMs are weak in basic graph understanding and reasoning tasks, particularly those concerning relational or structurally complex information. Based on this observation, we propose a structure-aware fine-tuning framework to enhance LVLMs with structure learning abilities through three self-supervised learning tasks. Experiments validate the effectiveness of our method in improving LVLMs' performance on fundamental and downstream graph learning tasks, as well as enhancing their robustness against complex visual graphs.</v>
      </c>
      <c r="D3157" s="7" t="str">
        <f>IFERROR(__xludf.DUMMYFUNCTION("""COMPUTED_VALUE"""),"Yingjie Zhu")</f>
        <v>Yingjie Zhu</v>
      </c>
      <c r="E3157" s="7" t="str">
        <f>IFERROR(__xludf.DUMMYFUNCTION("""COMPUTED_VALUE"""),"Yes")</f>
        <v>Yes</v>
      </c>
      <c r="F3157" s="7" t="str">
        <f>IFERROR(__xludf.DUMMYFUNCTION("""COMPUTED_VALUE"""),"IP-Poster")</f>
        <v>IP-Poster</v>
      </c>
      <c r="G3157" s="7" t="str">
        <f>IFERROR(__xludf.DUMMYFUNCTION("""COMPUTED_VALUE"""),"In-Person")</f>
        <v>In-Person</v>
      </c>
      <c r="H3157" s="7" t="str">
        <f>IFERROR(__xludf.DUMMYFUNCTION("""COMPUTED_VALUE"""),"Hall 4/5")</f>
        <v>Hall 4/5</v>
      </c>
      <c r="I3157" s="7" t="str">
        <f>IFERROR(__xludf.DUMMYFUNCTION("""COMPUTED_VALUE"""),"Session 2: IP-Posters ")</f>
        <v>Session 2: IP-Posters </v>
      </c>
      <c r="J3157" s="7" t="str">
        <f>IFERROR(__xludf.DUMMYFUNCTION("""COMPUTED_VALUE"""),"Poster Session 1")</f>
        <v>Poster Session 1</v>
      </c>
      <c r="K3157" s="7"/>
      <c r="L3157" s="8">
        <f>IFERROR(__xludf.DUMMYFUNCTION("""COMPUTED_VALUE"""),45866.0)</f>
        <v>45866</v>
      </c>
      <c r="M3157" s="7" t="str">
        <f>IFERROR(__xludf.DUMMYFUNCTION("""COMPUTED_VALUE"""),"11:00-12:30")</f>
        <v>11:00-12:30</v>
      </c>
      <c r="N3157" s="7"/>
    </row>
    <row r="3158">
      <c r="A3158" s="7" t="str">
        <f>IFERROR(__xludf.DUMMYFUNCTION("""COMPUTED_VALUE"""),"4646-MAIN")</f>
        <v>4646-MAIN</v>
      </c>
      <c r="B3158" s="7" t="str">
        <f>IFERROR(__xludf.DUMMYFUNCTION("""COMPUTED_VALUE"""),"ISR: Self-Refining Referring Expressions for Entity Grounding")</f>
        <v>ISR: Self-Refining Referring Expressions for Entity Grounding</v>
      </c>
      <c r="C3158" s="7" t="str">
        <f>IFERROR(__xludf.DUMMYFUNCTION("""COMPUTED_VALUE"""),"Entity grounding, a crucial task in constructing multimodal knowledge graphs, aims to align entities from knowledge graphs with their corresponding images. Unlike conventional visual grounding tasks that use referring expressions (REs) as inputs, entity g"&amp;"rounding relies solely on entity names and types, presenting a significant challenge. To address this, we introduce a novel **I**terative **S**elf-**R**efinement (**ISR**) scheme to enhance the multimodal large language model's capability to generate high"&amp;" quality REs for the given entities as explicit contextual clues. This training scheme, inspired by human learning dynamics and human annotation processes, enables the MLLM to iteratively generate and refine REs by learning from successes and failures, gu"&amp;"ided by outcome rewards from a visual grounding model. This iterative cycle of self-refinement avoids overfitting to fixed annotations and fosters continued improvement in referring expression generation. Extensive experiments demonstrate that our methods"&amp;" surpasses other methods in entity grounding, highlighting its effectiveness, robustness and potential for broader applications.")</f>
        <v>Entity grounding, a crucial task in constructing multimodal knowledge graphs, aims to align entities from knowledge graphs with their corresponding images. Unlike conventional visual grounding tasks that use referring expressions (REs) as inputs, entity grounding relies solely on entity names and types, presenting a significant challenge. To address this, we introduce a novel **I**terative **S**elf-**R**efinement (**ISR**) scheme to enhance the multimodal large language model's capability to generate high quality REs for the given entities as explicit contextual clues. This training scheme, inspired by human learning dynamics and human annotation processes, enables the MLLM to iteratively generate and refine REs by learning from successes and failures, guided by outcome rewards from a visual grounding model. This iterative cycle of self-refinement avoids overfitting to fixed annotations and fosters continued improvement in referring expression generation. Extensive experiments demonstrate that our methods surpasses other methods in entity grounding, highlighting its effectiveness, robustness and potential for broader applications.</v>
      </c>
      <c r="D3158" s="7" t="str">
        <f>IFERROR(__xludf.DUMMYFUNCTION("""COMPUTED_VALUE"""),"Zhuocheng Yu")</f>
        <v>Zhuocheng Yu</v>
      </c>
      <c r="E3158" s="7" t="str">
        <f>IFERROR(__xludf.DUMMYFUNCTION("""COMPUTED_VALUE"""),"Yes")</f>
        <v>Yes</v>
      </c>
      <c r="F3158" s="7" t="str">
        <f>IFERROR(__xludf.DUMMYFUNCTION("""COMPUTED_VALUE"""),"IP-Poster")</f>
        <v>IP-Poster</v>
      </c>
      <c r="G3158" s="7" t="str">
        <f>IFERROR(__xludf.DUMMYFUNCTION("""COMPUTED_VALUE"""),"In-Person")</f>
        <v>In-Person</v>
      </c>
      <c r="H3158" s="7" t="str">
        <f>IFERROR(__xludf.DUMMYFUNCTION("""COMPUTED_VALUE"""),"Hall 4/5")</f>
        <v>Hall 4/5</v>
      </c>
      <c r="I3158" s="7" t="str">
        <f>IFERROR(__xludf.DUMMYFUNCTION("""COMPUTED_VALUE"""),"Session 10: IP-Posters")</f>
        <v>Session 10: IP-Posters</v>
      </c>
      <c r="J3158" s="7" t="str">
        <f>IFERROR(__xludf.DUMMYFUNCTION("""COMPUTED_VALUE"""),"Poster Session 3")</f>
        <v>Poster Session 3</v>
      </c>
      <c r="K3158" s="7"/>
      <c r="L3158" s="8">
        <f>IFERROR(__xludf.DUMMYFUNCTION("""COMPUTED_VALUE"""),45867.0)</f>
        <v>45867</v>
      </c>
      <c r="M3158" s="7" t="str">
        <f>IFERROR(__xludf.DUMMYFUNCTION("""COMPUTED_VALUE"""),"16:00-17:30")</f>
        <v>16:00-17:30</v>
      </c>
      <c r="N3158" s="7"/>
    </row>
    <row r="3159">
      <c r="A3159" s="7" t="str">
        <f>IFERROR(__xludf.DUMMYFUNCTION("""COMPUTED_VALUE"""),"4650-MAIN")</f>
        <v>4650-MAIN</v>
      </c>
      <c r="B3159" s="7" t="str">
        <f>IFERROR(__xludf.DUMMYFUNCTION("""COMPUTED_VALUE"""),"Activating Distributed Visual Region within LLMs for Efficient and Effective Vision-Language Training and Inference")</f>
        <v>Activating Distributed Visual Region within LLMs for Efficient and Effective Vision-Language Training and Inference</v>
      </c>
      <c r="C3159" s="7" t="str">
        <f>IFERROR(__xludf.DUMMYFUNCTION("""COMPUTED_VALUE"""),"Large Vision-Language Models (LVLMs) typically learn visual capacity through visual instruction tuning, involving updates to both a projector and their LLM backbones. Inspired by the concept of a visual region in the human brain, we investigate the existe"&amp;"nce of an analogous \textit{visual region} within LLMs that functions as a cognitive core, and explore the potential of efficient training of LVLMs via selective layers tuning. Using Bunny-Llama-3-8B-V for detailed analysis and other three LVLMs for valid"&amp;"ation across diverse visual and textual tasks, we find that selectively updating 25% of LLMs layers, when sparsely and uniformly distributed, can preserve nearly 99% of visual performance and maintain or improve textual task results, while effectively red"&amp;"ucing training time. Based on this targeted training approach, we further propose a novel visual region-based pruning paradigm, removing non-critical layers outside the visual region, which can achieve minimal performance loss. This study offers an effect"&amp;"ive and efficient strategy for LVLM training and inference by activating a layer-wise visual region within LLMs, which proves consistently effective across different models.")</f>
        <v>Large Vision-Language Models (LVLMs) typically learn visual capacity through visual instruction tuning, involving updates to both a projector and their LLM backbones. Inspired by the concept of a visual region in the human brain, we investigate the existence of an analogous \textit{visual region} within LLMs that functions as a cognitive core, and explore the potential of efficient training of LVLMs via selective layers tuning. Using Bunny-Llama-3-8B-V for detailed analysis and other three LVLMs for validation across diverse visual and textual tasks, we find that selectively updating 25% of LLMs layers, when sparsely and uniformly distributed, can preserve nearly 99% of visual performance and maintain or improve textual task results, while effectively reducing training time. Based on this targeted training approach, we further propose a novel visual region-based pruning paradigm, removing non-critical layers outside the visual region, which can achieve minimal performance loss. This study offers an effective and efficient strategy for LVLM training and inference by activating a layer-wise visual region within LLMs, which proves consistently effective across different models.</v>
      </c>
      <c r="D3159" s="7" t="str">
        <f>IFERROR(__xludf.DUMMYFUNCTION("""COMPUTED_VALUE"""),"Zhongyu Wei")</f>
        <v>Zhongyu Wei</v>
      </c>
      <c r="E3159" s="7" t="str">
        <f>IFERROR(__xludf.DUMMYFUNCTION("""COMPUTED_VALUE"""),"Yes")</f>
        <v>Yes</v>
      </c>
      <c r="F3159" s="7" t="str">
        <f>IFERROR(__xludf.DUMMYFUNCTION("""COMPUTED_VALUE"""),"IP-Poster")</f>
        <v>IP-Poster</v>
      </c>
      <c r="G3159" s="7" t="str">
        <f>IFERROR(__xludf.DUMMYFUNCTION("""COMPUTED_VALUE"""),"In-Person")</f>
        <v>In-Person</v>
      </c>
      <c r="H3159" s="7" t="str">
        <f>IFERROR(__xludf.DUMMYFUNCTION("""COMPUTED_VALUE"""),"Hall 4/5")</f>
        <v>Hall 4/5</v>
      </c>
      <c r="I3159" s="7" t="str">
        <f>IFERROR(__xludf.DUMMYFUNCTION("""COMPUTED_VALUE"""),"Session 2: IP-Posters ")</f>
        <v>Session 2: IP-Posters </v>
      </c>
      <c r="J3159" s="7" t="str">
        <f>IFERROR(__xludf.DUMMYFUNCTION("""COMPUTED_VALUE"""),"Poster Session 1")</f>
        <v>Poster Session 1</v>
      </c>
      <c r="K3159" s="7"/>
      <c r="L3159" s="8">
        <f>IFERROR(__xludf.DUMMYFUNCTION("""COMPUTED_VALUE"""),45866.0)</f>
        <v>45866</v>
      </c>
      <c r="M3159" s="7" t="str">
        <f>IFERROR(__xludf.DUMMYFUNCTION("""COMPUTED_VALUE"""),"11:00-12:30")</f>
        <v>11:00-12:30</v>
      </c>
      <c r="N3159" s="7"/>
    </row>
    <row r="3160">
      <c r="A3160" s="7" t="str">
        <f>IFERROR(__xludf.DUMMYFUNCTION("""COMPUTED_VALUE"""),"4661-MAIN")</f>
        <v>4661-MAIN</v>
      </c>
      <c r="B3160" s="7" t="str">
        <f>IFERROR(__xludf.DUMMYFUNCTION("""COMPUTED_VALUE"""),"CCHall: A Novel Benchmark for Joint Cross-Lingual and Cross-Modal Hallucinations Detection in Large Language Models")</f>
        <v>CCHall: A Novel Benchmark for Joint Cross-Lingual and Cross-Modal Hallucinations Detection in Large Language Models</v>
      </c>
      <c r="C3160" s="7" t="str">
        <f>IFERROR(__xludf.DUMMYFUNCTION("""COMPUTED_VALUE"""),"Investigating hallucination issues in large language models (LLMs) within cross-lingual and cross-modal scenarios can greatly advance the large-scale deployment in real-world applications. Nevertheless, the current studies are limited to a single scenario"&amp;", either cross-lingual or cross-modal, leaving a gap in the exploration of hallucinations in the joint cross-lingual and cross-modal scenarios. Motivated by this, we introduce a novel joint Cross-lingual and Cross-modal Hallucinations benchmark (CCHall) t"&amp;"o fill this gap. Specifically, CCHall simultaneously incorporates both cross-lingual and cross-modal hallucination scenarios, which can be used to assess the cross-lingual and cross-modal capabilities of LLMs. Furthermore, we conduct a comprehensive evalu"&amp;"ation on CCHall, exploring both mainstream open-source and closed-source LLMs. The experimental results highlight that current LLMs still struggle with CCHall. We hope CCHall can serve as a valuable resource to assess LLMs in joint cross-lingual and cross"&amp;"-modal scenarios.")</f>
        <v>Investigating hallucination issues in large language models (LLMs) within cross-lingual and cross-modal scenarios can greatly advance the large-scale deployment in real-world applications. Nevertheless, the current studies are limited to a single scenario, either cross-lingual or cross-modal, leaving a gap in the exploration of hallucinations in the joint cross-lingual and cross-modal scenarios. Motivated by this, we introduce a novel joint Cross-lingual and Cross-modal Hallucinations benchmark (CCHall) to fill this gap. Specifically, CCHall simultaneously incorporates both cross-lingual and cross-modal hallucination scenarios, which can be used to assess the cross-lingual and cross-modal capabilities of LLMs. Furthermore, we conduct a comprehensive evaluation on CCHall, exploring both mainstream open-source and closed-source LLMs. The experimental results highlight that current LLMs still struggle with CCHall. We hope CCHall can serve as a valuable resource to assess LLMs in joint cross-lingual and cross-modal scenarios.</v>
      </c>
      <c r="D3160" s="7" t="str">
        <f>IFERROR(__xludf.DUMMYFUNCTION("""COMPUTED_VALUE"""),"Yongheng Zhang")</f>
        <v>Yongheng Zhang</v>
      </c>
      <c r="E3160" s="7" t="str">
        <f>IFERROR(__xludf.DUMMYFUNCTION("""COMPUTED_VALUE"""),"Yes")</f>
        <v>Yes</v>
      </c>
      <c r="F3160" s="7" t="str">
        <f>IFERROR(__xludf.DUMMYFUNCTION("""COMPUTED_VALUE"""),"V-Presentation")</f>
        <v>V-Presentation</v>
      </c>
      <c r="G3160" s="7" t="str">
        <f>IFERROR(__xludf.DUMMYFUNCTION("""COMPUTED_VALUE"""),"Virtual/Gather")</f>
        <v>Virtual/Gather</v>
      </c>
      <c r="H3160" s="7" t="str">
        <f>IFERROR(__xludf.DUMMYFUNCTION("""COMPUTED_VALUE"""),"Zoom")</f>
        <v>Zoom</v>
      </c>
      <c r="I3160" s="7" t="str">
        <f>IFERROR(__xludf.DUMMYFUNCTION("""COMPUTED_VALUE"""),"Session 10: V-Presentations")</f>
        <v>Session 10: V-Presentations</v>
      </c>
      <c r="J3160" s="7" t="str">
        <f>IFERROR(__xludf.DUMMYFUNCTION("""COMPUTED_VALUE"""),"Virtual Presentations 3")</f>
        <v>Virtual Presentations 3</v>
      </c>
      <c r="K3160" s="7"/>
      <c r="L3160" s="8">
        <f>IFERROR(__xludf.DUMMYFUNCTION("""COMPUTED_VALUE"""),45867.0)</f>
        <v>45867</v>
      </c>
      <c r="M3160" s="7" t="str">
        <f>IFERROR(__xludf.DUMMYFUNCTION("""COMPUTED_VALUE"""),"16:00-17:30")</f>
        <v>16:00-17:30</v>
      </c>
      <c r="N3160" s="7"/>
    </row>
    <row r="3161">
      <c r="A3161" s="7" t="str">
        <f>IFERROR(__xludf.DUMMYFUNCTION("""COMPUTED_VALUE"""),"4685-MAIN")</f>
        <v>4685-MAIN</v>
      </c>
      <c r="B3161" s="7" t="str">
        <f>IFERROR(__xludf.DUMMYFUNCTION("""COMPUTED_VALUE"""),"TestNUC: Enhancing Test-Time Computing Approaches through Neighboring Unlabeled Data Consistency")</f>
        <v>TestNUC: Enhancing Test-Time Computing Approaches through Neighboring Unlabeled Data Consistency</v>
      </c>
      <c r="C3161" s="7" t="str">
        <f>IFERROR(__xludf.DUMMYFUNCTION("""COMPUTED_VALUE"""),"Test-time computing approaches, which leverage additional computational resources during inference, have been proven effective in enhancing large language model performance. This work introduces a novel, linearly scaling approach, TestNUC, that improves t"&amp;"est-time predictions by leveraging the local consistency of neighboring unlabeled data-it classifies an input instance by considering not only the model's prediction on that instance but also on neighboring unlabeled instances. We evaluate TestNUC across "&amp;"eight diverse datasets, spanning intent classification, topic mining, domain discovery, and emotion detection, demonstrating its consistent superiority over baseline methods such as standard prompting and self-consistency. Furthermore, TestNUC can be seam"&amp;"lessly integrated with existing test-time computing approaches, substantially boosting their performance. Our analysis reveals that TestNUC scales effectively with increasing amounts of unlabeled data and performs robustly across different embedding model"&amp;"s, making it practical for real-world applications. Our code is available at https://github.com/HenryPengZou/TestNUC.")</f>
        <v>Test-time computing approaches, which leverage additional computational resources during inference, have been proven effective in enhancing large language model performance. This work introduces a novel, linearly scaling approach, TestNUC, that improves test-time predictions by leveraging the local consistency of neighboring unlabeled data-it classifies an input instance by considering not only the model's prediction on that instance but also on neighboring unlabeled instances. We evaluate TestNUC across eight diverse datasets, spanning intent classification, topic mining, domain discovery, and emotion detection, demonstrating its consistent superiority over baseline methods such as standard prompting and self-consistency. Furthermore, TestNUC can be seamlessly integrated with existing test-time computing approaches, substantially boosting their performance. Our analysis reveals that TestNUC scales effectively with increasing amounts of unlabeled data and performs robustly across different embedding models, making it practical for real-world applications. Our code is available at https://github.com/HenryPengZou/TestNUC.</v>
      </c>
      <c r="D3161" s="7" t="str">
        <f>IFERROR(__xludf.DUMMYFUNCTION("""COMPUTED_VALUE"""),"Henry Peng Zou")</f>
        <v>Henry Peng Zou</v>
      </c>
      <c r="E3161" s="7" t="str">
        <f>IFERROR(__xludf.DUMMYFUNCTION("""COMPUTED_VALUE"""),"Yes")</f>
        <v>Yes</v>
      </c>
      <c r="F3161" s="7" t="str">
        <f>IFERROR(__xludf.DUMMYFUNCTION("""COMPUTED_VALUE"""),"V-Presentation")</f>
        <v>V-Presentation</v>
      </c>
      <c r="G3161" s="7" t="str">
        <f>IFERROR(__xludf.DUMMYFUNCTION("""COMPUTED_VALUE"""),"Virtual/Gather")</f>
        <v>Virtual/Gather</v>
      </c>
      <c r="H3161" s="7" t="str">
        <f>IFERROR(__xludf.DUMMYFUNCTION("""COMPUTED_VALUE"""),"Zoom")</f>
        <v>Zoom</v>
      </c>
      <c r="I3161" s="7" t="str">
        <f>IFERROR(__xludf.DUMMYFUNCTION("""COMPUTED_VALUE"""),"Session 12: V-Presentations")</f>
        <v>Session 12: V-Presentations</v>
      </c>
      <c r="J3161" s="7" t="str">
        <f>IFERROR(__xludf.DUMMYFUNCTION("""COMPUTED_VALUE"""),"Virtual Presentations 4")</f>
        <v>Virtual Presentations 4</v>
      </c>
      <c r="K3161" s="7"/>
      <c r="L3161" s="8">
        <f>IFERROR(__xludf.DUMMYFUNCTION("""COMPUTED_VALUE"""),45868.0)</f>
        <v>45868</v>
      </c>
      <c r="M3161" s="7" t="str">
        <f>IFERROR(__xludf.DUMMYFUNCTION("""COMPUTED_VALUE"""),"11:00-12:30")</f>
        <v>11:00-12:30</v>
      </c>
      <c r="N3161" s="7"/>
    </row>
    <row r="3162">
      <c r="A3162" s="7" t="str">
        <f>IFERROR(__xludf.DUMMYFUNCTION("""COMPUTED_VALUE"""),"4686-MAIN")</f>
        <v>4686-MAIN</v>
      </c>
      <c r="B3162" s="7" t="str">
        <f>IFERROR(__xludf.DUMMYFUNCTION("""COMPUTED_VALUE"""),"The Esethu Framework: Reimagining Sustainable Dataset Governance and Curation for Low-Resource Languages")</f>
        <v>The Esethu Framework: Reimagining Sustainable Dataset Governance and Curation for Low-Resource Languages</v>
      </c>
      <c r="C3162" s="7" t="str">
        <f>IFERROR(__xludf.DUMMYFUNCTION("""COMPUTED_VALUE"""),"This paper presents the Esethu Framework, a sustainable data curation framework specifically designed to empower local communities and ensure equitable benefit-sharing from their linguistic resource. This framework is supported by the Esethu license, a no"&amp;"vel community-centric data license. As a proof of concept, we introduce the Vuk’uzenzele isiXhosa Speech Dataset (ViXSD), an open-source corpus developed under the Esethu Framework and License. The dataset, containing read speech from native isiXhosa spea"&amp;"kers enriched with demographic and linguistic metadata, demonstrates how community-driven licensing and curation principles can bridge resource gaps in automatic speech recognition (ASR) for African languages while safeguarding the interests of data creat"&amp;"ors. We describe the framework guiding dataset development, outline the Esethu license provisions, present the methodology for ViXSD, and present ASR experiments validating ViXSD’s usability in building and refining voice-driven applications for isiXhosa.")</f>
        <v>This paper presents the Esethu Framework, a sustainable data curation framework specifically designed to empower local communities and ensure equitable benefit-sharing from their linguistic resource. This framework is supported by the Esethu license, a novel community-centric data license. As a proof of concept, we introduce the Vuk’uzenzele isiXhosa Speech Dataset (ViXSD), an open-source corpus developed under the Esethu Framework and License. The dataset, containing read speech from native isiXhosa speakers enriched with demographic and linguistic metadata, demonstrates how community-driven licensing and curation principles can bridge resource gaps in automatic speech recognition (ASR) for African languages while safeguarding the interests of data creators. We describe the framework guiding dataset development, outline the Esethu license provisions, present the methodology for ViXSD, and present ASR experiments validating ViXSD’s usability in building and refining voice-driven applications for isiXhosa.</v>
      </c>
      <c r="D3162" s="7" t="str">
        <f>IFERROR(__xludf.DUMMYFUNCTION("""COMPUTED_VALUE"""),"Luandrie Potgieter")</f>
        <v>Luandrie Potgieter</v>
      </c>
      <c r="E3162" s="7" t="str">
        <f>IFERROR(__xludf.DUMMYFUNCTION("""COMPUTED_VALUE"""),"Yes")</f>
        <v>Yes</v>
      </c>
      <c r="F3162" s="7" t="str">
        <f>IFERROR(__xludf.DUMMYFUNCTION("""COMPUTED_VALUE"""),"IP-Oral")</f>
        <v>IP-Oral</v>
      </c>
      <c r="G3162" s="7" t="str">
        <f>IFERROR(__xludf.DUMMYFUNCTION("""COMPUTED_VALUE"""),"In-Person")</f>
        <v>In-Person</v>
      </c>
      <c r="H3162" s="7" t="str">
        <f>IFERROR(__xludf.DUMMYFUNCTION("""COMPUTED_VALUE"""),"Room 1.62")</f>
        <v>Room 1.62</v>
      </c>
      <c r="I3162" s="7" t="str">
        <f>IFERROR(__xludf.DUMMYFUNCTION("""COMPUTED_VALUE"""),"Session 3: IP-Orals")</f>
        <v>Session 3: IP-Orals</v>
      </c>
      <c r="J3162" s="7" t="str">
        <f>IFERROR(__xludf.DUMMYFUNCTION("""COMPUTED_VALUE"""),"Human-centered NLP")</f>
        <v>Human-centered NLP</v>
      </c>
      <c r="K3162" s="7"/>
      <c r="L3162" s="8">
        <f>IFERROR(__xludf.DUMMYFUNCTION("""COMPUTED_VALUE"""),45866.0)</f>
        <v>45866</v>
      </c>
      <c r="M3162" s="7" t="str">
        <f>IFERROR(__xludf.DUMMYFUNCTION("""COMPUTED_VALUE"""),"14:00-15:30")</f>
        <v>14:00-15:30</v>
      </c>
      <c r="N3162" s="7">
        <f>IFERROR(__xludf.DUMMYFUNCTION("""COMPUTED_VALUE"""),6.0)</f>
        <v>6</v>
      </c>
    </row>
    <row r="3163">
      <c r="A3163" s="7" t="str">
        <f>IFERROR(__xludf.DUMMYFUNCTION("""COMPUTED_VALUE"""),"4691-MAIN")</f>
        <v>4691-MAIN</v>
      </c>
      <c r="B3163" s="7" t="str">
        <f>IFERROR(__xludf.DUMMYFUNCTION("""COMPUTED_VALUE"""),"Theoretical Analysis of Hierarchical Language Recognition and Generation by Transformers without Positional Encoding")</f>
        <v>Theoretical Analysis of Hierarchical Language Recognition and Generation by Transformers without Positional Encoding</v>
      </c>
      <c r="C3163" s="7" t="str">
        <f>IFERROR(__xludf.DUMMYFUNCTION("""COMPUTED_VALUE"""),"In this study, we provide constructive proof that Transformers can recognize and generate hierarchical language efficiently with respect to model size, even without the need for a specific positional encoding.
Specifically, we show that causal masking and"&amp;" a starting token enable Transformers to compute positional information and depth within hierarchical structures.
We demonstrate that Transformers without positional encoding can generate hierarchical languages. 
Furthermore, we suggest that explicit posi"&amp;"tional encoding might have a detrimental effect on generalization with respect to sequence length.")</f>
        <v>In this study, we provide constructive proof that Transformers can recognize and generate hierarchical language efficiently with respect to model size, even without the need for a specific positional encoding.
Specifically, we show that causal masking and a starting token enable Transformers to compute positional information and depth within hierarchical structures.
We demonstrate that Transformers without positional encoding can generate hierarchical languages. 
Furthermore, we suggest that explicit positional encoding might have a detrimental effect on generalization with respect to sequence length.</v>
      </c>
      <c r="D3163" s="7" t="str">
        <f>IFERROR(__xludf.DUMMYFUNCTION("""COMPUTED_VALUE"""),"Daichi Hayakawa")</f>
        <v>Daichi Hayakawa</v>
      </c>
      <c r="E3163" s="7" t="str">
        <f>IFERROR(__xludf.DUMMYFUNCTION("""COMPUTED_VALUE"""),"Yes")</f>
        <v>Yes</v>
      </c>
      <c r="F3163" s="7" t="str">
        <f>IFERROR(__xludf.DUMMYFUNCTION("""COMPUTED_VALUE"""),"IP-Oral")</f>
        <v>IP-Oral</v>
      </c>
      <c r="G3163" s="7" t="str">
        <f>IFERROR(__xludf.DUMMYFUNCTION("""COMPUTED_VALUE"""),"In-Person")</f>
        <v>In-Person</v>
      </c>
      <c r="H3163" s="7" t="str">
        <f>IFERROR(__xludf.DUMMYFUNCTION("""COMPUTED_VALUE"""),"Room 1.61")</f>
        <v>Room 1.61</v>
      </c>
      <c r="I3163" s="7" t="str">
        <f>IFERROR(__xludf.DUMMYFUNCTION("""COMPUTED_VALUE"""),"Session 11: IP-Orals ")</f>
        <v>Session 11: IP-Orals </v>
      </c>
      <c r="J3163" s="7" t="str">
        <f>IFERROR(__xludf.DUMMYFUNCTION("""COMPUTED_VALUE"""),"Machine Learning for NLP")</f>
        <v>Machine Learning for NLP</v>
      </c>
      <c r="K3163" s="7"/>
      <c r="L3163" s="8">
        <f>IFERROR(__xludf.DUMMYFUNCTION("""COMPUTED_VALUE"""),45868.0)</f>
        <v>45868</v>
      </c>
      <c r="M3163" s="7" t="str">
        <f>IFERROR(__xludf.DUMMYFUNCTION("""COMPUTED_VALUE"""),"09:00-10:30")</f>
        <v>09:00-10:30</v>
      </c>
      <c r="N3163" s="7">
        <f>IFERROR(__xludf.DUMMYFUNCTION("""COMPUTED_VALUE"""),8.0)</f>
        <v>8</v>
      </c>
    </row>
    <row r="3164">
      <c r="A3164" s="7" t="str">
        <f>IFERROR(__xludf.DUMMYFUNCTION("""COMPUTED_VALUE"""),"4693-MAIN")</f>
        <v>4693-MAIN</v>
      </c>
      <c r="B3164" s="7" t="str">
        <f>IFERROR(__xludf.DUMMYFUNCTION("""COMPUTED_VALUE"""),"Less is More: Explainable and Efficient ICD Code Prediction with Clinical Entities")</f>
        <v>Less is More: Explainable and Efficient ICD Code Prediction with Clinical Entities</v>
      </c>
      <c r="C3164" s="7" t="str">
        <f>IFERROR(__xludf.DUMMYFUNCTION("""COMPUTED_VALUE"""),"Clinical coding, assigning standardized codes to medical notes, is critical for epidemiological research, hospital planning, and reimbursement. Neural coding models generally process entire discharge summaries, which are often lengthy and contain informat"&amp;"ion that is not relevant to coding. We propose an approach that combines Named Entity Recognition (NER) and Assertion Classification (AC) to filter for clinically important content before supervised code prediction. On MIMIC-IV, a standard evaluation data"&amp;"set, our approach achieves near-equivalent performance to a state-of-the-art full-text baseline while using only 22% of the content and reducing training time by over half. Additionally, mapping model attention to complete entity spans yields coherent, cl"&amp;"inically meaningful explanations, capturing coding-relevant modifiers such as acuity and laterality. We release a newly annotated NER+AC dataset for MIMIC-IV, designed specifically for ICD coding. Our entity-centric approach lays a foundation for more tra"&amp;"nsparent and cost-effective assisted coding.")</f>
        <v>Clinical coding, assigning standardized codes to medical notes, is critical for epidemiological research, hospital planning, and reimbursement. Neural coding models generally process entire discharge summaries, which are often lengthy and contain information that is not relevant to coding. We propose an approach that combines Named Entity Recognition (NER) and Assertion Classification (AC) to filter for clinically important content before supervised code prediction. On MIMIC-IV, a standard evaluation dataset, our approach achieves near-equivalent performance to a state-of-the-art full-text baseline while using only 22% of the content and reducing training time by over half. Additionally, mapping model attention to complete entity spans yields coherent, clinically meaningful explanations, capturing coding-relevant modifiers such as acuity and laterality. We release a newly annotated NER+AC dataset for MIMIC-IV, designed specifically for ICD coding. Our entity-centric approach lays a foundation for more transparent and cost-effective assisted coding.</v>
      </c>
      <c r="D3164" s="7" t="str">
        <f>IFERROR(__xludf.DUMMYFUNCTION("""COMPUTED_VALUE"""),"James C. Douglas")</f>
        <v>James C. Douglas</v>
      </c>
      <c r="E3164" s="7" t="str">
        <f>IFERROR(__xludf.DUMMYFUNCTION("""COMPUTED_VALUE"""),"Yes")</f>
        <v>Yes</v>
      </c>
      <c r="F3164" s="7" t="str">
        <f>IFERROR(__xludf.DUMMYFUNCTION("""COMPUTED_VALUE"""),"IP-Poster")</f>
        <v>IP-Poster</v>
      </c>
      <c r="G3164" s="7" t="str">
        <f>IFERROR(__xludf.DUMMYFUNCTION("""COMPUTED_VALUE"""),"In-Person")</f>
        <v>In-Person</v>
      </c>
      <c r="H3164" s="7" t="str">
        <f>IFERROR(__xludf.DUMMYFUNCTION("""COMPUTED_VALUE"""),"Hall 4/5")</f>
        <v>Hall 4/5</v>
      </c>
      <c r="I3164" s="7" t="str">
        <f>IFERROR(__xludf.DUMMYFUNCTION("""COMPUTED_VALUE"""),"Session 12: IP-Posters")</f>
        <v>Session 12: IP-Posters</v>
      </c>
      <c r="J3164" s="7" t="str">
        <f>IFERROR(__xludf.DUMMYFUNCTION("""COMPUTED_VALUE"""),"Poster Session 4")</f>
        <v>Poster Session 4</v>
      </c>
      <c r="K3164" s="7"/>
      <c r="L3164" s="8">
        <f>IFERROR(__xludf.DUMMYFUNCTION("""COMPUTED_VALUE"""),45868.0)</f>
        <v>45868</v>
      </c>
      <c r="M3164" s="7" t="str">
        <f>IFERROR(__xludf.DUMMYFUNCTION("""COMPUTED_VALUE"""),"11:00-12:30")</f>
        <v>11:00-12:30</v>
      </c>
      <c r="N3164" s="7"/>
    </row>
    <row r="3165">
      <c r="A3165" s="7" t="str">
        <f>IFERROR(__xludf.DUMMYFUNCTION("""COMPUTED_VALUE"""),"4695-MAIN")</f>
        <v>4695-MAIN</v>
      </c>
      <c r="B3165" s="7" t="str">
        <f>IFERROR(__xludf.DUMMYFUNCTION("""COMPUTED_VALUE"""),"Benchmarking LLMs and LLM-based Agents in Practical Vulnerability Detection for Code Repositories")</f>
        <v>Benchmarking LLMs and LLM-based Agents in Practical Vulnerability Detection for Code Repositories</v>
      </c>
      <c r="C3165" s="7" t="str">
        <f>IFERROR(__xludf.DUMMYFUNCTION("""COMPUTED_VALUE"""),"Large Language Models (LLMs) have shown promise in software vulnerability detection, particularly on function-level benchmarks like Devign and BigVul. However, real-world detection requires interprocedural analysis, as vulnerabilities often emerge through"&amp;" multi-hop function calls rather than isolated functions. While repository-level benchmarks like ReposVul and VulEval introduce interprocedural context, they remain computationally expensive, lack pairwise evaluation of vulnerability fixes, and explore li"&amp;"mited context retrieval, limiting their practicality.
We introduce JITVul, a JIT vulnerability detection benchmark linking each function to its vulnerability-introducing and fixing commits. Built from 879 CVEs spanning 91 vulnerability types, JITVul enab"&amp;"les comprehensive evaluation of detection capabilities. Our results show that ReAct Agents, leveraging thought-action-observation and interprocedural context, perform better than LLMs in distinguishing vulnerable from benign code. While prompting strategi"&amp;"es like Chain-of-Thought help LLMs, ReAct Agents require further refinement. Both methods show inconsistencies, either misidentifying vulnerabilities or over-analyzing security guards, indicating significant room for improvement.")</f>
        <v>Large Language Models (LLMs) have shown promise in software vulnerability detection, particularly on function-level benchmarks like Devign and BigVul. However, real-world detection requires interprocedural analysis, as vulnerabilities often emerge through multi-hop function calls rather than isolated functions. While repository-level benchmarks like ReposVul and VulEval introduce interprocedural context, they remain computationally expensive, lack pairwise evaluation of vulnerability fixes, and explore limited context retrieval, limiting their practicality.
We introduce JITVul, a JIT vulnerability detection benchmark linking each function to its vulnerability-introducing and fixing commits. Built from 879 CVEs spanning 91 vulnerability types, JITVul enables comprehensive evaluation of detection capabilities. Our results show that ReAct Agents, leveraging thought-action-observation and interprocedural context, perform better than LLMs in distinguishing vulnerable from benign code. While prompting strategies like Chain-of-Thought help LLMs, ReAct Agents require further refinement. Both methods show inconsistencies, either misidentifying vulnerabilities or over-analyzing security guards, indicating significant room for improvement.</v>
      </c>
      <c r="D3165" s="7" t="str">
        <f>IFERROR(__xludf.DUMMYFUNCTION("""COMPUTED_VALUE"""),"ALPEREN YILDIZ")</f>
        <v>ALPEREN YILDIZ</v>
      </c>
      <c r="E3165" s="7" t="str">
        <f>IFERROR(__xludf.DUMMYFUNCTION("""COMPUTED_VALUE"""),"Yes")</f>
        <v>Yes</v>
      </c>
      <c r="F3165" s="7" t="str">
        <f>IFERROR(__xludf.DUMMYFUNCTION("""COMPUTED_VALUE"""),"IP-Poster")</f>
        <v>IP-Poster</v>
      </c>
      <c r="G3165" s="7" t="str">
        <f>IFERROR(__xludf.DUMMYFUNCTION("""COMPUTED_VALUE"""),"In-Person")</f>
        <v>In-Person</v>
      </c>
      <c r="H3165" s="7" t="str">
        <f>IFERROR(__xludf.DUMMYFUNCTION("""COMPUTED_VALUE"""),"Hall 4/5")</f>
        <v>Hall 4/5</v>
      </c>
      <c r="I3165" s="7" t="str">
        <f>IFERROR(__xludf.DUMMYFUNCTION("""COMPUTED_VALUE"""),"Session 2: IP-Posters ")</f>
        <v>Session 2: IP-Posters </v>
      </c>
      <c r="J3165" s="7" t="str">
        <f>IFERROR(__xludf.DUMMYFUNCTION("""COMPUTED_VALUE"""),"Poster Session 1")</f>
        <v>Poster Session 1</v>
      </c>
      <c r="K3165" s="7"/>
      <c r="L3165" s="8">
        <f>IFERROR(__xludf.DUMMYFUNCTION("""COMPUTED_VALUE"""),45866.0)</f>
        <v>45866</v>
      </c>
      <c r="M3165" s="7" t="str">
        <f>IFERROR(__xludf.DUMMYFUNCTION("""COMPUTED_VALUE"""),"11:00-12:30")</f>
        <v>11:00-12:30</v>
      </c>
      <c r="N3165" s="7"/>
    </row>
    <row r="3166">
      <c r="A3166" s="7" t="str">
        <f>IFERROR(__xludf.DUMMYFUNCTION("""COMPUTED_VALUE"""),"4696-MAIN")</f>
        <v>4696-MAIN</v>
      </c>
      <c r="B3166" s="7" t="str">
        <f>IFERROR(__xludf.DUMMYFUNCTION("""COMPUTED_VALUE"""),"Multi-Modality Expansion and Retention for LLMs through Parameter Merging and Decoupling")</f>
        <v>Multi-Modality Expansion and Retention for LLMs through Parameter Merging and Decoupling</v>
      </c>
      <c r="C3166" s="7" t="str">
        <f>IFERROR(__xludf.DUMMYFUNCTION("""COMPUTED_VALUE"""),"Fine-tuning Large Language Models (LLMs) with multimodal encoders on modality-specific data expands the modalities that LLMs can handle, leading to the formation of Multimodal LLMs (MLLMs). However, this paradigm heavily relies on resource-intensive and i"&amp;"nflexible fine-tuning from scratch with new multimodal data. In this paper, we propose MMER (Multi-modality Expansion and Retention), a training-free approach that integrates existing MLLMs for effective multimodal expansion while retaining their original"&amp;" performance. Specifically, MMER reuses MLLMs' multimodal encoders while merging their LLM parameters. By comparing original and merged LLM parameters, MMER generates binary masks to approximately separate LLM parameters for each modality. These decoupled"&amp;" parameters can independently process modality-specific inputs, reducing parameter conflicts and preserving original MLLMs' fidelity. MMER can also mitigate catastrophic forgetting by applying a similar process to MLLMs fine-tuned on new tasks. Extensive "&amp;"experiments show significant improvements over baselines, proving that MMER effectively expands LLMs' multimodal capabilities while retaining 99% of the original performance, and also markedly mitigates catastrophic forgetting.")</f>
        <v>Fine-tuning Large Language Models (LLMs) with multimodal encoders on modality-specific data expands the modalities that LLMs can handle, leading to the formation of Multimodal LLMs (MLLMs). However, this paradigm heavily relies on resource-intensive and inflexible fine-tuning from scratch with new multimodal data. In this paper, we propose MMER (Multi-modality Expansion and Retention), a training-free approach that integrates existing MLLMs for effective multimodal expansion while retaining their original performance. Specifically, MMER reuses MLLMs' multimodal encoders while merging their LLM parameters. By comparing original and merged LLM parameters, MMER generates binary masks to approximately separate LLM parameters for each modality. These decoupled parameters can independently process modality-specific inputs, reducing parameter conflicts and preserving original MLLMs' fidelity. MMER can also mitigate catastrophic forgetting by applying a similar process to MLLMs fine-tuned on new tasks. Extensive experiments show significant improvements over baselines, proving that MMER effectively expands LLMs' multimodal capabilities while retaining 99% of the original performance, and also markedly mitigates catastrophic forgetting.</v>
      </c>
      <c r="D3166" s="7" t="str">
        <f>IFERROR(__xludf.DUMMYFUNCTION("""COMPUTED_VALUE"""),"Junlin Li")</f>
        <v>Junlin Li</v>
      </c>
      <c r="E3166" s="7" t="str">
        <f>IFERROR(__xludf.DUMMYFUNCTION("""COMPUTED_VALUE"""),"Yes")</f>
        <v>Yes</v>
      </c>
      <c r="F3166" s="7" t="str">
        <f>IFERROR(__xludf.DUMMYFUNCTION("""COMPUTED_VALUE"""),"IP-Poster")</f>
        <v>IP-Poster</v>
      </c>
      <c r="G3166" s="7" t="str">
        <f>IFERROR(__xludf.DUMMYFUNCTION("""COMPUTED_VALUE"""),"In-Person")</f>
        <v>In-Person</v>
      </c>
      <c r="H3166" s="7" t="str">
        <f>IFERROR(__xludf.DUMMYFUNCTION("""COMPUTED_VALUE"""),"Hall 4/5")</f>
        <v>Hall 4/5</v>
      </c>
      <c r="I3166" s="7" t="str">
        <f>IFERROR(__xludf.DUMMYFUNCTION("""COMPUTED_VALUE"""),"Session 10: IP-Posters")</f>
        <v>Session 10: IP-Posters</v>
      </c>
      <c r="J3166" s="7" t="str">
        <f>IFERROR(__xludf.DUMMYFUNCTION("""COMPUTED_VALUE"""),"Poster Session 3")</f>
        <v>Poster Session 3</v>
      </c>
      <c r="K3166" s="7"/>
      <c r="L3166" s="8">
        <f>IFERROR(__xludf.DUMMYFUNCTION("""COMPUTED_VALUE"""),45867.0)</f>
        <v>45867</v>
      </c>
      <c r="M3166" s="7" t="str">
        <f>IFERROR(__xludf.DUMMYFUNCTION("""COMPUTED_VALUE"""),"16:00-17:30")</f>
        <v>16:00-17:30</v>
      </c>
      <c r="N3166" s="7"/>
    </row>
    <row r="3167">
      <c r="A3167" s="7" t="str">
        <f>IFERROR(__xludf.DUMMYFUNCTION("""COMPUTED_VALUE"""),"4701-MAIN")</f>
        <v>4701-MAIN</v>
      </c>
      <c r="B3167" s="7" t="str">
        <f>IFERROR(__xludf.DUMMYFUNCTION("""COMPUTED_VALUE"""),"Serial Lifelong Editing via Mixture of Knowledge Experts")</f>
        <v>Serial Lifelong Editing via Mixture of Knowledge Experts</v>
      </c>
      <c r="C3167" s="7" t="str">
        <f>IFERROR(__xludf.DUMMYFUNCTION("""COMPUTED_VALUE"""),"It is challenging to update Large language models (LLMs) since real-world knowledge evolves. While existing Lifelong Knowledge Editing (LKE) methods efficiently update sequentially incoming edits, they often struggle to precisely overwrite the outdated kn"&amp;"owledge with the latest one, resulting in conflicts that hinder LLMs from determining the correct answer. To address this $\textbf{S}$erial $\textbf{L}$ifelong $\textbf{K}$nowledge $\textbf{E}$diting (sLKE) problem, wepropose a novel Mixture-of-Knowledge-"&amp;"Experts scheme with an $\textbf{A}$ctivation-guided $\textbf{R}$outing $\textbf{M}$echanism (ARM), which assigns specialized experts to store domain-specific knowledge and ensures that each update completely overwrites old information with the latest data"&amp;". Furthermore, we introduce a novel sLKE benchmark where answers to the same concept are updated repeatedly, to assess the ability of editing methods to refresh knowledge accurately. Experimental results on both LKE and sLKE benchmarks show that our ARM p"&amp;"erforms favorably against SOTA knowledge editing methods.")</f>
        <v>It is challenging to update Large language models (LLMs) since real-world knowledge evolves. While existing Lifelong Knowledge Editing (LKE) methods efficiently update sequentially incoming edits, they often struggle to precisely overwrite the outdated knowledge with the latest one, resulting in conflicts that hinder LLMs from determining the correct answer. To address this $\textbf{S}$erial $\textbf{L}$ifelong $\textbf{K}$nowledge $\textbf{E}$diting (sLKE) problem, wepropose a novel Mixture-of-Knowledge-Experts scheme with an $\textbf{A}$ctivation-guided $\textbf{R}$outing $\textbf{M}$echanism (ARM), which assigns specialized experts to store domain-specific knowledge and ensures that each update completely overwrites old information with the latest data. Furthermore, we introduce a novel sLKE benchmark where answers to the same concept are updated repeatedly, to assess the ability of editing methods to refresh knowledge accurately. Experimental results on both LKE and sLKE benchmarks show that our ARM performs favorably against SOTA knowledge editing methods.</v>
      </c>
      <c r="D3167" s="7" t="str">
        <f>IFERROR(__xludf.DUMMYFUNCTION("""COMPUTED_VALUE"""),"YuJu Cheng")</f>
        <v>YuJu Cheng</v>
      </c>
      <c r="E3167" s="7" t="str">
        <f>IFERROR(__xludf.DUMMYFUNCTION("""COMPUTED_VALUE"""),"Yes")</f>
        <v>Yes</v>
      </c>
      <c r="F3167" s="7" t="str">
        <f>IFERROR(__xludf.DUMMYFUNCTION("""COMPUTED_VALUE"""),"IP-Poster")</f>
        <v>IP-Poster</v>
      </c>
      <c r="G3167" s="7" t="str">
        <f>IFERROR(__xludf.DUMMYFUNCTION("""COMPUTED_VALUE"""),"In-Person")</f>
        <v>In-Person</v>
      </c>
      <c r="H3167" s="7" t="str">
        <f>IFERROR(__xludf.DUMMYFUNCTION("""COMPUTED_VALUE"""),"Hall 4/5")</f>
        <v>Hall 4/5</v>
      </c>
      <c r="I3167" s="7" t="str">
        <f>IFERROR(__xludf.DUMMYFUNCTION("""COMPUTED_VALUE"""),"Session 12: IP-Posters")</f>
        <v>Session 12: IP-Posters</v>
      </c>
      <c r="J3167" s="7" t="str">
        <f>IFERROR(__xludf.DUMMYFUNCTION("""COMPUTED_VALUE"""),"Poster Session 4")</f>
        <v>Poster Session 4</v>
      </c>
      <c r="K3167" s="7"/>
      <c r="L3167" s="8">
        <f>IFERROR(__xludf.DUMMYFUNCTION("""COMPUTED_VALUE"""),45868.0)</f>
        <v>45868</v>
      </c>
      <c r="M3167" s="7" t="str">
        <f>IFERROR(__xludf.DUMMYFUNCTION("""COMPUTED_VALUE"""),"11:00-12:30")</f>
        <v>11:00-12:30</v>
      </c>
      <c r="N3167" s="7"/>
    </row>
    <row r="3168">
      <c r="A3168" s="7" t="str">
        <f>IFERROR(__xludf.DUMMYFUNCTION("""COMPUTED_VALUE"""),"4705-MAIN")</f>
        <v>4705-MAIN</v>
      </c>
      <c r="B3168" s="7" t="str">
        <f>IFERROR(__xludf.DUMMYFUNCTION("""COMPUTED_VALUE"""),"Towards Efficient LLM Post Training: A Data-centric Perspective")</f>
        <v>Towards Efficient LLM Post Training: A Data-centric Perspective</v>
      </c>
      <c r="C3168" s="7" t="str">
        <f>IFERROR(__xludf.DUMMYFUNCTION("""COMPUTED_VALUE"""),"Post-training of Large Language Models (LLMs) is crucial for unlocking their task generalization potential and domain-specific capabilities. However, the current LLM post-training paradigm faces significant data challenges, including the high costs of man"&amp;"ual annotation and diminishing marginal returns on data scales. Therefore, achieving data-efficient post-training has become a key research question. In this paper, we present the first systematic survey of data-efficient LLM post-training from a data-cen"&amp;"tric perspective. We propose a taxonomy of data-efficient LLM post-training methods, covering data selection, data quality enhancement, synthetic data generation, data distillation and compression, and self-evolving data ecosystems. We summarize represent"&amp;"ative approaches in each category and outline future research directions. By examining the challenges in data-efficient LLM post-training, we highlight open problems and propose potential research avenues. We hope our work inspires further exploration int"&amp;"o maximizing the potential of data utilization in large-scale model training. Paper List: https://github.com/luo-junyu/Awesome-Data-Efficient-LLM")</f>
        <v>Post-training of Large Language Models (LLMs) is crucial for unlocking their task generalization potential and domain-specific capabilities. However, the current LLM post-training paradigm faces significant data challenges, including the high costs of manual annotation and diminishing marginal returns on data scales. Therefore, achieving data-efficient post-training has become a key research question. In this paper, we present the first systematic survey of data-efficient LLM post-training from a data-centric perspective. We propose a taxonomy of data-efficient LLM post-training methods, covering data selection, data quality enhancement, synthetic data generation, data distillation and compression, and self-evolving data ecosystems. We summarize representative approaches in each category and outline future research directions. By examining the challenges in data-efficient LLM post-training, we highlight open problems and propose potential research avenues. We hope our work inspires further exploration into maximizing the potential of data utilization in large-scale model training. Paper List: https://github.com/luo-junyu/Awesome-Data-Efficient-LLM</v>
      </c>
      <c r="D3168" s="7" t="str">
        <f>IFERROR(__xludf.DUMMYFUNCTION("""COMPUTED_VALUE"""),"Junyu Luo")</f>
        <v>Junyu Luo</v>
      </c>
      <c r="E3168" s="7" t="str">
        <f>IFERROR(__xludf.DUMMYFUNCTION("""COMPUTED_VALUE"""),"Yes")</f>
        <v>Yes</v>
      </c>
      <c r="F3168" s="7" t="str">
        <f>IFERROR(__xludf.DUMMYFUNCTION("""COMPUTED_VALUE"""),"IP-Poster")</f>
        <v>IP-Poster</v>
      </c>
      <c r="G3168" s="7" t="str">
        <f>IFERROR(__xludf.DUMMYFUNCTION("""COMPUTED_VALUE"""),"In-Person")</f>
        <v>In-Person</v>
      </c>
      <c r="H3168" s="7" t="str">
        <f>IFERROR(__xludf.DUMMYFUNCTION("""COMPUTED_VALUE"""),"Hall 4/5")</f>
        <v>Hall 4/5</v>
      </c>
      <c r="I3168" s="7" t="str">
        <f>IFERROR(__xludf.DUMMYFUNCTION("""COMPUTED_VALUE"""),"Session 2: IP-Posters ")</f>
        <v>Session 2: IP-Posters </v>
      </c>
      <c r="J3168" s="7" t="str">
        <f>IFERROR(__xludf.DUMMYFUNCTION("""COMPUTED_VALUE"""),"Poster Session 1")</f>
        <v>Poster Session 1</v>
      </c>
      <c r="K3168" s="7"/>
      <c r="L3168" s="8">
        <f>IFERROR(__xludf.DUMMYFUNCTION("""COMPUTED_VALUE"""),45866.0)</f>
        <v>45866</v>
      </c>
      <c r="M3168" s="7" t="str">
        <f>IFERROR(__xludf.DUMMYFUNCTION("""COMPUTED_VALUE"""),"11:00-12:30")</f>
        <v>11:00-12:30</v>
      </c>
      <c r="N3168" s="7"/>
    </row>
    <row r="3169">
      <c r="A3169" s="7" t="str">
        <f>IFERROR(__xludf.DUMMYFUNCTION("""COMPUTED_VALUE"""),"4711-MAIN")</f>
        <v>4711-MAIN</v>
      </c>
      <c r="B3169" s="7" t="str">
        <f>IFERROR(__xludf.DUMMYFUNCTION("""COMPUTED_VALUE"""),"IMOL: Incomplete-Modality-Tolerant Learning for Multi-Domain Fake News Video Detection")</f>
        <v>IMOL: Incomplete-Modality-Tolerant Learning for Multi-Domain Fake News Video Detection</v>
      </c>
      <c r="C3169" s="7" t="str">
        <f>IFERROR(__xludf.DUMMYFUNCTION("""COMPUTED_VALUE"""),"While recent advances in fake news video detection have shown promising potential, existing approaches typically (1) focus on a specific domain (e.g., politics) and (2) assume the availability of multiple modalities, including video, audio, description te"&amp;"xts, and related images. However, these methods struggle to generalize to real-world scenarios, where questionable information spans diverse domains and is often modality-incomplete due to factors such as upload degradation or missing metadata. To address"&amp;" these challenges, we introduce two real-world multi-domain news video benchmarks that reflect modality incompleteness and propose IMOL, an incomplete-modality-tolerant learning framework for multi-domain fake news video detection. Inspired by cognitive t"&amp;"heories suggesting that humans infer missing modalities through cross-modal guidance and retrieve relevant knowledge from memory for reference, IMOL employs a hierarchical transferable information integration strategy. This consists of two key phases: (1)"&amp;" leveraging cross-modal consistency to reconstruct missing modalities and (2) refining sample-level transferable knowledge through cross-sample associative reasoning. Extensive experiments demonstrate that IMOL significantly enhances the performance and r"&amp;"obustness of multi-domain fake news video detection while effectively generalizing to unseen domains under incomplete modality conditions.")</f>
        <v>While recent advances in fake news video detection have shown promising potential, existing approaches typically (1) focus on a specific domain (e.g., politics) and (2) assume the availability of multiple modalities, including video, audio, description texts, and related images. However, these methods struggle to generalize to real-world scenarios, where questionable information spans diverse domains and is often modality-incomplete due to factors such as upload degradation or missing metadata. To address these challenges, we introduce two real-world multi-domain news video benchmarks that reflect modality incompleteness and propose IMOL, an incomplete-modality-tolerant learning framework for multi-domain fake news video detection. Inspired by cognitive theories suggesting that humans infer missing modalities through cross-modal guidance and retrieve relevant knowledge from memory for reference, IMOL employs a hierarchical transferable information integration strategy. This consists of two key phases: (1) leveraging cross-modal consistency to reconstruct missing modalities and (2) refining sample-level transferable knowledge through cross-sample associative reasoning. Extensive experiments demonstrate that IMOL significantly enhances the performance and robustness of multi-domain fake news video detection while effectively generalizing to unseen domains under incomplete modality conditions.</v>
      </c>
      <c r="D3169" s="7" t="str">
        <f>IFERROR(__xludf.DUMMYFUNCTION("""COMPUTED_VALUE"""),"Zhi Zeng")</f>
        <v>Zhi Zeng</v>
      </c>
      <c r="E3169" s="7" t="str">
        <f>IFERROR(__xludf.DUMMYFUNCTION("""COMPUTED_VALUE"""),"Yes")</f>
        <v>Yes</v>
      </c>
      <c r="F3169" s="7" t="str">
        <f>IFERROR(__xludf.DUMMYFUNCTION("""COMPUTED_VALUE"""),"IP-Oral")</f>
        <v>IP-Oral</v>
      </c>
      <c r="G3169" s="7" t="str">
        <f>IFERROR(__xludf.DUMMYFUNCTION("""COMPUTED_VALUE"""),"In-Person")</f>
        <v>In-Person</v>
      </c>
      <c r="H3169" s="7" t="str">
        <f>IFERROR(__xludf.DUMMYFUNCTION("""COMPUTED_VALUE"""),"Hall N.1")</f>
        <v>Hall N.1</v>
      </c>
      <c r="I3169" s="7" t="str">
        <f>IFERROR(__xludf.DUMMYFUNCTION("""COMPUTED_VALUE"""),"Session 3: IP-Orals")</f>
        <v>Session 3: IP-Orals</v>
      </c>
      <c r="J3169" s="7" t="str">
        <f>IFERROR(__xludf.DUMMYFUNCTION("""COMPUTED_VALUE"""),"Information Retrieval and Text Mining")</f>
        <v>Information Retrieval and Text Mining</v>
      </c>
      <c r="K3169" s="7"/>
      <c r="L3169" s="8">
        <f>IFERROR(__xludf.DUMMYFUNCTION("""COMPUTED_VALUE"""),45866.0)</f>
        <v>45866</v>
      </c>
      <c r="M3169" s="7" t="str">
        <f>IFERROR(__xludf.DUMMYFUNCTION("""COMPUTED_VALUE"""),"14:00-15:30")</f>
        <v>14:00-15:30</v>
      </c>
      <c r="N3169" s="7">
        <f>IFERROR(__xludf.DUMMYFUNCTION("""COMPUTED_VALUE"""),6.0)</f>
        <v>6</v>
      </c>
    </row>
    <row r="3170">
      <c r="A3170" s="7" t="str">
        <f>IFERROR(__xludf.DUMMYFUNCTION("""COMPUTED_VALUE"""),"4712-MAIN")</f>
        <v>4712-MAIN</v>
      </c>
      <c r="B3170" s="7" t="str">
        <f>IFERROR(__xludf.DUMMYFUNCTION("""COMPUTED_VALUE"""),"DDxTutor: Clinical Reasoning Tutoring System with Differential Diagnosis-Based Structured Reasoning")</f>
        <v>DDxTutor: Clinical Reasoning Tutoring System with Differential Diagnosis-Based Structured Reasoning</v>
      </c>
      <c r="C3170" s="7" t="str">
        <f>IFERROR(__xludf.DUMMYFUNCTION("""COMPUTED_VALUE"""),"Clinical diagnosis education requires students to master both systematic reasoning processes and comprehensive medical knowledge. While recent advances in Large Language Models (LLMs) have enabled various medical educational applications, these systems of"&amp;"ten provide direct answers that could reduce students' cognitive engagement and lead to fragmented learning. Motivated by these challenges, we propose DDxTutor, a framework that follows differential diagnosis principles to decompose clinical reasoning int"&amp;"o teachable components. It consists of a structured reasoning module that analyzes clinical clues and synthesizes diagnostic conclusions, and an interactive dialogue framework that guides students through this process. To enable such tutoring, we construc"&amp;"t DDxReasoning, a dataset of 933 clinical cases with fine-grained diagnostic steps verified by doctors. Our experiments demonstrate that fine-tuned LLMs achieve strong performance in generating structured teaching references and conducting interactive dia"&amp;"gnostic tutoring dialogues. Human evaluation by medical educators and students validates the framework's potential and effectiveness for clinical diagnosis education. Our project is available at https://github.com/med-air/DDxTutor.")</f>
        <v>Clinical diagnosis education requires students to master both systematic reasoning processes and comprehensive medical knowledge. While recent advances in Large Language Models (LLMs) have enabled various medical educational applications, these systems often provide direct answers that could reduce students' cognitive engagement and lead to fragmented learning. Motivated by these challenges, we propose DDxTutor, a framework that follows differential diagnosis principles to decompose clinical reasoning into teachable components. It consists of a structured reasoning module that analyzes clinical clues and synthesizes diagnostic conclusions, and an interactive dialogue framework that guides students through this process. To enable such tutoring, we construct DDxReasoning, a dataset of 933 clinical cases with fine-grained diagnostic steps verified by doctors. Our experiments demonstrate that fine-tuned LLMs achieve strong performance in generating structured teaching references and conducting interactive diagnostic tutoring dialogues. Human evaluation by medical educators and students validates the framework's potential and effectiveness for clinical diagnosis education. Our project is available at https://github.com/med-air/DDxTutor.</v>
      </c>
      <c r="D3170" s="7" t="str">
        <f>IFERROR(__xludf.DUMMYFUNCTION("""COMPUTED_VALUE"""),"Qian Wu")</f>
        <v>Qian Wu</v>
      </c>
      <c r="E3170" s="7" t="str">
        <f>IFERROR(__xludf.DUMMYFUNCTION("""COMPUTED_VALUE"""),"Yes")</f>
        <v>Yes</v>
      </c>
      <c r="F3170" s="7" t="str">
        <f>IFERROR(__xludf.DUMMYFUNCTION("""COMPUTED_VALUE"""),"IP-Poster")</f>
        <v>IP-Poster</v>
      </c>
      <c r="G3170" s="7" t="str">
        <f>IFERROR(__xludf.DUMMYFUNCTION("""COMPUTED_VALUE"""),"In-Person")</f>
        <v>In-Person</v>
      </c>
      <c r="H3170" s="7" t="str">
        <f>IFERROR(__xludf.DUMMYFUNCTION("""COMPUTED_VALUE"""),"Hall 4/5")</f>
        <v>Hall 4/5</v>
      </c>
      <c r="I3170" s="7" t="str">
        <f>IFERROR(__xludf.DUMMYFUNCTION("""COMPUTED_VALUE"""),"Session 12: IP-Posters")</f>
        <v>Session 12: IP-Posters</v>
      </c>
      <c r="J3170" s="7" t="str">
        <f>IFERROR(__xludf.DUMMYFUNCTION("""COMPUTED_VALUE"""),"Poster Session 4")</f>
        <v>Poster Session 4</v>
      </c>
      <c r="K3170" s="7"/>
      <c r="L3170" s="8">
        <f>IFERROR(__xludf.DUMMYFUNCTION("""COMPUTED_VALUE"""),45868.0)</f>
        <v>45868</v>
      </c>
      <c r="M3170" s="7" t="str">
        <f>IFERROR(__xludf.DUMMYFUNCTION("""COMPUTED_VALUE"""),"11:00-12:30")</f>
        <v>11:00-12:30</v>
      </c>
      <c r="N3170" s="7"/>
    </row>
    <row r="3171">
      <c r="A3171" s="7" t="str">
        <f>IFERROR(__xludf.DUMMYFUNCTION("""COMPUTED_VALUE"""),"4718-MAIN")</f>
        <v>4718-MAIN</v>
      </c>
      <c r="B3171" s="7" t="str">
        <f>IFERROR(__xludf.DUMMYFUNCTION("""COMPUTED_VALUE"""),"SocialEval: Evaluating Social Intelligence of Large Language Models")</f>
        <v>SocialEval: Evaluating Social Intelligence of Large Language Models</v>
      </c>
      <c r="C3171" s="7" t="str">
        <f>IFERROR(__xludf.DUMMYFUNCTION("""COMPUTED_VALUE"""),"LLMs exhibit promising Social Intelligence (SI) in modeling human behavior, raising the need to evaluate LLMs' SI and their discrepancy with humans. SI equips humans with interpersonal abilities to behave wisely in navigating social interactions to achiev"&amp;"e social goals. This presents an operational evaluation paradigm: outcome-oriented goal achievement evaluation and process-oriented interpersonal ability evaluation, which existing work fails to address. To this end, we propose SocialEval, a script-based "&amp;"bilingual SI benchmark, integrating outcome- and process-oriented evaluation by manually crafting narrative scripts. Each script is structured as a world tree that contains plot lines driven by interpersonal ability, providing a comprehensive view of how "&amp;"LLMs navigate social interactions. Experiments show that LLMs fall behind humans on both SI evaluations, exhibit prosociality, and prefer more positive social behaviors, even if they lead to goal failure. Analysis of LLMs' formed representation space and "&amp;"neuronal activations reveals that LLMs have developed ability-specific functional partitions akin to the human brain.")</f>
        <v>LLMs exhibit promising Social Intelligence (SI) in modeling human behavior, raising the need to evaluate LLMs' SI and their discrepancy with humans. SI equips humans with interpersonal abilities to behave wisely in navigating social interactions to achieve social goals. This presents an operational evaluation paradigm: outcome-oriented goal achievement evaluation and process-oriented interpersonal ability evaluation, which existing work fails to address. To this end, we propose SocialEval, a script-based bilingual SI benchmark, integrating outcome- and process-oriented evaluation by manually crafting narrative scripts. Each script is structured as a world tree that contains plot lines driven by interpersonal ability, providing a comprehensive view of how LLMs navigate social interactions. Experiments show that LLMs fall behind humans on both SI evaluations, exhibit prosociality, and prefer more positive social behaviors, even if they lead to goal failure. Analysis of LLMs' formed representation space and neuronal activations reveals that LLMs have developed ability-specific functional partitions akin to the human brain.</v>
      </c>
      <c r="D3171" s="7" t="str">
        <f>IFERROR(__xludf.DUMMYFUNCTION("""COMPUTED_VALUE"""),"Jinfeng Zhou")</f>
        <v>Jinfeng Zhou</v>
      </c>
      <c r="E3171" s="7" t="str">
        <f>IFERROR(__xludf.DUMMYFUNCTION("""COMPUTED_VALUE"""),"Yes")</f>
        <v>Yes</v>
      </c>
      <c r="F3171" s="7" t="str">
        <f>IFERROR(__xludf.DUMMYFUNCTION("""COMPUTED_VALUE"""),"V-Presentation")</f>
        <v>V-Presentation</v>
      </c>
      <c r="G3171" s="7" t="str">
        <f>IFERROR(__xludf.DUMMYFUNCTION("""COMPUTED_VALUE"""),"Virtual/Gather")</f>
        <v>Virtual/Gather</v>
      </c>
      <c r="H3171" s="7" t="str">
        <f>IFERROR(__xludf.DUMMYFUNCTION("""COMPUTED_VALUE"""),"Zoom")</f>
        <v>Zoom</v>
      </c>
      <c r="I3171" s="7" t="str">
        <f>IFERROR(__xludf.DUMMYFUNCTION("""COMPUTED_VALUE"""),"Session 10: V-Presentations")</f>
        <v>Session 10: V-Presentations</v>
      </c>
      <c r="J3171" s="7" t="str">
        <f>IFERROR(__xludf.DUMMYFUNCTION("""COMPUTED_VALUE"""),"Virtual Presentations 3")</f>
        <v>Virtual Presentations 3</v>
      </c>
      <c r="K3171" s="7"/>
      <c r="L3171" s="8">
        <f>IFERROR(__xludf.DUMMYFUNCTION("""COMPUTED_VALUE"""),45867.0)</f>
        <v>45867</v>
      </c>
      <c r="M3171" s="7" t="str">
        <f>IFERROR(__xludf.DUMMYFUNCTION("""COMPUTED_VALUE"""),"16:00-17:30")</f>
        <v>16:00-17:30</v>
      </c>
      <c r="N3171" s="7"/>
    </row>
    <row r="3172">
      <c r="A3172" s="7" t="str">
        <f>IFERROR(__xludf.DUMMYFUNCTION("""COMPUTED_VALUE"""),"4721-MAIN")</f>
        <v>4721-MAIN</v>
      </c>
      <c r="B3172" s="7" t="str">
        <f>IFERROR(__xludf.DUMMYFUNCTION("""COMPUTED_VALUE"""),"Hidden in Plain Sight: Evaluation of the Deception Detection Capabilities of LLMs in Multimodal Settings")</f>
        <v>Hidden in Plain Sight: Evaluation of the Deception Detection Capabilities of LLMs in Multimodal Settings</v>
      </c>
      <c r="C3172" s="7" t="str">
        <f>IFERROR(__xludf.DUMMYFUNCTION("""COMPUTED_VALUE"""),"Detecting deception in an increasingly digital world is both a critical and challenging task. In this study, we present a comprehensive evaluation of the automated deception detection capabilities of Large Language Models (LLMs) and Large Multimodal Model"&amp;"s (LMMs) across diverse domains. We assess the performance of both open-source and proprietary LLMs on three distinct datasets—real-life trial interviews (RLTD), instructed deception in interpersonal scenarios (MU3D), and deceptive reviews (OpSpam). We sy"&amp;"stematically analyze the effectiveness of different experimental setups for deception detection, including zero-shot and few-shot approaches with random or similarity-based in-context example selection. Our findings indicate that fine-tuned LLMs achieve s"&amp;"tate-of-the-art performance on textual deception detection, whereas LMMs struggle to fully leverage multimodal cues, particularly in real-world settings. Additionally, we analyze the impact of auxiliary features, such as non-verbal gestures, video summari"&amp;"es, and evaluate the effectiveness of different prompting
strategies, such as direct label generation and post-hoc reasoning generation. Experiments unfold that reasoning-based predictions do not consistently improve performance over direct classification"&amp;", contrary to the expectations.")</f>
        <v>Detecting deception in an increasingly digital world is both a critical and challenging task. In this study, we present a comprehensive evaluation of the automated deception detection capabilities of Large Language Models (LLMs) and Large Multimodal Models (LMMs) across diverse domains. We assess the performance of both open-source and proprietary LLMs on three distinct datasets—real-life trial interviews (RLTD), instructed deception in interpersonal scenarios (MU3D), and deceptive reviews (OpSpam). We systematically analyze the effectiveness of different experimental setups for deception detection, including zero-shot and few-shot approaches with random or similarity-based in-context example selection. Our findings indicate that fine-tuned LLMs achieve state-of-the-art performance on textual deception detection, whereas LMMs struggle to fully leverage multimodal cues, particularly in real-world settings. Additionally, we analyze the impact of auxiliary features, such as non-verbal gestures, video summaries, and evaluate the effectiveness of different prompting
strategies, such as direct label generation and post-hoc reasoning generation. Experiments unfold that reasoning-based predictions do not consistently improve performance over direct classification, contrary to the expectations.</v>
      </c>
      <c r="D3172" s="7" t="str">
        <f>IFERROR(__xludf.DUMMYFUNCTION("""COMPUTED_VALUE"""),"Md Messal Monem Miah")</f>
        <v>Md Messal Monem Miah</v>
      </c>
      <c r="E3172" s="7" t="str">
        <f>IFERROR(__xludf.DUMMYFUNCTION("""COMPUTED_VALUE"""),"Yes")</f>
        <v>Yes</v>
      </c>
      <c r="F3172" s="7" t="str">
        <f>IFERROR(__xludf.DUMMYFUNCTION("""COMPUTED_VALUE"""),"V-Presentation")</f>
        <v>V-Presentation</v>
      </c>
      <c r="G3172" s="7" t="str">
        <f>IFERROR(__xludf.DUMMYFUNCTION("""COMPUTED_VALUE"""),"Virtual/Gather")</f>
        <v>Virtual/Gather</v>
      </c>
      <c r="H3172" s="7" t="str">
        <f>IFERROR(__xludf.DUMMYFUNCTION("""COMPUTED_VALUE"""),"Zoom")</f>
        <v>Zoom</v>
      </c>
      <c r="I3172" s="7" t="str">
        <f>IFERROR(__xludf.DUMMYFUNCTION("""COMPUTED_VALUE"""),"Session 12: V-Presentations")</f>
        <v>Session 12: V-Presentations</v>
      </c>
      <c r="J3172" s="7" t="str">
        <f>IFERROR(__xludf.DUMMYFUNCTION("""COMPUTED_VALUE"""),"Virtual Presentations 4")</f>
        <v>Virtual Presentations 4</v>
      </c>
      <c r="K3172" s="7"/>
      <c r="L3172" s="8">
        <f>IFERROR(__xludf.DUMMYFUNCTION("""COMPUTED_VALUE"""),45868.0)</f>
        <v>45868</v>
      </c>
      <c r="M3172" s="7" t="str">
        <f>IFERROR(__xludf.DUMMYFUNCTION("""COMPUTED_VALUE"""),"11:00-12:30")</f>
        <v>11:00-12:30</v>
      </c>
      <c r="N3172" s="7"/>
    </row>
    <row r="3173">
      <c r="A3173" s="7" t="str">
        <f>IFERROR(__xludf.DUMMYFUNCTION("""COMPUTED_VALUE"""),"4728-MAIN")</f>
        <v>4728-MAIN</v>
      </c>
      <c r="B3173" s="7" t="str">
        <f>IFERROR(__xludf.DUMMYFUNCTION("""COMPUTED_VALUE"""),"Analyzing and Mitigating Inconsistency in Discrete Speech Tokens for Neural Codec Language Models")</f>
        <v>Analyzing and Mitigating Inconsistency in Discrete Speech Tokens for Neural Codec Language Models</v>
      </c>
      <c r="C3173" s="7" t="str">
        <f>IFERROR(__xludf.DUMMYFUNCTION("""COMPUTED_VALUE"""),"Building upon advancements in Large Language Models (LLMs), the field of audio processing has seen increased interest in training speech generation tasks with discrete speech token sequences. However, directly discretizing speech by neural audio codecs of"&amp;"ten results in sequences that fundamentally differ from text sequences. Unlike text, where text token sequences are deterministic, discrete speech tokens can exhibit significant variability based on contextual factors, while still producing perceptually i"&amp;"dentical audio segments. We refer to this phenomenon as Discrete Representation Inconsistency (DRI). This inconsistency can lead to a single speech segment being represented by multiple divergent sequences, which creates confusion in neural codec language"&amp;" models and results in poor generated speech. In this paper, we quantitatively analyze the DRI phenomenon within popular audio tokenizers such as EnCodec. Our approach effectively mitigates the DRI phenomenon of the neural audio codec. Furthermore, extens"&amp;"ive experiments on the neural codec language model over LibriTTS and large-scale MLS dataset (44,000 hours) demonstrate the effectiveness and generality of our method. The demo of audio samples is available at https://consistencyinneuralcodec.github.io.")</f>
        <v>Building upon advancements in Large Language Models (LLMs), the field of audio processing has seen increased interest in training speech generation tasks with discrete speech token sequences. However, directly discretizing speech by neural audio codecs often results in sequences that fundamentally differ from text sequences. Unlike text, where text token sequences are deterministic, discrete speech tokens can exhibit significant variability based on contextual factors, while still producing perceptually identical audio segments. We refer to this phenomenon as Discrete Representation Inconsistency (DRI). This inconsistency can lead to a single speech segment being represented by multiple divergent sequences, which creates confusion in neural codec language models and results in poor generated speech. In this paper, we quantitatively analyze the DRI phenomenon within popular audio tokenizers such as EnCodec. Our approach effectively mitigates the DRI phenomenon of the neural audio codec. Furthermore, extensive experiments on the neural codec language model over LibriTTS and large-scale MLS dataset (44,000 hours) demonstrate the effectiveness and generality of our method. The demo of audio samples is available at https://consistencyinneuralcodec.github.io.</v>
      </c>
      <c r="D3173" s="7" t="str">
        <f>IFERROR(__xludf.DUMMYFUNCTION("""COMPUTED_VALUE"""),"Wenrui Liu")</f>
        <v>Wenrui Liu</v>
      </c>
      <c r="E3173" s="7" t="str">
        <f>IFERROR(__xludf.DUMMYFUNCTION("""COMPUTED_VALUE"""),"Yes")</f>
        <v>Yes</v>
      </c>
      <c r="F3173" s="7" t="str">
        <f>IFERROR(__xludf.DUMMYFUNCTION("""COMPUTED_VALUE"""),"IP-Oral")</f>
        <v>IP-Oral</v>
      </c>
      <c r="G3173" s="7" t="str">
        <f>IFERROR(__xludf.DUMMYFUNCTION("""COMPUTED_VALUE"""),"In-Person")</f>
        <v>In-Person</v>
      </c>
      <c r="H3173" s="7" t="str">
        <f>IFERROR(__xludf.DUMMYFUNCTION("""COMPUTED_VALUE"""),"Room 1.61")</f>
        <v>Room 1.61</v>
      </c>
      <c r="I3173" s="7" t="str">
        <f>IFERROR(__xludf.DUMMYFUNCTION("""COMPUTED_VALUE"""),"Session 9: IP-Orals")</f>
        <v>Session 9: IP-Orals</v>
      </c>
      <c r="J3173" s="7" t="str">
        <f>IFERROR(__xludf.DUMMYFUNCTION("""COMPUTED_VALUE"""),"Speech Processing ")</f>
        <v>Speech Processing </v>
      </c>
      <c r="K3173" s="7"/>
      <c r="L3173" s="8">
        <f>IFERROR(__xludf.DUMMYFUNCTION("""COMPUTED_VALUE"""),45867.0)</f>
        <v>45867</v>
      </c>
      <c r="M3173" s="7" t="str">
        <f>IFERROR(__xludf.DUMMYFUNCTION("""COMPUTED_VALUE"""),"14:00-15:30")</f>
        <v>14:00-15:30</v>
      </c>
      <c r="N3173" s="7">
        <f>IFERROR(__xludf.DUMMYFUNCTION("""COMPUTED_VALUE"""),8.0)</f>
        <v>8</v>
      </c>
    </row>
    <row r="3174">
      <c r="A3174" s="7" t="str">
        <f>IFERROR(__xludf.DUMMYFUNCTION("""COMPUTED_VALUE"""),"4730-MAIN")</f>
        <v>4730-MAIN</v>
      </c>
      <c r="B3174" s="7" t="str">
        <f>IFERROR(__xludf.DUMMYFUNCTION("""COMPUTED_VALUE"""),"PlanningArena: A Modular Benchmark for Multidimensional Evaluation of Planning and Tool Learning")</f>
        <v>PlanningArena: A Modular Benchmark for Multidimensional Evaluation of Planning and Tool Learning</v>
      </c>
      <c r="C3174" s="7" t="str">
        <f>IFERROR(__xludf.DUMMYFUNCTION("""COMPUTED_VALUE"""),"One of the research focuses of large language models (LLMs) is the ability to generate action plans. Recent studies have revealed that the performance of LLMs can be significantly improved by integrating external tools. Based on this, we propose a benchma"&amp;"rk framework called PlanningArena, which aims to simulate real application scenarios and provide a series of apps and API tools that may be involved in the actual planning process. This framework adopts a modular task structure and combines user portrait "&amp;"analysis to evaluate the ability of LLMs in correctly selecting tools, logical reasoning in complex scenarios, and parsing user information. In addition, we deeply diagnose the task execution effect of LLMs from both macro and micro levels. The experiment"&amp;"al results show that even the most outstanding GPT-4o and DeepSeekV3 models only achieved a total score of 56.5% and 41.9% in PlanningArena, respectively, indicating that current LLMs still face challenges in logical reasoning, context memory, and tool ca"&amp;"lling when dealing with different structures, scenarios, and their complexity. Through this benchmark, we further explore the path to optimize LLMs to perform planning tasks.")</f>
        <v>One of the research focuses of large language models (LLMs) is the ability to generate action plans. Recent studies have revealed that the performance of LLMs can be significantly improved by integrating external tools. Based on this, we propose a benchmark framework called PlanningArena, which aims to simulate real application scenarios and provide a series of apps and API tools that may be involved in the actual planning process. This framework adopts a modular task structure and combines user portrait analysis to evaluate the ability of LLMs in correctly selecting tools, logical reasoning in complex scenarios, and parsing user information. In addition, we deeply diagnose the task execution effect of LLMs from both macro and micro levels. The experimental results show that even the most outstanding GPT-4o and DeepSeekV3 models only achieved a total score of 56.5% and 41.9% in PlanningArena, respectively, indicating that current LLMs still face challenges in logical reasoning, context memory, and tool calling when dealing with different structures, scenarios, and their complexity. Through this benchmark, we further explore the path to optimize LLMs to perform planning tasks.</v>
      </c>
      <c r="D3174" s="7" t="str">
        <f>IFERROR(__xludf.DUMMYFUNCTION("""COMPUTED_VALUE"""),"Zihan Zheng")</f>
        <v>Zihan Zheng</v>
      </c>
      <c r="E3174" s="7" t="str">
        <f>IFERROR(__xludf.DUMMYFUNCTION("""COMPUTED_VALUE"""),"Yes")</f>
        <v>Yes</v>
      </c>
      <c r="F3174" s="7" t="str">
        <f>IFERROR(__xludf.DUMMYFUNCTION("""COMPUTED_VALUE"""),"V-Presentation")</f>
        <v>V-Presentation</v>
      </c>
      <c r="G3174" s="7" t="str">
        <f>IFERROR(__xludf.DUMMYFUNCTION("""COMPUTED_VALUE"""),"Virtual/Gather")</f>
        <v>Virtual/Gather</v>
      </c>
      <c r="H3174" s="7" t="str">
        <f>IFERROR(__xludf.DUMMYFUNCTION("""COMPUTED_VALUE"""),"Zoom")</f>
        <v>Zoom</v>
      </c>
      <c r="I3174" s="7" t="str">
        <f>IFERROR(__xludf.DUMMYFUNCTION("""COMPUTED_VALUE"""),"Session 7: V--Presentations ")</f>
        <v>Session 7: V--Presentations </v>
      </c>
      <c r="J3174" s="7" t="str">
        <f>IFERROR(__xludf.DUMMYFUNCTION("""COMPUTED_VALUE"""),"Virtual Presentations 2")</f>
        <v>Virtual Presentations 2</v>
      </c>
      <c r="K3174" s="7"/>
      <c r="L3174" s="8"/>
      <c r="M3174" s="7" t="str">
        <f>IFERROR(__xludf.DUMMYFUNCTION("""COMPUTED_VALUE"""),"10:30-12:00")</f>
        <v>10:30-12:00</v>
      </c>
      <c r="N3174" s="7"/>
    </row>
    <row r="3175">
      <c r="A3175" s="7" t="str">
        <f>IFERROR(__xludf.DUMMYFUNCTION("""COMPUTED_VALUE"""),"4741-MAIN")</f>
        <v>4741-MAIN</v>
      </c>
      <c r="B3175" s="7" t="str">
        <f>IFERROR(__xludf.DUMMYFUNCTION("""COMPUTED_VALUE"""),"FocusLLM: Precise Understanding of Long Context by Dynamic Condensing")</f>
        <v>FocusLLM: Precise Understanding of Long Context by Dynamic Condensing</v>
      </c>
      <c r="C3175" s="7" t="str">
        <f>IFERROR(__xludf.DUMMYFUNCTION("""COMPUTED_VALUE"""),"Empowering LLMs with the ability to precisely understand long contexts is crucial for many downstream applications. However, handling long contexts with conventional transformer architecture requires substantial training and inference resources. Existing "&amp;"context condensing methods cannot accurately understand the full context, as there is a considerable amount of information loss in the condensing process. To address these issues, we present **FocusLLM**, a framework designed to extend the fixed context l"&amp;"ength of any decoder-only LLM, allowing the model to focus on relevant information from very long sequences. FocusLLM first divides long text input into chunks based on the model's original context length. It then employs the **_dynamic condensing_** proc"&amp;"ess to distill crucial information from each chunk. Ultimately, through the novel **_parallel decoding_** mechanism, FocusLLM can integrate the extracted information into its local context. FocusLLM stands out for great training efficiency and versatility"&amp;": trained with an 8K input length and with much less training cost than previous methods, FocusLLM exhibits superior performance across downstream tasks and maintains strong language modeling ability when handling extensive long texts, even up to 400K tok"&amp;"ens. Our code is available at https://github.com/leezythu/FocusLLM.")</f>
        <v>Empowering LLMs with the ability to precisely understand long contexts is crucial for many downstream applications. However, handling long contexts with conventional transformer architecture requires substantial training and inference resources. Existing context condensing methods cannot accurately understand the full context, as there is a considerable amount of information loss in the condensing process. To address these issues, we present **FocusLLM**, a framework designed to extend the fixed context length of any decoder-only LLM, allowing the model to focus on relevant information from very long sequences. FocusLLM first divides long text input into chunks based on the model's original context length. It then employs the **_dynamic condensing_** process to distill crucial information from each chunk. Ultimately, through the novel **_parallel decoding_** mechanism, FocusLLM can integrate the extracted information into its local context. FocusLLM stands out for great training efficiency and versatility: trained with an 8K input length and with much less training cost than previous methods, FocusLLM exhibits superior performance across downstream tasks and maintains strong language modeling ability when handling extensive long texts, even up to 400K tokens. Our code is available at https://github.com/leezythu/FocusLLM.</v>
      </c>
      <c r="D3175" s="7" t="str">
        <f>IFERROR(__xludf.DUMMYFUNCTION("""COMPUTED_VALUE"""),"Zhenyu Li")</f>
        <v>Zhenyu Li</v>
      </c>
      <c r="E3175" s="7" t="str">
        <f>IFERROR(__xludf.DUMMYFUNCTION("""COMPUTED_VALUE"""),"Yes")</f>
        <v>Yes</v>
      </c>
      <c r="F3175" s="7" t="str">
        <f>IFERROR(__xludf.DUMMYFUNCTION("""COMPUTED_VALUE"""),"IP-Poster")</f>
        <v>IP-Poster</v>
      </c>
      <c r="G3175" s="7" t="str">
        <f>IFERROR(__xludf.DUMMYFUNCTION("""COMPUTED_VALUE"""),"In-Person")</f>
        <v>In-Person</v>
      </c>
      <c r="H3175" s="7" t="str">
        <f>IFERROR(__xludf.DUMMYFUNCTION("""COMPUTED_VALUE"""),"Hall 4/5")</f>
        <v>Hall 4/5</v>
      </c>
      <c r="I3175" s="7" t="str">
        <f>IFERROR(__xludf.DUMMYFUNCTION("""COMPUTED_VALUE"""),"Session 12: IP-Posters")</f>
        <v>Session 12: IP-Posters</v>
      </c>
      <c r="J3175" s="7" t="str">
        <f>IFERROR(__xludf.DUMMYFUNCTION("""COMPUTED_VALUE"""),"Poster Session 4")</f>
        <v>Poster Session 4</v>
      </c>
      <c r="K3175" s="7"/>
      <c r="L3175" s="8">
        <f>IFERROR(__xludf.DUMMYFUNCTION("""COMPUTED_VALUE"""),45868.0)</f>
        <v>45868</v>
      </c>
      <c r="M3175" s="7" t="str">
        <f>IFERROR(__xludf.DUMMYFUNCTION("""COMPUTED_VALUE"""),"11:00-12:30")</f>
        <v>11:00-12:30</v>
      </c>
      <c r="N3175" s="7"/>
    </row>
    <row r="3176">
      <c r="A3176" s="7" t="str">
        <f>IFERROR(__xludf.DUMMYFUNCTION("""COMPUTED_VALUE"""),"4759-MAIN")</f>
        <v>4759-MAIN</v>
      </c>
      <c r="B3176" s="7" t="str">
        <f>IFERROR(__xludf.DUMMYFUNCTION("""COMPUTED_VALUE"""),"Negative Matters: Multi-Granularity Hard-Negative Synthesis and Anchor-Token-Aware Pooling for Enhanced Text Embeddings")</f>
        <v>Negative Matters: Multi-Granularity Hard-Negative Synthesis and Anchor-Token-Aware Pooling for Enhanced Text Embeddings</v>
      </c>
      <c r="C3176" s="7" t="str">
        <f>IFERROR(__xludf.DUMMYFUNCTION("""COMPUTED_VALUE"""),"Text embedding models are essential for various natural language processing tasks, enabling the effective encoding of semantic information into dense vector representations. These models are typically optimized using triplets of (query, positive, negative"&amp;") data pairs for contrastive learning, where the negative samples play a critical role in enhancing the model's ability to discern subtle semantic distinctions. In this work, we introduce a **M**ulti-**G**ranularity **H**ard-negative (MGH) synthesis frame"&amp;"work that leverages large language models (LLMs) to generate diverse negative samples with varying levels of similarity with the query. This approach facilitates a coarse-to-fine curriculum learning strategy during supervised training, allowing the embedd"&amp;"ing model to progressively learn more nuanced semantic representations. Meanwhile, we propose an **A**nchor **T**oken **A**ware (ATA) pooling method that assigns higher weights to anchor tokens based on aggregation patterns observed in LLMs, improving tex"&amp;"t embedding accuracy without increasing model complexity. Comprehensive experiments on the MTEB benchmark demonstrate that our methods achieve state-of-the-art performance, surpassing existing synthesis strategies both with synthetic data and when combine"&amp;"d with public retrieval datasets.")</f>
        <v>Text embedding models are essential for various natural language processing tasks, enabling the effective encoding of semantic information into dense vector representations. These models are typically optimized using triplets of (query, positive, negative) data pairs for contrastive learning, where the negative samples play a critical role in enhancing the model's ability to discern subtle semantic distinctions. In this work, we introduce a **M**ulti-**G**ranularity **H**ard-negative (MGH) synthesis framework that leverages large language models (LLMs) to generate diverse negative samples with varying levels of similarity with the query. This approach facilitates a coarse-to-fine curriculum learning strategy during supervised training, allowing the embedding model to progressively learn more nuanced semantic representations. Meanwhile, we propose an **A**nchor **T**oken **A**ware (ATA) pooling method that assigns higher weights to anchor tokens based on aggregation patterns observed in LLMs, improving text embedding accuracy without increasing model complexity. Comprehensive experiments on the MTEB benchmark demonstrate that our methods achieve state-of-the-art performance, surpassing existing synthesis strategies both with synthetic data and when combined with public retrieval datasets.</v>
      </c>
      <c r="D3176" s="7" t="str">
        <f>IFERROR(__xludf.DUMMYFUNCTION("""COMPUTED_VALUE"""),"Tengyu Pan")</f>
        <v>Tengyu Pan</v>
      </c>
      <c r="E3176" s="7" t="str">
        <f>IFERROR(__xludf.DUMMYFUNCTION("""COMPUTED_VALUE"""),"Yes")</f>
        <v>Yes</v>
      </c>
      <c r="F3176" s="7" t="str">
        <f>IFERROR(__xludf.DUMMYFUNCTION("""COMPUTED_VALUE"""),"IP-Poster")</f>
        <v>IP-Poster</v>
      </c>
      <c r="G3176" s="7" t="str">
        <f>IFERROR(__xludf.DUMMYFUNCTION("""COMPUTED_VALUE"""),"In-Person")</f>
        <v>In-Person</v>
      </c>
      <c r="H3176" s="7" t="str">
        <f>IFERROR(__xludf.DUMMYFUNCTION("""COMPUTED_VALUE"""),"Hall 4/5")</f>
        <v>Hall 4/5</v>
      </c>
      <c r="I3176" s="7" t="str">
        <f>IFERROR(__xludf.DUMMYFUNCTION("""COMPUTED_VALUE"""),"Session 12: IP-Posters")</f>
        <v>Session 12: IP-Posters</v>
      </c>
      <c r="J3176" s="7" t="str">
        <f>IFERROR(__xludf.DUMMYFUNCTION("""COMPUTED_VALUE"""),"Poster Session 4")</f>
        <v>Poster Session 4</v>
      </c>
      <c r="K3176" s="7"/>
      <c r="L3176" s="8">
        <f>IFERROR(__xludf.DUMMYFUNCTION("""COMPUTED_VALUE"""),45868.0)</f>
        <v>45868</v>
      </c>
      <c r="M3176" s="7" t="str">
        <f>IFERROR(__xludf.DUMMYFUNCTION("""COMPUTED_VALUE"""),"11:00-12:30")</f>
        <v>11:00-12:30</v>
      </c>
      <c r="N3176" s="7"/>
    </row>
    <row r="3177">
      <c r="A3177" s="7" t="str">
        <f>IFERROR(__xludf.DUMMYFUNCTION("""COMPUTED_VALUE"""),"4760-MAIN")</f>
        <v>4760-MAIN</v>
      </c>
      <c r="B3177" s="7" t="str">
        <f>IFERROR(__xludf.DUMMYFUNCTION("""COMPUTED_VALUE"""),"GPT-4 as a Homework Tutor Can Improve Student Engagement and Learning Outcomes")</f>
        <v>GPT-4 as a Homework Tutor Can Improve Student Engagement and Learning Outcomes</v>
      </c>
      <c r="C3177" s="7" t="str">
        <f>IFERROR(__xludf.DUMMYFUNCTION("""COMPUTED_VALUE"""),"This work contributes to the scarce empirical literature on LLM-based interactive homework in real-world educational settings and offers a practical, scalable solution to improve homework in schools. Homework is an important part of education in schools a"&amp;"cross the world, but to maximize benefit, it must be accompanied by feedback and follow-up questions. We developed a prompting strategy that enables GPT-4 to conduct interactive homework sessions for high school students learning English as a second langu"&amp;"age. Our strategy requires minimal effort in content preparation, one of the key challenges of alternatives such as home tutors or ITSs. We carried out a Randomized Controlled Trial (RCT) in four high-school classes, replacing traditional homework with GP"&amp;"T-4 homework sessions for the treatment group. We found that the treatment group had higher levels of satisfaction and desire to keep using the system among the students. This occurred without compromising learning outcomes, and one group even showed sign"&amp;"ificantly better learning gains.")</f>
        <v>This work contributes to the scarce empirical literature on LLM-based interactive homework in real-world educational settings and offers a practical, scalable solution to improve homework in schools. Homework is an important part of education in schools across the world, but to maximize benefit, it must be accompanied by feedback and follow-up questions. We developed a prompting strategy that enables GPT-4 to conduct interactive homework sessions for high school students learning English as a second language. Our strategy requires minimal effort in content preparation, one of the key challenges of alternatives such as home tutors or ITSs. We carried out a Randomized Controlled Trial (RCT) in four high-school classes, replacing traditional homework with GPT-4 homework sessions for the treatment group. We found that the treatment group had higher levels of satisfaction and desire to keep using the system among the students. This occurred without compromising learning outcomes, and one group even showed significantly better learning gains.</v>
      </c>
      <c r="D3177" s="7" t="str">
        <f>IFERROR(__xludf.DUMMYFUNCTION("""COMPUTED_VALUE"""),"Alessandro Vanzo")</f>
        <v>Alessandro Vanzo</v>
      </c>
      <c r="E3177" s="7" t="str">
        <f>IFERROR(__xludf.DUMMYFUNCTION("""COMPUTED_VALUE"""),"Yes")</f>
        <v>Yes</v>
      </c>
      <c r="F3177" s="7" t="str">
        <f>IFERROR(__xludf.DUMMYFUNCTION("""COMPUTED_VALUE"""),"IP-Poster")</f>
        <v>IP-Poster</v>
      </c>
      <c r="G3177" s="7" t="str">
        <f>IFERROR(__xludf.DUMMYFUNCTION("""COMPUTED_VALUE"""),"In-Person")</f>
        <v>In-Person</v>
      </c>
      <c r="H3177" s="7" t="str">
        <f>IFERROR(__xludf.DUMMYFUNCTION("""COMPUTED_VALUE"""),"Hall 4/5")</f>
        <v>Hall 4/5</v>
      </c>
      <c r="I3177" s="7" t="str">
        <f>IFERROR(__xludf.DUMMYFUNCTION("""COMPUTED_VALUE"""),"Session 2: IP-Posters ")</f>
        <v>Session 2: IP-Posters </v>
      </c>
      <c r="J3177" s="7" t="str">
        <f>IFERROR(__xludf.DUMMYFUNCTION("""COMPUTED_VALUE"""),"Poster Session 1")</f>
        <v>Poster Session 1</v>
      </c>
      <c r="K3177" s="7"/>
      <c r="L3177" s="8">
        <f>IFERROR(__xludf.DUMMYFUNCTION("""COMPUTED_VALUE"""),45866.0)</f>
        <v>45866</v>
      </c>
      <c r="M3177" s="7" t="str">
        <f>IFERROR(__xludf.DUMMYFUNCTION("""COMPUTED_VALUE"""),"11:00-12:30")</f>
        <v>11:00-12:30</v>
      </c>
      <c r="N3177" s="7"/>
    </row>
    <row r="3178">
      <c r="A3178" s="7" t="str">
        <f>IFERROR(__xludf.DUMMYFUNCTION("""COMPUTED_VALUE"""),"4761-MAIN")</f>
        <v>4761-MAIN</v>
      </c>
      <c r="B3178" s="7" t="str">
        <f>IFERROR(__xludf.DUMMYFUNCTION("""COMPUTED_VALUE"""),"Diffusion Models Through a Global Lens: Are They Culturally Inclusive?")</f>
        <v>Diffusion Models Through a Global Lens: Are They Culturally Inclusive?</v>
      </c>
      <c r="C3178" s="7" t="str">
        <f>IFERROR(__xludf.DUMMYFUNCTION("""COMPUTED_VALUE"""),"Text-to-image diffusion models have recently enabled the creation of visually compelling, detailed images from textual prompts. However, their ability to accurately represent various cultural nuances remains an open question. In our work, we introduce CUL"&amp;"TDIFF benchmark, evaluating whether state-of-the-art diffusion models can generate culturally specific images spanning ten countries. We show that these models often fail to generate cultural artifacts in architecture, clothing, and food, especially for u"&amp;"nderrepresented country regions, by conducting a fine-grained analysis of different similarity aspects, revealing significant disparities in cultural relevance, description fidelity, and realism compared to real-world reference images. With the collected "&amp;"human evaluations, we develop a neural-based image-image similarity metric, namely, CULTDIFF-S, to predict human judgment on real and generated images with cultural artifacts. Our work highlights the need for more inclusive generative AI systems and equit"&amp;"able dataset representation over a wide range of cultures.")</f>
        <v>Text-to-image diffusion models have recently enabled the creation of visually compelling, detailed images from textual prompts. However, their ability to accurately represent various cultural nuances remains an open question. In our work, we introduce CULTDIFF benchmark, evaluating whether state-of-the-art diffusion models can generate culturally specific images spanning ten countries. We show that these models often fail to generate cultural artifacts in architecture, clothing, and food, especially for underrepresented country regions, by conducting a fine-grained analysis of different similarity aspects, revealing significant disparities in cultural relevance, description fidelity, and realism compared to real-world reference images. With the collected human evaluations, we develop a neural-based image-image similarity metric, namely, CULTDIFF-S, to predict human judgment on real and generated images with cultural artifacts. Our work highlights the need for more inclusive generative AI systems and equitable dataset representation over a wide range of cultures.</v>
      </c>
      <c r="D3178" s="7" t="str">
        <f>IFERROR(__xludf.DUMMYFUNCTION("""COMPUTED_VALUE"""),"Zahra Bayramli and Ayhan Suleymanzade")</f>
        <v>Zahra Bayramli and Ayhan Suleymanzade</v>
      </c>
      <c r="E3178" s="7" t="str">
        <f>IFERROR(__xludf.DUMMYFUNCTION("""COMPUTED_VALUE"""),"Yes")</f>
        <v>Yes</v>
      </c>
      <c r="F3178" s="7" t="str">
        <f>IFERROR(__xludf.DUMMYFUNCTION("""COMPUTED_VALUE"""),"IP-Oral")</f>
        <v>IP-Oral</v>
      </c>
      <c r="G3178" s="7" t="str">
        <f>IFERROR(__xludf.DUMMYFUNCTION("""COMPUTED_VALUE"""),"In-Person")</f>
        <v>In-Person</v>
      </c>
      <c r="H3178" s="7" t="str">
        <f>IFERROR(__xludf.DUMMYFUNCTION("""COMPUTED_VALUE"""),"Hall M.2")</f>
        <v>Hall M.2</v>
      </c>
      <c r="I3178" s="7" t="str">
        <f>IFERROR(__xludf.DUMMYFUNCTION("""COMPUTED_VALUE"""),"Session 11: IP-Orals ")</f>
        <v>Session 11: IP-Orals </v>
      </c>
      <c r="J3178" s="7" t="str">
        <f>IFERROR(__xludf.DUMMYFUNCTION("""COMPUTED_VALUE"""),"Multimodality and Language Grounding 2")</f>
        <v>Multimodality and Language Grounding 2</v>
      </c>
      <c r="K3178" s="7"/>
      <c r="L3178" s="8">
        <f>IFERROR(__xludf.DUMMYFUNCTION("""COMPUTED_VALUE"""),45868.0)</f>
        <v>45868</v>
      </c>
      <c r="M3178" s="7" t="str">
        <f>IFERROR(__xludf.DUMMYFUNCTION("""COMPUTED_VALUE"""),"09:00-10:30")</f>
        <v>09:00-10:30</v>
      </c>
      <c r="N3178" s="7">
        <f>IFERROR(__xludf.DUMMYFUNCTION("""COMPUTED_VALUE"""),8.0)</f>
        <v>8</v>
      </c>
    </row>
    <row r="3179">
      <c r="A3179" s="7" t="str">
        <f>IFERROR(__xludf.DUMMYFUNCTION("""COMPUTED_VALUE"""),"4762-MAIN")</f>
        <v>4762-MAIN</v>
      </c>
      <c r="B3179" s="7" t="str">
        <f>IFERROR(__xludf.DUMMYFUNCTION("""COMPUTED_VALUE"""),"Representation-based Reward Modeling for Efficient Safety Alignment of Large Language Model")</f>
        <v>Representation-based Reward Modeling for Efficient Safety Alignment of Large Language Model</v>
      </c>
      <c r="C3179" s="7" t="str">
        <f>IFERROR(__xludf.DUMMYFUNCTION("""COMPUTED_VALUE"""),"Reinforcement Learning (RL) algorithms for safety alignment of Large Language Models (LLMs), such as Direct Preference Optimization (DPO), encounter the challenge of distribution shift. 
Current approaches typically address this issue through online sampl"&amp;"ing from the target policy, which requires significant computational resources.
In this paper, we hypothesize that during off-policy training, while the ranking order of output generated by policy changes, their overall distribution remains relatively sta"&amp;"ble.
This stability allows the conversion of the sampling process from the target policy into a computationally
efficient re-ranking of preference data.
Building on this hypothesis, we propose a new framework that leverages the model's intrinsic safety ju"&amp;"dgment capability to extract reward signals, which are then used to calculate label confidence for preference reordering. 
Extensive experiments and theoretical analysis demonstrate that the proposed method effectively addresses the distribution shift iss"&amp;"ue, 
remarkably enhancing the safety performance while avoiding about 300x computational overheads.")</f>
        <v>Reinforcement Learning (RL) algorithms for safety alignment of Large Language Models (LLMs), such as Direct Preference Optimization (DPO), encounter the challenge of distribution shift. 
Current approaches typically address this issue through online sampling from the target policy, which requires significant computational resources.
In this paper, we hypothesize that during off-policy training, while the ranking order of output generated by policy changes, their overall distribution remains relatively stable.
This stability allows the conversion of the sampling process from the target policy into a computationally
efficient re-ranking of preference data.
Building on this hypothesis, we propose a new framework that leverages the model's intrinsic safety judgment capability to extract reward signals, which are then used to calculate label confidence for preference reordering. 
Extensive experiments and theoretical analysis demonstrate that the proposed method effectively addresses the distribution shift issue, 
remarkably enhancing the safety performance while avoiding about 300x computational overheads.</v>
      </c>
      <c r="D3179" s="7" t="str">
        <f>IFERROR(__xludf.DUMMYFUNCTION("""COMPUTED_VALUE"""),"Qiyuan Deng")</f>
        <v>Qiyuan Deng</v>
      </c>
      <c r="E3179" s="7" t="str">
        <f>IFERROR(__xludf.DUMMYFUNCTION("""COMPUTED_VALUE"""),"Yes")</f>
        <v>Yes</v>
      </c>
      <c r="F3179" s="7" t="str">
        <f>IFERROR(__xludf.DUMMYFUNCTION("""COMPUTED_VALUE"""),"IP-Poster")</f>
        <v>IP-Poster</v>
      </c>
      <c r="G3179" s="7" t="str">
        <f>IFERROR(__xludf.DUMMYFUNCTION("""COMPUTED_VALUE"""),"In-Person")</f>
        <v>In-Person</v>
      </c>
      <c r="H3179" s="7" t="str">
        <f>IFERROR(__xludf.DUMMYFUNCTION("""COMPUTED_VALUE"""),"Hall 4/5")</f>
        <v>Hall 4/5</v>
      </c>
      <c r="I3179" s="7" t="str">
        <f>IFERROR(__xludf.DUMMYFUNCTION("""COMPUTED_VALUE"""),"Session 7: IP-Posters")</f>
        <v>Session 7: IP-Posters</v>
      </c>
      <c r="J3179" s="7" t="str">
        <f>IFERROR(__xludf.DUMMYFUNCTION("""COMPUTED_VALUE"""),"Poster Session 2")</f>
        <v>Poster Session 2</v>
      </c>
      <c r="K3179" s="7"/>
      <c r="L3179" s="8">
        <f>IFERROR(__xludf.DUMMYFUNCTION("""COMPUTED_VALUE"""),45867.0)</f>
        <v>45867</v>
      </c>
      <c r="M3179" s="7" t="str">
        <f>IFERROR(__xludf.DUMMYFUNCTION("""COMPUTED_VALUE"""),"10:30-12:00")</f>
        <v>10:30-12:00</v>
      </c>
      <c r="N3179" s="7"/>
    </row>
    <row r="3180">
      <c r="A3180" s="7" t="str">
        <f>IFERROR(__xludf.DUMMYFUNCTION("""COMPUTED_VALUE"""),"4767-MAIN")</f>
        <v>4767-MAIN</v>
      </c>
      <c r="B3180" s="7" t="str">
        <f>IFERROR(__xludf.DUMMYFUNCTION("""COMPUTED_VALUE"""),"English-based acoustic models perform well in the forced-alignment of two English-Based Pacific Creoles")</f>
        <v>English-based acoustic models perform well in the forced-alignment of two English-Based Pacific Creoles</v>
      </c>
      <c r="C3180" s="7" t="str">
        <f>IFERROR(__xludf.DUMMYFUNCTION("""COMPUTED_VALUE"""),"Expanding the breadth languages used to study sociophonetic variation and change is an important step in the theoretical development of sociophonetics. As data archives grow, forced alignment can accelerate the study of sociophonetic variation in minority"&amp;" languages. This paper examines the application of English and custom-made acoustic models on the alignment of vowels in two Pacific Creoles, Tok Pisin (59 hours) and Bislama (38.5 hours). We find that English models perform acceptably well in both langua"&amp;"ges, and as well as humans in vowel environments described as 'Highly Reliable'. Custom models performed better in Bislama than Tok Pisin. We end the paper with recommendations on the use of cross-linguistic acoustic models in the case of English-Based Cr"&amp;"eoles.")</f>
        <v>Expanding the breadth languages used to study sociophonetic variation and change is an important step in the theoretical development of sociophonetics. As data archives grow, forced alignment can accelerate the study of sociophonetic variation in minority languages. This paper examines the application of English and custom-made acoustic models on the alignment of vowels in two Pacific Creoles, Tok Pisin (59 hours) and Bislama (38.5 hours). We find that English models perform acceptably well in both languages, and as well as humans in vowel environments described as 'Highly Reliable'. Custom models performed better in Bislama than Tok Pisin. We end the paper with recommendations on the use of cross-linguistic acoustic models in the case of English-Based Creoles.</v>
      </c>
      <c r="D3180" s="7" t="str">
        <f>IFERROR(__xludf.DUMMYFUNCTION("""COMPUTED_VALUE"""),"Sam Passmore")</f>
        <v>Sam Passmore</v>
      </c>
      <c r="E3180" s="7" t="str">
        <f>IFERROR(__xludf.DUMMYFUNCTION("""COMPUTED_VALUE"""),"Yes")</f>
        <v>Yes</v>
      </c>
      <c r="F3180" s="7" t="str">
        <f>IFERROR(__xludf.DUMMYFUNCTION("""COMPUTED_VALUE"""),"V-Presentation")</f>
        <v>V-Presentation</v>
      </c>
      <c r="G3180" s="7" t="str">
        <f>IFERROR(__xludf.DUMMYFUNCTION("""COMPUTED_VALUE"""),"Virtual/Gather")</f>
        <v>Virtual/Gather</v>
      </c>
      <c r="H3180" s="7" t="str">
        <f>IFERROR(__xludf.DUMMYFUNCTION("""COMPUTED_VALUE"""),"Zoom")</f>
        <v>Zoom</v>
      </c>
      <c r="I3180" s="7" t="str">
        <f>IFERROR(__xludf.DUMMYFUNCTION("""COMPUTED_VALUE"""),"Session 7: V--Presentations ")</f>
        <v>Session 7: V--Presentations </v>
      </c>
      <c r="J3180" s="7" t="str">
        <f>IFERROR(__xludf.DUMMYFUNCTION("""COMPUTED_VALUE"""),"Virtual Presentations 2")</f>
        <v>Virtual Presentations 2</v>
      </c>
      <c r="K3180" s="7"/>
      <c r="L3180" s="8"/>
      <c r="M3180" s="7" t="str">
        <f>IFERROR(__xludf.DUMMYFUNCTION("""COMPUTED_VALUE"""),"10:30-12:00")</f>
        <v>10:30-12:00</v>
      </c>
      <c r="N3180" s="7"/>
    </row>
    <row r="3181">
      <c r="A3181" s="7" t="str">
        <f>IFERROR(__xludf.DUMMYFUNCTION("""COMPUTED_VALUE"""),"4775-MAIN")</f>
        <v>4775-MAIN</v>
      </c>
      <c r="B3181" s="7" t="str">
        <f>IFERROR(__xludf.DUMMYFUNCTION("""COMPUTED_VALUE"""),"Subtle Errors in Reasoning: Preference Learning via Error-injected Self-editing")</f>
        <v>Subtle Errors in Reasoning: Preference Learning via Error-injected Self-editing</v>
      </c>
      <c r="C3181" s="7" t="str">
        <f>IFERROR(__xludf.DUMMYFUNCTION("""COMPUTED_VALUE"""),"Large Language Models (LLMs) have exhibited strong mathematical reasoning prowess, tackling tasks ranging from basic arithmetic to advanced competition-level problems. However, frequently occurring subtle yet critical errors, such as miscalculations or in"&amp;"correct substitutions, limit the LLMs' full potential. Existing studies to improve mathematical ability typically involve applying preference learning to step-wise solution pairs. Although these methods leverage samples of varying granularity to mitigate "&amp;"reasoning errors, they overlook critical subtle errors. In this work, we propose a novel preference learning framework called eRror-Injected Self-Editing (RISE), which injects predefined subtle errors into pivotal tokens in reasoning or computation steps "&amp;"to construct hard pairs for error mitigation. In detail, RISE uses the LLM itself to edit a small number of tokens in the solution, injecting designed subtle errors. Then, pairs composed of self-edited solutions and their corresponding correct ones, along"&amp;" with pairs of correct and incorrect solutions obtained through sampling, are used together for subtle error-aware DPO training. Compared with other preference learning methods, RISE further refines the training objective without requiring fine-grained sa"&amp;"mpling or preference annotation. Extensive experiments validate the effectiveness of RISE, with preference learning on Qwen2-7B-Instruct yielding notable improvements of 3.0% on GSM8K and 7.9% on MATH with only 4.5K training samples. Moreover, the effect "&amp;"of error mitigation extends from mathematical reasoning to logical reasoning and code generation.")</f>
        <v>Large Language Models (LLMs) have exhibited strong mathematical reasoning prowess, tackling tasks ranging from basic arithmetic to advanced competition-level problems. However, frequently occurring subtle yet critical errors, such as miscalculations or incorrect substitutions, limit the LLMs' full potential. Existing studies to improve mathematical ability typically involve applying preference learning to step-wise solution pairs. Although these methods leverage samples of varying granularity to mitigate reasoning errors, they overlook critical subtle errors. In this work, we propose a novel preference learning framework called eRror-Injected Self-Editing (RISE), which injects predefined subtle errors into pivotal tokens in reasoning or computation steps to construct hard pairs for error mitigation. In detail, RISE uses the LLM itself to edit a small number of tokens in the solution, injecting designed subtle errors. Then, pairs composed of self-edited solutions and their corresponding correct ones, along with pairs of correct and incorrect solutions obtained through sampling, are used together for subtle error-aware DPO training. Compared with other preference learning methods, RISE further refines the training objective without requiring fine-grained sampling or preference annotation. Extensive experiments validate the effectiveness of RISE, with preference learning on Qwen2-7B-Instruct yielding notable improvements of 3.0% on GSM8K and 7.9% on MATH with only 4.5K training samples. Moreover, the effect of error mitigation extends from mathematical reasoning to logical reasoning and code generation.</v>
      </c>
      <c r="D3181" s="7" t="str">
        <f>IFERROR(__xludf.DUMMYFUNCTION("""COMPUTED_VALUE"""),"Kaishuai Xu")</f>
        <v>Kaishuai Xu</v>
      </c>
      <c r="E3181" s="7" t="str">
        <f>IFERROR(__xludf.DUMMYFUNCTION("""COMPUTED_VALUE"""),"Yes")</f>
        <v>Yes</v>
      </c>
      <c r="F3181" s="7" t="str">
        <f>IFERROR(__xludf.DUMMYFUNCTION("""COMPUTED_VALUE"""),"IP-Poster")</f>
        <v>IP-Poster</v>
      </c>
      <c r="G3181" s="7" t="str">
        <f>IFERROR(__xludf.DUMMYFUNCTION("""COMPUTED_VALUE"""),"In-Person")</f>
        <v>In-Person</v>
      </c>
      <c r="H3181" s="7" t="str">
        <f>IFERROR(__xludf.DUMMYFUNCTION("""COMPUTED_VALUE"""),"Hall 4/5")</f>
        <v>Hall 4/5</v>
      </c>
      <c r="I3181" s="7" t="str">
        <f>IFERROR(__xludf.DUMMYFUNCTION("""COMPUTED_VALUE"""),"Session 10: IP-Posters")</f>
        <v>Session 10: IP-Posters</v>
      </c>
      <c r="J3181" s="7" t="str">
        <f>IFERROR(__xludf.DUMMYFUNCTION("""COMPUTED_VALUE"""),"Poster Session 3")</f>
        <v>Poster Session 3</v>
      </c>
      <c r="K3181" s="7"/>
      <c r="L3181" s="8">
        <f>IFERROR(__xludf.DUMMYFUNCTION("""COMPUTED_VALUE"""),45867.0)</f>
        <v>45867</v>
      </c>
      <c r="M3181" s="7" t="str">
        <f>IFERROR(__xludf.DUMMYFUNCTION("""COMPUTED_VALUE"""),"16:00-17:30")</f>
        <v>16:00-17:30</v>
      </c>
      <c r="N3181" s="7"/>
    </row>
    <row r="3182">
      <c r="A3182" s="7" t="str">
        <f>IFERROR(__xludf.DUMMYFUNCTION("""COMPUTED_VALUE"""),"4777-MAIN")</f>
        <v>4777-MAIN</v>
      </c>
      <c r="B3182" s="7" t="str">
        <f>IFERROR(__xludf.DUMMYFUNCTION("""COMPUTED_VALUE"""),"Truth Knows No Language: Evaluating Truthfulness Beyond English")</f>
        <v>Truth Knows No Language: Evaluating Truthfulness Beyond English</v>
      </c>
      <c r="C3182" s="7" t="str">
        <f>IFERROR(__xludf.DUMMYFUNCTION("""COMPUTED_VALUE"""),"We introduce a professionally translated extension of the TruthfulQA benchmark designed to evaluate truthfulness in Basque, Catalan, Galician, and Spanish. Truthfulness evaluations of large language models (LLMs) have primarily been focused on English. Ho"&amp;"wever, the ability of LLMs to maintain truthfulness across languages remains under-explored. Our study evaluates 12 state-of-the-art open LLMs, comparing base and instruction-tuned models using human evaluation, multiple-choice metrics, and LLM-as-a-Judge"&amp;" scoring. Our findings reveal that, while LLMs perform best in English and worst in Basque (the lowest-resourced language), overall truthfulness discrepancies across languages are smaller than anticipated. Furthermore, we show that LLM-as-a-Judge correlat"&amp;"es more closely with human judgments than multiple-choice metrics, and that informativeness plays a critical role in truthfulness assessment. Our results also indicate that machine translation provides a viable approach for extending truthfulness benchmar"&amp;"ks to additional languages, offering a scalable alternative to professional translation. Finally, we observe that universal knowledge questions are better handled across languages than context- and time-dependent ones, highlighting the need for truthfulne"&amp;"ss evaluations that account for cultural and temporal variability. Datasets, models and code are publicly available under open licenses.")</f>
        <v>We introduce a professionally translated extension of the TruthfulQA benchmark designed to evaluate truthfulness in Basque, Catalan, Galician, and Spanish. Truthfulness evaluations of large language models (LLMs) have primarily been focused on English. However, the ability of LLMs to maintain truthfulness across languages remains under-explored. Our study evaluates 12 state-of-the-art open LLMs, comparing base and instruction-tuned models using human evaluation, multiple-choice metrics, and LLM-as-a-Judge scoring. Our findings reveal that, while LLMs perform best in English and worst in Basque (the lowest-resourced language), overall truthfulness discrepancies across languages are smaller than anticipated. Furthermore, we show that LLM-as-a-Judge correlates more closely with human judgments than multiple-choice metrics, and that informativeness plays a critical role in truthfulness assessment. Our results also indicate that machine translation provides a viable approach for extending truthfulness benchmarks to additional languages, offering a scalable alternative to professional translation. Finally, we observe that universal knowledge questions are better handled across languages than context- and time-dependent ones, highlighting the need for truthfulness evaluations that account for cultural and temporal variability. Datasets, models and code are publicly available under open licenses.</v>
      </c>
      <c r="D3182" s="7" t="str">
        <f>IFERROR(__xludf.DUMMYFUNCTION("""COMPUTED_VALUE"""),"Blanca Calvo Figueras")</f>
        <v>Blanca Calvo Figueras</v>
      </c>
      <c r="E3182" s="7" t="str">
        <f>IFERROR(__xludf.DUMMYFUNCTION("""COMPUTED_VALUE"""),"Yes")</f>
        <v>Yes</v>
      </c>
      <c r="F3182" s="7" t="str">
        <f>IFERROR(__xludf.DUMMYFUNCTION("""COMPUTED_VALUE"""),"IP-Poster")</f>
        <v>IP-Poster</v>
      </c>
      <c r="G3182" s="7" t="str">
        <f>IFERROR(__xludf.DUMMYFUNCTION("""COMPUTED_VALUE"""),"In-Person")</f>
        <v>In-Person</v>
      </c>
      <c r="H3182" s="7" t="str">
        <f>IFERROR(__xludf.DUMMYFUNCTION("""COMPUTED_VALUE"""),"Hall 4/5")</f>
        <v>Hall 4/5</v>
      </c>
      <c r="I3182" s="7" t="str">
        <f>IFERROR(__xludf.DUMMYFUNCTION("""COMPUTED_VALUE"""),"Session 7: IP-Posters")</f>
        <v>Session 7: IP-Posters</v>
      </c>
      <c r="J3182" s="7" t="str">
        <f>IFERROR(__xludf.DUMMYFUNCTION("""COMPUTED_VALUE"""),"Poster Session 2")</f>
        <v>Poster Session 2</v>
      </c>
      <c r="K3182" s="7"/>
      <c r="L3182" s="8">
        <f>IFERROR(__xludf.DUMMYFUNCTION("""COMPUTED_VALUE"""),45867.0)</f>
        <v>45867</v>
      </c>
      <c r="M3182" s="7" t="str">
        <f>IFERROR(__xludf.DUMMYFUNCTION("""COMPUTED_VALUE"""),"10:30-12:00")</f>
        <v>10:30-12:00</v>
      </c>
      <c r="N3182" s="7"/>
    </row>
    <row r="3183">
      <c r="A3183" s="7" t="str">
        <f>IFERROR(__xludf.DUMMYFUNCTION("""COMPUTED_VALUE"""),"4783-MAIN")</f>
        <v>4783-MAIN</v>
      </c>
      <c r="B3183" s="7" t="str">
        <f>IFERROR(__xludf.DUMMYFUNCTION("""COMPUTED_VALUE"""),"Revisiting Compositional Generalization Capability of Large Language Models Considering Instruction Following Ability")</f>
        <v>Revisiting Compositional Generalization Capability of Large Language Models Considering Instruction Following Ability</v>
      </c>
      <c r="C3183" s="7" t="str">
        <f>IFERROR(__xludf.DUMMYFUNCTION("""COMPUTED_VALUE"""),"In generative commonsense reasoning tasks such as CommonGen, generative large language models (LLMs) compose sentences that include all given concepts. However, when focusing on instruction-following capabilities, if a prompt specifies a concept order, LL"&amp;"Ms must generate sentences that adhere to the specified order. To address this, we propose Ordered CommonGen, a benchmark designed to evaluate the compositional generalization and instruction-following abilities of LLMs. This benchmark measures ordered co"&amp;"verage to assess whether concepts are generated in the specified order, enabling a simultaneous evaluation of both abilities. We conducted a comprehensive analysis using 36 LLMs and found that, while LLMs generally understand the intent of instructions, b"&amp;"iases toward specific concept order patterns often lead to low-diversity outputs or identical results even when the concept order is altered. Moreover, even the most instruction-compliant LLM achieved only about 75% ordered coverage, highlighting the need"&amp;" for improvements in both instruction-following and compositional generalization capabilities.")</f>
        <v>In generative commonsense reasoning tasks such as CommonGen, generative large language models (LLMs) compose sentences that include all given concepts. However, when focusing on instruction-following capabilities, if a prompt specifies a concept order, LLMs must generate sentences that adhere to the specified order. To address this, we propose Ordered CommonGen, a benchmark designed to evaluate the compositional generalization and instruction-following abilities of LLMs. This benchmark measures ordered coverage to assess whether concepts are generated in the specified order, enabling a simultaneous evaluation of both abilities. We conducted a comprehensive analysis using 36 LLMs and found that, while LLMs generally understand the intent of instructions, biases toward specific concept order patterns often lead to low-diversity outputs or identical results even when the concept order is altered. Moreover, even the most instruction-compliant LLM achieved only about 75% ordered coverage, highlighting the need for improvements in both instruction-following and compositional generalization capabilities.</v>
      </c>
      <c r="D3183" s="7" t="str">
        <f>IFERROR(__xludf.DUMMYFUNCTION("""COMPUTED_VALUE"""),"Yusuke Sakai")</f>
        <v>Yusuke Sakai</v>
      </c>
      <c r="E3183" s="7" t="str">
        <f>IFERROR(__xludf.DUMMYFUNCTION("""COMPUTED_VALUE"""),"Yes")</f>
        <v>Yes</v>
      </c>
      <c r="F3183" s="7" t="str">
        <f>IFERROR(__xludf.DUMMYFUNCTION("""COMPUTED_VALUE"""),"IP-Oral")</f>
        <v>IP-Oral</v>
      </c>
      <c r="G3183" s="7" t="str">
        <f>IFERROR(__xludf.DUMMYFUNCTION("""COMPUTED_VALUE"""),"In-Person")</f>
        <v>In-Person</v>
      </c>
      <c r="H3183" s="7" t="str">
        <f>IFERROR(__xludf.DUMMYFUNCTION("""COMPUTED_VALUE"""),"Hall A ")</f>
        <v>Hall A </v>
      </c>
      <c r="I3183" s="7" t="str">
        <f>IFERROR(__xludf.DUMMYFUNCTION("""COMPUTED_VALUE"""),"Session 11: IP-Orals ")</f>
        <v>Session 11: IP-Orals </v>
      </c>
      <c r="J3183" s="7" t="str">
        <f>IFERROR(__xludf.DUMMYFUNCTION("""COMPUTED_VALUE"""),"Panel 1: Generalisation of NLP models ")</f>
        <v>Panel 1: Generalisation of NLP models </v>
      </c>
      <c r="K3183" s="7"/>
      <c r="L3183" s="8">
        <f>IFERROR(__xludf.DUMMYFUNCTION("""COMPUTED_VALUE"""),45868.0)</f>
        <v>45868</v>
      </c>
      <c r="M3183" s="7" t="str">
        <f>IFERROR(__xludf.DUMMYFUNCTION("""COMPUTED_VALUE"""),"09:00-10:30")</f>
        <v>09:00-10:30</v>
      </c>
      <c r="N3183" s="7">
        <f>IFERROR(__xludf.DUMMYFUNCTION("""COMPUTED_VALUE"""),4.0)</f>
        <v>4</v>
      </c>
    </row>
    <row r="3184">
      <c r="A3184" s="7" t="str">
        <f>IFERROR(__xludf.DUMMYFUNCTION("""COMPUTED_VALUE"""),"4790-MAIN")</f>
        <v>4790-MAIN</v>
      </c>
      <c r="B3184" s="7" t="str">
        <f>IFERROR(__xludf.DUMMYFUNCTION("""COMPUTED_VALUE"""),"Batayan: A Filipino NLP benchmark for evaluating Large Language Models")</f>
        <v>Batayan: A Filipino NLP benchmark for evaluating Large Language Models</v>
      </c>
      <c r="C3184" s="7" t="str">
        <f>IFERROR(__xludf.DUMMYFUNCTION("""COMPUTED_VALUE"""),"Recent advances in large language models (LLMs) have demonstrated remarkable capabilities on widely benchmarked high-resource languages. However, linguistic nuances of under-resourced languages remain unexplored. We introduce Batayan, a holistic Filipino "&amp;"benchmark that systematically evaluates LLMs across three key natural language processing (NLP) competencies: understanding, reasoning, and generation. Batayan consolidates eight tasks, three of which have not existed prior for Filipino corpora, covering "&amp;"both Tagalog and code-switched Taglish utterances. Our rigorous, native-speaker-driven adaptation and validation processes ensures fluency and authenticity to the complex morphological and syntactic structures of Filipino, alleviating the pervasive transl"&amp;"ationese bias in existing Filipino corpora. We report empirical results on a variety of open-source and commercial LLMs, highlighting significant performance gaps that signal the under-representation of Filipino in pre-training corpora, the unique hurdles"&amp;" in modeling Filipino's rich morphology and construction, and the importance of explicit Filipino language support. Moreover, we discuss the practical challenges encountered in dataset construction and propose principled solutions for building culturally "&amp;"and linguistically-faithful resources in under-represented languages. We also provide a public evaluation suite as a clear foundation for iterative, community-driven progress in Filipino NLP.")</f>
        <v>Recent advances in large language models (LLMs) have demonstrated remarkable capabilities on widely benchmarked high-resource languages. However, linguistic nuances of under-resourced languages remain unexplored. We introduce Batayan, a holistic Filipino benchmark that systematically evaluates LLMs across three key natural language processing (NLP) competencies: understanding, reasoning, and generation. Batayan consolidates eight tasks, three of which have not existed prior for Filipino corpora, covering both Tagalog and code-switched Taglish utterances. Our rigorous, native-speaker-driven adaptation and validation processes ensures fluency and authenticity to the complex morphological and syntactic structures of Filipino, alleviating the pervasive translationese bias in existing Filipino corpora. We report empirical results on a variety of open-source and commercial LLMs, highlighting significant performance gaps that signal the under-representation of Filipino in pre-training corpora, the unique hurdles in modeling Filipino's rich morphology and construction, and the importance of explicit Filipino language support. Moreover, we discuss the practical challenges encountered in dataset construction and propose principled solutions for building culturally and linguistically-faithful resources in under-represented languages. We also provide a public evaluation suite as a clear foundation for iterative, community-driven progress in Filipino NLP.</v>
      </c>
      <c r="D3184" s="7" t="str">
        <f>IFERROR(__xludf.DUMMYFUNCTION("""COMPUTED_VALUE"""),"Jann Railey Montalan")</f>
        <v>Jann Railey Montalan</v>
      </c>
      <c r="E3184" s="7" t="str">
        <f>IFERROR(__xludf.DUMMYFUNCTION("""COMPUTED_VALUE"""),"Yes")</f>
        <v>Yes</v>
      </c>
      <c r="F3184" s="7" t="str">
        <f>IFERROR(__xludf.DUMMYFUNCTION("""COMPUTED_VALUE"""),"IP-Poster")</f>
        <v>IP-Poster</v>
      </c>
      <c r="G3184" s="7" t="str">
        <f>IFERROR(__xludf.DUMMYFUNCTION("""COMPUTED_VALUE"""),"In-Person")</f>
        <v>In-Person</v>
      </c>
      <c r="H3184" s="7" t="str">
        <f>IFERROR(__xludf.DUMMYFUNCTION("""COMPUTED_VALUE"""),"Hall 4/5")</f>
        <v>Hall 4/5</v>
      </c>
      <c r="I3184" s="7" t="str">
        <f>IFERROR(__xludf.DUMMYFUNCTION("""COMPUTED_VALUE"""),"Session 12: IP-Posters")</f>
        <v>Session 12: IP-Posters</v>
      </c>
      <c r="J3184" s="7" t="str">
        <f>IFERROR(__xludf.DUMMYFUNCTION("""COMPUTED_VALUE"""),"Poster Session 4")</f>
        <v>Poster Session 4</v>
      </c>
      <c r="K3184" s="7"/>
      <c r="L3184" s="8">
        <f>IFERROR(__xludf.DUMMYFUNCTION("""COMPUTED_VALUE"""),45868.0)</f>
        <v>45868</v>
      </c>
      <c r="M3184" s="7" t="str">
        <f>IFERROR(__xludf.DUMMYFUNCTION("""COMPUTED_VALUE"""),"11:00-12:30")</f>
        <v>11:00-12:30</v>
      </c>
      <c r="N3184" s="7"/>
    </row>
    <row r="3185">
      <c r="A3185" s="7" t="str">
        <f>IFERROR(__xludf.DUMMYFUNCTION("""COMPUTED_VALUE"""),"4793-MAIN")</f>
        <v>4793-MAIN</v>
      </c>
      <c r="B3185" s="7" t="str">
        <f>IFERROR(__xludf.DUMMYFUNCTION("""COMPUTED_VALUE"""),"HintsOfTruth: A Multimodal Checkworthiness Detection Dataset with Real and Synthetic Claims")</f>
        <v>HintsOfTruth: A Multimodal Checkworthiness Detection Dataset with Real and Synthetic Claims</v>
      </c>
      <c r="C3185" s="7" t="str">
        <f>IFERROR(__xludf.DUMMYFUNCTION("""COMPUTED_VALUE"""),"Misinformation can be countered with fact-checking, but the process is costly and slow. Identifying checkworthy claims is the first step, where automation can help scale fact-checkers' efforts. However, detection methods struggle with content that is (1) "&amp;"multimodal, (2) from diverse domains, and (3) synthetic. We introduce HintsOfTruth, a public dataset for multimodal checkworthiness detection with 27K real-world and synthetic image/claim pairs. The mix of real and synthetic data makes this dataset unique"&amp;" and ideal for benchmarking detection methods. We compare fine-tuned and prompted Large Language Models (LLMs). We find that well-configured lightweight text-based encoders perform comparably to multimodal models but the former only focus on identifying n"&amp;"on-claim-like content. Multimodal LLMs can be more accurate but come at a significant computational cost, making them impractical for large-scale applications. When faced with synthetic data, multimodal models perform more robustly.")</f>
        <v>Misinformation can be countered with fact-checking, but the process is costly and slow. Identifying checkworthy claims is the first step, where automation can help scale fact-checkers' efforts. However, detection methods struggle with content that is (1) multimodal, (2) from diverse domains, and (3) synthetic. We introduce HintsOfTruth, a public dataset for multimodal checkworthiness detection with 27K real-world and synthetic image/claim pairs. The mix of real and synthetic data makes this dataset unique and ideal for benchmarking detection methods. We compare fine-tuned and prompted Large Language Models (LLMs). We find that well-configured lightweight text-based encoders perform comparably to multimodal models but the former only focus on identifying non-claim-like content. Multimodal LLMs can be more accurate but come at a significant computational cost, making them impractical for large-scale applications. When faced with synthetic data, multimodal models perform more robustly.</v>
      </c>
      <c r="D3185" s="7" t="str">
        <f>IFERROR(__xludf.DUMMYFUNCTION("""COMPUTED_VALUE"""),"Michiel van der Meer")</f>
        <v>Michiel van der Meer</v>
      </c>
      <c r="E3185" s="7" t="str">
        <f>IFERROR(__xludf.DUMMYFUNCTION("""COMPUTED_VALUE"""),"Yes")</f>
        <v>Yes</v>
      </c>
      <c r="F3185" s="7" t="str">
        <f>IFERROR(__xludf.DUMMYFUNCTION("""COMPUTED_VALUE"""),"IP-Poster")</f>
        <v>IP-Poster</v>
      </c>
      <c r="G3185" s="7" t="str">
        <f>IFERROR(__xludf.DUMMYFUNCTION("""COMPUTED_VALUE"""),"In-Person")</f>
        <v>In-Person</v>
      </c>
      <c r="H3185" s="7" t="str">
        <f>IFERROR(__xludf.DUMMYFUNCTION("""COMPUTED_VALUE"""),"Hall 4/5")</f>
        <v>Hall 4/5</v>
      </c>
      <c r="I3185" s="7" t="str">
        <f>IFERROR(__xludf.DUMMYFUNCTION("""COMPUTED_VALUE"""),"Session 7: IP-Posters")</f>
        <v>Session 7: IP-Posters</v>
      </c>
      <c r="J3185" s="7" t="str">
        <f>IFERROR(__xludf.DUMMYFUNCTION("""COMPUTED_VALUE"""),"Poster Session 2")</f>
        <v>Poster Session 2</v>
      </c>
      <c r="K3185" s="7"/>
      <c r="L3185" s="8">
        <f>IFERROR(__xludf.DUMMYFUNCTION("""COMPUTED_VALUE"""),45867.0)</f>
        <v>45867</v>
      </c>
      <c r="M3185" s="7" t="str">
        <f>IFERROR(__xludf.DUMMYFUNCTION("""COMPUTED_VALUE"""),"10:30-12:00")</f>
        <v>10:30-12:00</v>
      </c>
      <c r="N3185" s="7"/>
    </row>
    <row r="3186">
      <c r="A3186" s="7" t="str">
        <f>IFERROR(__xludf.DUMMYFUNCTION("""COMPUTED_VALUE"""),"4800-MAIN")</f>
        <v>4800-MAIN</v>
      </c>
      <c r="B3186" s="7" t="str">
        <f>IFERROR(__xludf.DUMMYFUNCTION("""COMPUTED_VALUE"""),"CityNavAgent: Aerial Vision-and-Language Navigation with Hierarchical Semantic Planning and Global Memory")</f>
        <v>CityNavAgent: Aerial Vision-and-Language Navigation with Hierarchical Semantic Planning and Global Memory</v>
      </c>
      <c r="C3186" s="7" t="str">
        <f>IFERROR(__xludf.DUMMYFUNCTION("""COMPUTED_VALUE"""),"Aerial vision-and-language navigation (VLN) — requiring drones to interpret natural language instructions and navigate complex urban environments — emerges as a critical embodied AI challenge that bridges human-robot interaction, 3D spatial reasoning, and"&amp;" real-world deployment. Although existing ground VLN agents achieved notable results in indoor and outdoor settings, they struggle in aerial VLN due to the absence of predefined navigation graphs and the exponentially expanding action space in long-horizo"&amp;"n exploration. In this work, we propose \textbf{CityNavAgent}, a large language model (LLM)-empowered agent that significantly reduces the navigation complexity for urban aerial VLN. Specifically, we design a hierarchical semantic planning module (HSPM) t"&amp;"hat decomposes the long-horizon task into sub-goals with different semantic levels. The agent reaches the target progressively by achieving sub-goals with different capacities of the LLM. Additionally, a global memory module storing historical trajectorie"&amp;"s into a topological graph is developed to simplify navigation for visited targets. Extensive benchmark experiments show that our method achieves state-of-the-art performance with significant improvement. Further experiments demonstrate the effectiveness "&amp;"of different modules of CityNavAgent for aerial VLN in continuous city environments.")</f>
        <v>Aerial vision-and-language navigation (VLN) — requiring drones to interpret natural language instructions and navigate complex urban environments — emerges as a critical embodied AI challenge that bridges human-robot interaction, 3D spatial reasoning, and real-world deployment. Although existing ground VLN agents achieved notable results in indoor and outdoor settings, they struggle in aerial VLN due to the absence of predefined navigation graphs and the exponentially expanding action space in long-horizon exploration. In this work, we propose \textbf{CityNavAgent}, a large language model (LLM)-empowered agent that significantly reduces the navigation complexity for urban aerial VLN. Specifically, we design a hierarchical semantic planning module (HSPM) that decomposes the long-horizon task into sub-goals with different semantic levels. The agent reaches the target progressively by achieving sub-goals with different capacities of the LLM. Additionally, a global memory module storing historical trajectories into a topological graph is developed to simplify navigation for visited targets. Extensive benchmark experiments show that our method achieves state-of-the-art performance with significant improvement. Further experiments demonstrate the effectiveness of different modules of CityNavAgent for aerial VLN in continuous city environments.</v>
      </c>
      <c r="D3186" s="7" t="str">
        <f>IFERROR(__xludf.DUMMYFUNCTION("""COMPUTED_VALUE"""),"Weichen Zhang")</f>
        <v>Weichen Zhang</v>
      </c>
      <c r="E3186" s="7" t="str">
        <f>IFERROR(__xludf.DUMMYFUNCTION("""COMPUTED_VALUE"""),"Yes")</f>
        <v>Yes</v>
      </c>
      <c r="F3186" s="7" t="str">
        <f>IFERROR(__xludf.DUMMYFUNCTION("""COMPUTED_VALUE"""),"IP-Poster")</f>
        <v>IP-Poster</v>
      </c>
      <c r="G3186" s="7" t="str">
        <f>IFERROR(__xludf.DUMMYFUNCTION("""COMPUTED_VALUE"""),"In-Person")</f>
        <v>In-Person</v>
      </c>
      <c r="H3186" s="7" t="str">
        <f>IFERROR(__xludf.DUMMYFUNCTION("""COMPUTED_VALUE"""),"Hall 4/5")</f>
        <v>Hall 4/5</v>
      </c>
      <c r="I3186" s="7" t="str">
        <f>IFERROR(__xludf.DUMMYFUNCTION("""COMPUTED_VALUE"""),"Session 10: IP-Posters")</f>
        <v>Session 10: IP-Posters</v>
      </c>
      <c r="J3186" s="7" t="str">
        <f>IFERROR(__xludf.DUMMYFUNCTION("""COMPUTED_VALUE"""),"Poster Session 3")</f>
        <v>Poster Session 3</v>
      </c>
      <c r="K3186" s="7"/>
      <c r="L3186" s="8">
        <f>IFERROR(__xludf.DUMMYFUNCTION("""COMPUTED_VALUE"""),45867.0)</f>
        <v>45867</v>
      </c>
      <c r="M3186" s="7" t="str">
        <f>IFERROR(__xludf.DUMMYFUNCTION("""COMPUTED_VALUE"""),"16:00-17:30")</f>
        <v>16:00-17:30</v>
      </c>
      <c r="N3186" s="7"/>
    </row>
    <row r="3187">
      <c r="A3187" s="7" t="str">
        <f>IFERROR(__xludf.DUMMYFUNCTION("""COMPUTED_VALUE"""),"4806-MAIN")</f>
        <v>4806-MAIN</v>
      </c>
      <c r="B3187" s="7" t="str">
        <f>IFERROR(__xludf.DUMMYFUNCTION("""COMPUTED_VALUE"""),"It’s Not a Walk in the Park! Challenges of Idiom Translation in Speech-to-text Systems")</f>
        <v>It’s Not a Walk in the Park! Challenges of Idiom Translation in Speech-to-text Systems</v>
      </c>
      <c r="C3187" s="7" t="str">
        <f>IFERROR(__xludf.DUMMYFUNCTION("""COMPUTED_VALUE"""),"Idioms are defined as a group of words with a figurative meaning not deducible from their individual components. Although modern machine translation systems have made remarkable progress, translating idioms remains a major challenge, especially for speech"&amp;"-to-text systems, where research on this topic is notably sparse. In this paper, we systematically evaluate idiom translation as compared to conventional news translation in both text-to-text machine translation (MT) and speech-to-text translation (SLT) s"&amp;"ystems across two language pairs (German to English, Russian to English). We compare state-of-the-art end-to-end SLT systems (SeamlessM4T SLT-to-text, Whisper Large v3) with MT systems (SeamlessM4T SLT-to-text, No Language Left Behind), Large Language Mod"&amp;"els (DeepSeek, LLaMA) and cascaded alternatives. Our results reveal that SLT systems experience a pronounced performance drop on idiomatic data, often reverting to literal translations even in higher layers, whereas MT systems and Large Language Models de"&amp;"monstrate better handling of idioms. These findings underscore the need for idiom-specific strategies and improved internal representations in SLT architectures.")</f>
        <v>Idioms are defined as a group of words with a figurative meaning not deducible from their individual components. Although modern machine translation systems have made remarkable progress, translating idioms remains a major challenge, especially for speech-to-text systems, where research on this topic is notably sparse. In this paper, we systematically evaluate idiom translation as compared to conventional news translation in both text-to-text machine translation (MT) and speech-to-text translation (SLT) systems across two language pairs (German to English, Russian to English). We compare state-of-the-art end-to-end SLT systems (SeamlessM4T SLT-to-text, Whisper Large v3) with MT systems (SeamlessM4T SLT-to-text, No Language Left Behind), Large Language Models (DeepSeek, LLaMA) and cascaded alternatives. Our results reveal that SLT systems experience a pronounced performance drop on idiomatic data, often reverting to literal translations even in higher layers, whereas MT systems and Large Language Models demonstrate better handling of idioms. These findings underscore the need for idiom-specific strategies and improved internal representations in SLT architectures.</v>
      </c>
      <c r="D3187" s="7" t="str">
        <f>IFERROR(__xludf.DUMMYFUNCTION("""COMPUTED_VALUE"""),"Iuliia Zaitova")</f>
        <v>Iuliia Zaitova</v>
      </c>
      <c r="E3187" s="7" t="str">
        <f>IFERROR(__xludf.DUMMYFUNCTION("""COMPUTED_VALUE"""),"Yes")</f>
        <v>Yes</v>
      </c>
      <c r="F3187" s="7" t="str">
        <f>IFERROR(__xludf.DUMMYFUNCTION("""COMPUTED_VALUE"""),"IP-Oral")</f>
        <v>IP-Oral</v>
      </c>
      <c r="G3187" s="7" t="str">
        <f>IFERROR(__xludf.DUMMYFUNCTION("""COMPUTED_VALUE"""),"In-Person")</f>
        <v>In-Person</v>
      </c>
      <c r="H3187" s="7" t="str">
        <f>IFERROR(__xludf.DUMMYFUNCTION("""COMPUTED_VALUE"""),"Room 1.85")</f>
        <v>Room 1.85</v>
      </c>
      <c r="I3187" s="7" t="str">
        <f>IFERROR(__xludf.DUMMYFUNCTION("""COMPUTED_VALUE"""),"Session 3: IP-Orals")</f>
        <v>Session 3: IP-Orals</v>
      </c>
      <c r="J3187" s="7" t="str">
        <f>IFERROR(__xludf.DUMMYFUNCTION("""COMPUTED_VALUE"""),"Machine Translation")</f>
        <v>Machine Translation</v>
      </c>
      <c r="K3187" s="7"/>
      <c r="L3187" s="8">
        <f>IFERROR(__xludf.DUMMYFUNCTION("""COMPUTED_VALUE"""),45866.0)</f>
        <v>45866</v>
      </c>
      <c r="M3187" s="7" t="str">
        <f>IFERROR(__xludf.DUMMYFUNCTION("""COMPUTED_VALUE"""),"14:00-15:30")</f>
        <v>14:00-15:30</v>
      </c>
      <c r="N3187" s="7">
        <f>IFERROR(__xludf.DUMMYFUNCTION("""COMPUTED_VALUE"""),8.0)</f>
        <v>8</v>
      </c>
    </row>
    <row r="3188">
      <c r="A3188" s="7" t="str">
        <f>IFERROR(__xludf.DUMMYFUNCTION("""COMPUTED_VALUE"""),"4811-MAIN")</f>
        <v>4811-MAIN</v>
      </c>
      <c r="B3188" s="7" t="str">
        <f>IFERROR(__xludf.DUMMYFUNCTION("""COMPUTED_VALUE"""),"PolyNarrative: A Multilingual, Multilabel, Multi-domain Dataset for Narrative Extraction from News Articles")</f>
        <v>PolyNarrative: A Multilingual, Multilabel, Multi-domain Dataset for Narrative Extraction from News Articles</v>
      </c>
      <c r="C3188" s="7" t="str">
        <f>IFERROR(__xludf.DUMMYFUNCTION("""COMPUTED_VALUE"""),"We present polyNarrative, a new multilingual dataset of news articles, annotated for narratives. Narratives are overt or implicit claims, recurring across articles and languages, promoting a specific interpretation or viewpoint on an ongoing topic, often "&amp;"propagating mis/disinformation. We developed two-level taxonomies with coarse- and fine-grained narrative labels for two domains: (i) climate change and (ii) the military conflict between Ukraine and Russia. We collected news articles in four languages (B"&amp;"ulgarian, English, Portuguese, and Russian) related to the two domains and manually annotated them at the paragraph level. We make the dataset publicly available, along with experimental results of several strong baselines that assign narrative labels to "&amp;"news articles at the paragraph or the document level. We believe that this dataset will foster research in narrative detection and enable new research directions towards more multi-domain and highly granular narrative related tasks.")</f>
        <v>We present polyNarrative, a new multilingual dataset of news articles, annotated for narratives. Narratives are overt or implicit claims, recurring across articles and languages, promoting a specific interpretation or viewpoint on an ongoing topic, often propagating mis/disinformation. We developed two-level taxonomies with coarse- and fine-grained narrative labels for two domains: (i) climate change and (ii) the military conflict between Ukraine and Russia. We collected news articles in four languages (Bulgarian, English, Portuguese, and Russian) related to the two domains and manually annotated them at the paragraph level. We make the dataset publicly available, along with experimental results of several strong baselines that assign narrative labels to news articles at the paragraph or the document level. We believe that this dataset will foster research in narrative detection and enable new research directions towards more multi-domain and highly granular narrative related tasks.</v>
      </c>
      <c r="D3188" s="7" t="str">
        <f>IFERROR(__xludf.DUMMYFUNCTION("""COMPUTED_VALUE"""),"Nikolaos Nikolaidis")</f>
        <v>Nikolaos Nikolaidis</v>
      </c>
      <c r="E3188" s="7" t="str">
        <f>IFERROR(__xludf.DUMMYFUNCTION("""COMPUTED_VALUE"""),"Yes")</f>
        <v>Yes</v>
      </c>
      <c r="F3188" s="7" t="str">
        <f>IFERROR(__xludf.DUMMYFUNCTION("""COMPUTED_VALUE"""),"IP-Poster")</f>
        <v>IP-Poster</v>
      </c>
      <c r="G3188" s="7" t="str">
        <f>IFERROR(__xludf.DUMMYFUNCTION("""COMPUTED_VALUE"""),"In-Person")</f>
        <v>In-Person</v>
      </c>
      <c r="H3188" s="7" t="str">
        <f>IFERROR(__xludf.DUMMYFUNCTION("""COMPUTED_VALUE"""),"Hall 4/5")</f>
        <v>Hall 4/5</v>
      </c>
      <c r="I3188" s="7" t="str">
        <f>IFERROR(__xludf.DUMMYFUNCTION("""COMPUTED_VALUE"""),"Session 12: IP-Posters")</f>
        <v>Session 12: IP-Posters</v>
      </c>
      <c r="J3188" s="7" t="str">
        <f>IFERROR(__xludf.DUMMYFUNCTION("""COMPUTED_VALUE"""),"Poster Session 4")</f>
        <v>Poster Session 4</v>
      </c>
      <c r="K3188" s="7"/>
      <c r="L3188" s="8">
        <f>IFERROR(__xludf.DUMMYFUNCTION("""COMPUTED_VALUE"""),45868.0)</f>
        <v>45868</v>
      </c>
      <c r="M3188" s="7" t="str">
        <f>IFERROR(__xludf.DUMMYFUNCTION("""COMPUTED_VALUE"""),"11:00-12:30")</f>
        <v>11:00-12:30</v>
      </c>
      <c r="N3188" s="7"/>
    </row>
    <row r="3189">
      <c r="A3189" s="7" t="str">
        <f>IFERROR(__xludf.DUMMYFUNCTION("""COMPUTED_VALUE"""),"4812-MAIN")</f>
        <v>4812-MAIN</v>
      </c>
      <c r="B3189" s="7" t="str">
        <f>IFERROR(__xludf.DUMMYFUNCTION("""COMPUTED_VALUE"""),"Rethinking Evaluation Metrics for Grammatical Error Correction: Why Use a Different Evaluation Process than Human?")</f>
        <v>Rethinking Evaluation Metrics for Grammatical Error Correction: Why Use a Different Evaluation Process than Human?</v>
      </c>
      <c r="C3189" s="7" t="str">
        <f>IFERROR(__xludf.DUMMYFUNCTION("""COMPUTED_VALUE"""),"One of the goals of automatic evaluation metrics in grammatical error correction (GEC) is to rank GEC systems such that it matches human preferences. However, current automatic evaluations are based on procedures that diverge from human evaluation. Specif"&amp;"ically, human evaluation derives rankings by aggregating sentence-level relative evaluation results, e.g., pairwise comparisons, using a rating algorithm, whereas automatic evaluation averages sentence-level absolute scores to obtain corpus-level scores, "&amp;"which are then sorted to determine rankings. In this study, we propose an aggregation method for existing automatic evaluation metrics which aligns with human evaluation methods to bridge this gap. We conducted experiments using various metrics, including"&amp;" edit-based metrics, 
-gram based metrics, and sentence-level metrics, and show that resolving the gap improves results for the most of metrics on the SEEDA benchmark.We also found that even BERT-based metrics sometimes outperform the metrics of GPT-4.")</f>
        <v>One of the goals of automatic evaluation metrics in grammatical error correction (GEC) is to rank GEC systems such that it matches human preferences. However, current automatic evaluations are based on procedures that diverge from human evaluation. Specifically, human evaluation derives rankings by aggregating sentence-level relative evaluation results, e.g., pairwise comparisons, using a rating algorithm, whereas automatic evaluation averages sentence-level absolute scores to obtain corpus-level scores, which are then sorted to determine rankings. In this study, we propose an aggregation method for existing automatic evaluation metrics which aligns with human evaluation methods to bridge this gap. We conducted experiments using various metrics, including edit-based metrics, 
-gram based metrics, and sentence-level metrics, and show that resolving the gap improves results for the most of metrics on the SEEDA benchmark.We also found that even BERT-based metrics sometimes outperform the metrics of GPT-4.</v>
      </c>
      <c r="D3189" s="7" t="str">
        <f>IFERROR(__xludf.DUMMYFUNCTION("""COMPUTED_VALUE"""),"Takumi Goto")</f>
        <v>Takumi Goto</v>
      </c>
      <c r="E3189" s="7" t="str">
        <f>IFERROR(__xludf.DUMMYFUNCTION("""COMPUTED_VALUE"""),"Yes")</f>
        <v>Yes</v>
      </c>
      <c r="F3189" s="7" t="str">
        <f>IFERROR(__xludf.DUMMYFUNCTION("""COMPUTED_VALUE"""),"IP-Poster")</f>
        <v>IP-Poster</v>
      </c>
      <c r="G3189" s="7" t="str">
        <f>IFERROR(__xludf.DUMMYFUNCTION("""COMPUTED_VALUE"""),"In-Person")</f>
        <v>In-Person</v>
      </c>
      <c r="H3189" s="7" t="str">
        <f>IFERROR(__xludf.DUMMYFUNCTION("""COMPUTED_VALUE"""),"Hall 4/5")</f>
        <v>Hall 4/5</v>
      </c>
      <c r="I3189" s="7" t="str">
        <f>IFERROR(__xludf.DUMMYFUNCTION("""COMPUTED_VALUE"""),"Session 12: IP-Posters")</f>
        <v>Session 12: IP-Posters</v>
      </c>
      <c r="J3189" s="7" t="str">
        <f>IFERROR(__xludf.DUMMYFUNCTION("""COMPUTED_VALUE"""),"Poster Session 4")</f>
        <v>Poster Session 4</v>
      </c>
      <c r="K3189" s="7"/>
      <c r="L3189" s="8">
        <f>IFERROR(__xludf.DUMMYFUNCTION("""COMPUTED_VALUE"""),45868.0)</f>
        <v>45868</v>
      </c>
      <c r="M3189" s="7" t="str">
        <f>IFERROR(__xludf.DUMMYFUNCTION("""COMPUTED_VALUE"""),"11:00-12:30")</f>
        <v>11:00-12:30</v>
      </c>
      <c r="N3189" s="7"/>
    </row>
    <row r="3190">
      <c r="A3190" s="7" t="str">
        <f>IFERROR(__xludf.DUMMYFUNCTION("""COMPUTED_VALUE"""),"4828-MAIN")</f>
        <v>4828-MAIN</v>
      </c>
      <c r="B3190" s="7" t="str">
        <f>IFERROR(__xludf.DUMMYFUNCTION("""COMPUTED_VALUE"""),"A Parameter-Efficient and Fine-Grained Prompt Learning for Vision-Language Models")</f>
        <v>A Parameter-Efficient and Fine-Grained Prompt Learning for Vision-Language Models</v>
      </c>
      <c r="C3190" s="7" t="str">
        <f>IFERROR(__xludf.DUMMYFUNCTION("""COMPUTED_VALUE"""),"Current vision-language models (VLMs) understand complex vision-text tasks by extracting overall semantic information from large-scale cross-modal associations. However, extracting from large-scale cross-modal associations often smooths out semantic detai"&amp;"ls and requires large computations, limiting multimodal fine-grained understanding performance and efficiency. To address this issue, this paper proposes a detail-oriented prompt learning (DoPL) method for vision-language models to implement fine-grained "&amp;"multi-modal semantic alignment with merely 0.25M trainable parameters. According to the low-entropy information concentration theory, DoPL explores shared interest tokens from text-vision correlations and transforms them into alignment weights to enhance "&amp;"text prompt and vision prompt via detail-oriented prompt generation. It effectively guides the current frozen layer to extract fine-grained text-vision alignment cues. Furthermore, DoPL constructs detail-oriented prompt generation for each frozen layer to"&amp;" implement layer-by-layer localization of fine-grained semantic alignment, achieving precise understanding in complex vision-text tasks. DoPL performs well in parameter-efficient fine-grained semantic alignment with only 0.12% tunable parameters for visio"&amp;"n-language models. The state-of-the-art results over the previous parameter-efficient fine-tuning methods and full fine-tuning approaches on six benchmarks demonstrate the effectiveness and efficiency of DoPL in complex multi-modal tasks.")</f>
        <v>Current vision-language models (VLMs) understand complex vision-text tasks by extracting overall semantic information from large-scale cross-modal associations. However, extracting from large-scale cross-modal associations often smooths out semantic details and requires large computations, limiting multimodal fine-grained understanding performance and efficiency. To address this issue, this paper proposes a detail-oriented prompt learning (DoPL) method for vision-language models to implement fine-grained multi-modal semantic alignment with merely 0.25M trainable parameters. According to the low-entropy information concentration theory, DoPL explores shared interest tokens from text-vision correlations and transforms them into alignment weights to enhance text prompt and vision prompt via detail-oriented prompt generation. It effectively guides the current frozen layer to extract fine-grained text-vision alignment cues. Furthermore, DoPL constructs detail-oriented prompt generation for each frozen layer to implement layer-by-layer localization of fine-grained semantic alignment, achieving precise understanding in complex vision-text tasks. DoPL performs well in parameter-efficient fine-grained semantic alignment with only 0.12% tunable parameters for vision-language models. The state-of-the-art results over the previous parameter-efficient fine-tuning methods and full fine-tuning approaches on six benchmarks demonstrate the effectiveness and efficiency of DoPL in complex multi-modal tasks.</v>
      </c>
      <c r="D3190" s="7" t="str">
        <f>IFERROR(__xludf.DUMMYFUNCTION("""COMPUTED_VALUE"""),"Yongbin Guo")</f>
        <v>Yongbin Guo</v>
      </c>
      <c r="E3190" s="7" t="str">
        <f>IFERROR(__xludf.DUMMYFUNCTION("""COMPUTED_VALUE"""),"Yes")</f>
        <v>Yes</v>
      </c>
      <c r="F3190" s="7" t="str">
        <f>IFERROR(__xludf.DUMMYFUNCTION("""COMPUTED_VALUE"""),"IP-Poster")</f>
        <v>IP-Poster</v>
      </c>
      <c r="G3190" s="7" t="str">
        <f>IFERROR(__xludf.DUMMYFUNCTION("""COMPUTED_VALUE"""),"In-Person")</f>
        <v>In-Person</v>
      </c>
      <c r="H3190" s="7" t="str">
        <f>IFERROR(__xludf.DUMMYFUNCTION("""COMPUTED_VALUE"""),"Hall 4/5")</f>
        <v>Hall 4/5</v>
      </c>
      <c r="I3190" s="7" t="str">
        <f>IFERROR(__xludf.DUMMYFUNCTION("""COMPUTED_VALUE"""),"Session 10: IP-Posters")</f>
        <v>Session 10: IP-Posters</v>
      </c>
      <c r="J3190" s="7" t="str">
        <f>IFERROR(__xludf.DUMMYFUNCTION("""COMPUTED_VALUE"""),"Poster Session 3")</f>
        <v>Poster Session 3</v>
      </c>
      <c r="K3190" s="7"/>
      <c r="L3190" s="8">
        <f>IFERROR(__xludf.DUMMYFUNCTION("""COMPUTED_VALUE"""),45867.0)</f>
        <v>45867</v>
      </c>
      <c r="M3190" s="7" t="str">
        <f>IFERROR(__xludf.DUMMYFUNCTION("""COMPUTED_VALUE"""),"16:00-17:30")</f>
        <v>16:00-17:30</v>
      </c>
      <c r="N3190" s="7"/>
    </row>
    <row r="3191">
      <c r="A3191" s="7" t="str">
        <f>IFERROR(__xludf.DUMMYFUNCTION("""COMPUTED_VALUE"""),"4849-MAIN")</f>
        <v>4849-MAIN</v>
      </c>
      <c r="B3191" s="7" t="str">
        <f>IFERROR(__xludf.DUMMYFUNCTION("""COMPUTED_VALUE"""),"Persona Dynamics: Unveiling the Impact of Persona Traits on Agents in Text-Based Games")</f>
        <v>Persona Dynamics: Unveiling the Impact of Persona Traits on Agents in Text-Based Games</v>
      </c>
      <c r="C3191" s="7" t="str">
        <f>IFERROR(__xludf.DUMMYFUNCTION("""COMPUTED_VALUE"""),"Artificial agents are increasingly central to complex interactions and decision-making tasks, yet aligning their behaviors with desired human values remains an open challenge. In this work, we investigate how human-like personality traits influence agent "&amp;"behavior and performance within text-based interactive environments. We introduce PANDA: Personality Adapted Neural Decision Agents, a novel method for projecting human personality traits onto agents to guide their behavior. To induce personality in a tex"&amp;"t-based game agent, (i) we train a personality classifier to identify what personality type the agent’s actions exhibit, and (ii) we integrate the personality profiles directly into the agent’s policy-learning pipeline. By deploying agents embodying 16 di"&amp;"stinct personality types across 25 text-based games and analyzing their trajectories, we demonstrate that an agent’s action decisions can be guided toward specific personality profiles. Moreover, certain personality types, such as those characterized by h"&amp;"igher levels of Openness, display marked advantages in performance. These findings underscore the promise of personality-adapted agents for fostering more aligned, effective, and human-centric decision-making in interactive environments.")</f>
        <v>Artificial agents are increasingly central to complex interactions and decision-making tasks, yet aligning their behaviors with desired human values remains an open challenge. In this work, we investigate how human-like personality traits influence agent behavior and performance within text-based interactive environments. We introduce PANDA: Personality Adapted Neural Decision Agents, a novel method for projecting human personality traits onto agents to guide their behavior. To induce personality in a text-based game agent, (i) we train a personality classifier to identify what personality type the agent’s actions exhibit, and (ii) we integrate the personality profiles directly into the agent’s policy-learning pipeline. By deploying agents embodying 16 distinct personality types across 25 text-based games and analyzing their trajectories, we demonstrate that an agent’s action decisions can be guided toward specific personality profiles. Moreover, certain personality types, such as those characterized by higher levels of Openness, display marked advantages in performance. These findings underscore the promise of personality-adapted agents for fostering more aligned, effective, and human-centric decision-making in interactive environments.</v>
      </c>
      <c r="D3191" s="7" t="str">
        <f>IFERROR(__xludf.DUMMYFUNCTION("""COMPUTED_VALUE"""),"Seungwon Lim")</f>
        <v>Seungwon Lim</v>
      </c>
      <c r="E3191" s="7" t="str">
        <f>IFERROR(__xludf.DUMMYFUNCTION("""COMPUTED_VALUE"""),"Yes")</f>
        <v>Yes</v>
      </c>
      <c r="F3191" s="7" t="str">
        <f>IFERROR(__xludf.DUMMYFUNCTION("""COMPUTED_VALUE"""),"IP-Oral")</f>
        <v>IP-Oral</v>
      </c>
      <c r="G3191" s="7" t="str">
        <f>IFERROR(__xludf.DUMMYFUNCTION("""COMPUTED_VALUE"""),"In-Person")</f>
        <v>In-Person</v>
      </c>
      <c r="H3191" s="7" t="str">
        <f>IFERROR(__xludf.DUMMYFUNCTION("""COMPUTED_VALUE"""),"Room 1.62")</f>
        <v>Room 1.62</v>
      </c>
      <c r="I3191" s="7" t="str">
        <f>IFERROR(__xludf.DUMMYFUNCTION("""COMPUTED_VALUE"""),"Session 3: IP-Orals")</f>
        <v>Session 3: IP-Orals</v>
      </c>
      <c r="J3191" s="7" t="str">
        <f>IFERROR(__xludf.DUMMYFUNCTION("""COMPUTED_VALUE"""),"Human-centered NLP")</f>
        <v>Human-centered NLP</v>
      </c>
      <c r="K3191" s="7"/>
      <c r="L3191" s="8">
        <f>IFERROR(__xludf.DUMMYFUNCTION("""COMPUTED_VALUE"""),45866.0)</f>
        <v>45866</v>
      </c>
      <c r="M3191" s="7" t="str">
        <f>IFERROR(__xludf.DUMMYFUNCTION("""COMPUTED_VALUE"""),"14:00-15:30")</f>
        <v>14:00-15:30</v>
      </c>
      <c r="N3191" s="7">
        <f>IFERROR(__xludf.DUMMYFUNCTION("""COMPUTED_VALUE"""),7.0)</f>
        <v>7</v>
      </c>
    </row>
    <row r="3192">
      <c r="A3192" s="7" t="str">
        <f>IFERROR(__xludf.DUMMYFUNCTION("""COMPUTED_VALUE"""),"4859-MAIN")</f>
        <v>4859-MAIN</v>
      </c>
      <c r="B3192" s="7" t="str">
        <f>IFERROR(__xludf.DUMMYFUNCTION("""COMPUTED_VALUE"""),"SeedBench: A Multi-task Benchmark for Evaluating Large Language Models in Seed Science")</f>
        <v>SeedBench: A Multi-task Benchmark for Evaluating Large Language Models in Seed Science</v>
      </c>
      <c r="C3192" s="7" t="str">
        <f>IFERROR(__xludf.DUMMYFUNCTION("""COMPUTED_VALUE"""),"Seed science is essential for modern agriculture, directly influencing crop yields and global food security. However, challenges such as interdisciplinary complexity and high costs with limited returns hinder progress, leading to a shortage of experts and"&amp;" insufficient technological support. While large language models (LLMs) have shown promise across various fields, their application in seed science remains limited due to the scarcity of digital resources, complex gene-trait relationships, and the lack of"&amp;" standardized benchmarks. To address this gap, we introduce SeedBench—the first multi-task benchmark specifically designed for seed science. Developed in collaboration with domain experts, SeedBench focuses on seed breeding and simulates key aspects of mo"&amp;"dern breeding processes. We conduct a comprehensive evaluation of 26 leading LLMs, encompassing proprietary, open-source, and domain-specific fine-tuned models. Our findings not only highlight the substantial gaps between the power of LLMs and the real-wo"&amp;"rld seed science problems, but also make a foundational step for research on LLMs for seed design.")</f>
        <v>Seed science is essential for modern agriculture, directly influencing crop yields and global food security. However, challenges such as interdisciplinary complexity and high costs with limited returns hinder progress, leading to a shortage of experts and insufficient technological support. While large language models (LLMs) have shown promise across various fields, their application in seed science remains limited due to the scarcity of digital resources, complex gene-trait relationships, and the lack of standardized benchmarks. To address this gap, we introduce SeedBench—the first multi-task benchmark specifically designed for seed science. Developed in collaboration with domain experts, SeedBench focuses on seed breeding and simulates key aspects of modern breeding processes. We conduct a comprehensive evaluation of 26 leading LLMs, encompassing proprietary, open-source, and domain-specific fine-tuned models. Our findings not only highlight the substantial gaps between the power of LLMs and the real-world seed science problems, but also make a foundational step for research on LLMs for seed design.</v>
      </c>
      <c r="D3192" s="7" t="str">
        <f>IFERROR(__xludf.DUMMYFUNCTION("""COMPUTED_VALUE"""),"Jie Ying")</f>
        <v>Jie Ying</v>
      </c>
      <c r="E3192" s="7" t="str">
        <f>IFERROR(__xludf.DUMMYFUNCTION("""COMPUTED_VALUE"""),"Yes")</f>
        <v>Yes</v>
      </c>
      <c r="F3192" s="7" t="str">
        <f>IFERROR(__xludf.DUMMYFUNCTION("""COMPUTED_VALUE"""),"IP-Poster")</f>
        <v>IP-Poster</v>
      </c>
      <c r="G3192" s="7" t="str">
        <f>IFERROR(__xludf.DUMMYFUNCTION("""COMPUTED_VALUE"""),"In-Person")</f>
        <v>In-Person</v>
      </c>
      <c r="H3192" s="7" t="str">
        <f>IFERROR(__xludf.DUMMYFUNCTION("""COMPUTED_VALUE"""),"Hall 4/5")</f>
        <v>Hall 4/5</v>
      </c>
      <c r="I3192" s="7" t="str">
        <f>IFERROR(__xludf.DUMMYFUNCTION("""COMPUTED_VALUE"""),"Session 12: IP-Posters")</f>
        <v>Session 12: IP-Posters</v>
      </c>
      <c r="J3192" s="7" t="str">
        <f>IFERROR(__xludf.DUMMYFUNCTION("""COMPUTED_VALUE"""),"Poster Session 4")</f>
        <v>Poster Session 4</v>
      </c>
      <c r="K3192" s="7"/>
      <c r="L3192" s="8">
        <f>IFERROR(__xludf.DUMMYFUNCTION("""COMPUTED_VALUE"""),45868.0)</f>
        <v>45868</v>
      </c>
      <c r="M3192" s="7" t="str">
        <f>IFERROR(__xludf.DUMMYFUNCTION("""COMPUTED_VALUE"""),"11:00-12:30")</f>
        <v>11:00-12:30</v>
      </c>
      <c r="N3192" s="7"/>
    </row>
    <row r="3193">
      <c r="A3193" s="7" t="str">
        <f>IFERROR(__xludf.DUMMYFUNCTION("""COMPUTED_VALUE"""),"4863-MAIN")</f>
        <v>4863-MAIN</v>
      </c>
      <c r="B3193" s="7" t="str">
        <f>IFERROR(__xludf.DUMMYFUNCTION("""COMPUTED_VALUE"""),"𝛿-Stance: A Large-Scale Real World Dataset of Stances in Legal Argumentation")</f>
        <v>𝛿-Stance: A Large-Scale Real World Dataset of Stances in Legal Argumentation</v>
      </c>
      <c r="C3193" s="7" t="str">
        <f>IFERROR(__xludf.DUMMYFUNCTION("""COMPUTED_VALUE"""),"We present 𝛿-Stance, a large-scale dataset of stances involved in legal argumentation.𝛿-Stance contains stance-annotated argument pairs, semi-automatically mined from millions of examples of U.S. judges citing precedent in context using citation signals"&amp;". The dataset aims to facilitate work on the legal argument stance classification task, which involves assessing whether a case summary strengthens or weakens a legal argument (polarity) and to what extent (intensity). To assess the complexity of this tas"&amp;"k, we evaluate various existing NLP methods, including zero-shot prompting proprietary large language models (LLMs), and supervised fine-tuning of smaller open-weight language models (LMs) on 𝛿-Stance. Our findings reveal that although prompting propriet"&amp;"ary LLMs can help predict stance polarity, supervised model fine-tuning on 𝛿-Stance is necessary to distinguish intensity. We further find that alternative strategies such as domain-specific pretraining and zero-shot prompting using masked LMs remain ins"&amp;"ufficient. Beyond our dataset’s utility for the legal domain, we further find that fine-tuning small LMs on 𝛿-Stance improves their performance in other domains. Finally, we study how temporal changes in signal definition can impact model performance, hi"&amp;"ghlighting the importance of careful data curation for downstream tasks by considering the historical and sociocultural context. We publish the associated dataset to foster further research on legal argument reasoning.")</f>
        <v>We present 𝛿-Stance, a large-scale dataset of stances involved in legal argumentation.𝛿-Stance contains stance-annotated argument pairs, semi-automatically mined from millions of examples of U.S. judges citing precedent in context using citation signals. The dataset aims to facilitate work on the legal argument stance classification task, which involves assessing whether a case summary strengthens or weakens a legal argument (polarity) and to what extent (intensity). To assess the complexity of this task, we evaluate various existing NLP methods, including zero-shot prompting proprietary large language models (LLMs), and supervised fine-tuning of smaller open-weight language models (LMs) on 𝛿-Stance. Our findings reveal that although prompting proprietary LLMs can help predict stance polarity, supervised model fine-tuning on 𝛿-Stance is necessary to distinguish intensity. We further find that alternative strategies such as domain-specific pretraining and zero-shot prompting using masked LMs remain insufficient. Beyond our dataset’s utility for the legal domain, we further find that fine-tuning small LMs on 𝛿-Stance improves their performance in other domains. Finally, we study how temporal changes in signal definition can impact model performance, highlighting the importance of careful data curation for downstream tasks by considering the historical and sociocultural context. We publish the associated dataset to foster further research on legal argument reasoning.</v>
      </c>
      <c r="D3193" s="7" t="str">
        <f>IFERROR(__xludf.DUMMYFUNCTION("""COMPUTED_VALUE"""),"Ankita Gupta")</f>
        <v>Ankita Gupta</v>
      </c>
      <c r="E3193" s="7" t="str">
        <f>IFERROR(__xludf.DUMMYFUNCTION("""COMPUTED_VALUE"""),"Yes")</f>
        <v>Yes</v>
      </c>
      <c r="F3193" s="7" t="str">
        <f>IFERROR(__xludf.DUMMYFUNCTION("""COMPUTED_VALUE"""),"IP-Poster")</f>
        <v>IP-Poster</v>
      </c>
      <c r="G3193" s="7" t="str">
        <f>IFERROR(__xludf.DUMMYFUNCTION("""COMPUTED_VALUE"""),"In-Person")</f>
        <v>In-Person</v>
      </c>
      <c r="H3193" s="7" t="str">
        <f>IFERROR(__xludf.DUMMYFUNCTION("""COMPUTED_VALUE"""),"Hall 4/5")</f>
        <v>Hall 4/5</v>
      </c>
      <c r="I3193" s="7" t="str">
        <f>IFERROR(__xludf.DUMMYFUNCTION("""COMPUTED_VALUE"""),"Session 12: IP-Posters")</f>
        <v>Session 12: IP-Posters</v>
      </c>
      <c r="J3193" s="7" t="str">
        <f>IFERROR(__xludf.DUMMYFUNCTION("""COMPUTED_VALUE"""),"Poster Session 4")</f>
        <v>Poster Session 4</v>
      </c>
      <c r="K3193" s="7"/>
      <c r="L3193" s="8">
        <f>IFERROR(__xludf.DUMMYFUNCTION("""COMPUTED_VALUE"""),45868.0)</f>
        <v>45868</v>
      </c>
      <c r="M3193" s="7" t="str">
        <f>IFERROR(__xludf.DUMMYFUNCTION("""COMPUTED_VALUE"""),"11:00-12:30")</f>
        <v>11:00-12:30</v>
      </c>
      <c r="N3193" s="7"/>
    </row>
    <row r="3194">
      <c r="A3194" s="7" t="str">
        <f>IFERROR(__xludf.DUMMYFUNCTION("""COMPUTED_VALUE"""),"4869-MAIN")</f>
        <v>4869-MAIN</v>
      </c>
      <c r="B3194" s="7" t="str">
        <f>IFERROR(__xludf.DUMMYFUNCTION("""COMPUTED_VALUE"""),"Re³Syn: A Dependency-Based Data Synthesis Framework for Long-Context Post-training")</f>
        <v>Re³Syn: A Dependency-Based Data Synthesis Framework for Long-Context Post-training</v>
      </c>
      <c r="C3194" s="7" t="str">
        <f>IFERROR(__xludf.DUMMYFUNCTION("""COMPUTED_VALUE"""),"An important trend in the realm of large language models (LLMs) is the development of longer context windows. However, training LLMs with long context windows to acquire the capability of effectively modeling lengthy inputs is often hindered by the scarci"&amp;"ty of naturally long-context data. Existing methods for constructing long-context data by concatenating short documents have overlooked a crucial characteristic of long-context data quality, namely semantic dependency. In this paper, we propose a novel fr"&amp;"amework called Retrieval, Dependency Recognition, and Reorder for data synthesis (Re$^{3}$Syn), which leverages semantic similarity to retrieve relevant documents and form several batches. Within each batch, the framework comprehensively recognizes depend"&amp;"ency and utilizes them, along with a reorder algorithm, to organize the short documents into coherent long-context data. Comprehensive experiment on multiple benchmarks indicate that the data generated by the Re$^{3}$Syn has longer dependencies and signif"&amp;"icantly enhances the model's long-context capabilities. For reproducibility, we will release our codebase upon acceptance.")</f>
        <v>An important trend in the realm of large language models (LLMs) is the development of longer context windows. However, training LLMs with long context windows to acquire the capability of effectively modeling lengthy inputs is often hindered by the scarcity of naturally long-context data. Existing methods for constructing long-context data by concatenating short documents have overlooked a crucial characteristic of long-context data quality, namely semantic dependency. In this paper, we propose a novel framework called Retrieval, Dependency Recognition, and Reorder for data synthesis (Re$^{3}$Syn), which leverages semantic similarity to retrieve relevant documents and form several batches. Within each batch, the framework comprehensively recognizes dependency and utilizes them, along with a reorder algorithm, to organize the short documents into coherent long-context data. Comprehensive experiment on multiple benchmarks indicate that the data generated by the Re$^{3}$Syn has longer dependencies and significantly enhances the model's long-context capabilities. For reproducibility, we will release our codebase upon acceptance.</v>
      </c>
      <c r="D3194" s="7" t="str">
        <f>IFERROR(__xludf.DUMMYFUNCTION("""COMPUTED_VALUE"""),"Zhiyang Zhang")</f>
        <v>Zhiyang Zhang</v>
      </c>
      <c r="E3194" s="7" t="str">
        <f>IFERROR(__xludf.DUMMYFUNCTION("""COMPUTED_VALUE"""),"Yes")</f>
        <v>Yes</v>
      </c>
      <c r="F3194" s="7" t="str">
        <f>IFERROR(__xludf.DUMMYFUNCTION("""COMPUTED_VALUE"""),"V-Presentation")</f>
        <v>V-Presentation</v>
      </c>
      <c r="G3194" s="7" t="str">
        <f>IFERROR(__xludf.DUMMYFUNCTION("""COMPUTED_VALUE"""),"Virtual/Gather")</f>
        <v>Virtual/Gather</v>
      </c>
      <c r="H3194" s="7" t="str">
        <f>IFERROR(__xludf.DUMMYFUNCTION("""COMPUTED_VALUE"""),"Zoom")</f>
        <v>Zoom</v>
      </c>
      <c r="I3194" s="7" t="str">
        <f>IFERROR(__xludf.DUMMYFUNCTION("""COMPUTED_VALUE"""),"Session 2: V-Presentations")</f>
        <v>Session 2: V-Presentations</v>
      </c>
      <c r="J3194" s="7" t="str">
        <f>IFERROR(__xludf.DUMMYFUNCTION("""COMPUTED_VALUE"""),"Virtual Presentations 1")</f>
        <v>Virtual Presentations 1</v>
      </c>
      <c r="K3194" s="7"/>
      <c r="L3194" s="8">
        <f>IFERROR(__xludf.DUMMYFUNCTION("""COMPUTED_VALUE"""),45866.0)</f>
        <v>45866</v>
      </c>
      <c r="M3194" s="7" t="str">
        <f>IFERROR(__xludf.DUMMYFUNCTION("""COMPUTED_VALUE"""),"11:00-12:30")</f>
        <v>11:00-12:30</v>
      </c>
      <c r="N3194" s="7"/>
    </row>
    <row r="3195">
      <c r="A3195" s="7" t="str">
        <f>IFERROR(__xludf.DUMMYFUNCTION("""COMPUTED_VALUE"""),"4871-MAIN")</f>
        <v>4871-MAIN</v>
      </c>
      <c r="B3195" s="7" t="str">
        <f>IFERROR(__xludf.DUMMYFUNCTION("""COMPUTED_VALUE"""),"Enabling Chatbots with Eyes and Ears: An Immersive Multimodal Conversation System for Dynamic Interactions")</f>
        <v>Enabling Chatbots with Eyes and Ears: An Immersive Multimodal Conversation System for Dynamic Interactions</v>
      </c>
      <c r="C3195" s="7" t="str">
        <f>IFERROR(__xludf.DUMMYFUNCTION("""COMPUTED_VALUE"""),"As chatbots continue to evolve toward human-like, real-world, interactions, multimodality remains an active area of research and exploration. So far, efforts to integrate multimodality into chatbots have primarily focused on image-centric tasks, such as v"&amp;"isual dialogue and image-based instructions, placing emphasis on the ""eyes"" of human perception while neglecting the ""ears"", namely auditory aspects. Moreover, these studies often center around static interactions that focus on discussing the modality"&amp;" rather than naturally incorporating it into the conversation, which limits the richness of simultaneous, dynamic engagement. Furthermore, while multimodality has been explored in multi-party and multi-session conversations, task-specific constraints have"&amp;" hindered its seamless integration into dynamic, natural conversations. To address these challenges, this study aims to equip chatbots with ""eyes and ears"" capable of more immersive interactions with humans. As part of this effort, we introduce a new mu"&amp;"ltimodal conversation dataset, Multimodal Multi-Session Multi-Party Conversation ($M^3C$), and propose a novel multimodal conversation model featuring multimodal memory retrieval. Our model, trained on the $M^3C$, demonstrates the ability to seamlessly en"&amp;"gage in long-term conversations with multiple speakers in complex, real-world-like settings, effectively processing visual and auditory inputs to understand and respond appropriately. Human evaluations highlight the model’s strong performance in maintaini"&amp;"ng coherent and dynamic interactions, demonstrating its potential for advanced multimodal conversational agents.")</f>
        <v>As chatbots continue to evolve toward human-like, real-world, interactions, multimodality remains an active area of research and exploration. So far, efforts to integrate multimodality into chatbots have primarily focused on image-centric tasks, such as visual dialogue and image-based instructions, placing emphasis on the "eyes" of human perception while neglecting the "ears", namely auditory aspects. Moreover, these studies often center around static interactions that focus on discussing the modality rather than naturally incorporating it into the conversation, which limits the richness of simultaneous, dynamic engagement. Furthermore, while multimodality has been explored in multi-party and multi-session conversations, task-specific constraints have hindered its seamless integration into dynamic, natural conversations. To address these challenges, this study aims to equip chatbots with "eyes and ears" capable of more immersive interactions with humans. As part of this effort, we introduce a new multimodal conversation dataset, Multimodal Multi-Session Multi-Party Conversation ($M^3C$), and propose a novel multimodal conversation model featuring multimodal memory retrieval. Our model, trained on the $M^3C$, demonstrates the ability to seamlessly engage in long-term conversations with multiple speakers in complex, real-world-like settings, effectively processing visual and auditory inputs to understand and respond appropriately. Human evaluations highlight the model’s strong performance in maintaining coherent and dynamic interactions, demonstrating its potential for advanced multimodal conversational agents.</v>
      </c>
      <c r="D3195" s="7" t="str">
        <f>IFERROR(__xludf.DUMMYFUNCTION("""COMPUTED_VALUE"""),"Jihyoung Jang")</f>
        <v>Jihyoung Jang</v>
      </c>
      <c r="E3195" s="7" t="str">
        <f>IFERROR(__xludf.DUMMYFUNCTION("""COMPUTED_VALUE"""),"Yes")</f>
        <v>Yes</v>
      </c>
      <c r="F3195" s="7" t="str">
        <f>IFERROR(__xludf.DUMMYFUNCTION("""COMPUTED_VALUE"""),"IP-Poster")</f>
        <v>IP-Poster</v>
      </c>
      <c r="G3195" s="7" t="str">
        <f>IFERROR(__xludf.DUMMYFUNCTION("""COMPUTED_VALUE"""),"In-Person")</f>
        <v>In-Person</v>
      </c>
      <c r="H3195" s="7" t="str">
        <f>IFERROR(__xludf.DUMMYFUNCTION("""COMPUTED_VALUE"""),"Hall 4/5")</f>
        <v>Hall 4/5</v>
      </c>
      <c r="I3195" s="7" t="str">
        <f>IFERROR(__xludf.DUMMYFUNCTION("""COMPUTED_VALUE"""),"Session 2: IP-Posters ")</f>
        <v>Session 2: IP-Posters </v>
      </c>
      <c r="J3195" s="7" t="str">
        <f>IFERROR(__xludf.DUMMYFUNCTION("""COMPUTED_VALUE"""),"Poster Session 1")</f>
        <v>Poster Session 1</v>
      </c>
      <c r="K3195" s="7"/>
      <c r="L3195" s="8">
        <f>IFERROR(__xludf.DUMMYFUNCTION("""COMPUTED_VALUE"""),45866.0)</f>
        <v>45866</v>
      </c>
      <c r="M3195" s="7" t="str">
        <f>IFERROR(__xludf.DUMMYFUNCTION("""COMPUTED_VALUE"""),"11:00-12:30")</f>
        <v>11:00-12:30</v>
      </c>
      <c r="N3195" s="7"/>
    </row>
    <row r="3196">
      <c r="A3196" s="7" t="str">
        <f>IFERROR(__xludf.DUMMYFUNCTION("""COMPUTED_VALUE"""),"4876-MAIN")</f>
        <v>4876-MAIN</v>
      </c>
      <c r="B3196" s="7" t="str">
        <f>IFERROR(__xludf.DUMMYFUNCTION("""COMPUTED_VALUE"""),"Learning Auxiliary Tasks Improves Reference-Free Hallucination Detection in Open-Domain Long-Form Generation")</f>
        <v>Learning Auxiliary Tasks Improves Reference-Free Hallucination Detection in Open-Domain Long-Form Generation</v>
      </c>
      <c r="C3196" s="7" t="str">
        <f>IFERROR(__xludf.DUMMYFUNCTION("""COMPUTED_VALUE"""),"Hallucination, the generation of factually incorrect information, remains a significant challenge for large language models (LLMs), especially in open-domain long-form generation. Existing approaches for detecting hallucination in long-form tasks either f"&amp;"ocus on limited domains or rely heavily on external fact-checking tools, which may not always be available.
In this work, we systematically investigate reference-free hallucination detection in open-domain long-form responses. Our findings reveal that in"&amp;"ternal states (e.g., model's output probability and entropy) alone are insufficient for reliably (i.e., better than random guessing) distinguishing between factual and hallucinated content. To enhance detection, we explore various existing approaches, inc"&amp;"luding prompting-based methods, probing, and fine-tuning, with fine-tuning proving the most effective. To further improve the accuracy, we introduce a new paradigm, named RATE-FT, that augments fine-tuning with an auxiliary task for the model to jointly l"&amp;"earn with the main task of hallucination detection. With extensive experiments and analysis using a variety of model families &amp; datasets, we demonstrate the effectiveness and generalizability of our method, e.g., +3% over general fine-tuning methods on Lo"&amp;"ngFact.")</f>
        <v>Hallucination, the generation of factually incorrect information, remains a significant challenge for large language models (LLMs), especially in open-domain long-form generation. Existing approaches for detecting hallucination in long-form tasks either focus on limited domains or rely heavily on external fact-checking tools, which may not always be available.
In this work, we systematically investigate reference-free hallucination detection in open-domain long-form responses. Our findings reveal that internal states (e.g., model's output probability and entropy) alone are insufficient for reliably (i.e., better than random guessing) distinguishing between factual and hallucinated content. To enhance detection, we explore various existing approaches, including prompting-based methods, probing, and fine-tuning, with fine-tuning proving the most effective. To further improve the accuracy, we introduce a new paradigm, named RATE-FT, that augments fine-tuning with an auxiliary task for the model to jointly learn with the main task of hallucination detection. With extensive experiments and analysis using a variety of model families &amp; datasets, we demonstrate the effectiveness and generalizability of our method, e.g., +3% over general fine-tuning methods on LongFact.</v>
      </c>
      <c r="D3196" s="7" t="str">
        <f>IFERROR(__xludf.DUMMYFUNCTION("""COMPUTED_VALUE"""),"Chengwei Qin")</f>
        <v>Chengwei Qin</v>
      </c>
      <c r="E3196" s="7" t="str">
        <f>IFERROR(__xludf.DUMMYFUNCTION("""COMPUTED_VALUE"""),"Yes")</f>
        <v>Yes</v>
      </c>
      <c r="F3196" s="7" t="str">
        <f>IFERROR(__xludf.DUMMYFUNCTION("""COMPUTED_VALUE"""),"V-Presentation")</f>
        <v>V-Presentation</v>
      </c>
      <c r="G3196" s="7" t="str">
        <f>IFERROR(__xludf.DUMMYFUNCTION("""COMPUTED_VALUE"""),"Virtual/Gather")</f>
        <v>Virtual/Gather</v>
      </c>
      <c r="H3196" s="7" t="str">
        <f>IFERROR(__xludf.DUMMYFUNCTION("""COMPUTED_VALUE"""),"Zoom")</f>
        <v>Zoom</v>
      </c>
      <c r="I3196" s="7" t="str">
        <f>IFERROR(__xludf.DUMMYFUNCTION("""COMPUTED_VALUE"""),"Session 7: V--Presentations ")</f>
        <v>Session 7: V--Presentations </v>
      </c>
      <c r="J3196" s="7" t="str">
        <f>IFERROR(__xludf.DUMMYFUNCTION("""COMPUTED_VALUE"""),"Virtual Presentations 2")</f>
        <v>Virtual Presentations 2</v>
      </c>
      <c r="K3196" s="7"/>
      <c r="L3196" s="8"/>
      <c r="M3196" s="7" t="str">
        <f>IFERROR(__xludf.DUMMYFUNCTION("""COMPUTED_VALUE"""),"10:30-12:00")</f>
        <v>10:30-12:00</v>
      </c>
      <c r="N3196" s="7"/>
    </row>
    <row r="3197">
      <c r="A3197" s="7" t="str">
        <f>IFERROR(__xludf.DUMMYFUNCTION("""COMPUTED_VALUE"""),"4886-MAIN")</f>
        <v>4886-MAIN</v>
      </c>
      <c r="B3197" s="7" t="str">
        <f>IFERROR(__xludf.DUMMYFUNCTION("""COMPUTED_VALUE"""),"Multimodal Coreference Resolution for Chinese Social Media Dialogues: Dataset and Benchmark Approach")</f>
        <v>Multimodal Coreference Resolution for Chinese Social Media Dialogues: Dataset and Benchmark Approach</v>
      </c>
      <c r="C3197" s="7" t="str">
        <f>IFERROR(__xludf.DUMMYFUNCTION("""COMPUTED_VALUE"""),"Multimodal coreference resolution (MCR) aims to identify mentions referring to the same entity across different modalities, such as text and visuals, and is essential for understanding multimodal content. In the era of rapidly growing multimodal content a"&amp;"nd social media, MCR is particularly crucial for interpreting user interactions and bridging text-visual references to improve communication and personalization. However, MCR research for real-world dialogues remains unexplored due to the lack of sufficie"&amp;"nt data resources. To address this gap, we introduce TikTalkCoref, the first Chinese multimodal coreference dataset for social media in real-world scenarios, derived from the popular Douyin short-video platform. This dataset pairs short videos with corres"&amp;"ponding textual dialogues from user comments and includes manually annotated coreference clusters for both person mentions in the text and the coreferential person head regions in the corresponding video frames. We also present an effective benchmark appr"&amp;"oach for MCR, focusing on the celebrity domain, and conduct extensive experiments on our dataset, providing reliable benchmark results for this newly constructed dataset. We release the TikTalkCoref dataset to facilitate future research on MCR for real-wo"&amp;"rld social media dialogues at https://github.com/lxystaruni/TikTalkCoref.")</f>
        <v>Multimodal coreference resolution (MCR) aims to identify mentions referring to the same entity across different modalities, such as text and visuals, and is essential for understanding multimodal content. In the era of rapidly growing multimodal content and social media, MCR is particularly crucial for interpreting user interactions and bridging text-visual references to improve communication and personalization. However, MCR research for real-world dialogues remains unexplored due to the lack of sufficient data resources. To address this gap, we introduce TikTalkCoref, the first Chinese multimodal coreference dataset for social media in real-world scenarios, derived from the popular Douyin short-video platform. This dataset pairs short videos with corresponding textual dialogues from user comments and includes manually annotated coreference clusters for both person mentions in the text and the coreferential person head regions in the corresponding video frames. We also present an effective benchmark approach for MCR, focusing on the celebrity domain, and conduct extensive experiments on our dataset, providing reliable benchmark results for this newly constructed dataset. We release the TikTalkCoref dataset to facilitate future research on MCR for real-world social media dialogues at https://github.com/lxystaruni/TikTalkCoref.</v>
      </c>
      <c r="D3197" s="7" t="str">
        <f>IFERROR(__xludf.DUMMYFUNCTION("""COMPUTED_VALUE"""),"Chen Gong")</f>
        <v>Chen Gong</v>
      </c>
      <c r="E3197" s="7" t="str">
        <f>IFERROR(__xludf.DUMMYFUNCTION("""COMPUTED_VALUE"""),"Yes")</f>
        <v>Yes</v>
      </c>
      <c r="F3197" s="7" t="str">
        <f>IFERROR(__xludf.DUMMYFUNCTION("""COMPUTED_VALUE"""),"IP-Poster")</f>
        <v>IP-Poster</v>
      </c>
      <c r="G3197" s="7" t="str">
        <f>IFERROR(__xludf.DUMMYFUNCTION("""COMPUTED_VALUE"""),"In-Person")</f>
        <v>In-Person</v>
      </c>
      <c r="H3197" s="7" t="str">
        <f>IFERROR(__xludf.DUMMYFUNCTION("""COMPUTED_VALUE"""),"Hall 4/5")</f>
        <v>Hall 4/5</v>
      </c>
      <c r="I3197" s="7" t="str">
        <f>IFERROR(__xludf.DUMMYFUNCTION("""COMPUTED_VALUE"""),"Session 7: IP-Posters")</f>
        <v>Session 7: IP-Posters</v>
      </c>
      <c r="J3197" s="7" t="str">
        <f>IFERROR(__xludf.DUMMYFUNCTION("""COMPUTED_VALUE"""),"Poster Session 2")</f>
        <v>Poster Session 2</v>
      </c>
      <c r="K3197" s="7"/>
      <c r="L3197" s="8">
        <f>IFERROR(__xludf.DUMMYFUNCTION("""COMPUTED_VALUE"""),45867.0)</f>
        <v>45867</v>
      </c>
      <c r="M3197" s="7" t="str">
        <f>IFERROR(__xludf.DUMMYFUNCTION("""COMPUTED_VALUE"""),"10:30-12:00")</f>
        <v>10:30-12:00</v>
      </c>
      <c r="N3197" s="7"/>
    </row>
    <row r="3198">
      <c r="A3198" s="7" t="str">
        <f>IFERROR(__xludf.DUMMYFUNCTION("""COMPUTED_VALUE"""),"4891-MAIN")</f>
        <v>4891-MAIN</v>
      </c>
      <c r="B3198" s="7" t="str">
        <f>IFERROR(__xludf.DUMMYFUNCTION("""COMPUTED_VALUE"""),"TACLR: A Scalable and Efficient Retrieval-based Method for Industrial Product Attribute Value Identification")</f>
        <v>TACLR: A Scalable and Efficient Retrieval-based Method for Industrial Product Attribute Value Identification</v>
      </c>
      <c r="C3198" s="7" t="str">
        <f>IFERROR(__xludf.DUMMYFUNCTION("""COMPUTED_VALUE"""),"Product Attribute Value Identification (PAVI) involves identifying attribute values from product profiles, a key task for improving product search, recommendation, and business analytics on e-commerce platforms.
However, existing PAVI methods face critica"&amp;"l challenges, such as inferring implicit values, handling out-of-distribution (OOD) values, and producing normalized outputs.
To address these limitations, we introduce Taxonomy-Aware Contrastive Learning Retrieval (TACLR), the first retrieval-based metho"&amp;"d for PAVI.
TACLR formulates PAVI as an information retrieval task by encoding product profiles and candidate values into embeddings and retrieving values based on their similarity. It leverages contrastive training with taxonomy-aware hard negative sampl"&amp;"ing and employs adaptive inference with dynamic thresholds.
TACLR offers three key advantages: (1) it effectively handles implicit and OOD values while producing normalized outputs; (2) it scales to thousands of categories, tens of thousands of attributes"&amp;", and millions of values; and (3) it supports efficient inference for high-load industrial deployment.
Extensive experiments on proprietary and public datasets validate the effectiveness and efficiency of TACLR. Further, it has been successfully deployed "&amp;"on the real-world e-commerce platform Xianyu, processing millions of product listings daily with frequently updated, large-scale attribute taxonomies. 
We release the code to facilitate reproducibility and future research at https://github.com/SuYindu/TAC"&amp;"LR.")</f>
        <v>Product Attribute Value Identification (PAVI) involves identifying attribute values from product profiles, a key task for improving product search, recommendation, and business analytics on e-commerce platforms.
However, existing PAVI methods face critical challenges, such as inferring implicit values, handling out-of-distribution (OOD) values, and producing normalized outputs.
To address these limitations, we introduce Taxonomy-Aware Contrastive Learning Retrieval (TACLR), the first retrieval-based method for PAVI.
TACLR formulates PAVI as an information retrieval task by encoding product profiles and candidate values into embeddings and retrieving values based on their similarity. It leverages contrastive training with taxonomy-aware hard negative sampling and employs adaptive inference with dynamic thresholds.
TACLR offers three key advantages: (1) it effectively handles implicit and OOD values while producing normalized outputs; (2) it scales to thousands of categories, tens of thousands of attributes, and millions of values; and (3) it supports efficient inference for high-load industrial deployment.
Extensive experiments on proprietary and public datasets validate the effectiveness and efficiency of TACLR. Further, it has been successfully deployed on the real-world e-commerce platform Xianyu, processing millions of product listings daily with frequently updated, large-scale attribute taxonomies. 
We release the code to facilitate reproducibility and future research at https://github.com/SuYindu/TACLR.</v>
      </c>
      <c r="D3198" s="7" t="str">
        <f>IFERROR(__xludf.DUMMYFUNCTION("""COMPUTED_VALUE"""),"Yindu Su")</f>
        <v>Yindu Su</v>
      </c>
      <c r="E3198" s="7" t="str">
        <f>IFERROR(__xludf.DUMMYFUNCTION("""COMPUTED_VALUE"""),"Yes")</f>
        <v>Yes</v>
      </c>
      <c r="F3198" s="7" t="str">
        <f>IFERROR(__xludf.DUMMYFUNCTION("""COMPUTED_VALUE"""),"V-Presentation")</f>
        <v>V-Presentation</v>
      </c>
      <c r="G3198" s="7" t="str">
        <f>IFERROR(__xludf.DUMMYFUNCTION("""COMPUTED_VALUE"""),"Virtual/Gather")</f>
        <v>Virtual/Gather</v>
      </c>
      <c r="H3198" s="7" t="str">
        <f>IFERROR(__xludf.DUMMYFUNCTION("""COMPUTED_VALUE"""),"Zoom")</f>
        <v>Zoom</v>
      </c>
      <c r="I3198" s="7" t="str">
        <f>IFERROR(__xludf.DUMMYFUNCTION("""COMPUTED_VALUE"""),"Session 10: V-Presenations")</f>
        <v>Session 10: V-Presenations</v>
      </c>
      <c r="J3198" s="7" t="str">
        <f>IFERROR(__xludf.DUMMYFUNCTION("""COMPUTED_VALUE"""),"Virtual Presentations 3")</f>
        <v>Virtual Presentations 3</v>
      </c>
      <c r="K3198" s="7"/>
      <c r="L3198" s="8">
        <f>IFERROR(__xludf.DUMMYFUNCTION("""COMPUTED_VALUE"""),45867.0)</f>
        <v>45867</v>
      </c>
      <c r="M3198" s="7" t="str">
        <f>IFERROR(__xludf.DUMMYFUNCTION("""COMPUTED_VALUE"""),"16:00-17:30")</f>
        <v>16:00-17:30</v>
      </c>
      <c r="N3198" s="7"/>
    </row>
    <row r="3199">
      <c r="A3199" s="7" t="str">
        <f>IFERROR(__xludf.DUMMYFUNCTION("""COMPUTED_VALUE"""),"4892-MAIN")</f>
        <v>4892-MAIN</v>
      </c>
      <c r="B3199" s="7" t="str">
        <f>IFERROR(__xludf.DUMMYFUNCTION("""COMPUTED_VALUE"""),"Theory of Mind in Large Language Models: Assessment and Enhancement")</f>
        <v>Theory of Mind in Large Language Models: Assessment and Enhancement</v>
      </c>
      <c r="C3199" s="7" t="str">
        <f>IFERROR(__xludf.DUMMYFUNCTION("""COMPUTED_VALUE"""),"Theory of Mind (ToM)—the ability to reason about the mental states of oneself and others—is a cornerstone of human social intelligence. As Large Language Models (LLMs) become increasingly integrated into daily life, understanding their ability to interpre"&amp;"t and respond to human mental states is crucial for enabling effective interactions. In this paper, we review LLMs' ToM capabilities by analyzing both evaluation benchmarks and enhancement strategies. For evaluation, we focus on recently proposed and wide"&amp;"ly used story-based benchmarks. For enhancement, we provide an in-depth analysis of recent methods aimed at improving LLMs' ToM abilities. Furthermore, we outline promising directions for future research to further advance these capabilities and better ad"&amp;"apt LLMs to more realistic and diverse scenarios. Our survey serves as a valuable resource for researchers interested in evaluating and advancing LLMs' ToM capabilities.")</f>
        <v>Theory of Mind (ToM)—the ability to reason about the mental states of oneself and others—is a cornerstone of human social intelligence. As Large Language Models (LLMs) become increasingly integrated into daily life, understanding their ability to interpret and respond to human mental states is crucial for enabling effective interactions. In this paper, we review LLMs' ToM capabilities by analyzing both evaluation benchmarks and enhancement strategies. For evaluation, we focus on recently proposed and widely used story-based benchmarks. For enhancement, we provide an in-depth analysis of recent methods aimed at improving LLMs' ToM abilities. Furthermore, we outline promising directions for future research to further advance these capabilities and better adapt LLMs to more realistic and diverse scenarios. Our survey serves as a valuable resource for researchers interested in evaluating and advancing LLMs' ToM capabilities.</v>
      </c>
      <c r="D3199" s="7" t="str">
        <f>IFERROR(__xludf.DUMMYFUNCTION("""COMPUTED_VALUE"""),"Ruirui Chen")</f>
        <v>Ruirui Chen</v>
      </c>
      <c r="E3199" s="7" t="str">
        <f>IFERROR(__xludf.DUMMYFUNCTION("""COMPUTED_VALUE"""),"Yes")</f>
        <v>Yes</v>
      </c>
      <c r="F3199" s="7" t="str">
        <f>IFERROR(__xludf.DUMMYFUNCTION("""COMPUTED_VALUE"""),"IP-Poster")</f>
        <v>IP-Poster</v>
      </c>
      <c r="G3199" s="7" t="str">
        <f>IFERROR(__xludf.DUMMYFUNCTION("""COMPUTED_VALUE"""),"In-Person")</f>
        <v>In-Person</v>
      </c>
      <c r="H3199" s="7" t="str">
        <f>IFERROR(__xludf.DUMMYFUNCTION("""COMPUTED_VALUE"""),"Hall 4/5")</f>
        <v>Hall 4/5</v>
      </c>
      <c r="I3199" s="7" t="str">
        <f>IFERROR(__xludf.DUMMYFUNCTION("""COMPUTED_VALUE"""),"Session 12: IP-Posters")</f>
        <v>Session 12: IP-Posters</v>
      </c>
      <c r="J3199" s="7" t="str">
        <f>IFERROR(__xludf.DUMMYFUNCTION("""COMPUTED_VALUE"""),"Poster Session 4")</f>
        <v>Poster Session 4</v>
      </c>
      <c r="K3199" s="7"/>
      <c r="L3199" s="8">
        <f>IFERROR(__xludf.DUMMYFUNCTION("""COMPUTED_VALUE"""),45868.0)</f>
        <v>45868</v>
      </c>
      <c r="M3199" s="7" t="str">
        <f>IFERROR(__xludf.DUMMYFUNCTION("""COMPUTED_VALUE"""),"11:00-12:30")</f>
        <v>11:00-12:30</v>
      </c>
      <c r="N3199" s="7"/>
    </row>
    <row r="3200">
      <c r="A3200" s="7" t="str">
        <f>IFERROR(__xludf.DUMMYFUNCTION("""COMPUTED_VALUE"""),"4893-MAIN")</f>
        <v>4893-MAIN</v>
      </c>
      <c r="B3200" s="7" t="str">
        <f>IFERROR(__xludf.DUMMYFUNCTION("""COMPUTED_VALUE"""),"Completing A Systematic Review in Hours instead of Months with Interactive AI Agents")</f>
        <v>Completing A Systematic Review in Hours instead of Months with Interactive AI Agents</v>
      </c>
      <c r="C3200" s="7" t="str">
        <f>IFERROR(__xludf.DUMMYFUNCTION("""COMPUTED_VALUE"""),"Systematic reviews (SRs) are vital for evidence-based practice in high stakes disciplines, such as healthcare, but are often impeded by intensive labors and lengthy processes that can take months to complete. Due to the high demand for domain expertise, e"&amp;"xisting automatic summarization methods fail to accurately identify relevant studies and generate high-quality summaries. To that end, we introduce InsightAgent, a human-centered interactive AI agent powered by large language models that revolutionize thi"&amp;"s workflow. InsightAgent partitions a large literature corpus based on semantics and employs a multi-agent design for more focused processing of literature, leading to significant improvement in the quality of generated SRs. InsightAgent also provides int"&amp;"uitive visualizations of the corpus and agent trajectories, allowing users to effortlessly monitor the actions of the agent and provide real-time feedback based on their expertise. Our user studies with 9 medical professionals demonstrate that the visuali"&amp;"zation and interaction mechanisms can effectively improve the quality of synthesized SRs by 27.2%, reaching 79.7% of human-written quality. At the same time, user satisfaction is improved by 34.4%. With InsightAgent, it only takes a clinician about 1.5 ho"&amp;"urs, rather than months, to complete a high-quality systematic review.")</f>
        <v>Systematic reviews (SRs) are vital for evidence-based practice in high stakes disciplines, such as healthcare, but are often impeded by intensive labors and lengthy processes that can take months to complete. Due to the high demand for domain expertise, existing automatic summarization methods fail to accurately identify relevant studies and generate high-quality summaries. To that end, we introduce InsightAgent, a human-centered interactive AI agent powered by large language models that revolutionize this workflow. InsightAgent partitions a large literature corpus based on semantics and employs a multi-agent design for more focused processing of literature, leading to significant improvement in the quality of generated SRs. InsightAgent also provides intuitive visualizations of the corpus and agent trajectories, allowing users to effortlessly monitor the actions of the agent and provide real-time feedback based on their expertise. Our user studies with 9 medical professionals demonstrate that the visualization and interaction mechanisms can effectively improve the quality of synthesized SRs by 27.2%, reaching 79.7% of human-written quality. At the same time, user satisfaction is improved by 34.4%. With InsightAgent, it only takes a clinician about 1.5 hours, rather than months, to complete a high-quality systematic review.</v>
      </c>
      <c r="D3200" s="7" t="str">
        <f>IFERROR(__xludf.DUMMYFUNCTION("""COMPUTED_VALUE"""),"Rui Qiu")</f>
        <v>Rui Qiu</v>
      </c>
      <c r="E3200" s="7" t="str">
        <f>IFERROR(__xludf.DUMMYFUNCTION("""COMPUTED_VALUE"""),"Yes")</f>
        <v>Yes</v>
      </c>
      <c r="F3200" s="7" t="str">
        <f>IFERROR(__xludf.DUMMYFUNCTION("""COMPUTED_VALUE"""),"IP-Poster")</f>
        <v>IP-Poster</v>
      </c>
      <c r="G3200" s="7" t="str">
        <f>IFERROR(__xludf.DUMMYFUNCTION("""COMPUTED_VALUE"""),"In-Person")</f>
        <v>In-Person</v>
      </c>
      <c r="H3200" s="7" t="str">
        <f>IFERROR(__xludf.DUMMYFUNCTION("""COMPUTED_VALUE"""),"Hall 4/5")</f>
        <v>Hall 4/5</v>
      </c>
      <c r="I3200" s="7" t="str">
        <f>IFERROR(__xludf.DUMMYFUNCTION("""COMPUTED_VALUE"""),"Session 2: IP-Posters ")</f>
        <v>Session 2: IP-Posters </v>
      </c>
      <c r="J3200" s="7" t="str">
        <f>IFERROR(__xludf.DUMMYFUNCTION("""COMPUTED_VALUE"""),"Poster Session 1")</f>
        <v>Poster Session 1</v>
      </c>
      <c r="K3200" s="7"/>
      <c r="L3200" s="8">
        <f>IFERROR(__xludf.DUMMYFUNCTION("""COMPUTED_VALUE"""),45866.0)</f>
        <v>45866</v>
      </c>
      <c r="M3200" s="7" t="str">
        <f>IFERROR(__xludf.DUMMYFUNCTION("""COMPUTED_VALUE"""),"11:00-12:30")</f>
        <v>11:00-12:30</v>
      </c>
      <c r="N3200" s="7"/>
    </row>
    <row r="3201">
      <c r="A3201" s="7" t="str">
        <f>IFERROR(__xludf.DUMMYFUNCTION("""COMPUTED_VALUE"""),"4899-MAIN")</f>
        <v>4899-MAIN</v>
      </c>
      <c r="B3201" s="7" t="str">
        <f>IFERROR(__xludf.DUMMYFUNCTION("""COMPUTED_VALUE"""),"CMHKF: Cross-Modality Heterogeneous Knowledge Fusion for Weakly Supervised Video Anomaly Detection")</f>
        <v>CMHKF: Cross-Modality Heterogeneous Knowledge Fusion for Weakly Supervised Video Anomaly Detection</v>
      </c>
      <c r="C3201" s="7" t="str">
        <f>IFERROR(__xludf.DUMMYFUNCTION("""COMPUTED_VALUE"""),"Weakly supervised video anomaly detection (WSVAD) presents a challenging task focused on detecting frame-level anomalies using only video-level labels. However, existing methods focus mainly on visual modalities, neglecting rich multi-modality information"&amp;". This paper proposes a novel framework, Cross-Modality Heterogeneous Knowledge Fusion (CMHKF), that integrates cross-modality knowledge from video, audio, and text to improve anomaly detection and localization. To achieve adaptive cross-modality heteroge"&amp;"neous knowledge learning, we designed two components: Cross-Modality Video-Text Knowledge Alignment (CVKA) and Audio Modality Feature Adaptive Extraction (AFAE). They extract and aggregate features by exploring inter-modality correlations. By leveraging a"&amp;"bundant cross-modality knowledge, our approach improves the discrimination between normal and anomalous segments. Extensive experiments on XD-Violence show our method significantly enhances accuracy and robustness in both coarse-grained and fine-grained a"&amp;"nomaly detection.")</f>
        <v>Weakly supervised video anomaly detection (WSVAD) presents a challenging task focused on detecting frame-level anomalies using only video-level labels. However, existing methods focus mainly on visual modalities, neglecting rich multi-modality information. This paper proposes a novel framework, Cross-Modality Heterogeneous Knowledge Fusion (CMHKF), that integrates cross-modality knowledge from video, audio, and text to improve anomaly detection and localization. To achieve adaptive cross-modality heterogeneous knowledge learning, we designed two components: Cross-Modality Video-Text Knowledge Alignment (CVKA) and Audio Modality Feature Adaptive Extraction (AFAE). They extract and aggregate features by exploring inter-modality correlations. By leveraging abundant cross-modality knowledge, our approach improves the discrimination between normal and anomalous segments. Extensive experiments on XD-Violence show our method significantly enhances accuracy and robustness in both coarse-grained and fine-grained anomaly detection.</v>
      </c>
      <c r="D3201" s="7" t="str">
        <f>IFERROR(__xludf.DUMMYFUNCTION("""COMPUTED_VALUE"""),"Shengping Song")</f>
        <v>Shengping Song</v>
      </c>
      <c r="E3201" s="7" t="str">
        <f>IFERROR(__xludf.DUMMYFUNCTION("""COMPUTED_VALUE"""),"Yes")</f>
        <v>Yes</v>
      </c>
      <c r="F3201" s="7" t="str">
        <f>IFERROR(__xludf.DUMMYFUNCTION("""COMPUTED_VALUE"""),"V-Presentation")</f>
        <v>V-Presentation</v>
      </c>
      <c r="G3201" s="7" t="str">
        <f>IFERROR(__xludf.DUMMYFUNCTION("""COMPUTED_VALUE"""),"Virtual/Gather")</f>
        <v>Virtual/Gather</v>
      </c>
      <c r="H3201" s="7" t="str">
        <f>IFERROR(__xludf.DUMMYFUNCTION("""COMPUTED_VALUE"""),"Zoom")</f>
        <v>Zoom</v>
      </c>
      <c r="I3201" s="7" t="str">
        <f>IFERROR(__xludf.DUMMYFUNCTION("""COMPUTED_VALUE"""),"Session 12: V-Presentations")</f>
        <v>Session 12: V-Presentations</v>
      </c>
      <c r="J3201" s="7" t="str">
        <f>IFERROR(__xludf.DUMMYFUNCTION("""COMPUTED_VALUE"""),"Virtual Presentations 4")</f>
        <v>Virtual Presentations 4</v>
      </c>
      <c r="K3201" s="7"/>
      <c r="L3201" s="8">
        <f>IFERROR(__xludf.DUMMYFUNCTION("""COMPUTED_VALUE"""),45868.0)</f>
        <v>45868</v>
      </c>
      <c r="M3201" s="7" t="str">
        <f>IFERROR(__xludf.DUMMYFUNCTION("""COMPUTED_VALUE"""),"11:00-12:30")</f>
        <v>11:00-12:30</v>
      </c>
      <c r="N3201" s="7"/>
    </row>
    <row r="3202">
      <c r="A3202" s="7" t="str">
        <f>IFERROR(__xludf.DUMMYFUNCTION("""COMPUTED_VALUE"""),"4900-MAIN")</f>
        <v>4900-MAIN</v>
      </c>
      <c r="B3202" s="7" t="str">
        <f>IFERROR(__xludf.DUMMYFUNCTION("""COMPUTED_VALUE"""),"CLaSp: In-Context Layer Skip for Self-Speculative Decoding")</f>
        <v>CLaSp: In-Context Layer Skip for Self-Speculative Decoding</v>
      </c>
      <c r="C3202" s="7" t="str">
        <f>IFERROR(__xludf.DUMMYFUNCTION("""COMPUTED_VALUE"""),"Speculative decoding (SD) is a promising method for accelerating the decoding process of Large Language Models (LLMs). The efficiency of SD primarily hinges on the consistency between the draft model and the verify model. However, existing drafting approa"&amp;"ches typically require additional modules to be trained, which can be challenging to implement and ensure compatibility across various LLMs. In this paper, we propose CLaSp, an in-context layer-skipping strategy for self-speculative decoding. Unlike prior"&amp;" methods, CLaSp does not require additional drafting modules or extra training. Instead, it employs a plug-and-play mechanism by skipping intermediate layers of the verify model to construct a compressed draft model. Specifically, we develop a dynamic pro"&amp;"gramming algorithm that optimizes the layer-skipping process by leveraging the complete hidden states from the last verification stage as an objective. This enables CLaSp to dynamically adjust its layer-skipping strategy after each verification stage, wit"&amp;"hout relying on pre-optimized sets of skipped layers. Experimental results across diverse downstream tasks demonstrate that CLaSp achieves a speedup of $1.3\times \sim 1.7\times$ on LLaMA3 series models without altering the original distribution of the ge"&amp;"nerated text.")</f>
        <v>Speculative decoding (SD) is a promising method for accelerating the decoding process of Large Language Models (LLMs). The efficiency of SD primarily hinges on the consistency between the draft model and the verify model. However, existing drafting approaches typically require additional modules to be trained, which can be challenging to implement and ensure compatibility across various LLMs. In this paper, we propose CLaSp, an in-context layer-skipping strategy for self-speculative decoding. Unlike prior methods, CLaSp does not require additional drafting modules or extra training. Instead, it employs a plug-and-play mechanism by skipping intermediate layers of the verify model to construct a compressed draft model. Specifically, we develop a dynamic programming algorithm that optimizes the layer-skipping process by leveraging the complete hidden states from the last verification stage as an objective. This enables CLaSp to dynamically adjust its layer-skipping strategy after each verification stage, without relying on pre-optimized sets of skipped layers. Experimental results across diverse downstream tasks demonstrate that CLaSp achieves a speedup of $1.3\times \sim 1.7\times$ on LLaMA3 series models without altering the original distribution of the generated text.</v>
      </c>
      <c r="D3202" s="7" t="str">
        <f>IFERROR(__xludf.DUMMYFUNCTION("""COMPUTED_VALUE"""),"Longze Chen")</f>
        <v>Longze Chen</v>
      </c>
      <c r="E3202" s="7" t="str">
        <f>IFERROR(__xludf.DUMMYFUNCTION("""COMPUTED_VALUE"""),"Yes")</f>
        <v>Yes</v>
      </c>
      <c r="F3202" s="7" t="str">
        <f>IFERROR(__xludf.DUMMYFUNCTION("""COMPUTED_VALUE"""),"IP-Poster")</f>
        <v>IP-Poster</v>
      </c>
      <c r="G3202" s="7" t="str">
        <f>IFERROR(__xludf.DUMMYFUNCTION("""COMPUTED_VALUE"""),"In-Person")</f>
        <v>In-Person</v>
      </c>
      <c r="H3202" s="7" t="str">
        <f>IFERROR(__xludf.DUMMYFUNCTION("""COMPUTED_VALUE"""),"Hall 4/5")</f>
        <v>Hall 4/5</v>
      </c>
      <c r="I3202" s="7" t="str">
        <f>IFERROR(__xludf.DUMMYFUNCTION("""COMPUTED_VALUE"""),"Session 2: IP-Posters ")</f>
        <v>Session 2: IP-Posters </v>
      </c>
      <c r="J3202" s="7" t="str">
        <f>IFERROR(__xludf.DUMMYFUNCTION("""COMPUTED_VALUE"""),"Poster Session 1")</f>
        <v>Poster Session 1</v>
      </c>
      <c r="K3202" s="7"/>
      <c r="L3202" s="8">
        <f>IFERROR(__xludf.DUMMYFUNCTION("""COMPUTED_VALUE"""),45866.0)</f>
        <v>45866</v>
      </c>
      <c r="M3202" s="7" t="str">
        <f>IFERROR(__xludf.DUMMYFUNCTION("""COMPUTED_VALUE"""),"11:00-12:30")</f>
        <v>11:00-12:30</v>
      </c>
      <c r="N3202" s="7"/>
    </row>
    <row r="3203">
      <c r="A3203" s="7" t="str">
        <f>IFERROR(__xludf.DUMMYFUNCTION("""COMPUTED_VALUE"""),"4906-MAIN")</f>
        <v>4906-MAIN</v>
      </c>
      <c r="B3203" s="7" t="str">
        <f>IFERROR(__xludf.DUMMYFUNCTION("""COMPUTED_VALUE"""),"Teaching Text Agents to Learn Sequential Decision Making from Failure")</f>
        <v>Teaching Text Agents to Learn Sequential Decision Making from Failure</v>
      </c>
      <c r="C3203" s="7" t="str">
        <f>IFERROR(__xludf.DUMMYFUNCTION("""COMPUTED_VALUE"""),"Text-based reinforcement-learning agents improve their policies by interacting with their environments to collect more training data. However, these self-collected data inevitably contain intermediate failed actions caused by attempting physically infeasi"&amp;"ble behaviors and/or hallucinations. Directly learning a policy from such trajectories can reinforce incorrect behaviors and reduce task success rates. In this paper, we propose a failed action-aware objective that suppresses the negative impact of failed"&amp;" actions during training by assigning zero return based on textual feedback. Building on this objective, we introduce a perturbation method that leverages unsuccessful trajectories to construct new successful ones that share the same goal. This allows age"&amp;"nts to benefit from diverse experiences without further interaction with the environment. Experiments in ALFWorld and ScienceWorld demonstrate that our method significantly outperforms strong baselines and generalizes across environments. Code is availabl"&amp;"e at https://github.com/riken-grp/text-agent.")</f>
        <v>Text-based reinforcement-learning agents improve their policies by interacting with their environments to collect more training data. However, these self-collected data inevitably contain intermediate failed actions caused by attempting physically infeasible behaviors and/or hallucinations. Directly learning a policy from such trajectories can reinforce incorrect behaviors and reduce task success rates. In this paper, we propose a failed action-aware objective that suppresses the negative impact of failed actions during training by assigning zero return based on textual feedback. Building on this objective, we introduce a perturbation method that leverages unsuccessful trajectories to construct new successful ones that share the same goal. This allows agents to benefit from diverse experiences without further interaction with the environment. Experiments in ALFWorld and ScienceWorld demonstrate that our method significantly outperforms strong baselines and generalizes across environments. Code is available at https://github.com/riken-grp/text-agent.</v>
      </c>
      <c r="D3203" s="7" t="str">
        <f>IFERROR(__xludf.DUMMYFUNCTION("""COMPUTED_VALUE"""),"Canasai Kruengkrai")</f>
        <v>Canasai Kruengkrai</v>
      </c>
      <c r="E3203" s="7" t="str">
        <f>IFERROR(__xludf.DUMMYFUNCTION("""COMPUTED_VALUE"""),"Yes")</f>
        <v>Yes</v>
      </c>
      <c r="F3203" s="7" t="str">
        <f>IFERROR(__xludf.DUMMYFUNCTION("""COMPUTED_VALUE"""),"IP-Poster")</f>
        <v>IP-Poster</v>
      </c>
      <c r="G3203" s="7" t="str">
        <f>IFERROR(__xludf.DUMMYFUNCTION("""COMPUTED_VALUE"""),"In-Person")</f>
        <v>In-Person</v>
      </c>
      <c r="H3203" s="7" t="str">
        <f>IFERROR(__xludf.DUMMYFUNCTION("""COMPUTED_VALUE"""),"Hall 4/5")</f>
        <v>Hall 4/5</v>
      </c>
      <c r="I3203" s="7" t="str">
        <f>IFERROR(__xludf.DUMMYFUNCTION("""COMPUTED_VALUE"""),"Session 7: IP-Posters")</f>
        <v>Session 7: IP-Posters</v>
      </c>
      <c r="J3203" s="7" t="str">
        <f>IFERROR(__xludf.DUMMYFUNCTION("""COMPUTED_VALUE"""),"Poster Session 2")</f>
        <v>Poster Session 2</v>
      </c>
      <c r="K3203" s="7"/>
      <c r="L3203" s="8">
        <f>IFERROR(__xludf.DUMMYFUNCTION("""COMPUTED_VALUE"""),45867.0)</f>
        <v>45867</v>
      </c>
      <c r="M3203" s="7" t="str">
        <f>IFERROR(__xludf.DUMMYFUNCTION("""COMPUTED_VALUE"""),"10:30-12:00")</f>
        <v>10:30-12:00</v>
      </c>
      <c r="N3203" s="7"/>
    </row>
    <row r="3204">
      <c r="A3204" s="7" t="str">
        <f>IFERROR(__xludf.DUMMYFUNCTION("""COMPUTED_VALUE"""),"4915-MAIN")</f>
        <v>4915-MAIN</v>
      </c>
      <c r="B3204" s="7" t="str">
        <f>IFERROR(__xludf.DUMMYFUNCTION("""COMPUTED_VALUE"""),"The Harmonic Structure of Information Contours")</f>
        <v>The Harmonic Structure of Information Contours</v>
      </c>
      <c r="C3204" s="7" t="str">
        <f>IFERROR(__xludf.DUMMYFUNCTION("""COMPUTED_VALUE"""),"The uniform information density (UID) hypothesis proposes that speakers aim to distribute information evenly throughout a text, balancing production effort and listener comprehension difficulty. However, language typically does not maintain a strictly uni"&amp;"form information rate; instead, it fluctuates around a global average. These fluctuations are often explained by factors such as syntactic constraints, stylistic choices, or audience design. In this work, we explore an alternative perspective: that these "&amp;"fluctuations may be influenced by an implicit linguistic pressure towards periodicity, where the information rate oscillates at regular intervals, potentially across multiple frequencies simultaneously. We apply harmonic regression and introduce a novel e"&amp;"xtension called time scaling to detect and test for such periodicity in information contours. Analyzing texts in English, Spanish, German, Dutch, Basque, and Brazilian Portuguese, we find consistent evidence of periodic patterns in information rate. Many "&amp;"dominant frequencies align with discourse structure, suggesting these oscillations reflect meaningful linguistic organization. Beyond highlighting the connection between information rate and discourse structure, our approach offers a general framework for"&amp;" uncovering structural pressures at various levels of linguistic granularity.")</f>
        <v>The uniform information density (UID) hypothesis proposes that speakers aim to distribute information evenly throughout a text, balancing production effort and listener comprehension difficulty. However, language typically does not maintain a strictly uniform information rate; instead, it fluctuates around a global average. These fluctuations are often explained by factors such as syntactic constraints, stylistic choices, or audience design. In this work, we explore an alternative perspective: that these fluctuations may be influenced by an implicit linguistic pressure towards periodicity, where the information rate oscillates at regular intervals, potentially across multiple frequencies simultaneously. We apply harmonic regression and introduce a novel extension called time scaling to detect and test for such periodicity in information contours. Analyzing texts in English, Spanish, German, Dutch, Basque, and Brazilian Portuguese, we find consistent evidence of periodic patterns in information rate. Many dominant frequencies align with discourse structure, suggesting these oscillations reflect meaningful linguistic organization. Beyond highlighting the connection between information rate and discourse structure, our approach offers a general framework for uncovering structural pressures at various levels of linguistic granularity.</v>
      </c>
      <c r="D3204" s="7" t="str">
        <f>IFERROR(__xludf.DUMMYFUNCTION("""COMPUTED_VALUE"""),"Eleftheria Tsipidi")</f>
        <v>Eleftheria Tsipidi</v>
      </c>
      <c r="E3204" s="7" t="str">
        <f>IFERROR(__xludf.DUMMYFUNCTION("""COMPUTED_VALUE"""),"Yes")</f>
        <v>Yes</v>
      </c>
      <c r="F3204" s="7" t="str">
        <f>IFERROR(__xludf.DUMMYFUNCTION("""COMPUTED_VALUE"""),"IP-Poster")</f>
        <v>IP-Poster</v>
      </c>
      <c r="G3204" s="7" t="str">
        <f>IFERROR(__xludf.DUMMYFUNCTION("""COMPUTED_VALUE"""),"In-Person")</f>
        <v>In-Person</v>
      </c>
      <c r="H3204" s="7" t="str">
        <f>IFERROR(__xludf.DUMMYFUNCTION("""COMPUTED_VALUE"""),"Hall 4/5")</f>
        <v>Hall 4/5</v>
      </c>
      <c r="I3204" s="7" t="str">
        <f>IFERROR(__xludf.DUMMYFUNCTION("""COMPUTED_VALUE"""),"Session 12: IP-Posters")</f>
        <v>Session 12: IP-Posters</v>
      </c>
      <c r="J3204" s="7" t="str">
        <f>IFERROR(__xludf.DUMMYFUNCTION("""COMPUTED_VALUE"""),"Poster Session 4")</f>
        <v>Poster Session 4</v>
      </c>
      <c r="K3204" s="7"/>
      <c r="L3204" s="8">
        <f>IFERROR(__xludf.DUMMYFUNCTION("""COMPUTED_VALUE"""),45868.0)</f>
        <v>45868</v>
      </c>
      <c r="M3204" s="7" t="str">
        <f>IFERROR(__xludf.DUMMYFUNCTION("""COMPUTED_VALUE"""),"11:00-12:30")</f>
        <v>11:00-12:30</v>
      </c>
      <c r="N3204" s="7"/>
    </row>
    <row r="3205">
      <c r="A3205" s="7" t="str">
        <f>IFERROR(__xludf.DUMMYFUNCTION("""COMPUTED_VALUE"""),"4917-MAIN")</f>
        <v>4917-MAIN</v>
      </c>
      <c r="B3205" s="7" t="str">
        <f>IFERROR(__xludf.DUMMYFUNCTION("""COMPUTED_VALUE"""),"REAL-MM-RAG: A Real-World Multi-Modal Retrieval Benchmark")</f>
        <v>REAL-MM-RAG: A Real-World Multi-Modal Retrieval Benchmark</v>
      </c>
      <c r="C3205" s="7" t="str">
        <f>IFERROR(__xludf.DUMMYFUNCTION("""COMPUTED_VALUE"""),"Accurate multi-modal document retrieval is crucial for Retrieval-Augmented Generation (RAG), yet existing benchmarks do not fully capture real-world challenges with their current design. We introduce REAL-MM-RAG, an automatically generated benchmark desig"&amp;"ned to address four key properties essential for real-world retrieval: (i) multi-modal documents, (ii) enhanced difficulty, (iii) Realistic-RAG queries and (iv) accurate labeling. Additionally, we propose a multi-difficulty-level scheme based on query rep"&amp;"hrasing to evaluate models' semantic understanding beyond keyword matching. Our benchmark reveals significant model weaknesses, particularly in handling table-heavy documents and robustness to query rephrasing. To mitigate these shortcomings, we curate a "&amp;"rephrased training set and introduce a new finance-focused, table-heavy dataset. Fine-tuning on these datasets enables models to achieve state-of-the-art retrieval performance on REAL-MM-RAG benchmark. Our work offers a better way to evaluate and improve "&amp;"retrieval in multi-modal RAG systems while also providing training data and models that address current limitations.")</f>
        <v>Accurate multi-modal document retrieval is crucial for Retrieval-Augmented Generation (RAG), yet existing benchmarks do not fully capture real-world challenges with their current design. We introduce REAL-MM-RAG, an automatically generated benchmark designed to address four key properties essential for real-world retrieval: (i) multi-modal documents, (ii) enhanced difficulty, (iii) Realistic-RAG queries and (iv) accurate labeling. Additionally, we propose a multi-difficulty-level scheme based on query rephrasing to evaluate models' semantic understanding beyond keyword matching. Our benchmark reveals significant model weaknesses, particularly in handling table-heavy documents and robustness to query rephrasing. To mitigate these shortcomings, we curate a rephrased training set and introduce a new finance-focused, table-heavy dataset. Fine-tuning on these datasets enables models to achieve state-of-the-art retrieval performance on REAL-MM-RAG benchmark. Our work offers a better way to evaluate and improve retrieval in multi-modal RAG systems while also providing training data and models that address current limitations.</v>
      </c>
      <c r="D3205" s="7" t="str">
        <f>IFERROR(__xludf.DUMMYFUNCTION("""COMPUTED_VALUE"""),"Oshri Naparstek")</f>
        <v>Oshri Naparstek</v>
      </c>
      <c r="E3205" s="7" t="str">
        <f>IFERROR(__xludf.DUMMYFUNCTION("""COMPUTED_VALUE"""),"Yes")</f>
        <v>Yes</v>
      </c>
      <c r="F3205" s="7" t="str">
        <f>IFERROR(__xludf.DUMMYFUNCTION("""COMPUTED_VALUE"""),"IP-Poster")</f>
        <v>IP-Poster</v>
      </c>
      <c r="G3205" s="7" t="str">
        <f>IFERROR(__xludf.DUMMYFUNCTION("""COMPUTED_VALUE"""),"In-Person")</f>
        <v>In-Person</v>
      </c>
      <c r="H3205" s="7" t="str">
        <f>IFERROR(__xludf.DUMMYFUNCTION("""COMPUTED_VALUE"""),"Hall 4/5")</f>
        <v>Hall 4/5</v>
      </c>
      <c r="I3205" s="7" t="str">
        <f>IFERROR(__xludf.DUMMYFUNCTION("""COMPUTED_VALUE"""),"Session 2: IP-Posters ")</f>
        <v>Session 2: IP-Posters </v>
      </c>
      <c r="J3205" s="7" t="str">
        <f>IFERROR(__xludf.DUMMYFUNCTION("""COMPUTED_VALUE"""),"Poster Session 1")</f>
        <v>Poster Session 1</v>
      </c>
      <c r="K3205" s="7"/>
      <c r="L3205" s="8">
        <f>IFERROR(__xludf.DUMMYFUNCTION("""COMPUTED_VALUE"""),45866.0)</f>
        <v>45866</v>
      </c>
      <c r="M3205" s="7" t="str">
        <f>IFERROR(__xludf.DUMMYFUNCTION("""COMPUTED_VALUE"""),"11:00-12:30")</f>
        <v>11:00-12:30</v>
      </c>
      <c r="N3205" s="7"/>
    </row>
    <row r="3206">
      <c r="A3206" s="7" t="str">
        <f>IFERROR(__xludf.DUMMYFUNCTION("""COMPUTED_VALUE"""),"4919-MAIN")</f>
        <v>4919-MAIN</v>
      </c>
      <c r="B3206" s="7" t="str">
        <f>IFERROR(__xludf.DUMMYFUNCTION("""COMPUTED_VALUE"""),"Only a Little to the Left: A Theory-grounded Measure of Political Bias in Large Language Models")</f>
        <v>Only a Little to the Left: A Theory-grounded Measure of Political Bias in Large Language Models</v>
      </c>
      <c r="C3206" s="7" t="str">
        <f>IFERROR(__xludf.DUMMYFUNCTION("""COMPUTED_VALUE"""),"Prompt-based language models like GPT4 and LLaMa have been used for a wide variety of use cases such as simulating agents, searching for information, or for content analysis. For all of these applications and others, political biases in these models can a"&amp;"ffect their performance. Several researchers have attempted to study political bias in language models using evaluation suites based on surveys, such as the Political Compass Test (PCT), often finding a particular leaning favored by these models. However,"&amp;" there is some variation in the exact prompting techniques, leading to diverging findings, and most research relies on constrained-answer settings to extract model responses. Moreover, the Political Compass Test is not a scientifically valid survey instru"&amp;"ment. In this work, we contribute a political bias measured informed by political science theory, building on survey design principles to test a wide variety of input prompts, while taking into account prompt sensitivity. We then prompt 11 different open "&amp;"and commercial models, differentiating between instruction-tuned and non-instruction-tuned models, and automatically classify their political stances from 88,110 responses. Leveraging this dataset, we compute political bias profiles across different promp"&amp;"t variations and find that while PCT exaggerates bias in certain models like GPT3.5, measures of political bias are often unstable, but generally more left-leaning for instruction-tuned models. Code and data are available at https://github.com/MaFa211/the"&amp;"ory_grounded_pol_bias.")</f>
        <v>Prompt-based language models like GPT4 and LLaMa have been used for a wide variety of use cases such as simulating agents, searching for information, or for content analysis. For all of these applications and others, political biases in these models can affect their performance. Several researchers have attempted to study political bias in language models using evaluation suites based on surveys, such as the Political Compass Test (PCT), often finding a particular leaning favored by these models. However, there is some variation in the exact prompting techniques, leading to diverging findings, and most research relies on constrained-answer settings to extract model responses. Moreover, the Political Compass Test is not a scientifically valid survey instrument. In this work, we contribute a political bias measured informed by political science theory, building on survey design principles to test a wide variety of input prompts, while taking into account prompt sensitivity. We then prompt 11 different open and commercial models, differentiating between instruction-tuned and non-instruction-tuned models, and automatically classify their political stances from 88,110 responses. Leveraging this dataset, we compute political bias profiles across different prompt variations and find that while PCT exaggerates bias in certain models like GPT3.5, measures of political bias are often unstable, but generally more left-leaning for instruction-tuned models. Code and data are available at https://github.com/MaFa211/theory_grounded_pol_bias.</v>
      </c>
      <c r="D3206" s="7" t="str">
        <f>IFERROR(__xludf.DUMMYFUNCTION("""COMPUTED_VALUE"""),"Indira Sen")</f>
        <v>Indira Sen</v>
      </c>
      <c r="E3206" s="7" t="str">
        <f>IFERROR(__xludf.DUMMYFUNCTION("""COMPUTED_VALUE"""),"Yes")</f>
        <v>Yes</v>
      </c>
      <c r="F3206" s="7" t="str">
        <f>IFERROR(__xludf.DUMMYFUNCTION("""COMPUTED_VALUE"""),"IP-Poster")</f>
        <v>IP-Poster</v>
      </c>
      <c r="G3206" s="7" t="str">
        <f>IFERROR(__xludf.DUMMYFUNCTION("""COMPUTED_VALUE"""),"In-Person")</f>
        <v>In-Person</v>
      </c>
      <c r="H3206" s="7" t="str">
        <f>IFERROR(__xludf.DUMMYFUNCTION("""COMPUTED_VALUE"""),"Hall 4/5")</f>
        <v>Hall 4/5</v>
      </c>
      <c r="I3206" s="7" t="str">
        <f>IFERROR(__xludf.DUMMYFUNCTION("""COMPUTED_VALUE"""),"Session 12: IP-Posters")</f>
        <v>Session 12: IP-Posters</v>
      </c>
      <c r="J3206" s="7" t="str">
        <f>IFERROR(__xludf.DUMMYFUNCTION("""COMPUTED_VALUE"""),"Poster Session 4")</f>
        <v>Poster Session 4</v>
      </c>
      <c r="K3206" s="7"/>
      <c r="L3206" s="8">
        <f>IFERROR(__xludf.DUMMYFUNCTION("""COMPUTED_VALUE"""),45868.0)</f>
        <v>45868</v>
      </c>
      <c r="M3206" s="7" t="str">
        <f>IFERROR(__xludf.DUMMYFUNCTION("""COMPUTED_VALUE"""),"11:00-12:30")</f>
        <v>11:00-12:30</v>
      </c>
      <c r="N3206" s="7"/>
    </row>
    <row r="3207">
      <c r="A3207" s="7" t="str">
        <f>IFERROR(__xludf.DUMMYFUNCTION("""COMPUTED_VALUE"""),"4923-MAIN")</f>
        <v>4923-MAIN</v>
      </c>
      <c r="B3207" s="7" t="str">
        <f>IFERROR(__xludf.DUMMYFUNCTION("""COMPUTED_VALUE"""),"LongSafety: Evaluating Long-Context Safety of Large Language Models")</f>
        <v>LongSafety: Evaluating Long-Context Safety of Large Language Models</v>
      </c>
      <c r="C3207" s="7" t="str">
        <f>IFERROR(__xludf.DUMMYFUNCTION("""COMPUTED_VALUE"""),"As Large Language Models (LLMs) continue to advance in understanding and generating long sequences, new safety concerns have been introduced through the long context. However, the safety of LLMs in long-context tasks remains under-explored, leaving a sign"&amp;"ificant gap in both evaluation and improvement of their safety. To address this, we introduce LongSafety, the first comprehensive benchmark specifically designed to evaluate LLM safety in open-ended long-context tasks. LongSafety encompasses 7 categories "&amp;"of safety issues and 6 user-oriented long-context tasks, with a total of 1,543 test cases, averaging 5,424 words per context. Our evaluation towards 16 representative LLMs reveals significant safety vulnerabilities, with most models achieving safety rates"&amp;" below 55%. Our findings also indicate that strong safety performance in short-context scenarios does not necessarily correlate with safety in long-context tasks, emphasizing the unique challenges and urgency of improving long-context safety. Moreover, th"&amp;"rough extensive analysis, we identify challenging safety issues and task types for long-context models. Furthermore, we find that relevant context and extended input sequences can exacerbate safety risks in long-context scenarios, highlighting the critica"&amp;"l need for ongoing attention to long-context safety challenges. Our code and data will be publicly available.")</f>
        <v>As Large Language Models (LLMs) continue to advance in understanding and generating long sequences, new safety concerns have been introduced through the long context. However, the safety of LLMs in long-context tasks remains under-explored, leaving a significant gap in both evaluation and improvement of their safety. To address this, we introduce LongSafety, the first comprehensive benchmark specifically designed to evaluate LLM safety in open-ended long-context tasks. LongSafety encompasses 7 categories of safety issues and 6 user-oriented long-context tasks, with a total of 1,543 test cases, averaging 5,424 words per context. Our evaluation towards 16 representative LLMs reveals significant safety vulnerabilities, with most models achieving safety rates below 55%. Our findings also indicate that strong safety performance in short-context scenarios does not necessarily correlate with safety in long-context tasks, emphasizing the unique challenges and urgency of improving long-context safety. Moreover, through extensive analysis, we identify challenging safety issues and task types for long-context models. Furthermore, we find that relevant context and extended input sequences can exacerbate safety risks in long-context scenarios, highlighting the critical need for ongoing attention to long-context safety challenges. Our code and data will be publicly available.</v>
      </c>
      <c r="D3207" s="7" t="str">
        <f>IFERROR(__xludf.DUMMYFUNCTION("""COMPUTED_VALUE"""),"Yida Lu")</f>
        <v>Yida Lu</v>
      </c>
      <c r="E3207" s="7" t="str">
        <f>IFERROR(__xludf.DUMMYFUNCTION("""COMPUTED_VALUE"""),"Yes")</f>
        <v>Yes</v>
      </c>
      <c r="F3207" s="7" t="str">
        <f>IFERROR(__xludf.DUMMYFUNCTION("""COMPUTED_VALUE"""),"IP-Oral")</f>
        <v>IP-Oral</v>
      </c>
      <c r="G3207" s="7" t="str">
        <f>IFERROR(__xludf.DUMMYFUNCTION("""COMPUTED_VALUE"""),"In-Person")</f>
        <v>In-Person</v>
      </c>
      <c r="H3207" s="7" t="str">
        <f>IFERROR(__xludf.DUMMYFUNCTION("""COMPUTED_VALUE"""),"Hall M.2")</f>
        <v>Hall M.2</v>
      </c>
      <c r="I3207" s="7" t="str">
        <f>IFERROR(__xludf.DUMMYFUNCTION("""COMPUTED_VALUE"""),"Session 3: IP-Orals")</f>
        <v>Session 3: IP-Orals</v>
      </c>
      <c r="J3207" s="7" t="str">
        <f>IFERROR(__xludf.DUMMYFUNCTION("""COMPUTED_VALUE"""),"Ethics, Bias, and Fairness 1")</f>
        <v>Ethics, Bias, and Fairness 1</v>
      </c>
      <c r="K3207" s="7"/>
      <c r="L3207" s="8">
        <f>IFERROR(__xludf.DUMMYFUNCTION("""COMPUTED_VALUE"""),45866.0)</f>
        <v>45866</v>
      </c>
      <c r="M3207" s="7" t="str">
        <f>IFERROR(__xludf.DUMMYFUNCTION("""COMPUTED_VALUE"""),"14:00-15:30")</f>
        <v>14:00-15:30</v>
      </c>
      <c r="N3207" s="7">
        <f>IFERROR(__xludf.DUMMYFUNCTION("""COMPUTED_VALUE"""),1.0)</f>
        <v>1</v>
      </c>
    </row>
    <row r="3208">
      <c r="A3208" s="7" t="str">
        <f>IFERROR(__xludf.DUMMYFUNCTION("""COMPUTED_VALUE"""),"4929-MAIN")</f>
        <v>4929-MAIN</v>
      </c>
      <c r="B3208" s="7" t="str">
        <f>IFERROR(__xludf.DUMMYFUNCTION("""COMPUTED_VALUE"""),"Exploiting Contextual Knowledge in LLMs through V-usable Information based Layer Enhancement")</f>
        <v>Exploiting Contextual Knowledge in LLMs through V-usable Information based Layer Enhancement</v>
      </c>
      <c r="C3208" s="7" t="str">
        <f>IFERROR(__xludf.DUMMYFUNCTION("""COMPUTED_VALUE"""),"Large Language Models (LLMs) have demonstrated remarkable capabilities in various tasks, yet they often struggle with context-faithfulness generations that properly reflect contextual knowledge. While existing approaches focus on enhancing the decoding st"&amp;"rategies, they ignore the fundamental mechanism of how contextual information is processed within LLMs’ internal states. As a result, LLMs remain limited in their ability to fully leverage contextual knowledge. In this paper, we propose Context-aware Laye"&amp;"r Enhancement (CaLE), a novel intervention method that enhances the utilization of contextual knowledge within LLMs' internal representations. By employing $\mathcal{V}$-usable information analysis, CaLE strategically amplifies the growth of contextual in"&amp;"formation at an optimal layer, thereby enriching representations in the final layer. Our experiments demonstrate that CaLE effectively improves context-faithful generation in Question-Answering tasks, particularly in scenarios involving unknown or conflic"&amp;"ting contextual knowledge.")</f>
        <v>Large Language Models (LLMs) have demonstrated remarkable capabilities in various tasks, yet they often struggle with context-faithfulness generations that properly reflect contextual knowledge. While existing approaches focus on enhancing the decoding strategies, they ignore the fundamental mechanism of how contextual information is processed within LLMs’ internal states. As a result, LLMs remain limited in their ability to fully leverage contextual knowledge. In this paper, we propose Context-aware Layer Enhancement (CaLE), a novel intervention method that enhances the utilization of contextual knowledge within LLMs' internal representations. By employing $\mathcal{V}$-usable information analysis, CaLE strategically amplifies the growth of contextual information at an optimal layer, thereby enriching representations in the final layer. Our experiments demonstrate that CaLE effectively improves context-faithful generation in Question-Answering tasks, particularly in scenarios involving unknown or conflicting contextual knowledge.</v>
      </c>
      <c r="D3208" s="7" t="str">
        <f>IFERROR(__xludf.DUMMYFUNCTION("""COMPUTED_VALUE"""),"Xiaowei Yuan")</f>
        <v>Xiaowei Yuan</v>
      </c>
      <c r="E3208" s="7" t="str">
        <f>IFERROR(__xludf.DUMMYFUNCTION("""COMPUTED_VALUE"""),"Yes")</f>
        <v>Yes</v>
      </c>
      <c r="F3208" s="7" t="str">
        <f>IFERROR(__xludf.DUMMYFUNCTION("""COMPUTED_VALUE"""),"IP-Poster")</f>
        <v>IP-Poster</v>
      </c>
      <c r="G3208" s="7" t="str">
        <f>IFERROR(__xludf.DUMMYFUNCTION("""COMPUTED_VALUE"""),"In-Person")</f>
        <v>In-Person</v>
      </c>
      <c r="H3208" s="7" t="str">
        <f>IFERROR(__xludf.DUMMYFUNCTION("""COMPUTED_VALUE"""),"Hall 4/5")</f>
        <v>Hall 4/5</v>
      </c>
      <c r="I3208" s="7" t="str">
        <f>IFERROR(__xludf.DUMMYFUNCTION("""COMPUTED_VALUE"""),"Session 12: IP-Posters")</f>
        <v>Session 12: IP-Posters</v>
      </c>
      <c r="J3208" s="7" t="str">
        <f>IFERROR(__xludf.DUMMYFUNCTION("""COMPUTED_VALUE"""),"Poster Session 4")</f>
        <v>Poster Session 4</v>
      </c>
      <c r="K3208" s="7"/>
      <c r="L3208" s="8">
        <f>IFERROR(__xludf.DUMMYFUNCTION("""COMPUTED_VALUE"""),45868.0)</f>
        <v>45868</v>
      </c>
      <c r="M3208" s="7" t="str">
        <f>IFERROR(__xludf.DUMMYFUNCTION("""COMPUTED_VALUE"""),"11:00-12:30")</f>
        <v>11:00-12:30</v>
      </c>
      <c r="N3208" s="7"/>
    </row>
    <row r="3209">
      <c r="A3209" s="7" t="str">
        <f>IFERROR(__xludf.DUMMYFUNCTION("""COMPUTED_VALUE"""),"4930-MAIN")</f>
        <v>4930-MAIN</v>
      </c>
      <c r="B3209" s="7" t="str">
        <f>IFERROR(__xludf.DUMMYFUNCTION("""COMPUTED_VALUE"""),"Unintended Harms of Value-Aligned LLMs: Psychological and Empirical Insights")</f>
        <v>Unintended Harms of Value-Aligned LLMs: Psychological and Empirical Insights</v>
      </c>
      <c r="C3209" s="7" t="str">
        <f>IFERROR(__xludf.DUMMYFUNCTION("""COMPUTED_VALUE"""),"The application scope of Large Language Models (LLMs) continues to expand, leading to increasing interest in personalized LLMs that align with human values. However, aligning these models with individual values raises significant safety concerns, as certa"&amp;"in values may correlate with harmful information. In this paper, we identify specific safety risks associated with value-aligned LLMs and investigate the psychological principles behind these challenges. Our findings reveal two key insights. (1) Value-ali"&amp;"gned LLMs are more prone to harmful behavior compared to non-fine-tuned models and exhibit slightly higher risks in traditional safety evaluations than other fine-tuned models. (2) These safety issues arise because value-aligned LLMs genuinely generate te"&amp;"xt according to the aligned values, which can amplify harmful outcomes. Using a dataset with detailed safety categories, we find significant correlations between value alignment and safety risks, supported by psychological hypotheses. This study offers in"&amp;"sights into the ""black box"" of value alignment and proposes in-context alignment methods to enhance the safety of value-aligned LLMs.")</f>
        <v>The application scope of Large Language Models (LLMs) continues to expand, leading to increasing interest in personalized LLMs that align with human values. However, aligning these models with individual values raises significant safety concerns, as certain values may correlate with harmful information. In this paper, we identify specific safety risks associated with value-aligned LLMs and investigate the psychological principles behind these challenges. Our findings reveal two key insights. (1) Value-aligned LLMs are more prone to harmful behavior compared to non-fine-tuned models and exhibit slightly higher risks in traditional safety evaluations than other fine-tuned models. (2) These safety issues arise because value-aligned LLMs genuinely generate text according to the aligned values, which can amplify harmful outcomes. Using a dataset with detailed safety categories, we find significant correlations between value alignment and safety risks, supported by psychological hypotheses. This study offers insights into the "black box" of value alignment and proposes in-context alignment methods to enhance the safety of value-aligned LLMs.</v>
      </c>
      <c r="D3209" s="7" t="str">
        <f>IFERROR(__xludf.DUMMYFUNCTION("""COMPUTED_VALUE"""),"JinYeong Bak")</f>
        <v>JinYeong Bak</v>
      </c>
      <c r="E3209" s="7" t="str">
        <f>IFERROR(__xludf.DUMMYFUNCTION("""COMPUTED_VALUE"""),"Yes")</f>
        <v>Yes</v>
      </c>
      <c r="F3209" s="7" t="str">
        <f>IFERROR(__xludf.DUMMYFUNCTION("""COMPUTED_VALUE"""),"IP-Oral")</f>
        <v>IP-Oral</v>
      </c>
      <c r="G3209" s="7" t="str">
        <f>IFERROR(__xludf.DUMMYFUNCTION("""COMPUTED_VALUE"""),"In-Person")</f>
        <v>In-Person</v>
      </c>
      <c r="H3209" s="7" t="str">
        <f>IFERROR(__xludf.DUMMYFUNCTION("""COMPUTED_VALUE"""),"Hall B")</f>
        <v>Hall B</v>
      </c>
      <c r="I3209" s="7" t="str">
        <f>IFERROR(__xludf.DUMMYFUNCTION("""COMPUTED_VALUE"""),"Session 11: IP-Orals ")</f>
        <v>Session 11: IP-Orals </v>
      </c>
      <c r="J3209" s="7" t="str">
        <f>IFERROR(__xludf.DUMMYFUNCTION("""COMPUTED_VALUE"""),"Panel 2: LLM alignment")</f>
        <v>Panel 2: LLM alignment</v>
      </c>
      <c r="K3209" s="7"/>
      <c r="L3209" s="8">
        <f>IFERROR(__xludf.DUMMYFUNCTION("""COMPUTED_VALUE"""),45868.0)</f>
        <v>45868</v>
      </c>
      <c r="M3209" s="7" t="str">
        <f>IFERROR(__xludf.DUMMYFUNCTION("""COMPUTED_VALUE"""),"09:00-10:30")</f>
        <v>09:00-10:30</v>
      </c>
      <c r="N3209" s="7">
        <f>IFERROR(__xludf.DUMMYFUNCTION("""COMPUTED_VALUE"""),5.0)</f>
        <v>5</v>
      </c>
    </row>
    <row r="3210">
      <c r="A3210" s="7" t="str">
        <f>IFERROR(__xludf.DUMMYFUNCTION("""COMPUTED_VALUE"""),"4949-MAIN")</f>
        <v>4949-MAIN</v>
      </c>
      <c r="B3210" s="7" t="str">
        <f>IFERROR(__xludf.DUMMYFUNCTION("""COMPUTED_VALUE"""),"Maximal Matching Matters: Preventing Representation Collapse for Robust Cross-Modal Retrieval")</f>
        <v>Maximal Matching Matters: Preventing Representation Collapse for Robust Cross-Modal Retrieval</v>
      </c>
      <c r="C3210" s="7" t="str">
        <f>IFERROR(__xludf.DUMMYFUNCTION("""COMPUTED_VALUE"""),"Cross-modal image-text retrieval is challenging because of the diverse possible associations between content from different modalities. Traditional methods learn a single-vector embedding to represent semantics of each sample, but struggle to capture nuan"&amp;"ced and diverse relationships that can exist across modalities. Set-based approaches, which represent each sample with multiple embeddings, offer a promising alternative, as they can capture richer and more diverse  relationships. In this paper, we show t"&amp;"hat, despite their promise, these set-based representations continue to face issues including sparse supervision and set collapse, which limits their effectiveness. To address these challenges, we propose Maximal Pair Assignment Similarity to optimize one"&amp;"-to-one matching between embedding sets which preserve semantic diversity within the set. We also introduce two loss functions to further enhance the representations: Global Discriminative Loss to enhance distinction among embeddings, and Intra-Set Diverg"&amp;"ence Loss to prevent collapse within each set. Our method achieves state-of-the-art performance on MS-COCO and Flickr30k without relying on external data.")</f>
        <v>Cross-modal image-text retrieval is challenging because of the diverse possible associations between content from different modalities. Traditional methods learn a single-vector embedding to represent semantics of each sample, but struggle to capture nuanced and diverse relationships that can exist across modalities. Set-based approaches, which represent each sample with multiple embeddings, offer a promising alternative, as they can capture richer and more diverse  relationships. In this paper, we show that, despite their promise, these set-based representations continue to face issues including sparse supervision and set collapse, which limits their effectiveness. To address these challenges, we propose Maximal Pair Assignment Similarity to optimize one-to-one matching between embedding sets which preserve semantic diversity within the set. We also introduce two loss functions to further enhance the representations: Global Discriminative Loss to enhance distinction among embeddings, and Intra-Set Divergence Loss to prevent collapse within each set. Our method achieves state-of-the-art performance on MS-COCO and Flickr30k without relying on external data.</v>
      </c>
      <c r="D3210" s="7" t="str">
        <f>IFERROR(__xludf.DUMMYFUNCTION("""COMPUTED_VALUE"""),"Hani Alomari")</f>
        <v>Hani Alomari</v>
      </c>
      <c r="E3210" s="7" t="str">
        <f>IFERROR(__xludf.DUMMYFUNCTION("""COMPUTED_VALUE"""),"Yes")</f>
        <v>Yes</v>
      </c>
      <c r="F3210" s="7" t="str">
        <f>IFERROR(__xludf.DUMMYFUNCTION("""COMPUTED_VALUE"""),"IP-Poster")</f>
        <v>IP-Poster</v>
      </c>
      <c r="G3210" s="7" t="str">
        <f>IFERROR(__xludf.DUMMYFUNCTION("""COMPUTED_VALUE"""),"In-Person")</f>
        <v>In-Person</v>
      </c>
      <c r="H3210" s="7" t="str">
        <f>IFERROR(__xludf.DUMMYFUNCTION("""COMPUTED_VALUE"""),"Hall 4/5")</f>
        <v>Hall 4/5</v>
      </c>
      <c r="I3210" s="7" t="str">
        <f>IFERROR(__xludf.DUMMYFUNCTION("""COMPUTED_VALUE"""),"Session 10: IP-Posters")</f>
        <v>Session 10: IP-Posters</v>
      </c>
      <c r="J3210" s="7" t="str">
        <f>IFERROR(__xludf.DUMMYFUNCTION("""COMPUTED_VALUE"""),"Poster Session 3")</f>
        <v>Poster Session 3</v>
      </c>
      <c r="K3210" s="7"/>
      <c r="L3210" s="8">
        <f>IFERROR(__xludf.DUMMYFUNCTION("""COMPUTED_VALUE"""),45867.0)</f>
        <v>45867</v>
      </c>
      <c r="M3210" s="7" t="str">
        <f>IFERROR(__xludf.DUMMYFUNCTION("""COMPUTED_VALUE"""),"16:00-17:30")</f>
        <v>16:00-17:30</v>
      </c>
      <c r="N3210" s="7"/>
    </row>
    <row r="3211">
      <c r="A3211" s="7" t="str">
        <f>IFERROR(__xludf.DUMMYFUNCTION("""COMPUTED_VALUE"""),"4982-MAIN")</f>
        <v>4982-MAIN</v>
      </c>
      <c r="B3211" s="7" t="str">
        <f>IFERROR(__xludf.DUMMYFUNCTION("""COMPUTED_VALUE"""),"The Noisy Path from Source to Citation: Measuring How Scholars Engage with Past Research")</f>
        <v>The Noisy Path from Source to Citation: Measuring How Scholars Engage with Past Research</v>
      </c>
      <c r="C3211" s="7" t="str">
        <f>IFERROR(__xludf.DUMMYFUNCTION("""COMPUTED_VALUE"""),"Academic citations are widely used for evaluating research and tracing knowledge flows. Such uses typically rely on raw citation counts and neglect variability in citation types. In particular, citations can vary in their fidelity as original knowledge fr"&amp;"om cited studies may be paraphrased, summarized, or reinterpreted, possibly wrongly, leading to variation in how much information changes from cited to citing paper. In this study, we introduce a computational pipeline to quantify citation fidelity at sca"&amp;"le. Using full texts of papers, the pipeline identifies citations in citing papers and the corresponding claims in cited papers, and applies supervised models to measure fidelity at the sentence level. Analyzing a large-scale multi-disciplinary dataset of"&amp;" approximately 13 million citation sentence pairs, we find that citation fidelity is higher when authors cite papers that are 1) more recent and intellectually close, 2) more accessible, and 3) the first author has a lower H-index and the author team is m"&amp;"edium-sized. Using a quasi-experiment, we establish the ""telephone effect"" - when citing papers have low fidelity to the original claim, future papers that cite the citing paper and the original have lower fidelity to the original. Our work reveals syst"&amp;"ematic differences in citation fidelity, underscoring the limitations of analyses that rely on citation quantity alone and the potential for distortion of evidence.")</f>
        <v>Academic citations are widely used for evaluating research and tracing knowledge flows. Such uses typically rely on raw citation counts and neglect variability in citation types. In particular, citations can vary in their fidelity as original knowledge from cited studies may be paraphrased, summarized, or reinterpreted, possibly wrongly, leading to variation in how much information changes from cited to citing paper. In this study, we introduce a computational pipeline to quantify citation fidelity at scale. Using full texts of papers, the pipeline identifies citations in citing papers and the corresponding claims in cited papers, and applies supervised models to measure fidelity at the sentence level. Analyzing a large-scale multi-disciplinary dataset of approximately 13 million citation sentence pairs, we find that citation fidelity is higher when authors cite papers that are 1) more recent and intellectually close, 2) more accessible, and 3) the first author has a lower H-index and the author team is medium-sized. Using a quasi-experiment, we establish the "telephone effect" - when citing papers have low fidelity to the original claim, future papers that cite the citing paper and the original have lower fidelity to the original. Our work reveals systematic differences in citation fidelity, underscoring the limitations of analyses that rely on citation quantity alone and the potential for distortion of evidence.</v>
      </c>
      <c r="D3211" s="7" t="str">
        <f>IFERROR(__xludf.DUMMYFUNCTION("""COMPUTED_VALUE"""),"David Jurgens")</f>
        <v>David Jurgens</v>
      </c>
      <c r="E3211" s="7" t="str">
        <f>IFERROR(__xludf.DUMMYFUNCTION("""COMPUTED_VALUE"""),"Yes")</f>
        <v>Yes</v>
      </c>
      <c r="F3211" s="7" t="str">
        <f>IFERROR(__xludf.DUMMYFUNCTION("""COMPUTED_VALUE"""),"IP-Poster")</f>
        <v>IP-Poster</v>
      </c>
      <c r="G3211" s="7" t="str">
        <f>IFERROR(__xludf.DUMMYFUNCTION("""COMPUTED_VALUE"""),"In-Person")</f>
        <v>In-Person</v>
      </c>
      <c r="H3211" s="7" t="str">
        <f>IFERROR(__xludf.DUMMYFUNCTION("""COMPUTED_VALUE"""),"Hall 4/5")</f>
        <v>Hall 4/5</v>
      </c>
      <c r="I3211" s="7" t="str">
        <f>IFERROR(__xludf.DUMMYFUNCTION("""COMPUTED_VALUE"""),"Session 12: IP-Posters")</f>
        <v>Session 12: IP-Posters</v>
      </c>
      <c r="J3211" s="7" t="str">
        <f>IFERROR(__xludf.DUMMYFUNCTION("""COMPUTED_VALUE"""),"Poster Session 4")</f>
        <v>Poster Session 4</v>
      </c>
      <c r="K3211" s="7"/>
      <c r="L3211" s="8">
        <f>IFERROR(__xludf.DUMMYFUNCTION("""COMPUTED_VALUE"""),45868.0)</f>
        <v>45868</v>
      </c>
      <c r="M3211" s="7" t="str">
        <f>IFERROR(__xludf.DUMMYFUNCTION("""COMPUTED_VALUE"""),"11:00-12:30")</f>
        <v>11:00-12:30</v>
      </c>
      <c r="N3211" s="7"/>
    </row>
    <row r="3212">
      <c r="A3212" s="7" t="str">
        <f>IFERROR(__xludf.DUMMYFUNCTION("""COMPUTED_VALUE"""),"4986-MAIN")</f>
        <v>4986-MAIN</v>
      </c>
      <c r="B3212" s="7" t="str">
        <f>IFERROR(__xludf.DUMMYFUNCTION("""COMPUTED_VALUE"""),"MAPLE: Enhancing Review Generation with Multi-Aspect Prompt LEarning in Explainable Recommendation")</f>
        <v>MAPLE: Enhancing Review Generation with Multi-Aspect Prompt LEarning in Explainable Recommendation</v>
      </c>
      <c r="C3212" s="7" t="str">
        <f>IFERROR(__xludf.DUMMYFUNCTION("""COMPUTED_VALUE"""),"Explainable Recommendation task is designed to receive a pair of user and item and output explanations to justify why an item is recommended to a user. Many models approach review generation as a proxy for explainable recommendations. While these models c"&amp;"an produce fluent and grammatically correct sentences, they often lack preciseness and fail to provide personalized informative recommendations. To address this issue, we propose a personalized, aspect-controlled model called Multi-Aspect Prompt LEarner ("&amp;"MAPLE), which integrates aspect category as another input dimension to facilitate memorizing fine-grained aspect terms. Experiments conducted on two real-world review datasets in the restaurant domain demonstrate that MAPLE significantly outperforms basel"&amp;"ine review-generation models. MAPLE excels in both text and feature diversity, ensuring that the generated content covers a wide range of aspects. Additionally, MAPLE delivers good generation quality while maintaining strong coherence and factual relevanc"&amp;"e. The code and dataset used in this paper can be found at https://github.com/Nana2929/MAPLE.")</f>
        <v>Explainable Recommendation task is designed to receive a pair of user and item and output explanations to justify why an item is recommended to a user. Many models approach review generation as a proxy for explainable recommendations. While these models can produce fluent and grammatically correct sentences, they often lack preciseness and fail to provide personalized informative recommendations. To address this issue, we propose a personalized, aspect-controlled model called Multi-Aspect Prompt LEarner (MAPLE), which integrates aspect category as another input dimension to facilitate memorizing fine-grained aspect terms. Experiments conducted on two real-world review datasets in the restaurant domain demonstrate that MAPLE significantly outperforms baseline review-generation models. MAPLE excels in both text and feature diversity, ensuring that the generated content covers a wide range of aspects. Additionally, MAPLE delivers good generation quality while maintaining strong coherence and factual relevance. The code and dataset used in this paper can be found at https://github.com/Nana2929/MAPLE.</v>
      </c>
      <c r="D3212" s="7" t="str">
        <f>IFERROR(__xludf.DUMMYFUNCTION("""COMPUTED_VALUE"""),"Zhi-Quan Feng")</f>
        <v>Zhi-Quan Feng</v>
      </c>
      <c r="E3212" s="7" t="str">
        <f>IFERROR(__xludf.DUMMYFUNCTION("""COMPUTED_VALUE"""),"Yes")</f>
        <v>Yes</v>
      </c>
      <c r="F3212" s="7" t="str">
        <f>IFERROR(__xludf.DUMMYFUNCTION("""COMPUTED_VALUE"""),"IP-Poster")</f>
        <v>IP-Poster</v>
      </c>
      <c r="G3212" s="7" t="str">
        <f>IFERROR(__xludf.DUMMYFUNCTION("""COMPUTED_VALUE"""),"In-Person")</f>
        <v>In-Person</v>
      </c>
      <c r="H3212" s="7" t="str">
        <f>IFERROR(__xludf.DUMMYFUNCTION("""COMPUTED_VALUE"""),"Hall 4/5")</f>
        <v>Hall 4/5</v>
      </c>
      <c r="I3212" s="7" t="str">
        <f>IFERROR(__xludf.DUMMYFUNCTION("""COMPUTED_VALUE"""),"Session 2: IP-Posters ")</f>
        <v>Session 2: IP-Posters </v>
      </c>
      <c r="J3212" s="7" t="str">
        <f>IFERROR(__xludf.DUMMYFUNCTION("""COMPUTED_VALUE"""),"Poster Session 1")</f>
        <v>Poster Session 1</v>
      </c>
      <c r="K3212" s="7"/>
      <c r="L3212" s="8">
        <f>IFERROR(__xludf.DUMMYFUNCTION("""COMPUTED_VALUE"""),45866.0)</f>
        <v>45866</v>
      </c>
      <c r="M3212" s="7" t="str">
        <f>IFERROR(__xludf.DUMMYFUNCTION("""COMPUTED_VALUE"""),"11:00-12:30")</f>
        <v>11:00-12:30</v>
      </c>
      <c r="N3212" s="7"/>
    </row>
    <row r="3213">
      <c r="A3213" s="7" t="str">
        <f>IFERROR(__xludf.DUMMYFUNCTION("""COMPUTED_VALUE"""),"4997-MAIN")</f>
        <v>4997-MAIN</v>
      </c>
      <c r="B3213" s="7" t="str">
        <f>IFERROR(__xludf.DUMMYFUNCTION("""COMPUTED_VALUE"""),"Separating Tongue from Thought: Activation Patching Reveals Language-Agnostic Concept Representations in Transformers")</f>
        <v>Separating Tongue from Thought: Activation Patching Reveals Language-Agnostic Concept Representations in Transformers</v>
      </c>
      <c r="C3213" s="7" t="str">
        <f>IFERROR(__xludf.DUMMYFUNCTION("""COMPUTED_VALUE"""),"A central question in multilingual language modeling is whether large language models (LLMs) develop a universal concept representation, disentangled from specific languages. In this paper, we address this question by analyzing latent representations (lat"&amp;"ents) during a word-translation task in transformer-based LLMs. We strategically extract latents from a source translation prompt and insert them into the forward pass on a target translation prompt. By doing so, we find that the output language is encode"&amp;"d in the latent at an earlier layer than the concept to be translated. Building on this insight, we conduct two key experiments. First, we demonstrate that we can change the concept without changing the language and vice versa through activation patching "&amp;"alone. Second, we show that patching with the mean representation of a concept across different languages does not affect the models' ability to translate it, but instead improves it. Finally, we generalize to multi-token generation and demonstrate that t"&amp;"he model can generate natural language description of those mean representations. Our results provide evidence for the existence of language-agnostic concept representations within the investigated models.")</f>
        <v>A central question in multilingual language modeling is whether large language models (LLMs) develop a universal concept representation, disentangled from specific languages. In this paper, we address this question by analyzing latent representations (latents) during a word-translation task in transformer-based LLMs. We strategically extract latents from a source translation prompt and insert them into the forward pass on a target translation prompt. By doing so, we find that the output language is encoded in the latent at an earlier layer than the concept to be translated. Building on this insight, we conduct two key experiments. First, we demonstrate that we can change the concept without changing the language and vice versa through activation patching alone. Second, we show that patching with the mean representation of a concept across different languages does not affect the models' ability to translate it, but instead improves it. Finally, we generalize to multi-token generation and demonstrate that the model can generate natural language description of those mean representations. Our results provide evidence for the existence of language-agnostic concept representations within the investigated models.</v>
      </c>
      <c r="D3213" s="7" t="str">
        <f>IFERROR(__xludf.DUMMYFUNCTION("""COMPUTED_VALUE"""),"Clément Dumas")</f>
        <v>Clément Dumas</v>
      </c>
      <c r="E3213" s="7" t="str">
        <f>IFERROR(__xludf.DUMMYFUNCTION("""COMPUTED_VALUE"""),"Yes")</f>
        <v>Yes</v>
      </c>
      <c r="F3213" s="7" t="str">
        <f>IFERROR(__xludf.DUMMYFUNCTION("""COMPUTED_VALUE"""),"IP-Poster")</f>
        <v>IP-Poster</v>
      </c>
      <c r="G3213" s="7" t="str">
        <f>IFERROR(__xludf.DUMMYFUNCTION("""COMPUTED_VALUE"""),"In-Person")</f>
        <v>In-Person</v>
      </c>
      <c r="H3213" s="7" t="str">
        <f>IFERROR(__xludf.DUMMYFUNCTION("""COMPUTED_VALUE"""),"Hall 4/5")</f>
        <v>Hall 4/5</v>
      </c>
      <c r="I3213" s="7" t="str">
        <f>IFERROR(__xludf.DUMMYFUNCTION("""COMPUTED_VALUE"""),"Session 7: IP-Posters")</f>
        <v>Session 7: IP-Posters</v>
      </c>
      <c r="J3213" s="7" t="str">
        <f>IFERROR(__xludf.DUMMYFUNCTION("""COMPUTED_VALUE"""),"Poster Session 2")</f>
        <v>Poster Session 2</v>
      </c>
      <c r="K3213" s="7"/>
      <c r="L3213" s="8">
        <f>IFERROR(__xludf.DUMMYFUNCTION("""COMPUTED_VALUE"""),45867.0)</f>
        <v>45867</v>
      </c>
      <c r="M3213" s="7" t="str">
        <f>IFERROR(__xludf.DUMMYFUNCTION("""COMPUTED_VALUE"""),"10:30-12:00")</f>
        <v>10:30-12:00</v>
      </c>
      <c r="N3213" s="7"/>
    </row>
    <row r="3214">
      <c r="A3214" s="7" t="str">
        <f>IFERROR(__xludf.DUMMYFUNCTION("""COMPUTED_VALUE"""),"5005-MAIN")</f>
        <v>5005-MAIN</v>
      </c>
      <c r="B3214" s="7" t="str">
        <f>IFERROR(__xludf.DUMMYFUNCTION("""COMPUTED_VALUE"""),"Behavioural vs. Representational Systematicity in End-to-End Models: An Opinionated Survey")</f>
        <v>Behavioural vs. Representational Systematicity in End-to-End Models: An Opinionated Survey</v>
      </c>
      <c r="C3214" s="7" t="str">
        <f>IFERROR(__xludf.DUMMYFUNCTION("""COMPUTED_VALUE"""),"A core aspect of compositionality, systematicity is a desirable property in ML models as it enables strong generalization to novel contexts. This has led to numerous studies proposing benchmarks to assess systematic generalization, as well as models and t"&amp;"raining regimes designed to enhance it. Many of these efforts are framed as addressing the challenge posed by Fodor and Pylyshyn. However, while they argue for systematicity of representations, existing benchmarks and models primarily focus on the systema"&amp;"ticity of behaviour. We emphasize the crucial nature of this distinction. Furthermore, building on Hadley's (1994) taxonomy of systematic generalization, we analyze the extent to which behavioural systematicity is tested by key benchmarks in the literatur"&amp;"e across language and vision. Finally, we highlight ways of assessing systematicity of representations in ML models as practiced in the field of mechanistic interpretability.")</f>
        <v>A core aspect of compositionality, systematicity is a desirable property in ML models as it enables strong generalization to novel contexts. This has led to numerous studies proposing benchmarks to assess systematic generalization, as well as models and training regimes designed to enhance it. Many of these efforts are framed as addressing the challenge posed by Fodor and Pylyshyn. However, while they argue for systematicity of representations, existing benchmarks and models primarily focus on the systematicity of behaviour. We emphasize the crucial nature of this distinction. Furthermore, building on Hadley's (1994) taxonomy of systematic generalization, we analyze the extent to which behavioural systematicity is tested by key benchmarks in the literature across language and vision. Finally, we highlight ways of assessing systematicity of representations in ML models as practiced in the field of mechanistic interpretability.</v>
      </c>
      <c r="D3214" s="7" t="str">
        <f>IFERROR(__xludf.DUMMYFUNCTION("""COMPUTED_VALUE"""),"Ivan Vegner")</f>
        <v>Ivan Vegner</v>
      </c>
      <c r="E3214" s="7" t="str">
        <f>IFERROR(__xludf.DUMMYFUNCTION("""COMPUTED_VALUE"""),"Yes")</f>
        <v>Yes</v>
      </c>
      <c r="F3214" s="7" t="str">
        <f>IFERROR(__xludf.DUMMYFUNCTION("""COMPUTED_VALUE"""),"IP-Oral")</f>
        <v>IP-Oral</v>
      </c>
      <c r="G3214" s="7" t="str">
        <f>IFERROR(__xludf.DUMMYFUNCTION("""COMPUTED_VALUE"""),"In-Person")</f>
        <v>In-Person</v>
      </c>
      <c r="H3214" s="7" t="str">
        <f>IFERROR(__xludf.DUMMYFUNCTION("""COMPUTED_VALUE"""),"Hall A ")</f>
        <v>Hall A </v>
      </c>
      <c r="I3214" s="7" t="str">
        <f>IFERROR(__xludf.DUMMYFUNCTION("""COMPUTED_VALUE"""),"Session 11: IP-Orals ")</f>
        <v>Session 11: IP-Orals </v>
      </c>
      <c r="J3214" s="7" t="str">
        <f>IFERROR(__xludf.DUMMYFUNCTION("""COMPUTED_VALUE"""),"Panel 1: Generalisation of NLP models ")</f>
        <v>Panel 1: Generalisation of NLP models </v>
      </c>
      <c r="K3214" s="7"/>
      <c r="L3214" s="8">
        <f>IFERROR(__xludf.DUMMYFUNCTION("""COMPUTED_VALUE"""),45868.0)</f>
        <v>45868</v>
      </c>
      <c r="M3214" s="7" t="str">
        <f>IFERROR(__xludf.DUMMYFUNCTION("""COMPUTED_VALUE"""),"09:00-10:30")</f>
        <v>09:00-10:30</v>
      </c>
      <c r="N3214" s="7">
        <f>IFERROR(__xludf.DUMMYFUNCTION("""COMPUTED_VALUE"""),5.0)</f>
        <v>5</v>
      </c>
    </row>
    <row r="3215">
      <c r="A3215" s="7" t="str">
        <f>IFERROR(__xludf.DUMMYFUNCTION("""COMPUTED_VALUE"""),"5015-MAIN")</f>
        <v>5015-MAIN</v>
      </c>
      <c r="B3215" s="7" t="str">
        <f>IFERROR(__xludf.DUMMYFUNCTION("""COMPUTED_VALUE"""),"Dynamic Chunking and Selection for Reading Comprehension of Ultra-Long Context in Large Language Models")</f>
        <v>Dynamic Chunking and Selection for Reading Comprehension of Ultra-Long Context in Large Language Models</v>
      </c>
      <c r="C3215" s="7" t="str">
        <f>IFERROR(__xludf.DUMMYFUNCTION("""COMPUTED_VALUE"""),"Large language models (LLMs) often struggle to accurately read and comprehend extremely long texts. Current methods for improvement typically rely on splitting long contexts into fixed-length chunks. However, fixed truncation risks separating semantically"&amp;" relevant content, leading to ambiguity and compromising accurate understanding. To overcome this limitation, we propose a straightforward approach for dynamically separating and selecting chunks of long context, facilitating a more streamlined input for "&amp;"LLMs. In particular, we compute semantic similarities between adjacent sentences, using lower similarities to adaptively divide long contexts into variable-length chunks. We further train a question-aware classifier to select sensitive chunks that are cri"&amp;"tical for answering specific questions. Experimental results on both single-hop and multi-hop question-answering benchmarks show that the proposed approach consistently outperforms strong baselines. Notably, it maintains robustness across a wide range of "&amp;"input lengths, handling sequences of up to 256k tokens. Our datasets and code are available at the following link: https://github.com/ECNU-Text-Computing/DCS")</f>
        <v>Large language models (LLMs) often struggle to accurately read and comprehend extremely long texts. Current methods for improvement typically rely on splitting long contexts into fixed-length chunks. However, fixed truncation risks separating semantically relevant content, leading to ambiguity and compromising accurate understanding. To overcome this limitation, we propose a straightforward approach for dynamically separating and selecting chunks of long context, facilitating a more streamlined input for LLMs. In particular, we compute semantic similarities between adjacent sentences, using lower similarities to adaptively divide long contexts into variable-length chunks. We further train a question-aware classifier to select sensitive chunks that are critical for answering specific questions. Experimental results on both single-hop and multi-hop question-answering benchmarks show that the proposed approach consistently outperforms strong baselines. Notably, it maintains robustness across a wide range of input lengths, handling sequences of up to 256k tokens. Our datasets and code are available at the following link: https://github.com/ECNU-Text-Computing/DCS</v>
      </c>
      <c r="D3215" s="7" t="str">
        <f>IFERROR(__xludf.DUMMYFUNCTION("""COMPUTED_VALUE"""),"Guoxiu He")</f>
        <v>Guoxiu He</v>
      </c>
      <c r="E3215" s="7" t="str">
        <f>IFERROR(__xludf.DUMMYFUNCTION("""COMPUTED_VALUE"""),"Yes")</f>
        <v>Yes</v>
      </c>
      <c r="F3215" s="7" t="str">
        <f>IFERROR(__xludf.DUMMYFUNCTION("""COMPUTED_VALUE"""),"IP-Poster")</f>
        <v>IP-Poster</v>
      </c>
      <c r="G3215" s="7" t="str">
        <f>IFERROR(__xludf.DUMMYFUNCTION("""COMPUTED_VALUE"""),"In-Person")</f>
        <v>In-Person</v>
      </c>
      <c r="H3215" s="7" t="str">
        <f>IFERROR(__xludf.DUMMYFUNCTION("""COMPUTED_VALUE"""),"Hall 4/5")</f>
        <v>Hall 4/5</v>
      </c>
      <c r="I3215" s="7" t="str">
        <f>IFERROR(__xludf.DUMMYFUNCTION("""COMPUTED_VALUE"""),"Session 12: IP-Posters")</f>
        <v>Session 12: IP-Posters</v>
      </c>
      <c r="J3215" s="7" t="str">
        <f>IFERROR(__xludf.DUMMYFUNCTION("""COMPUTED_VALUE"""),"Poster Session 4")</f>
        <v>Poster Session 4</v>
      </c>
      <c r="K3215" s="7"/>
      <c r="L3215" s="8">
        <f>IFERROR(__xludf.DUMMYFUNCTION("""COMPUTED_VALUE"""),45868.0)</f>
        <v>45868</v>
      </c>
      <c r="M3215" s="7" t="str">
        <f>IFERROR(__xludf.DUMMYFUNCTION("""COMPUTED_VALUE"""),"11:00-12:30")</f>
        <v>11:00-12:30</v>
      </c>
      <c r="N3215" s="7"/>
    </row>
    <row r="3216">
      <c r="A3216" s="7" t="str">
        <f>IFERROR(__xludf.DUMMYFUNCTION("""COMPUTED_VALUE"""),"5019-MAIN")</f>
        <v>5019-MAIN</v>
      </c>
      <c r="B3216" s="7" t="str">
        <f>IFERROR(__xludf.DUMMYFUNCTION("""COMPUTED_VALUE"""),"DualRAG: A Dual-Process Approach to Integrate Reasoning and Retrieval for Multi-Hop Question Answering")</f>
        <v>DualRAG: A Dual-Process Approach to Integrate Reasoning and Retrieval for Multi-Hop Question Answering</v>
      </c>
      <c r="C3216" s="7" t="str">
        <f>IFERROR(__xludf.DUMMYFUNCTION("""COMPUTED_VALUE"""),"Multi-Hop Question Answering (MHQA) tasks permeate real-world applications, posing challenges in orchestrating multi-step reasoning across diverse knowledge domains. While existing approaches have been improved with iterative retrieval, they still struggl"&amp;"e to identify and organize dynamic knowledge. To address this, we propose DualRAG, a synergistic dual-process framework that seamlessly integrates reasoning and retrieval. DualRAG operates through two tightly coupled processes: Reasoning-augmented Queryin"&amp;"g (RaQ) and progressive Knowledge Aggregation (pKA). They work in concert: as RaQ navigates the reasoning path and generates targeted queries, pKA ensures that newly acquired knowledge is systematically integrated to support coherent reasoning. This creat"&amp;"es a virtuous cycle of knowledge enrichment and reasoning refinement. Through targeted fine-tuning, DualRAG preserves its sophisticated reasoning and retrieval capabilities even in smaller-scale models, demonstrating its versatility and core advantages ac"&amp;"ross different scales. Extensive experiments demonstrate that this dual-process approach substantially improves answer accuracy and coherence, approaching, and in some cases surpassing, the performance achieved with oracle knowledge access. These results "&amp;"establish DualRAG as a robust and efficient solution for complex multi-hop reasoning tasks.")</f>
        <v>Multi-Hop Question Answering (MHQA) tasks permeate real-world applications, posing challenges in orchestrating multi-step reasoning across diverse knowledge domains. While existing approaches have been improved with iterative retrieval, they still struggle to identify and organize dynamic knowledge. To address this, we propose DualRAG, a synergistic dual-process framework that seamlessly integrates reasoning and retrieval. DualRAG operates through two tightly coupled processes: Reasoning-augmented Querying (RaQ) and progressive Knowledge Aggregation (pKA). They work in concert: as RaQ navigates the reasoning path and generates targeted queries, pKA ensures that newly acquired knowledge is systematically integrated to support coherent reasoning. This creates a virtuous cycle of knowledge enrichment and reasoning refinement. Through targeted fine-tuning, DualRAG preserves its sophisticated reasoning and retrieval capabilities even in smaller-scale models, demonstrating its versatility and core advantages across different scales. Extensive experiments demonstrate that this dual-process approach substantially improves answer accuracy and coherence, approaching, and in some cases surpassing, the performance achieved with oracle knowledge access. These results establish DualRAG as a robust and efficient solution for complex multi-hop reasoning tasks.</v>
      </c>
      <c r="D3216" s="7" t="str">
        <f>IFERROR(__xludf.DUMMYFUNCTION("""COMPUTED_VALUE"""),"Rong Cheng")</f>
        <v>Rong Cheng</v>
      </c>
      <c r="E3216" s="7" t="str">
        <f>IFERROR(__xludf.DUMMYFUNCTION("""COMPUTED_VALUE"""),"Yes")</f>
        <v>Yes</v>
      </c>
      <c r="F3216" s="7" t="str">
        <f>IFERROR(__xludf.DUMMYFUNCTION("""COMPUTED_VALUE"""),"IP-Poster")</f>
        <v>IP-Poster</v>
      </c>
      <c r="G3216" s="7" t="str">
        <f>IFERROR(__xludf.DUMMYFUNCTION("""COMPUTED_VALUE"""),"In-Person")</f>
        <v>In-Person</v>
      </c>
      <c r="H3216" s="7" t="str">
        <f>IFERROR(__xludf.DUMMYFUNCTION("""COMPUTED_VALUE"""),"Hall 4/5")</f>
        <v>Hall 4/5</v>
      </c>
      <c r="I3216" s="7" t="str">
        <f>IFERROR(__xludf.DUMMYFUNCTION("""COMPUTED_VALUE"""),"Session 10: IP-Posters")</f>
        <v>Session 10: IP-Posters</v>
      </c>
      <c r="J3216" s="7" t="str">
        <f>IFERROR(__xludf.DUMMYFUNCTION("""COMPUTED_VALUE"""),"Poster Session 3")</f>
        <v>Poster Session 3</v>
      </c>
      <c r="K3216" s="7"/>
      <c r="L3216" s="8">
        <f>IFERROR(__xludf.DUMMYFUNCTION("""COMPUTED_VALUE"""),45867.0)</f>
        <v>45867</v>
      </c>
      <c r="M3216" s="7" t="str">
        <f>IFERROR(__xludf.DUMMYFUNCTION("""COMPUTED_VALUE"""),"16:00-17:30")</f>
        <v>16:00-17:30</v>
      </c>
      <c r="N3216" s="7"/>
    </row>
    <row r="3217">
      <c r="A3217" s="7" t="str">
        <f>IFERROR(__xludf.DUMMYFUNCTION("""COMPUTED_VALUE"""),"5021-MAIN")</f>
        <v>5021-MAIN</v>
      </c>
      <c r="B3217" s="7" t="str">
        <f>IFERROR(__xludf.DUMMYFUNCTION("""COMPUTED_VALUE"""),"Deliberate Reasoning for Language Models as Structure-aware Planning with Accurate World Model")</f>
        <v>Deliberate Reasoning for Language Models as Structure-aware Planning with Accurate World Model</v>
      </c>
      <c r="C3217" s="7" t="str">
        <f>IFERROR(__xludf.DUMMYFUNCTION("""COMPUTED_VALUE"""),"Enhancing the reasoning capabilities of language models (LMs) remains a key challenge, especially for tasks that require complex, multi-step decision-making where existing Chain-of-Thought (CoT) approaches struggle with consistency and verification. In th"&amp;"is paper, we propose a novel reasoning framework, referred to as Structure-aware Planning with an Accurate World Model (SWAP), that integrates structured knowledge representation with learned planning. Unlike prior methods that rely purely on natural lang"&amp;"uage reasoning, SWAP leverages entailment graphs to encode structured dependencies and enable symbolic verification of intermediate steps. To systematically construct and update the graph, SWAP employs a policy model to propose candidate expansions and a "&amp;"world model to predict structural updates. To improve accuracy, the world model generates multiple alternative updates, and a discriminator re-ranks them based on plausibility. To encourage diverse exploration, we introduce Diversity-based Modelling (DM),"&amp;" which samples candidates from the remaining probability mass after removing previously sampled candidates from the original policy distribution. Additionally, SWAP improves the discrimination accuracy through Contrastive Ranking (CR), which directly comp"&amp;"ares candidates within prompts and incorporates meta-knowledge to improve ranking quality. We evaluate SWAP across diverse reasoning-intensive benchmarks including math reasoning, logical reasoning, and coding tasks. Extensive experiments demonstrate that"&amp;" SWAP significantly improves upon the base models and consistently outperforms existing reasoning methods.")</f>
        <v>Enhancing the reasoning capabilities of language models (LMs) remains a key challenge, especially for tasks that require complex, multi-step decision-making where existing Chain-of-Thought (CoT) approaches struggle with consistency and verification. In this paper, we propose a novel reasoning framework, referred to as Structure-aware Planning with an Accurate World Model (SWAP), that integrates structured knowledge representation with learned planning. Unlike prior methods that rely purely on natural language reasoning, SWAP leverages entailment graphs to encode structured dependencies and enable symbolic verification of intermediate steps. To systematically construct and update the graph, SWAP employs a policy model to propose candidate expansions and a world model to predict structural updates. To improve accuracy, the world model generates multiple alternative updates, and a discriminator re-ranks them based on plausibility. To encourage diverse exploration, we introduce Diversity-based Modelling (DM), which samples candidates from the remaining probability mass after removing previously sampled candidates from the original policy distribution. Additionally, SWAP improves the discrimination accuracy through Contrastive Ranking (CR), which directly compares candidates within prompts and incorporates meta-knowledge to improve ranking quality. We evaluate SWAP across diverse reasoning-intensive benchmarks including math reasoning, logical reasoning, and coding tasks. Extensive experiments demonstrate that SWAP significantly improves upon the base models and consistently outperforms existing reasoning methods.</v>
      </c>
      <c r="D3217" s="7" t="str">
        <f>IFERROR(__xludf.DUMMYFUNCTION("""COMPUTED_VALUE"""),"Faramarz Fekri")</f>
        <v>Faramarz Fekri</v>
      </c>
      <c r="E3217" s="7" t="str">
        <f>IFERROR(__xludf.DUMMYFUNCTION("""COMPUTED_VALUE"""),"Yes")</f>
        <v>Yes</v>
      </c>
      <c r="F3217" s="7" t="str">
        <f>IFERROR(__xludf.DUMMYFUNCTION("""COMPUTED_VALUE"""),"IP-Poster")</f>
        <v>IP-Poster</v>
      </c>
      <c r="G3217" s="7" t="str">
        <f>IFERROR(__xludf.DUMMYFUNCTION("""COMPUTED_VALUE"""),"In-Person")</f>
        <v>In-Person</v>
      </c>
      <c r="H3217" s="7" t="str">
        <f>IFERROR(__xludf.DUMMYFUNCTION("""COMPUTED_VALUE"""),"Hall 4/5")</f>
        <v>Hall 4/5</v>
      </c>
      <c r="I3217" s="7" t="str">
        <f>IFERROR(__xludf.DUMMYFUNCTION("""COMPUTED_VALUE"""),"Session 7: IP-Posters")</f>
        <v>Session 7: IP-Posters</v>
      </c>
      <c r="J3217" s="7" t="str">
        <f>IFERROR(__xludf.DUMMYFUNCTION("""COMPUTED_VALUE"""),"Poster Session 2")</f>
        <v>Poster Session 2</v>
      </c>
      <c r="K3217" s="7"/>
      <c r="L3217" s="8">
        <f>IFERROR(__xludf.DUMMYFUNCTION("""COMPUTED_VALUE"""),45867.0)</f>
        <v>45867</v>
      </c>
      <c r="M3217" s="7" t="str">
        <f>IFERROR(__xludf.DUMMYFUNCTION("""COMPUTED_VALUE"""),"10:30-12:00")</f>
        <v>10:30-12:00</v>
      </c>
      <c r="N3217" s="7"/>
    </row>
    <row r="3218">
      <c r="A3218" s="7" t="str">
        <f>IFERROR(__xludf.DUMMYFUNCTION("""COMPUTED_VALUE"""),"5045-MAIN")</f>
        <v>5045-MAIN</v>
      </c>
      <c r="B3218" s="7" t="str">
        <f>IFERROR(__xludf.DUMMYFUNCTION("""COMPUTED_VALUE"""),"Refining Salience-Aware Sparse Fine-Tuning Strategies for Language Models")</f>
        <v>Refining Salience-Aware Sparse Fine-Tuning Strategies for Language Models</v>
      </c>
      <c r="C3218" s="7" t="str">
        <f>IFERROR(__xludf.DUMMYFUNCTION("""COMPUTED_VALUE"""),"Parameter-Efficient Fine-Tuning (PEFT) has gained prominence through low-rank adaptation methods like LoRA. In this paper, we focus on sparsity-based PEFT (SPEFT), which introduces trainable sparse adaptations to the weight matrices in the model, offering"&amp;" greater flexibility in selecting fine-tuned parameters compared to low-rank methods. We conduct the first systematic evaluation of salience metrics for SPEFT, inspired by zero-cost NAS proxies, and identify simple gradient-based metrics is reliable, and "&amp;"results are on par with the best alternatives, offering both computational efficiency and robust performance. Additionally, we compare static and dynamic masking strategies, finding that static masking, which predetermines non-zero entries before training"&amp;", delivers efficiency without sacrificing performance, while dynamic masking offers no substantial benefits. Across NLP tasks, a simple gradient-based, static SPEFT consistently outperforms other fine-tuning methods for LLMs, providing a simple yet effect"&amp;"ive baseline for SPEFT. Our work challenges the notion that complexity is necessary for effective PEFT, while our open-source framework establishes a reproducible benchmark for future research.")</f>
        <v>Parameter-Efficient Fine-Tuning (PEFT) has gained prominence through low-rank adaptation methods like LoRA. In this paper, we focus on sparsity-based PEFT (SPEFT), which introduces trainable sparse adaptations to the weight matrices in the model, offering greater flexibility in selecting fine-tuned parameters compared to low-rank methods. We conduct the first systematic evaluation of salience metrics for SPEFT, inspired by zero-cost NAS proxies, and identify simple gradient-based metrics is reliable, and results are on par with the best alternatives, offering both computational efficiency and robust performance. Additionally, we compare static and dynamic masking strategies, finding that static masking, which predetermines non-zero entries before training, delivers efficiency without sacrificing performance, while dynamic masking offers no substantial benefits. Across NLP tasks, a simple gradient-based, static SPEFT consistently outperforms other fine-tuning methods for LLMs, providing a simple yet effective baseline for SPEFT. Our work challenges the notion that complexity is necessary for effective PEFT, while our open-source framework establishes a reproducible benchmark for future research.</v>
      </c>
      <c r="D3218" s="7" t="str">
        <f>IFERROR(__xludf.DUMMYFUNCTION("""COMPUTED_VALUE"""),"Xinxin Liu")</f>
        <v>Xinxin Liu</v>
      </c>
      <c r="E3218" s="7" t="str">
        <f>IFERROR(__xludf.DUMMYFUNCTION("""COMPUTED_VALUE"""),"Yes")</f>
        <v>Yes</v>
      </c>
      <c r="F3218" s="7" t="str">
        <f>IFERROR(__xludf.DUMMYFUNCTION("""COMPUTED_VALUE"""),"IP-Poster")</f>
        <v>IP-Poster</v>
      </c>
      <c r="G3218" s="7" t="str">
        <f>IFERROR(__xludf.DUMMYFUNCTION("""COMPUTED_VALUE"""),"In-Person")</f>
        <v>In-Person</v>
      </c>
      <c r="H3218" s="7" t="str">
        <f>IFERROR(__xludf.DUMMYFUNCTION("""COMPUTED_VALUE"""),"Hall 4/5")</f>
        <v>Hall 4/5</v>
      </c>
      <c r="I3218" s="7" t="str">
        <f>IFERROR(__xludf.DUMMYFUNCTION("""COMPUTED_VALUE"""),"Session 2: IP-Posters ")</f>
        <v>Session 2: IP-Posters </v>
      </c>
      <c r="J3218" s="7" t="str">
        <f>IFERROR(__xludf.DUMMYFUNCTION("""COMPUTED_VALUE"""),"Poster Session 1")</f>
        <v>Poster Session 1</v>
      </c>
      <c r="K3218" s="7"/>
      <c r="L3218" s="8">
        <f>IFERROR(__xludf.DUMMYFUNCTION("""COMPUTED_VALUE"""),45866.0)</f>
        <v>45866</v>
      </c>
      <c r="M3218" s="7" t="str">
        <f>IFERROR(__xludf.DUMMYFUNCTION("""COMPUTED_VALUE"""),"11:00-12:30")</f>
        <v>11:00-12:30</v>
      </c>
      <c r="N3218" s="7"/>
    </row>
    <row r="3219">
      <c r="A3219" s="7" t="str">
        <f>IFERROR(__xludf.DUMMYFUNCTION("""COMPUTED_VALUE"""),"5057-MAIN")</f>
        <v>5057-MAIN</v>
      </c>
      <c r="B3219" s="7" t="str">
        <f>IFERROR(__xludf.DUMMYFUNCTION("""COMPUTED_VALUE"""),"Efficient Many-Shot In-Context Learning with Dynamic Block-Sparse Attention")</f>
        <v>Efficient Many-Shot In-Context Learning with Dynamic Block-Sparse Attention</v>
      </c>
      <c r="C3219" s="7" t="str">
        <f>IFERROR(__xludf.DUMMYFUNCTION("""COMPUTED_VALUE"""),"Many-shot in-context learning has recently shown promise as an alternative to finetuning, with the major advantage that the same model can be served for multiple tasks. However, this shifts the computational burden from training-time to inference-time, ma"&amp;"king deployment of many-shot ICL challenging to justify in-practice. This cost is further increased if a custom demonstration set is retrieved for each inference example. We present Dynamic Block-Sparse Attention, an optimized method for retrieval-based m"&amp;"any-shot in-context learning. By combining carefully designed block-sparse attention and retrieval of cached groups of demonstrations, we achieve comparable per-example latency to finetuning while maintaining on average &gt;95% of the best method's accuracy "&amp;"across strong ICL and finetuning baselines. We hope that this will further enable the deployment of many-shot ICL at scale.")</f>
        <v>Many-shot in-context learning has recently shown promise as an alternative to finetuning, with the major advantage that the same model can be served for multiple tasks. However, this shifts the computational burden from training-time to inference-time, making deployment of many-shot ICL challenging to justify in-practice. This cost is further increased if a custom demonstration set is retrieved for each inference example. We present Dynamic Block-Sparse Attention, an optimized method for retrieval-based many-shot in-context learning. By combining carefully designed block-sparse attention and retrieval of cached groups of demonstrations, we achieve comparable per-example latency to finetuning while maintaining on average &gt;95% of the best method's accuracy across strong ICL and finetuning baselines. We hope that this will further enable the deployment of many-shot ICL at scale.</v>
      </c>
      <c r="D3219" s="7" t="str">
        <f>IFERROR(__xludf.DUMMYFUNCTION("""COMPUTED_VALUE"""),"Emily Xiao")</f>
        <v>Emily Xiao</v>
      </c>
      <c r="E3219" s="7" t="str">
        <f>IFERROR(__xludf.DUMMYFUNCTION("""COMPUTED_VALUE"""),"Yes")</f>
        <v>Yes</v>
      </c>
      <c r="F3219" s="7" t="str">
        <f>IFERROR(__xludf.DUMMYFUNCTION("""COMPUTED_VALUE"""),"IP-Poster")</f>
        <v>IP-Poster</v>
      </c>
      <c r="G3219" s="7" t="str">
        <f>IFERROR(__xludf.DUMMYFUNCTION("""COMPUTED_VALUE"""),"In-Person")</f>
        <v>In-Person</v>
      </c>
      <c r="H3219" s="7" t="str">
        <f>IFERROR(__xludf.DUMMYFUNCTION("""COMPUTED_VALUE"""),"Hall 4/5")</f>
        <v>Hall 4/5</v>
      </c>
      <c r="I3219" s="7" t="str">
        <f>IFERROR(__xludf.DUMMYFUNCTION("""COMPUTED_VALUE"""),"Session 10: IP-Posters")</f>
        <v>Session 10: IP-Posters</v>
      </c>
      <c r="J3219" s="7" t="str">
        <f>IFERROR(__xludf.DUMMYFUNCTION("""COMPUTED_VALUE"""),"Poster Session 3")</f>
        <v>Poster Session 3</v>
      </c>
      <c r="K3219" s="7"/>
      <c r="L3219" s="8">
        <f>IFERROR(__xludf.DUMMYFUNCTION("""COMPUTED_VALUE"""),45867.0)</f>
        <v>45867</v>
      </c>
      <c r="M3219" s="7" t="str">
        <f>IFERROR(__xludf.DUMMYFUNCTION("""COMPUTED_VALUE"""),"16:00-17:30")</f>
        <v>16:00-17:30</v>
      </c>
      <c r="N3219" s="7"/>
    </row>
    <row r="3220">
      <c r="A3220" s="7" t="str">
        <f>IFERROR(__xludf.DUMMYFUNCTION("""COMPUTED_VALUE"""),"5058-MAIN")</f>
        <v>5058-MAIN</v>
      </c>
      <c r="B3220" s="7" t="str">
        <f>IFERROR(__xludf.DUMMYFUNCTION("""COMPUTED_VALUE"""),"ScaleBiO: Scalable Bilevel Optimization for LLM Data Reweighting")</f>
        <v>ScaleBiO: Scalable Bilevel Optimization for LLM Data Reweighting</v>
      </c>
      <c r="C3220" s="7" t="str">
        <f>IFERROR(__xludf.DUMMYFUNCTION("""COMPUTED_VALUE"""),"Bilevel optimization has shown its utility across various machine learning settings, yet most algorithms in practice require second-order information, making it challenging to scale them up. Only recently, a paradigm of first-order algorithms has emerged "&amp;"in the theoretical literature, capable of effectively addressing bilevel optimization problems. Nevertheless, the practical efficiency of this paradigm remains unverified, particularly in the context of large language models (LLMs). This paper introduces "&amp;"the first scalable instantiation of this paradigm called _ScaleBiO_, focusing on bilevel optimization for large-scale LLM data reweighting. By combining with a recently proposed memory-efficient training technique called LISA, our novel algorithm allows t"&amp;"he paradigm to scale to $\sim$30B-sized LLMs on $8\times$
H100 GPUs, marking the first successful application of bilevel optimization under practical scenarios for large-sized LLMs. Empirically, extensive experiments on data reweighting verify the effecti"&amp;"veness of ScaleBiO for different-scaled models, including Llama-3-8B, Gemma-2-9B, Qwen-2-7B, and Qwen-2.5-32B, where bilevel optimization succeeds in instruction-following and math reasoning tasks, outperforming several popular baselines, including unifor"&amp;"m sampling, influence-aware data filtering, and reference-model-based sampling methods. Theoretically, ScaleBiO ensures the optimality of the learned data weights, along with a convergence guarantee matching the conventional first-order bilevel optimizati"&amp;"on paradigm on smooth and strongly convex objectives.")</f>
        <v>Bilevel optimization has shown its utility across various machine learning settings, yet most algorithms in practice require second-order information, making it challenging to scale them up. Only recently, a paradigm of first-order algorithms has emerged in the theoretical literature, capable of effectively addressing bilevel optimization problems. Nevertheless, the practical efficiency of this paradigm remains unverified, particularly in the context of large language models (LLMs). This paper introduces the first scalable instantiation of this paradigm called _ScaleBiO_, focusing on bilevel optimization for large-scale LLM data reweighting. By combining with a recently proposed memory-efficient training technique called LISA, our novel algorithm allows the paradigm to scale to $\sim$30B-sized LLMs on $8\times$
H100 GPUs, marking the first successful application of bilevel optimization under practical scenarios for large-sized LLMs. Empirically, extensive experiments on data reweighting verify the effectiveness of ScaleBiO for different-scaled models, including Llama-3-8B, Gemma-2-9B, Qwen-2-7B, and Qwen-2.5-32B, where bilevel optimization succeeds in instruction-following and math reasoning tasks, outperforming several popular baselines, including uniform sampling, influence-aware data filtering, and reference-model-based sampling methods. Theoretically, ScaleBiO ensures the optimality of the learned data weights, along with a convergence guarantee matching the conventional first-order bilevel optimization paradigm on smooth and strongly convex objectives.</v>
      </c>
      <c r="D3220" s="7" t="str">
        <f>IFERROR(__xludf.DUMMYFUNCTION("""COMPUTED_VALUE"""),"Jipeng Zhang")</f>
        <v>Jipeng Zhang</v>
      </c>
      <c r="E3220" s="7" t="str">
        <f>IFERROR(__xludf.DUMMYFUNCTION("""COMPUTED_VALUE"""),"Yes")</f>
        <v>Yes</v>
      </c>
      <c r="F3220" s="7" t="str">
        <f>IFERROR(__xludf.DUMMYFUNCTION("""COMPUTED_VALUE"""),"IP-Poster")</f>
        <v>IP-Poster</v>
      </c>
      <c r="G3220" s="7" t="str">
        <f>IFERROR(__xludf.DUMMYFUNCTION("""COMPUTED_VALUE"""),"In-Person")</f>
        <v>In-Person</v>
      </c>
      <c r="H3220" s="7" t="str">
        <f>IFERROR(__xludf.DUMMYFUNCTION("""COMPUTED_VALUE"""),"Hall 4/5")</f>
        <v>Hall 4/5</v>
      </c>
      <c r="I3220" s="7" t="str">
        <f>IFERROR(__xludf.DUMMYFUNCTION("""COMPUTED_VALUE"""),"Session 7: IP-Posters")</f>
        <v>Session 7: IP-Posters</v>
      </c>
      <c r="J3220" s="7" t="str">
        <f>IFERROR(__xludf.DUMMYFUNCTION("""COMPUTED_VALUE"""),"Poster Session 2")</f>
        <v>Poster Session 2</v>
      </c>
      <c r="K3220" s="7"/>
      <c r="L3220" s="8">
        <f>IFERROR(__xludf.DUMMYFUNCTION("""COMPUTED_VALUE"""),45867.0)</f>
        <v>45867</v>
      </c>
      <c r="M3220" s="7" t="str">
        <f>IFERROR(__xludf.DUMMYFUNCTION("""COMPUTED_VALUE"""),"10:30-12:00")</f>
        <v>10:30-12:00</v>
      </c>
      <c r="N3220" s="7"/>
    </row>
    <row r="3221">
      <c r="A3221" s="7" t="str">
        <f>IFERROR(__xludf.DUMMYFUNCTION("""COMPUTED_VALUE"""),"5067-MAIN")</f>
        <v>5067-MAIN</v>
      </c>
      <c r="B3221" s="7" t="str">
        <f>IFERROR(__xludf.DUMMYFUNCTION("""COMPUTED_VALUE"""),"BeaverTails v2: Towards Multi-Level Safety Alignment for LLMs with Human Preference")</f>
        <v>BeaverTails v2: Towards Multi-Level Safety Alignment for LLMs with Human Preference</v>
      </c>
      <c r="C3221" s="7" t="str">
        <f>IFERROR(__xludf.DUMMYFUNCTION("""COMPUTED_VALUE"""),"In this work, we introduce the PKU-SafeRLHF dataset, designed to promote research on safety alignment in large language models (LLMs). As a sibling project to SafeRLHF and BeaverTails, we separate annotations of helpfulness and harmlessness for question-a"&amp;"nswering pairs, providing distinct perspectives on these coupled attributes. Overall, we provide 44.6k refined prompts and 265k question-answer pairs with safety meta-labels for 19 harm categories and three severity levels ranging from minor to severe, wi"&amp;"th answers generated by Llama-family models. Based on this, we collected 166.8k preference data, including dual-preference (helpfulness and harmlessness decoupled) and single-preference data (trade-off the helpfulness and harmlessness from scratch), respe"&amp;"ctively. Using the large-scale annotation data, we further train severity-sensitive moderation for the risk control of LLMs and safety-centric RLHF algorithms for the safety alignment of LLMs. We believe this dataset will be a valuable resource for the co"&amp;"mmunity, aiding in the safe deployment of LLMs.")</f>
        <v>In this work, we introduce the PKU-SafeRLHF dataset, designed to promote research on safety alignment in large language models (LLMs). As a sibling project to SafeRLHF and BeaverTails, we separate annotations of helpfulness and harmlessness for question-answering pairs, providing distinct perspectives on these coupled attributes. Overall, we provide 44.6k refined prompts and 265k question-answer pairs with safety meta-labels for 19 harm categories and three severity levels ranging from minor to severe, with answers generated by Llama-family models. Based on this, we collected 166.8k preference data, including dual-preference (helpfulness and harmlessness decoupled) and single-preference data (trade-off the helpfulness and harmlessness from scratch), respectively. Using the large-scale annotation data, we further train severity-sensitive moderation for the risk control of LLMs and safety-centric RLHF algorithms for the safety alignment of LLMs. We believe this dataset will be a valuable resource for the community, aiding in the safe deployment of LLMs.</v>
      </c>
      <c r="D3221" s="7" t="str">
        <f>IFERROR(__xludf.DUMMYFUNCTION("""COMPUTED_VALUE"""),"Donghai Hong")</f>
        <v>Donghai Hong</v>
      </c>
      <c r="E3221" s="7" t="str">
        <f>IFERROR(__xludf.DUMMYFUNCTION("""COMPUTED_VALUE"""),"Yes")</f>
        <v>Yes</v>
      </c>
      <c r="F3221" s="7" t="str">
        <f>IFERROR(__xludf.DUMMYFUNCTION("""COMPUTED_VALUE"""),"IP-Poster")</f>
        <v>IP-Poster</v>
      </c>
      <c r="G3221" s="7" t="str">
        <f>IFERROR(__xludf.DUMMYFUNCTION("""COMPUTED_VALUE"""),"In-Person")</f>
        <v>In-Person</v>
      </c>
      <c r="H3221" s="7" t="str">
        <f>IFERROR(__xludf.DUMMYFUNCTION("""COMPUTED_VALUE"""),"Hall 4/5")</f>
        <v>Hall 4/5</v>
      </c>
      <c r="I3221" s="7" t="str">
        <f>IFERROR(__xludf.DUMMYFUNCTION("""COMPUTED_VALUE"""),"Session 7: IP-Posters")</f>
        <v>Session 7: IP-Posters</v>
      </c>
      <c r="J3221" s="7" t="str">
        <f>IFERROR(__xludf.DUMMYFUNCTION("""COMPUTED_VALUE"""),"Poster Session 2")</f>
        <v>Poster Session 2</v>
      </c>
      <c r="K3221" s="7"/>
      <c r="L3221" s="8">
        <f>IFERROR(__xludf.DUMMYFUNCTION("""COMPUTED_VALUE"""),45867.0)</f>
        <v>45867</v>
      </c>
      <c r="M3221" s="7" t="str">
        <f>IFERROR(__xludf.DUMMYFUNCTION("""COMPUTED_VALUE"""),"10:30-12:00")</f>
        <v>10:30-12:00</v>
      </c>
      <c r="N3221" s="7"/>
    </row>
    <row r="3222">
      <c r="A3222" s="7" t="str">
        <f>IFERROR(__xludf.DUMMYFUNCTION("""COMPUTED_VALUE"""),"5077-MAIN")</f>
        <v>5077-MAIN</v>
      </c>
      <c r="B3222" s="7" t="str">
        <f>IFERROR(__xludf.DUMMYFUNCTION("""COMPUTED_VALUE"""),"What Happened in LLMs Layers when Trained for Fast vs. Slow Thinking: A Gradient Perspective")</f>
        <v>What Happened in LLMs Layers when Trained for Fast vs. Slow Thinking: A Gradient Perspective</v>
      </c>
      <c r="C3222" s="7" t="str">
        <f>IFERROR(__xludf.DUMMYFUNCTION("""COMPUTED_VALUE"""),"What makes a difference in the post-training of LLMs? We investigate the training patterns of different layers in large language models (LLMs) through the lens of the gradient. We are specifically interested in how fast vs. slow thinking affects the layer"&amp;"-wise gradients, given the recent popularity of training LLMs on reasoning paths such as chain-of-thoughts (CoT) and process rewards. In our study, fast thinking without CoT leads to larger gradients and larger differences of gradients across layers than "&amp;"slow thinking (Detailed CoT), indicating the learning stability brought by the latter. Additionally, we study whether the gradient patterns can reflect the correctness of responses when training different LLMs using slow vs. fast thinking paths. The resul"&amp;"ts show that the gradients of slow thinking can distinguish correct and irrelevant reasoning paths. As a comparison, we conduct similar gradient analyses on non-reasoning knowledge learning tasks, on which, however, trivially increasing the response lengt"&amp;"h does not lead to similar behaviors of slow thinking. Our study strengthens fundamental understandings of LLM training and sheds novel insights on its efficiency and stability, which pave the way towards building a generalizable System-2 agent.")</f>
        <v>What makes a difference in the post-training of LLMs? We investigate the training patterns of different layers in large language models (LLMs) through the lens of the gradient. We are specifically interested in how fast vs. slow thinking affects the layer-wise gradients, given the recent popularity of training LLMs on reasoning paths such as chain-of-thoughts (CoT) and process rewards. In our study, fast thinking without CoT leads to larger gradients and larger differences of gradients across layers than slow thinking (Detailed CoT), indicating the learning stability brought by the latter. Additionally, we study whether the gradient patterns can reflect the correctness of responses when training different LLMs using slow vs. fast thinking paths. The results show that the gradients of slow thinking can distinguish correct and irrelevant reasoning paths. As a comparison, we conduct similar gradient analyses on non-reasoning knowledge learning tasks, on which, however, trivially increasing the response length does not lead to similar behaviors of slow thinking. Our study strengthens fundamental understandings of LLM training and sheds novel insights on its efficiency and stability, which pave the way towards building a generalizable System-2 agent.</v>
      </c>
      <c r="D3222" s="7" t="str">
        <f>IFERROR(__xludf.DUMMYFUNCTION("""COMPUTED_VALUE"""),"Ming Li")</f>
        <v>Ming Li</v>
      </c>
      <c r="E3222" s="7" t="str">
        <f>IFERROR(__xludf.DUMMYFUNCTION("""COMPUTED_VALUE"""),"Yes")</f>
        <v>Yes</v>
      </c>
      <c r="F3222" s="7" t="str">
        <f>IFERROR(__xludf.DUMMYFUNCTION("""COMPUTED_VALUE"""),"IP-Oral")</f>
        <v>IP-Oral</v>
      </c>
      <c r="G3222" s="7" t="str">
        <f>IFERROR(__xludf.DUMMYFUNCTION("""COMPUTED_VALUE"""),"In-Person")</f>
        <v>In-Person</v>
      </c>
      <c r="H3222" s="7" t="str">
        <f>IFERROR(__xludf.DUMMYFUNCTION("""COMPUTED_VALUE"""),"Hall M.2")</f>
        <v>Hall M.2</v>
      </c>
      <c r="I3222" s="7" t="str">
        <f>IFERROR(__xludf.DUMMYFUNCTION("""COMPUTED_VALUE"""),"Session 9: IP-Orals")</f>
        <v>Session 9: IP-Orals</v>
      </c>
      <c r="J3222" s="7" t="str">
        <f>IFERROR(__xludf.DUMMYFUNCTION("""COMPUTED_VALUE"""),"Interpretability and Model Analysis 1")</f>
        <v>Interpretability and Model Analysis 1</v>
      </c>
      <c r="K3222" s="7"/>
      <c r="L3222" s="8">
        <f>IFERROR(__xludf.DUMMYFUNCTION("""COMPUTED_VALUE"""),45867.0)</f>
        <v>45867</v>
      </c>
      <c r="M3222" s="7" t="str">
        <f>IFERROR(__xludf.DUMMYFUNCTION("""COMPUTED_VALUE"""),"14:00-15:30")</f>
        <v>14:00-15:30</v>
      </c>
      <c r="N3222" s="7">
        <f>IFERROR(__xludf.DUMMYFUNCTION("""COMPUTED_VALUE"""),7.0)</f>
        <v>7</v>
      </c>
    </row>
    <row r="3223">
      <c r="A3223" s="7" t="str">
        <f>IFERROR(__xludf.DUMMYFUNCTION("""COMPUTED_VALUE"""),"5080-MAIN")</f>
        <v>5080-MAIN</v>
      </c>
      <c r="B3223" s="7" t="str">
        <f>IFERROR(__xludf.DUMMYFUNCTION("""COMPUTED_VALUE"""),"Beyond Text Compression: Evaluating Tokenizers Across Scales")</f>
        <v>Beyond Text Compression: Evaluating Tokenizers Across Scales</v>
      </c>
      <c r="C3223" s="7" t="str">
        <f>IFERROR(__xludf.DUMMYFUNCTION("""COMPUTED_VALUE"""),"The choice of tokenizer can profoundly impact language model performance, yet accessible and reliable evaluations of tokenizer quality remain an open challenge. Inspired by scaling consistency, we show that smaller models can accurately predict significan"&amp;"t differences in tokenizer impact on larger models at a fraction of the compute cost. By systematically evaluating both English-centric and multilingual tokenizers, we find that tokenizer choice has negligible effects on tasks in English but results in co"&amp;"nsistent performance differences in multilingual settings. We propose new intrinsic tokenizer metrics inspired by Zipf's law that correlate more strongly with downstream performance than text compression when modeling unseen languages. By combining severa"&amp;"l metrics to capture multiple aspects of tokenizer behavior, we develop a reliable framework for intrinsic tokenizer evaluations. Our work offers a more efficient path to informed tokenizer selection in future language model development.")</f>
        <v>The choice of tokenizer can profoundly impact language model performance, yet accessible and reliable evaluations of tokenizer quality remain an open challenge. Inspired by scaling consistency, we show that smaller models can accurately predict significant differences in tokenizer impact on larger models at a fraction of the compute cost. By systematically evaluating both English-centric and multilingual tokenizers, we find that tokenizer choice has negligible effects on tasks in English but results in consistent performance differences in multilingual settings. We propose new intrinsic tokenizer metrics inspired by Zipf's law that correlate more strongly with downstream performance than text compression when modeling unseen languages. By combining several metrics to capture multiple aspects of tokenizer behavior, we develop a reliable framework for intrinsic tokenizer evaluations. Our work offers a more efficient path to informed tokenizer selection in future language model development.</v>
      </c>
      <c r="D3223" s="7" t="str">
        <f>IFERROR(__xludf.DUMMYFUNCTION("""COMPUTED_VALUE"""),"Jonas F. Lotz")</f>
        <v>Jonas F. Lotz</v>
      </c>
      <c r="E3223" s="7" t="str">
        <f>IFERROR(__xludf.DUMMYFUNCTION("""COMPUTED_VALUE"""),"Yes")</f>
        <v>Yes</v>
      </c>
      <c r="F3223" s="7" t="str">
        <f>IFERROR(__xludf.DUMMYFUNCTION("""COMPUTED_VALUE"""),"IP-Poster")</f>
        <v>IP-Poster</v>
      </c>
      <c r="G3223" s="7" t="str">
        <f>IFERROR(__xludf.DUMMYFUNCTION("""COMPUTED_VALUE"""),"In-Person")</f>
        <v>In-Person</v>
      </c>
      <c r="H3223" s="7" t="str">
        <f>IFERROR(__xludf.DUMMYFUNCTION("""COMPUTED_VALUE"""),"Hall 4/5")</f>
        <v>Hall 4/5</v>
      </c>
      <c r="I3223" s="7" t="str">
        <f>IFERROR(__xludf.DUMMYFUNCTION("""COMPUTED_VALUE"""),"Session 7: IP-Posters")</f>
        <v>Session 7: IP-Posters</v>
      </c>
      <c r="J3223" s="7" t="str">
        <f>IFERROR(__xludf.DUMMYFUNCTION("""COMPUTED_VALUE"""),"Poster Session 2")</f>
        <v>Poster Session 2</v>
      </c>
      <c r="K3223" s="7"/>
      <c r="L3223" s="8">
        <f>IFERROR(__xludf.DUMMYFUNCTION("""COMPUTED_VALUE"""),45867.0)</f>
        <v>45867</v>
      </c>
      <c r="M3223" s="7" t="str">
        <f>IFERROR(__xludf.DUMMYFUNCTION("""COMPUTED_VALUE"""),"10:30-12:00")</f>
        <v>10:30-12:00</v>
      </c>
      <c r="N3223" s="7"/>
    </row>
    <row r="3224">
      <c r="A3224" s="7" t="str">
        <f>IFERROR(__xludf.DUMMYFUNCTION("""COMPUTED_VALUE"""),"5083-MAIN")</f>
        <v>5083-MAIN</v>
      </c>
      <c r="B3224" s="7" t="str">
        <f>IFERROR(__xludf.DUMMYFUNCTION("""COMPUTED_VALUE"""),"WiCkeD: A Simple Method to Make Multiple Choice Benchmarks More Challenging")</f>
        <v>WiCkeD: A Simple Method to Make Multiple Choice Benchmarks More Challenging</v>
      </c>
      <c r="C3224" s="7" t="str">
        <f>IFERROR(__xludf.DUMMYFUNCTION("""COMPUTED_VALUE"""),"We introduce WiCkeD, a simple method to increase the complexity of existing multiple-choice benchmarks by randomly replacing a choice with ""None of the above"", a method often used in educational tests. We show that WiCkeD can be automatically applied to"&amp;" any existing benchmark, making it more challenging. We apply WiCkeD to 6 popular benchmarks and use it to evaluate 18 open-weight LLMs. The performance of the models drops12.1 points on average with respect to the original versions of the datasets. When "&amp;"using chainof-thought on 3 MMLU datasets, the performance drop for the WiCkeD variant is similar to the one observed when using the LLMs directly, showing that WiCkeD is also challenging for models with enhanced reasoning abilities. WiCkeD also uncovers t"&amp;"hat some models are more sensitive to the extra reasoning required, providing additional information with respect to the original benchmarks.We relase our code and data at github.com/anonymized.")</f>
        <v>We introduce WiCkeD, a simple method to increase the complexity of existing multiple-choice benchmarks by randomly replacing a choice with "None of the above", a method often used in educational tests. We show that WiCkeD can be automatically applied to any existing benchmark, making it more challenging. We apply WiCkeD to 6 popular benchmarks and use it to evaluate 18 open-weight LLMs. The performance of the models drops12.1 points on average with respect to the original versions of the datasets. When using chainof-thought on 3 MMLU datasets, the performance drop for the WiCkeD variant is similar to the one observed when using the LLMs directly, showing that WiCkeD is also challenging for models with enhanced reasoning abilities. WiCkeD also uncovers that some models are more sensitive to the extra reasoning required, providing additional information with respect to the original benchmarks.We relase our code and data at github.com/anonymized.</v>
      </c>
      <c r="D3224" s="7" t="str">
        <f>IFERROR(__xludf.DUMMYFUNCTION("""COMPUTED_VALUE"""),"Ahmed Elhady")</f>
        <v>Ahmed Elhady</v>
      </c>
      <c r="E3224" s="7" t="str">
        <f>IFERROR(__xludf.DUMMYFUNCTION("""COMPUTED_VALUE"""),"Yes")</f>
        <v>Yes</v>
      </c>
      <c r="F3224" s="7" t="str">
        <f>IFERROR(__xludf.DUMMYFUNCTION("""COMPUTED_VALUE"""),"IP-Poster")</f>
        <v>IP-Poster</v>
      </c>
      <c r="G3224" s="7" t="str">
        <f>IFERROR(__xludf.DUMMYFUNCTION("""COMPUTED_VALUE"""),"In-Person")</f>
        <v>In-Person</v>
      </c>
      <c r="H3224" s="7" t="str">
        <f>IFERROR(__xludf.DUMMYFUNCTION("""COMPUTED_VALUE"""),"Hall 4/5")</f>
        <v>Hall 4/5</v>
      </c>
      <c r="I3224" s="7" t="str">
        <f>IFERROR(__xludf.DUMMYFUNCTION("""COMPUTED_VALUE"""),"Session 12: IP-Posters")</f>
        <v>Session 12: IP-Posters</v>
      </c>
      <c r="J3224" s="7" t="str">
        <f>IFERROR(__xludf.DUMMYFUNCTION("""COMPUTED_VALUE"""),"Poster Session 4")</f>
        <v>Poster Session 4</v>
      </c>
      <c r="K3224" s="7"/>
      <c r="L3224" s="8">
        <f>IFERROR(__xludf.DUMMYFUNCTION("""COMPUTED_VALUE"""),45868.0)</f>
        <v>45868</v>
      </c>
      <c r="M3224" s="7" t="str">
        <f>IFERROR(__xludf.DUMMYFUNCTION("""COMPUTED_VALUE"""),"11:00-12:30")</f>
        <v>11:00-12:30</v>
      </c>
      <c r="N3224" s="7"/>
    </row>
    <row r="3225">
      <c r="A3225" s="7" t="str">
        <f>IFERROR(__xludf.DUMMYFUNCTION("""COMPUTED_VALUE"""),"5085-MAIN")</f>
        <v>5085-MAIN</v>
      </c>
      <c r="B3225" s="7" t="str">
        <f>IFERROR(__xludf.DUMMYFUNCTION("""COMPUTED_VALUE"""),"Emergent Abilities of Large Language Models under Continued Pre-training for Language Adaptation")</f>
        <v>Emergent Abilities of Large Language Models under Continued Pre-training for Language Adaptation</v>
      </c>
      <c r="C3225" s="7" t="str">
        <f>IFERROR(__xludf.DUMMYFUNCTION("""COMPUTED_VALUE"""),"Continued pretraining (CPT) is a popular approach to adapt existing large language models (LLMs) to new languages. When doing so, it is common practice to include a portion of English data in the mixture, but its role has not been carefully studied to dat"&amp;"e. In this work, we show that including English does not impact validation perplexity, yet it is critical for the emergence of downstream capabilities in the target language. We introduce a language-agnostic benchmark for in-context learning (ICL), which "&amp;"reveals catastrophic forgetting early on CPT when English is not included. This in turn damages the ability of the model to generalize to downstream prompts as measured by perplexity, even if it does not manifest in terms of accuracy until later in traini"&amp;"ng, and can be tied to a big shift in the model parameters. Based on these insights, we introduce curriculum learning and exponential moving average (EMA) of weights as effective alternatives to mitigate the need for English. All in all, our work sheds li"&amp;"ght into the dynamics by which emergent abilities arise when doing CPT for language adaptation, and can serve as a foundation to design more effective methods in the future.")</f>
        <v>Continued pretraining (CPT) is a popular approach to adapt existing large language models (LLMs) to new languages. When doing so, it is common practice to include a portion of English data in the mixture, but its role has not been carefully studied to date. In this work, we show that including English does not impact validation perplexity, yet it is critical for the emergence of downstream capabilities in the target language. We introduce a language-agnostic benchmark for in-context learning (ICL), which reveals catastrophic forgetting early on CPT when English is not included. This in turn damages the ability of the model to generalize to downstream prompts as measured by perplexity, even if it does not manifest in terms of accuracy until later in training, and can be tied to a big shift in the model parameters. Based on these insights, we introduce curriculum learning and exponential moving average (EMA) of weights as effective alternatives to mitigate the need for English. All in all, our work sheds light into the dynamics by which emergent abilities arise when doing CPT for language adaptation, and can serve as a foundation to design more effective methods in the future.</v>
      </c>
      <c r="D3225" s="7" t="str">
        <f>IFERROR(__xludf.DUMMYFUNCTION("""COMPUTED_VALUE"""),"Ahmed Elhady")</f>
        <v>Ahmed Elhady</v>
      </c>
      <c r="E3225" s="7" t="str">
        <f>IFERROR(__xludf.DUMMYFUNCTION("""COMPUTED_VALUE"""),"Yes")</f>
        <v>Yes</v>
      </c>
      <c r="F3225" s="7" t="str">
        <f>IFERROR(__xludf.DUMMYFUNCTION("""COMPUTED_VALUE"""),"IP-Poster")</f>
        <v>IP-Poster</v>
      </c>
      <c r="G3225" s="7" t="str">
        <f>IFERROR(__xludf.DUMMYFUNCTION("""COMPUTED_VALUE"""),"In-Person")</f>
        <v>In-Person</v>
      </c>
      <c r="H3225" s="7" t="str">
        <f>IFERROR(__xludf.DUMMYFUNCTION("""COMPUTED_VALUE"""),"Hall 4/5")</f>
        <v>Hall 4/5</v>
      </c>
      <c r="I3225" s="7" t="str">
        <f>IFERROR(__xludf.DUMMYFUNCTION("""COMPUTED_VALUE"""),"Session 7: IP-Posters")</f>
        <v>Session 7: IP-Posters</v>
      </c>
      <c r="J3225" s="7" t="str">
        <f>IFERROR(__xludf.DUMMYFUNCTION("""COMPUTED_VALUE"""),"Poster Session 2")</f>
        <v>Poster Session 2</v>
      </c>
      <c r="K3225" s="7"/>
      <c r="L3225" s="8">
        <f>IFERROR(__xludf.DUMMYFUNCTION("""COMPUTED_VALUE"""),45867.0)</f>
        <v>45867</v>
      </c>
      <c r="M3225" s="7" t="str">
        <f>IFERROR(__xludf.DUMMYFUNCTION("""COMPUTED_VALUE"""),"10:30-12:00")</f>
        <v>10:30-12:00</v>
      </c>
      <c r="N3225" s="7"/>
    </row>
    <row r="3226">
      <c r="A3226" s="7" t="str">
        <f>IFERROR(__xludf.DUMMYFUNCTION("""COMPUTED_VALUE"""),"5093-MAIN")</f>
        <v>5093-MAIN</v>
      </c>
      <c r="B3226" s="7" t="str">
        <f>IFERROR(__xludf.DUMMYFUNCTION("""COMPUTED_VALUE"""),"R-Fairness: Assessing Fairness of Ranking in Subjective Data")</f>
        <v>R-Fairness: Assessing Fairness of Ranking in Subjective Data</v>
      </c>
      <c r="C3226" s="7" t="str">
        <f>IFERROR(__xludf.DUMMYFUNCTION("""COMPUTED_VALUE"""),"Subjective data, reflecting individual opinions, permeates platforms like Yelp and Amazon, influencing everyday decisions. Upon a user query, collaborative rating platforms return a collection of items ranked in an order that is often not transparent to t"&amp;"he users. Then, each item is presented with a collection of reviews in an order that typically is, again, rather opaque. Despite the prevalence of such platforms, little attention has been given to fairness in their context, where groups writing best-rank"&amp;"ed reviews for best-ranked items have more influence on users' behavior. We design and evaluate a fairness assessment pipeline that starts with a data collection phase to gather reviews from real-world platforms, by submitting artificial user queries and "&amp;"iterating through rated items. Following that, a group assignment phase computes and infers relevant groups for each review, based on review content and user data. Finally, the third step assesses and evaluates the fairness of rankings for different user "&amp;"groups. The key contributions are comparing group exposure for different queries and platforms and comparing how popular fairness definitions behave in different settings. Experiments on real datasets reveal insights into the impact of item ranking on fai"&amp;"rness computation and the varying robustness of these measures.")</f>
        <v>Subjective data, reflecting individual opinions, permeates platforms like Yelp and Amazon, influencing everyday decisions. Upon a user query, collaborative rating platforms return a collection of items ranked in an order that is often not transparent to the users. Then, each item is presented with a collection of reviews in an order that typically is, again, rather opaque. Despite the prevalence of such platforms, little attention has been given to fairness in their context, where groups writing best-ranked reviews for best-ranked items have more influence on users' behavior. We design and evaluate a fairness assessment pipeline that starts with a data collection phase to gather reviews from real-world platforms, by submitting artificial user queries and iterating through rated items. Following that, a group assignment phase computes and infers relevant groups for each review, based on review content and user data. Finally, the third step assesses and evaluates the fairness of rankings for different user groups. The key contributions are comparing group exposure for different queries and platforms and comparing how popular fairness definitions behave in different settings. Experiments on real datasets reveal insights into the impact of item ranking on fairness computation and the varying robustness of these measures.</v>
      </c>
      <c r="D3226" s="7" t="str">
        <f>IFERROR(__xludf.DUMMYFUNCTION("""COMPUTED_VALUE"""),"Lorenzo Balzotti")</f>
        <v>Lorenzo Balzotti</v>
      </c>
      <c r="E3226" s="7" t="str">
        <f>IFERROR(__xludf.DUMMYFUNCTION("""COMPUTED_VALUE"""),"Yes")</f>
        <v>Yes</v>
      </c>
      <c r="F3226" s="7" t="str">
        <f>IFERROR(__xludf.DUMMYFUNCTION("""COMPUTED_VALUE"""),"IP-Poster")</f>
        <v>IP-Poster</v>
      </c>
      <c r="G3226" s="7" t="str">
        <f>IFERROR(__xludf.DUMMYFUNCTION("""COMPUTED_VALUE"""),"In-Person")</f>
        <v>In-Person</v>
      </c>
      <c r="H3226" s="7" t="str">
        <f>IFERROR(__xludf.DUMMYFUNCTION("""COMPUTED_VALUE"""),"Hall 4/5")</f>
        <v>Hall 4/5</v>
      </c>
      <c r="I3226" s="7" t="str">
        <f>IFERROR(__xludf.DUMMYFUNCTION("""COMPUTED_VALUE"""),"Session 10: IP-Posters")</f>
        <v>Session 10: IP-Posters</v>
      </c>
      <c r="J3226" s="7" t="str">
        <f>IFERROR(__xludf.DUMMYFUNCTION("""COMPUTED_VALUE"""),"Poster Session 3")</f>
        <v>Poster Session 3</v>
      </c>
      <c r="K3226" s="7"/>
      <c r="L3226" s="8">
        <f>IFERROR(__xludf.DUMMYFUNCTION("""COMPUTED_VALUE"""),45867.0)</f>
        <v>45867</v>
      </c>
      <c r="M3226" s="7" t="str">
        <f>IFERROR(__xludf.DUMMYFUNCTION("""COMPUTED_VALUE"""),"16:00-17:30")</f>
        <v>16:00-17:30</v>
      </c>
      <c r="N3226" s="7"/>
    </row>
    <row r="3227">
      <c r="A3227" s="7" t="str">
        <f>IFERROR(__xludf.DUMMYFUNCTION("""COMPUTED_VALUE"""),"5094-MAIN")</f>
        <v>5094-MAIN</v>
      </c>
      <c r="B3227" s="7" t="str">
        <f>IFERROR(__xludf.DUMMYFUNCTION("""COMPUTED_VALUE"""),"RePanda: Pandas-powered Tabular Verification and Reasoning")</f>
        <v>RePanda: Pandas-powered Tabular Verification and Reasoning</v>
      </c>
      <c r="C3227" s="7" t="str">
        <f>IFERROR(__xludf.DUMMYFUNCTION("""COMPUTED_VALUE"""),"Fact-checking tabular data is essential for ensuring the accuracy of structured information in domains such as journalism, finance, and scientific research. However, existing methods often rely on black-box models with opaque reasoning. We introduce RePan"&amp;"da, a structured fact verification approach that translates claims into executable pandas queries, enabling interpretable and verifiable reasoning.
To train RePanda, we construct PanTabFact, a structured dataset derived from TabFact, where claims are pai"&amp;"red with executable queries generated using DeepSeek-Chat and refined through automated error correction. Fine-tuning DeepSeek-coder-7B-instruct-v1.5 on PanTabFact, RePanda achieves 84.09% accuracy on TabFact. To assess Out-of-Distribution (OOD) generaliz"&amp;"ation, we create a dataset named WikiFact from WikiTableQuestions by transforming question-answer pairs into factual claims. Without additional fine-tuning, RePanda achieves 84.72% accuracy on WikiFact, significantly outperforming all other baselines and "&amp;"demonstrating strong OOD robustness. PanTabFact is publically available on HuggingFace at datasets/AtoosaChegini/PanTabFact.
Beyond fact verification, RePanda extends to tabular question answering by generating executable queries that retrieve precise an"&amp;"swers. To support this, we introduce PanWiki, a dataset mapping WikiTableQuestions to pandas queries. Fine-tuning on PanWiki, RePanda achieves 75.1% accuracy in direct answer retrieval. These results highlight the effectiveness of structured execution-bas"&amp;"ed reasoning for tabular verification and question answering.")</f>
        <v>Fact-checking tabular data is essential for ensuring the accuracy of structured information in domains such as journalism, finance, and scientific research. However, existing methods often rely on black-box models with opaque reasoning. We introduce RePanda, a structured fact verification approach that translates claims into executable pandas queries, enabling interpretable and verifiable reasoning.
To train RePanda, we construct PanTabFact, a structured dataset derived from TabFact, where claims are paired with executable queries generated using DeepSeek-Chat and refined through automated error correction. Fine-tuning DeepSeek-coder-7B-instruct-v1.5 on PanTabFact, RePanda achieves 84.09% accuracy on TabFact. To assess Out-of-Distribution (OOD) generalization, we create a dataset named WikiFact from WikiTableQuestions by transforming question-answer pairs into factual claims. Without additional fine-tuning, RePanda achieves 84.72% accuracy on WikiFact, significantly outperforming all other baselines and demonstrating strong OOD robustness. PanTabFact is publically available on HuggingFace at datasets/AtoosaChegini/PanTabFact.
Beyond fact verification, RePanda extends to tabular question answering by generating executable queries that retrieve precise answers. To support this, we introduce PanWiki, a dataset mapping WikiTableQuestions to pandas queries. Fine-tuning on PanWiki, RePanda achieves 75.1% accuracy in direct answer retrieval. These results highlight the effectiveness of structured execution-based reasoning for tabular verification and question answering.</v>
      </c>
      <c r="D3227" s="7" t="str">
        <f>IFERROR(__xludf.DUMMYFUNCTION("""COMPUTED_VALUE"""),"Atoosa Malemir Chegini")</f>
        <v>Atoosa Malemir Chegini</v>
      </c>
      <c r="E3227" s="7" t="str">
        <f>IFERROR(__xludf.DUMMYFUNCTION("""COMPUTED_VALUE"""),"Yes")</f>
        <v>Yes</v>
      </c>
      <c r="F3227" s="7" t="str">
        <f>IFERROR(__xludf.DUMMYFUNCTION("""COMPUTED_VALUE"""),"V-Presentation")</f>
        <v>V-Presentation</v>
      </c>
      <c r="G3227" s="7" t="str">
        <f>IFERROR(__xludf.DUMMYFUNCTION("""COMPUTED_VALUE"""),"Virtual/Gather")</f>
        <v>Virtual/Gather</v>
      </c>
      <c r="H3227" s="7" t="str">
        <f>IFERROR(__xludf.DUMMYFUNCTION("""COMPUTED_VALUE"""),"Zoom")</f>
        <v>Zoom</v>
      </c>
      <c r="I3227" s="7" t="str">
        <f>IFERROR(__xludf.DUMMYFUNCTION("""COMPUTED_VALUE"""),"Session 10: V-Presenations")</f>
        <v>Session 10: V-Presenations</v>
      </c>
      <c r="J3227" s="7" t="str">
        <f>IFERROR(__xludf.DUMMYFUNCTION("""COMPUTED_VALUE"""),"Virtual Presentations 3")</f>
        <v>Virtual Presentations 3</v>
      </c>
      <c r="K3227" s="7"/>
      <c r="L3227" s="8">
        <f>IFERROR(__xludf.DUMMYFUNCTION("""COMPUTED_VALUE"""),45867.0)</f>
        <v>45867</v>
      </c>
      <c r="M3227" s="7" t="str">
        <f>IFERROR(__xludf.DUMMYFUNCTION("""COMPUTED_VALUE"""),"16:00-17:30")</f>
        <v>16:00-17:30</v>
      </c>
      <c r="N3227" s="7"/>
    </row>
    <row r="3228">
      <c r="A3228" s="7" t="str">
        <f>IFERROR(__xludf.DUMMYFUNCTION("""COMPUTED_VALUE"""),"5095-MAIN")</f>
        <v>5095-MAIN</v>
      </c>
      <c r="B3228" s="7" t="str">
        <f>IFERROR(__xludf.DUMMYFUNCTION("""COMPUTED_VALUE"""),"Towards Style Alignment in Cross-Cultural Translation")</f>
        <v>Towards Style Alignment in Cross-Cultural Translation</v>
      </c>
      <c r="C3228" s="7" t="str">
        <f>IFERROR(__xludf.DUMMYFUNCTION("""COMPUTED_VALUE"""),"Successful communication depends on the speaker's intended style (i.e., what the speaker is trying to convey) aligning with the listener's interpreted style (i.e., what the listener perceives). However, cultural differences often lead to misalignment betw"&amp;"een the two; for example, politeness is often lost in translation. We characterize the ways that LLMs fail to translate style -- biasing translations towards neutrality and performing worse in non-Western languages. We mitigate these failures with RASTA ("&amp;"Retrieval-Augmented STylistic Alignment), a method that leverages learned stylistic concepts to encourage LLM translation to appropriately convey cultural communication norms and align style.")</f>
        <v>Successful communication depends on the speaker's intended style (i.e., what the speaker is trying to convey) aligning with the listener's interpreted style (i.e., what the listener perceives). However, cultural differences often lead to misalignment between the two; for example, politeness is often lost in translation. We characterize the ways that LLMs fail to translate style -- biasing translations towards neutrality and performing worse in non-Western languages. We mitigate these failures with RASTA (Retrieval-Augmented STylistic Alignment), a method that leverages learned stylistic concepts to encourage LLM translation to appropriately convey cultural communication norms and align style.</v>
      </c>
      <c r="D3228" s="7" t="str">
        <f>IFERROR(__xludf.DUMMYFUNCTION("""COMPUTED_VALUE"""),"Shreya Havaldar")</f>
        <v>Shreya Havaldar</v>
      </c>
      <c r="E3228" s="7" t="str">
        <f>IFERROR(__xludf.DUMMYFUNCTION("""COMPUTED_VALUE"""),"Yes")</f>
        <v>Yes</v>
      </c>
      <c r="F3228" s="7" t="str">
        <f>IFERROR(__xludf.DUMMYFUNCTION("""COMPUTED_VALUE"""),"IP-Poster")</f>
        <v>IP-Poster</v>
      </c>
      <c r="G3228" s="7" t="str">
        <f>IFERROR(__xludf.DUMMYFUNCTION("""COMPUTED_VALUE"""),"In-Person")</f>
        <v>In-Person</v>
      </c>
      <c r="H3228" s="7" t="str">
        <f>IFERROR(__xludf.DUMMYFUNCTION("""COMPUTED_VALUE"""),"Hall 4/5")</f>
        <v>Hall 4/5</v>
      </c>
      <c r="I3228" s="7" t="str">
        <f>IFERROR(__xludf.DUMMYFUNCTION("""COMPUTED_VALUE"""),"Session 12: IP-Posters")</f>
        <v>Session 12: IP-Posters</v>
      </c>
      <c r="J3228" s="7" t="str">
        <f>IFERROR(__xludf.DUMMYFUNCTION("""COMPUTED_VALUE"""),"Poster Session 4")</f>
        <v>Poster Session 4</v>
      </c>
      <c r="K3228" s="7"/>
      <c r="L3228" s="8">
        <f>IFERROR(__xludf.DUMMYFUNCTION("""COMPUTED_VALUE"""),45868.0)</f>
        <v>45868</v>
      </c>
      <c r="M3228" s="7" t="str">
        <f>IFERROR(__xludf.DUMMYFUNCTION("""COMPUTED_VALUE"""),"11:00-12:30")</f>
        <v>11:00-12:30</v>
      </c>
      <c r="N3228" s="7"/>
    </row>
    <row r="3229">
      <c r="A3229" s="7" t="str">
        <f>IFERROR(__xludf.DUMMYFUNCTION("""COMPUTED_VALUE"""),"5096-MAIN")</f>
        <v>5096-MAIN</v>
      </c>
      <c r="B3229" s="7" t="str">
        <f>IFERROR(__xludf.DUMMYFUNCTION("""COMPUTED_VALUE"""),"TiC-LM: A Web-Scale Benchmark for Time-Continual LLM Pretraining")</f>
        <v>TiC-LM: A Web-Scale Benchmark for Time-Continual LLM Pretraining</v>
      </c>
      <c r="C3229" s="7" t="str">
        <f>IFERROR(__xludf.DUMMYFUNCTION("""COMPUTED_VALUE"""),"Large Language Models (LLMs) trained on historical web data inevitably become outdated. We investigate evaluation strategies and update methods for LLMs as new data becomes available. We introduce a web-scale dataset for time-continual pretraining of LLMs"&amp;" derived from 114 dumps of Common Crawl (CC) -- orders of magnitude larger than previous continual language modeling benchmarks. We also design time-stratified evaluations across both general CC data and specific domains (Wikipedia, StackExchange, and cod"&amp;"e documentation) to assess how well various continual learning methods adapt to new data while retaining past knowledge. Our findings demonstrate that, on general CC data, autoregressive meta-schedules combined with a fixed-ratio replay of older data can "&amp;"achieve comparable held-out loss to re-training from scratch, while requiring significantly less computation (2.6x). However, the optimal balance between incorporating new data and replaying old data differs as replay is crucial to avoid forgetting on gen"&amp;"eric web data but less so on specific domains.")</f>
        <v>Large Language Models (LLMs) trained on historical web data inevitably become outdated. We investigate evaluation strategies and update methods for LLMs as new data becomes available. We introduce a web-scale dataset for time-continual pretraining of LLMs derived from 114 dumps of Common Crawl (CC) -- orders of magnitude larger than previous continual language modeling benchmarks. We also design time-stratified evaluations across both general CC data and specific domains (Wikipedia, StackExchange, and code documentation) to assess how well various continual learning methods adapt to new data while retaining past knowledge. Our findings demonstrate that, on general CC data, autoregressive meta-schedules combined with a fixed-ratio replay of older data can achieve comparable held-out loss to re-training from scratch, while requiring significantly less computation (2.6x). However, the optimal balance between incorporating new data and replaying old data differs as replay is crucial to avoid forgetting on generic web data but less so on specific domains.</v>
      </c>
      <c r="D3229" s="7" t="str">
        <f>IFERROR(__xludf.DUMMYFUNCTION("""COMPUTED_VALUE"""),"Jeffrey Li")</f>
        <v>Jeffrey Li</v>
      </c>
      <c r="E3229" s="7" t="str">
        <f>IFERROR(__xludf.DUMMYFUNCTION("""COMPUTED_VALUE"""),"Yes")</f>
        <v>Yes</v>
      </c>
      <c r="F3229" s="7" t="str">
        <f>IFERROR(__xludf.DUMMYFUNCTION("""COMPUTED_VALUE"""),"IP-Oral")</f>
        <v>IP-Oral</v>
      </c>
      <c r="G3229" s="7" t="str">
        <f>IFERROR(__xludf.DUMMYFUNCTION("""COMPUTED_VALUE"""),"In-Person")</f>
        <v>In-Person</v>
      </c>
      <c r="H3229" s="7" t="str">
        <f>IFERROR(__xludf.DUMMYFUNCTION("""COMPUTED_VALUE"""),"Room 1.15-16")</f>
        <v>Room 1.15-16</v>
      </c>
      <c r="I3229" s="7" t="str">
        <f>IFERROR(__xludf.DUMMYFUNCTION("""COMPUTED_VALUE"""),"Session 3: IP-Orals")</f>
        <v>Session 3: IP-Orals</v>
      </c>
      <c r="J3229" s="7" t="str">
        <f>IFERROR(__xludf.DUMMYFUNCTION("""COMPUTED_VALUE"""),"Theme track: Generalisation of NLP models")</f>
        <v>Theme track: Generalisation of NLP models</v>
      </c>
      <c r="K3229" s="7"/>
      <c r="L3229" s="8">
        <f>IFERROR(__xludf.DUMMYFUNCTION("""COMPUTED_VALUE"""),45866.0)</f>
        <v>45866</v>
      </c>
      <c r="M3229" s="7" t="str">
        <f>IFERROR(__xludf.DUMMYFUNCTION("""COMPUTED_VALUE"""),"14:00-15:30")</f>
        <v>14:00-15:30</v>
      </c>
      <c r="N3229" s="7">
        <f>IFERROR(__xludf.DUMMYFUNCTION("""COMPUTED_VALUE"""),7.0)</f>
        <v>7</v>
      </c>
    </row>
    <row r="3230">
      <c r="A3230" s="7" t="str">
        <f>IFERROR(__xludf.DUMMYFUNCTION("""COMPUTED_VALUE"""),"5097-MAIN")</f>
        <v>5097-MAIN</v>
      </c>
      <c r="B3230" s="7" t="str">
        <f>IFERROR(__xludf.DUMMYFUNCTION("""COMPUTED_VALUE"""),"Entailed Between the Lines: Incorporating Implication into NLI")</f>
        <v>Entailed Between the Lines: Incorporating Implication into NLI</v>
      </c>
      <c r="C3230" s="7" t="str">
        <f>IFERROR(__xludf.DUMMYFUNCTION("""COMPUTED_VALUE"""),"Much of human communication depends on implication, conveying meaning beyond literal words to express a wider range of thoughts, intentions, and feelings. For models to better understand and facilitate human communication, they must be responsive to the t"&amp;"ext's implicit meaning. We focus on Natural Language Inference (NLI), a core tool for many language tasks, and find that state-of-the-art NLI models and datasets struggle to recognize a range of cases where entailment is implied, rather than explicit from"&amp;" the text. We formalize implied entailment as an extension of the NLI task and introduce the Implied NLI dataset (INLI) to help today's LLMs both recognize a broader variety of implied entailments and to distinguish between implicit and explicit entailmen"&amp;"t. We show how LLMs fine-tuned on INLI understand implied entailment and can generalize this understanding across datasets and domains.")</f>
        <v>Much of human communication depends on implication, conveying meaning beyond literal words to express a wider range of thoughts, intentions, and feelings. For models to better understand and facilitate human communication, they must be responsive to the text's implicit meaning. We focus on Natural Language Inference (NLI), a core tool for many language tasks, and find that state-of-the-art NLI models and datasets struggle to recognize a range of cases where entailment is implied, rather than explicit from the text. We formalize implied entailment as an extension of the NLI task and introduce the Implied NLI dataset (INLI) to help today's LLMs both recognize a broader variety of implied entailments and to distinguish between implicit and explicit entailment. We show how LLMs fine-tuned on INLI understand implied entailment and can generalize this understanding across datasets and domains.</v>
      </c>
      <c r="D3230" s="7" t="str">
        <f>IFERROR(__xludf.DUMMYFUNCTION("""COMPUTED_VALUE"""),"Shreya Havaldar")</f>
        <v>Shreya Havaldar</v>
      </c>
      <c r="E3230" s="7" t="str">
        <f>IFERROR(__xludf.DUMMYFUNCTION("""COMPUTED_VALUE"""),"Yes")</f>
        <v>Yes</v>
      </c>
      <c r="F3230" s="7" t="str">
        <f>IFERROR(__xludf.DUMMYFUNCTION("""COMPUTED_VALUE"""),"IP-Poster")</f>
        <v>IP-Poster</v>
      </c>
      <c r="G3230" s="7" t="str">
        <f>IFERROR(__xludf.DUMMYFUNCTION("""COMPUTED_VALUE"""),"In-Person")</f>
        <v>In-Person</v>
      </c>
      <c r="H3230" s="7" t="str">
        <f>IFERROR(__xludf.DUMMYFUNCTION("""COMPUTED_VALUE"""),"Hall 4/5")</f>
        <v>Hall 4/5</v>
      </c>
      <c r="I3230" s="7" t="str">
        <f>IFERROR(__xludf.DUMMYFUNCTION("""COMPUTED_VALUE"""),"Session 2: IP-Posters ")</f>
        <v>Session 2: IP-Posters </v>
      </c>
      <c r="J3230" s="7" t="str">
        <f>IFERROR(__xludf.DUMMYFUNCTION("""COMPUTED_VALUE"""),"Poster Session 1")</f>
        <v>Poster Session 1</v>
      </c>
      <c r="K3230" s="7"/>
      <c r="L3230" s="8">
        <f>IFERROR(__xludf.DUMMYFUNCTION("""COMPUTED_VALUE"""),45866.0)</f>
        <v>45866</v>
      </c>
      <c r="M3230" s="7" t="str">
        <f>IFERROR(__xludf.DUMMYFUNCTION("""COMPUTED_VALUE"""),"11:00-12:30")</f>
        <v>11:00-12:30</v>
      </c>
      <c r="N3230" s="7"/>
    </row>
    <row r="3231">
      <c r="A3231" s="7" t="str">
        <f>IFERROR(__xludf.DUMMYFUNCTION("""COMPUTED_VALUE"""),"5102-MAIN")</f>
        <v>5102-MAIN</v>
      </c>
      <c r="B3231" s="7" t="str">
        <f>IFERROR(__xludf.DUMMYFUNCTION("""COMPUTED_VALUE"""),"Multi-Level Explanations for Generative Language Models")</f>
        <v>Multi-Level Explanations for Generative Language Models</v>
      </c>
      <c r="C3231" s="7" t="str">
        <f>IFERROR(__xludf.DUMMYFUNCTION("""COMPUTED_VALUE"""),"Despite the increasing use of large language models (LLMs) for context-grounded tasks like summarization and question-answering, understanding what makes an LLM produce a certain response is challenging. We propose Multi-Level Explanations for Generative "&amp;"Language Models (MExGen), a technique to provide explanations for context-grounded text generation. MExGen assigns scores to parts of the context to quantify their influence on the model's output. It extends attribution methods like LIME and SHAP to LLMs "&amp;"used in context-grounded tasks where (1) inference cost is high, (2) input text is long, and (3) the output is text. We conduct a systematic evaluation, both automated and human, of perturbation-based attribution methods for summarization and question ans"&amp;"wering. The results show that our framework can provide more faithful explanations of generated output than available alternatives, including LLM self-explanations. We open-source code for MExGen as part of the ICX360 toolkit: https://github.com/IBM/ICX36"&amp;"0.")</f>
        <v>Despite the increasing use of large language models (LLMs) for context-grounded tasks like summarization and question-answering, understanding what makes an LLM produce a certain response is challenging. We propose Multi-Level Explanations for Generative Language Models (MExGen), a technique to provide explanations for context-grounded text generation. MExGen assigns scores to parts of the context to quantify their influence on the model's output. It extends attribution methods like LIME and SHAP to LLMs used in context-grounded tasks where (1) inference cost is high, (2) input text is long, and (3) the output is text. We conduct a systematic evaluation, both automated and human, of perturbation-based attribution methods for summarization and question answering. The results show that our framework can provide more faithful explanations of generated output than available alternatives, including LLM self-explanations. We open-source code for MExGen as part of the ICX360 toolkit: https://github.com/IBM/ICX360.</v>
      </c>
      <c r="D3231" s="7" t="str">
        <f>IFERROR(__xludf.DUMMYFUNCTION("""COMPUTED_VALUE"""),"Dennis Wei")</f>
        <v>Dennis Wei</v>
      </c>
      <c r="E3231" s="7" t="str">
        <f>IFERROR(__xludf.DUMMYFUNCTION("""COMPUTED_VALUE"""),"Yes")</f>
        <v>Yes</v>
      </c>
      <c r="F3231" s="7" t="str">
        <f>IFERROR(__xludf.DUMMYFUNCTION("""COMPUTED_VALUE"""),"IP-Oral")</f>
        <v>IP-Oral</v>
      </c>
      <c r="G3231" s="7" t="str">
        <f>IFERROR(__xludf.DUMMYFUNCTION("""COMPUTED_VALUE"""),"In-Person")</f>
        <v>In-Person</v>
      </c>
      <c r="H3231" s="7" t="str">
        <f>IFERROR(__xludf.DUMMYFUNCTION("""COMPUTED_VALUE"""),"Hall M.2")</f>
        <v>Hall M.2</v>
      </c>
      <c r="I3231" s="7" t="str">
        <f>IFERROR(__xludf.DUMMYFUNCTION("""COMPUTED_VALUE"""),"Session 9: IP-Orals")</f>
        <v>Session 9: IP-Orals</v>
      </c>
      <c r="J3231" s="7" t="str">
        <f>IFERROR(__xludf.DUMMYFUNCTION("""COMPUTED_VALUE"""),"Interpretability and Model Analysis 1")</f>
        <v>Interpretability and Model Analysis 1</v>
      </c>
      <c r="K3231" s="7"/>
      <c r="L3231" s="8">
        <f>IFERROR(__xludf.DUMMYFUNCTION("""COMPUTED_VALUE"""),45867.0)</f>
        <v>45867</v>
      </c>
      <c r="M3231" s="7" t="str">
        <f>IFERROR(__xludf.DUMMYFUNCTION("""COMPUTED_VALUE"""),"14:00-15:30")</f>
        <v>14:00-15:30</v>
      </c>
      <c r="N3231" s="7">
        <f>IFERROR(__xludf.DUMMYFUNCTION("""COMPUTED_VALUE"""),8.0)</f>
        <v>8</v>
      </c>
    </row>
    <row r="3232">
      <c r="A3232" s="7" t="str">
        <f>IFERROR(__xludf.DUMMYFUNCTION("""COMPUTED_VALUE"""),"5104-MAIN")</f>
        <v>5104-MAIN</v>
      </c>
      <c r="B3232" s="7" t="str">
        <f>IFERROR(__xludf.DUMMYFUNCTION("""COMPUTED_VALUE"""),"A Multi-Agent Framework for Mitigating Dialect Biases in Privacy Policy Question-Answering Systems")</f>
        <v>A Multi-Agent Framework for Mitigating Dialect Biases in Privacy Policy Question-Answering Systems</v>
      </c>
      <c r="C3232" s="7" t="str">
        <f>IFERROR(__xludf.DUMMYFUNCTION("""COMPUTED_VALUE"""),"Privacy policies inform users about data collection and usage, yet their complexity limits accessibility for diverse populations. Existing Privacy Policy Question Answering (QA) systems exhibit performance disparities across English dialects, disadvantagi"&amp;"ng speakers of non-standard varieties. We propose a novel multi-agent framework inspired by human-centered design principles to mitigate dialectal biases. Our approach integrates a Dialect Agent, which translates queries into Standard American English (SA"&amp;"E) while preserving dialectal intent, and a Privacy Policy Agent, which refines predictions using domain expertise. Unlike prior approaches, our method does not require retraining or dialect-specific fine-tuning, making it broadly applicable across models"&amp;" and domains. Evaluated on PrivacyQA and PolicyQA, our framework improves GPT-4o-mini's zero-shot accuracy from 0.394 to 0.601 on PrivacyQA and from 0.352 to 0.464 on PolicyQA, surpassing or matching few-shot baselines without additional training data. Th"&amp;"ese results highlight the effectiveness of structured agent collaboration in mitigating dialect biases and underscore the importance of designing NLP systems that account for linguistic diversity to ensure equitable access to privacy information.")</f>
        <v>Privacy policies inform users about data collection and usage, yet their complexity limits accessibility for diverse populations. Existing Privacy Policy Question Answering (QA) systems exhibit performance disparities across English dialects, disadvantaging speakers of non-standard varieties. We propose a novel multi-agent framework inspired by human-centered design principles to mitigate dialectal biases. Our approach integrates a Dialect Agent, which translates queries into Standard American English (SAE) while preserving dialectal intent, and a Privacy Policy Agent, which refines predictions using domain expertise. Unlike prior approaches, our method does not require retraining or dialect-specific fine-tuning, making it broadly applicable across models and domains. Evaluated on PrivacyQA and PolicyQA, our framework improves GPT-4o-mini's zero-shot accuracy from 0.394 to 0.601 on PrivacyQA and from 0.352 to 0.464 on PolicyQA, surpassing or matching few-shot baselines without additional training data. These results highlight the effectiveness of structured agent collaboration in mitigating dialect biases and underscore the importance of designing NLP systems that account for linguistic diversity to ensure equitable access to privacy information.</v>
      </c>
      <c r="D3232" s="7" t="str">
        <f>IFERROR(__xludf.DUMMYFUNCTION("""COMPUTED_VALUE"""),"Đorđe Klisura")</f>
        <v>Đorđe Klisura</v>
      </c>
      <c r="E3232" s="7" t="str">
        <f>IFERROR(__xludf.DUMMYFUNCTION("""COMPUTED_VALUE"""),"Yes")</f>
        <v>Yes</v>
      </c>
      <c r="F3232" s="7" t="str">
        <f>IFERROR(__xludf.DUMMYFUNCTION("""COMPUTED_VALUE"""),"IP-Poster")</f>
        <v>IP-Poster</v>
      </c>
      <c r="G3232" s="7" t="str">
        <f>IFERROR(__xludf.DUMMYFUNCTION("""COMPUTED_VALUE"""),"In-Person")</f>
        <v>In-Person</v>
      </c>
      <c r="H3232" s="7" t="str">
        <f>IFERROR(__xludf.DUMMYFUNCTION("""COMPUTED_VALUE"""),"Hall 4/5")</f>
        <v>Hall 4/5</v>
      </c>
      <c r="I3232" s="7" t="str">
        <f>IFERROR(__xludf.DUMMYFUNCTION("""COMPUTED_VALUE"""),"Session 12: IP-Posters")</f>
        <v>Session 12: IP-Posters</v>
      </c>
      <c r="J3232" s="7" t="str">
        <f>IFERROR(__xludf.DUMMYFUNCTION("""COMPUTED_VALUE"""),"Poster Session 4")</f>
        <v>Poster Session 4</v>
      </c>
      <c r="K3232" s="7"/>
      <c r="L3232" s="8">
        <f>IFERROR(__xludf.DUMMYFUNCTION("""COMPUTED_VALUE"""),45868.0)</f>
        <v>45868</v>
      </c>
      <c r="M3232" s="7" t="str">
        <f>IFERROR(__xludf.DUMMYFUNCTION("""COMPUTED_VALUE"""),"11:00-12:30")</f>
        <v>11:00-12:30</v>
      </c>
      <c r="N3232" s="7"/>
    </row>
    <row r="3233">
      <c r="A3233" s="7" t="str">
        <f>IFERROR(__xludf.DUMMYFUNCTION("""COMPUTED_VALUE"""),"5110-MAIN")</f>
        <v>5110-MAIN</v>
      </c>
      <c r="B3233" s="7" t="str">
        <f>IFERROR(__xludf.DUMMYFUNCTION("""COMPUTED_VALUE"""),"Low-Bit Quantization Favors Undertrained LLMs: Scaling Laws for Quantized LLMs with 100T Training Tokens")</f>
        <v>Low-Bit Quantization Favors Undertrained LLMs: Scaling Laws for Quantized LLMs with 100T Training Tokens</v>
      </c>
      <c r="C3233" s="7" t="str">
        <f>IFERROR(__xludf.DUMMYFUNCTION("""COMPUTED_VALUE"""),"Low-bit quantization improves machine learning model efficiency but surprisingly favors undertrained large language models (LLMs). Larger models or those trained on fewer tokens exhibit less quantization-induced degradation (QiD), while smaller, well-trai"&amp;"ned models face significant performance losses. To gain deeper insights into this trend, we study over 1500+ quantized LLM checkpoints of various sizes and at different training levels (undertrained or fully trained) in a controlled setting, deriving scal"&amp;"ing laws for understanding the relationship between QiD and factors: the number of training tokens, model size and bit width.
With our derived scaling laws, we propose a novel perspective that we can use QiD to measure an LLM's training levels and determ"&amp;"ine the number of training tokens required for fully training LLMs of various sizes. Moreover, we use the scaling laws to predict the quantization performance of different-sized LLMs trained with tokens. Our projection shows that the low-bit quantization "&amp;"performance of future models, which are expected to be trained with over $\textcolor{red}{100~trillion}$ tokens, may NOT be desirable. This poses a potential challenge for low-bit quantization in the future and highlights the need for awareness of a model"&amp;"'s training level when evaluating low-bit quantization research. To facilitate future research on this problem, we release all the 1500+ quantized checkpoints used in this work at https://huggingface.co/Xu-Ouyang.")</f>
        <v>Low-bit quantization improves machine learning model efficiency but surprisingly favors undertrained large language models (LLMs). Larger models or those trained on fewer tokens exhibit less quantization-induced degradation (QiD), while smaller, well-trained models face significant performance losses. To gain deeper insights into this trend, we study over 1500+ quantized LLM checkpoints of various sizes and at different training levels (undertrained or fully trained) in a controlled setting, deriving scaling laws for understanding the relationship between QiD and factors: the number of training tokens, model size and bit width.
With our derived scaling laws, we propose a novel perspective that we can use QiD to measure an LLM's training levels and determine the number of training tokens required for fully training LLMs of various sizes. Moreover, we use the scaling laws to predict the quantization performance of different-sized LLMs trained with tokens. Our projection shows that the low-bit quantization performance of future models, which are expected to be trained with over $\textcolor{red}{100~trillion}$ tokens, may NOT be desirable. This poses a potential challenge for low-bit quantization in the future and highlights the need for awareness of a model's training level when evaluating low-bit quantization research. To facilitate future research on this problem, we release all the 1500+ quantized checkpoints used in this work at https://huggingface.co/Xu-Ouyang.</v>
      </c>
      <c r="D3233" s="7" t="str">
        <f>IFERROR(__xludf.DUMMYFUNCTION("""COMPUTED_VALUE"""),"Xu Ouyang")</f>
        <v>Xu Ouyang</v>
      </c>
      <c r="E3233" s="7" t="str">
        <f>IFERROR(__xludf.DUMMYFUNCTION("""COMPUTED_VALUE"""),"Yes")</f>
        <v>Yes</v>
      </c>
      <c r="F3233" s="7" t="str">
        <f>IFERROR(__xludf.DUMMYFUNCTION("""COMPUTED_VALUE"""),"V-Presentation")</f>
        <v>V-Presentation</v>
      </c>
      <c r="G3233" s="7" t="str">
        <f>IFERROR(__xludf.DUMMYFUNCTION("""COMPUTED_VALUE"""),"Virtual/Gather")</f>
        <v>Virtual/Gather</v>
      </c>
      <c r="H3233" s="7" t="str">
        <f>IFERROR(__xludf.DUMMYFUNCTION("""COMPUTED_VALUE"""),"Zoom")</f>
        <v>Zoom</v>
      </c>
      <c r="I3233" s="7" t="str">
        <f>IFERROR(__xludf.DUMMYFUNCTION("""COMPUTED_VALUE"""),"Session 10: V-Presenations")</f>
        <v>Session 10: V-Presenations</v>
      </c>
      <c r="J3233" s="7" t="str">
        <f>IFERROR(__xludf.DUMMYFUNCTION("""COMPUTED_VALUE"""),"Virtual Presentations 3")</f>
        <v>Virtual Presentations 3</v>
      </c>
      <c r="K3233" s="7"/>
      <c r="L3233" s="8">
        <f>IFERROR(__xludf.DUMMYFUNCTION("""COMPUTED_VALUE"""),45867.0)</f>
        <v>45867</v>
      </c>
      <c r="M3233" s="7" t="str">
        <f>IFERROR(__xludf.DUMMYFUNCTION("""COMPUTED_VALUE"""),"16:00-17:30")</f>
        <v>16:00-17:30</v>
      </c>
      <c r="N3233" s="7"/>
    </row>
    <row r="3234">
      <c r="A3234" s="7" t="str">
        <f>IFERROR(__xludf.DUMMYFUNCTION("""COMPUTED_VALUE"""),"5113-MAIN")</f>
        <v>5113-MAIN</v>
      </c>
      <c r="B3234" s="7" t="str">
        <f>IFERROR(__xludf.DUMMYFUNCTION("""COMPUTED_VALUE"""),"Enhancing User-Controlled Text-to-Image Generation with Layout-Aware Personalization")</f>
        <v>Enhancing User-Controlled Text-to-Image Generation with Layout-Aware Personalization</v>
      </c>
      <c r="C3234" s="7" t="str">
        <f>IFERROR(__xludf.DUMMYFUNCTION("""COMPUTED_VALUE"""),"Recent diffusion-based models have advanced text-to-image synthesis, yet struggle to preserve fine visual details and enable precise spatial control in personalized content. We propose **LayoutFlex**, a novel framework that combines a Perspective-Adaptive"&amp;" Feature Extraction system with a Spatial Control Mechanism. Our approach captures fine-grained details via cross-modal representation learning and attention refinement, while enabling precise subject placement through coordinate-aware attention and regio"&amp;"n-constrained optimization. Experiments show LayoutFlex outperforms prior methods in visual fidelity (DINO $\uparrow$10.8\%) and spatial accuracy (AP 43.1$\pm$1.2 vs. 19.3). LayoutFlex supports both single and multi-subject personalization, offering a pow"&amp;"erful solution for controllable and coherent image generation in creative and interactive applications.")</f>
        <v>Recent diffusion-based models have advanced text-to-image synthesis, yet struggle to preserve fine visual details and enable precise spatial control in personalized content. We propose **LayoutFlex**, a novel framework that combines a Perspective-Adaptive Feature Extraction system with a Spatial Control Mechanism. Our approach captures fine-grained details via cross-modal representation learning and attention refinement, while enabling precise subject placement through coordinate-aware attention and region-constrained optimization. Experiments show LayoutFlex outperforms prior methods in visual fidelity (DINO $\uparrow$10.8\%) and spatial accuracy (AP 43.1$\pm$1.2 vs. 19.3). LayoutFlex supports both single and multi-subject personalization, offering a powerful solution for controllable and coherent image generation in creative and interactive applications.</v>
      </c>
      <c r="D3234" s="7" t="str">
        <f>IFERROR(__xludf.DUMMYFUNCTION("""COMPUTED_VALUE"""),"Hongliang Luo")</f>
        <v>Hongliang Luo</v>
      </c>
      <c r="E3234" s="7" t="str">
        <f>IFERROR(__xludf.DUMMYFUNCTION("""COMPUTED_VALUE"""),"Pull From Proceedings")</f>
        <v>Pull From Proceedings</v>
      </c>
      <c r="F3234" s="7" t="str">
        <f>IFERROR(__xludf.DUMMYFUNCTION("""COMPUTED_VALUE"""),"V-Presentation")</f>
        <v>V-Presentation</v>
      </c>
      <c r="G3234" s="7" t="str">
        <f>IFERROR(__xludf.DUMMYFUNCTION("""COMPUTED_VALUE"""),"Virtual/Gather")</f>
        <v>Virtual/Gather</v>
      </c>
      <c r="H3234" s="7" t="str">
        <f>IFERROR(__xludf.DUMMYFUNCTION("""COMPUTED_VALUE"""),"Zoom")</f>
        <v>Zoom</v>
      </c>
      <c r="I3234" s="7" t="str">
        <f>IFERROR(__xludf.DUMMYFUNCTION("""COMPUTED_VALUE"""),"V-TBD")</f>
        <v>V-TBD</v>
      </c>
      <c r="J3234" s="7" t="str">
        <f>IFERROR(__xludf.DUMMYFUNCTION("""COMPUTED_VALUE"""),"please complete survey https://acl-2025-virtual-presentation-time.paperform.co/")</f>
        <v>please complete survey https://acl-2025-virtual-presentation-time.paperform.co/</v>
      </c>
      <c r="K3234" s="7"/>
      <c r="L3234" s="8"/>
      <c r="M3234" s="7"/>
      <c r="N3234" s="7"/>
    </row>
    <row r="3235">
      <c r="A3235" s="7" t="str">
        <f>IFERROR(__xludf.DUMMYFUNCTION("""COMPUTED_VALUE"""),"5124-MAIN")</f>
        <v>5124-MAIN</v>
      </c>
      <c r="B3235" s="7" t="str">
        <f>IFERROR(__xludf.DUMMYFUNCTION("""COMPUTED_VALUE"""),"LETS-C: Leveraging Text Embedding for Time Series Classification")</f>
        <v>LETS-C: Leveraging Text Embedding for Time Series Classification</v>
      </c>
      <c r="C3235" s="7" t="str">
        <f>IFERROR(__xludf.DUMMYFUNCTION("""COMPUTED_VALUE"""),"Recent advancements in language modeling have shown promising results when applied to time series data. In particular, fine-tuning pre-trained large language models (LLMs) for time series classification tasks has achieved state-of-the-art (SOTA) performan"&amp;"ce on standard benchmarks. However, these LLM-based models have a significant drawback due to the large model size, with the number of trainable parameters in the millions. In this paper, we propose an alternative approach to leveraging the success of lan"&amp;"guage modeling in the time series domain. Instead of fine-tuning LLMs, we utilize a text embedding model to embed time series and then pair the embeddings with a simple classification head composed of convolutional neural networks (CNN) and multilayer per"&amp;"ceptron (MLP). We conducted extensive experiments on a well-established time series classification benchmark. We demonstrated LETS-C not only outperforms the current SOTA in classification accuracy but also offers a lightweight solution, using only 14.5% "&amp;"of the trainable parameters on average compared to the SOTA model. Our findings suggest that leveraging text embedding models to encode time series data, combined with a simple yet effective classification head, offers a promising direction for achieving "&amp;"high-performance time series classification while maintaining a lightweight model architecture.")</f>
        <v>Recent advancements in language modeling have shown promising results when applied to time series data. In particular, fine-tuning pre-trained large language models (LLMs) for time series classification tasks has achieved state-of-the-art (SOTA) performance on standard benchmarks. However, these LLM-based models have a significant drawback due to the large model size, with the number of trainable parameters in the millions. In this paper, we propose an alternative approach to leveraging the success of language modeling in the time series domain. Instead of fine-tuning LLMs, we utilize a text embedding model to embed time series and then pair the embeddings with a simple classification head composed of convolutional neural networks (CNN) and multilayer perceptron (MLP). We conducted extensive experiments on a well-established time series classification benchmark. We demonstrated LETS-C not only outperforms the current SOTA in classification accuracy but also offers a lightweight solution, using only 14.5% of the trainable parameters on average compared to the SOTA model. Our findings suggest that leveraging text embedding models to encode time series data, combined with a simple yet effective classification head, offers a promising direction for achieving high-performance time series classification while maintaining a lightweight model architecture.</v>
      </c>
      <c r="D3235" s="7" t="str">
        <f>IFERROR(__xludf.DUMMYFUNCTION("""COMPUTED_VALUE"""),"Rachneet Kaur")</f>
        <v>Rachneet Kaur</v>
      </c>
      <c r="E3235" s="7" t="str">
        <f>IFERROR(__xludf.DUMMYFUNCTION("""COMPUTED_VALUE"""),"Yes")</f>
        <v>Yes</v>
      </c>
      <c r="F3235" s="7" t="str">
        <f>IFERROR(__xludf.DUMMYFUNCTION("""COMPUTED_VALUE"""),"V-Presentation")</f>
        <v>V-Presentation</v>
      </c>
      <c r="G3235" s="7" t="str">
        <f>IFERROR(__xludf.DUMMYFUNCTION("""COMPUTED_VALUE"""),"Virtual/Gather")</f>
        <v>Virtual/Gather</v>
      </c>
      <c r="H3235" s="7" t="str">
        <f>IFERROR(__xludf.DUMMYFUNCTION("""COMPUTED_VALUE"""),"Zoom")</f>
        <v>Zoom</v>
      </c>
      <c r="I3235" s="7" t="str">
        <f>IFERROR(__xludf.DUMMYFUNCTION("""COMPUTED_VALUE"""),"Session 12: V-Presentations")</f>
        <v>Session 12: V-Presentations</v>
      </c>
      <c r="J3235" s="7" t="str">
        <f>IFERROR(__xludf.DUMMYFUNCTION("""COMPUTED_VALUE"""),"Virtual Presentations 4")</f>
        <v>Virtual Presentations 4</v>
      </c>
      <c r="K3235" s="7"/>
      <c r="L3235" s="8">
        <f>IFERROR(__xludf.DUMMYFUNCTION("""COMPUTED_VALUE"""),45868.0)</f>
        <v>45868</v>
      </c>
      <c r="M3235" s="7" t="str">
        <f>IFERROR(__xludf.DUMMYFUNCTION("""COMPUTED_VALUE"""),"11:00-12:30")</f>
        <v>11:00-12:30</v>
      </c>
      <c r="N3235" s="7"/>
    </row>
    <row r="3236">
      <c r="A3236" s="7" t="str">
        <f>IFERROR(__xludf.DUMMYFUNCTION("""COMPUTED_VALUE"""),"5130-MAIN")</f>
        <v>5130-MAIN</v>
      </c>
      <c r="B3236" s="7" t="str">
        <f>IFERROR(__xludf.DUMMYFUNCTION("""COMPUTED_VALUE"""),"Benchmarking Video-Language Models for Embodied Motion Cognition in Urban Open-Ended Spaces")</f>
        <v>Benchmarking Video-Language Models for Embodied Motion Cognition in Urban Open-Ended Spaces</v>
      </c>
      <c r="C3236" s="7" t="str">
        <f>IFERROR(__xludf.DUMMYFUNCTION("""COMPUTED_VALUE"""),"Large multimodal models exhibit remarkable intelligence, yet their embodied cognitive abilities during motion in open-ended urban aerial spaces remain to be explored. We introduce a benchmark to evaluate whether video-large language models (Video-LLMs) ca"&amp;"n naturally process continuous first-person visual observations like humans, enabling recall, perception, reasoning, and navigation. We have manually control drones to collect 3D embodied motion video data from real-world cities and simulated environments"&amp;", resulting in 1.5k video clips. Then we design a pipeline to generate 5.2k multiple-choice questions. Evaluations of 17 widely-used Video-LLMs reveal current limitations in urban embodied cognition. Correlation analysis provides insight into the relation"&amp;"ships between different tasks, showing that causal reasoning has a strong correlation with recall, perception, and navigation, while the abilities for counterfactual and associative reasoning exhibit lower correlation with other tasks. We also validate th"&amp;"e potential for Sim-to-Real transfer in urban embodiment through fine-tuning.")</f>
        <v>Large multimodal models exhibit remarkable intelligence, yet their embodied cognitive abilities during motion in open-ended urban aerial spaces remain to be explored. We introduce a benchmark to evaluate whether video-large language models (Video-LLMs) can naturally process continuous first-person visual observations like humans, enabling recall, perception, reasoning, and navigation. We have manually control drones to collect 3D embodied motion video data from real-world cities and simulated environments, resulting in 1.5k video clips. Then we design a pipeline to generate 5.2k multiple-choice questions. Evaluations of 17 widely-used Video-LLMs reveal current limitations in urban embodied cognition. Correlation analysis provides insight into the relationships between different tasks, showing that causal reasoning has a strong correlation with recall, perception, and navigation, while the abilities for counterfactual and associative reasoning exhibit lower correlation with other tasks. We also validate the potential for Sim-to-Real transfer in urban embodiment through fine-tuning.</v>
      </c>
      <c r="D3236" s="7" t="str">
        <f>IFERROR(__xludf.DUMMYFUNCTION("""COMPUTED_VALUE"""),"Baining Zhao")</f>
        <v>Baining Zhao</v>
      </c>
      <c r="E3236" s="7" t="str">
        <f>IFERROR(__xludf.DUMMYFUNCTION("""COMPUTED_VALUE"""),"Yes")</f>
        <v>Yes</v>
      </c>
      <c r="F3236" s="7" t="str">
        <f>IFERROR(__xludf.DUMMYFUNCTION("""COMPUTED_VALUE"""),"IP-Oral")</f>
        <v>IP-Oral</v>
      </c>
      <c r="G3236" s="7" t="str">
        <f>IFERROR(__xludf.DUMMYFUNCTION("""COMPUTED_VALUE"""),"In-Person")</f>
        <v>In-Person</v>
      </c>
      <c r="H3236" s="7" t="str">
        <f>IFERROR(__xludf.DUMMYFUNCTION("""COMPUTED_VALUE"""),"Room 1.86")</f>
        <v>Room 1.86</v>
      </c>
      <c r="I3236" s="7" t="str">
        <f>IFERROR(__xludf.DUMMYFUNCTION("""COMPUTED_VALUE"""),"Session 11: IP-Orals ")</f>
        <v>Session 11: IP-Orals </v>
      </c>
      <c r="J3236" s="7" t="str">
        <f>IFERROR(__xludf.DUMMYFUNCTION("""COMPUTED_VALUE"""),"Question Answering ")</f>
        <v>Question Answering </v>
      </c>
      <c r="K3236" s="7"/>
      <c r="L3236" s="8">
        <f>IFERROR(__xludf.DUMMYFUNCTION("""COMPUTED_VALUE"""),45868.0)</f>
        <v>45868</v>
      </c>
      <c r="M3236" s="7" t="str">
        <f>IFERROR(__xludf.DUMMYFUNCTION("""COMPUTED_VALUE"""),"09:00-10:30")</f>
        <v>09:00-10:30</v>
      </c>
      <c r="N3236" s="7">
        <f>IFERROR(__xludf.DUMMYFUNCTION("""COMPUTED_VALUE"""),8.0)</f>
        <v>8</v>
      </c>
    </row>
    <row r="3237">
      <c r="A3237" s="7" t="str">
        <f>IFERROR(__xludf.DUMMYFUNCTION("""COMPUTED_VALUE"""),"5131-MAIN")</f>
        <v>5131-MAIN</v>
      </c>
      <c r="B3237" s="7" t="str">
        <f>IFERROR(__xludf.DUMMYFUNCTION("""COMPUTED_VALUE"""),"HELIOS: Harmonizing Early Fusion, Late Fusion, and LLM Reasoning for Multi-Granular Table-Text Retrieval")</f>
        <v>HELIOS: Harmonizing Early Fusion, Late Fusion, and LLM Reasoning for Multi-Granular Table-Text Retrieval</v>
      </c>
      <c r="C3237" s="7" t="str">
        <f>IFERROR(__xludf.DUMMYFUNCTION("""COMPUTED_VALUE"""),"Table-text retrieval aims to retrieve relevant tables and text to support open-domain question answering. Existing studies use either early or late fusion, but face limitations. Early fusion pre-aligns a table row with its associated passages, forming ``s"&amp;"tars,"" which often include irrelevant contexts and miss query-dependent relationships. Late fusion retrieves individual nodes, dynamically aligning them, but it risks missing relevant contexts. Both approaches also struggle with advanced reasoning tasks,"&amp;" such as column-wise aggregation and multi-hop reasoning. To address these issues, we propose HELIOS, which combines the strengths of both approaches. First, the edge-based bipartite subgraph retrieval identifies finer-grained edges between table segments"&amp;" and passages, effectively avoiding the inclusion of irrelevant contexts. Then, the query-relevant node expansion identifies the most promising nodes, dynamically retrieving relevant edges to grow the bipartite subgraph, minimizing the risk of missing imp"&amp;"ortant contexts. Lastly, the star-based LLM refinement performs logical inference at the star graph level rather than the bipartite subgraph, supporting advanced reasoning tasks. Experimental results show that HELIOS outperforms state-of-the-art models wi"&amp;"th a significant improvement up to 42.6% and 39.9% in recall and nDCG, respectively, on the OTT-QA benchmark.")</f>
        <v>Table-text retrieval aims to retrieve relevant tables and text to support open-domain question answering. Existing studies use either early or late fusion, but face limitations. Early fusion pre-aligns a table row with its associated passages, forming ``stars," which often include irrelevant contexts and miss query-dependent relationships. Late fusion retrieves individual nodes, dynamically aligning them, but it risks missing relevant contexts. Both approaches also struggle with advanced reasoning tasks, such as column-wise aggregation and multi-hop reasoning. To address these issues, we propose HELIOS, which combines the strengths of both approaches. First, the edge-based bipartite subgraph retrieval identifies finer-grained edges between table segments and passages, effectively avoiding the inclusion of irrelevant contexts. Then, the query-relevant node expansion identifies the most promising nodes, dynamically retrieving relevant edges to grow the bipartite subgraph, minimizing the risk of missing important contexts. Lastly, the star-based LLM refinement performs logical inference at the star graph level rather than the bipartite subgraph, supporting advanced reasoning tasks. Experimental results show that HELIOS outperforms state-of-the-art models with a significant improvement up to 42.6% and 39.9% in recall and nDCG, respectively, on the OTT-QA benchmark.</v>
      </c>
      <c r="D3237" s="7" t="str">
        <f>IFERROR(__xludf.DUMMYFUNCTION("""COMPUTED_VALUE"""),"Sungho Park")</f>
        <v>Sungho Park</v>
      </c>
      <c r="E3237" s="7" t="str">
        <f>IFERROR(__xludf.DUMMYFUNCTION("""COMPUTED_VALUE"""),"Yes")</f>
        <v>Yes</v>
      </c>
      <c r="F3237" s="7" t="str">
        <f>IFERROR(__xludf.DUMMYFUNCTION("""COMPUTED_VALUE"""),"IP-Poster")</f>
        <v>IP-Poster</v>
      </c>
      <c r="G3237" s="7" t="str">
        <f>IFERROR(__xludf.DUMMYFUNCTION("""COMPUTED_VALUE"""),"In-Person")</f>
        <v>In-Person</v>
      </c>
      <c r="H3237" s="7" t="str">
        <f>IFERROR(__xludf.DUMMYFUNCTION("""COMPUTED_VALUE"""),"Hall 4/5")</f>
        <v>Hall 4/5</v>
      </c>
      <c r="I3237" s="7" t="str">
        <f>IFERROR(__xludf.DUMMYFUNCTION("""COMPUTED_VALUE"""),"Session 12: IP-Posters")</f>
        <v>Session 12: IP-Posters</v>
      </c>
      <c r="J3237" s="7" t="str">
        <f>IFERROR(__xludf.DUMMYFUNCTION("""COMPUTED_VALUE"""),"Poster Session 4")</f>
        <v>Poster Session 4</v>
      </c>
      <c r="K3237" s="7"/>
      <c r="L3237" s="8">
        <f>IFERROR(__xludf.DUMMYFUNCTION("""COMPUTED_VALUE"""),45868.0)</f>
        <v>45868</v>
      </c>
      <c r="M3237" s="7" t="str">
        <f>IFERROR(__xludf.DUMMYFUNCTION("""COMPUTED_VALUE"""),"11:00-12:30")</f>
        <v>11:00-12:30</v>
      </c>
      <c r="N3237" s="7"/>
    </row>
    <row r="3238">
      <c r="A3238" s="7" t="str">
        <f>IFERROR(__xludf.DUMMYFUNCTION("""COMPUTED_VALUE"""),"5132-MAIN")</f>
        <v>5132-MAIN</v>
      </c>
      <c r="B3238" s="7" t="str">
        <f>IFERROR(__xludf.DUMMYFUNCTION("""COMPUTED_VALUE"""),"ONEBench to Test Them All: Sample-Level Benchmarking Over Open-Ended Capabilities")</f>
        <v>ONEBench to Test Them All: Sample-Level Benchmarking Over Open-Ended Capabilities</v>
      </c>
      <c r="C3238" s="7" t="str">
        <f>IFERROR(__xludf.DUMMYFUNCTION("""COMPUTED_VALUE"""),"Traditional fixed test datasets fall short in evaluating the open-ended capabilities of foundation models. To address this, we propose ONEBench (OpeN-Ended Benchmarking), a new paradigm that consolidates individual evaluation datasets into a unified, ever"&amp;"-expanding sample pool. ONEBench enables custom benchmarks for specific capabilities while reusing and aggregating samples, mitigating overfitting and dataset bias for broader capability assessment. It reframes model evaluation as selecting and aggregatin"&amp;"g sample-level tests.
Transitioning from task-specific benchmarks to ONEBench introduces two challenges: heterogeneity (aggregating diverse metrics) and incompleteness(comparing models tested on different data subsets). To address these, we propose an ag"&amp;"gregation algorithm that ensures identifiability (asymptotically recovering ground-truth scores) and rapid convergence, enabling accurate model comparisons with relatively little data. On homogenous datasets, our algorithm produces rankings that highly co"&amp;"rrelate with average scores. Moreover, it remains robust to over 95% missing measurements, reducing evaluation costs by up to 20x with minimal impact on rankings. We introduce ONEBench-LLM for language models and ONEBench-LMM for vision-language models, u"&amp;"nifying evaluations across these domains, and enabling targeted model testing across diverse capabilities.")</f>
        <v>Traditional fixed test datasets fall short in evaluating the open-ended capabilities of foundation models. To address this, we propose ONEBench (OpeN-Ended Benchmarking), a new paradigm that consolidates individual evaluation datasets into a unified, ever-expanding sample pool. ONEBench enables custom benchmarks for specific capabilities while reusing and aggregating samples, mitigating overfitting and dataset bias for broader capability assessment. It reframes model evaluation as selecting and aggregating sample-level tests.
Transitioning from task-specific benchmarks to ONEBench introduces two challenges: heterogeneity (aggregating diverse metrics) and incompleteness(comparing models tested on different data subsets). To address these, we propose an aggregation algorithm that ensures identifiability (asymptotically recovering ground-truth scores) and rapid convergence, enabling accurate model comparisons with relatively little data. On homogenous datasets, our algorithm produces rankings that highly correlate with average scores. Moreover, it remains robust to over 95% missing measurements, reducing evaluation costs by up to 20x with minimal impact on rankings. We introduce ONEBench-LLM for language models and ONEBench-LMM for vision-language models, unifying evaluations across these domains, and enabling targeted model testing across diverse capabilities.</v>
      </c>
      <c r="D3238" s="7" t="str">
        <f>IFERROR(__xludf.DUMMYFUNCTION("""COMPUTED_VALUE"""),"Adhiraj Ghosh
Sebastian Dziadzio")</f>
        <v>Adhiraj Ghosh
Sebastian Dziadzio</v>
      </c>
      <c r="E3238" s="7" t="str">
        <f>IFERROR(__xludf.DUMMYFUNCTION("""COMPUTED_VALUE"""),"Yes")</f>
        <v>Yes</v>
      </c>
      <c r="F3238" s="7" t="str">
        <f>IFERROR(__xludf.DUMMYFUNCTION("""COMPUTED_VALUE"""),"IP-Poster")</f>
        <v>IP-Poster</v>
      </c>
      <c r="G3238" s="7" t="str">
        <f>IFERROR(__xludf.DUMMYFUNCTION("""COMPUTED_VALUE"""),"In-Person")</f>
        <v>In-Person</v>
      </c>
      <c r="H3238" s="7" t="str">
        <f>IFERROR(__xludf.DUMMYFUNCTION("""COMPUTED_VALUE"""),"Hall 4/5")</f>
        <v>Hall 4/5</v>
      </c>
      <c r="I3238" s="7" t="str">
        <f>IFERROR(__xludf.DUMMYFUNCTION("""COMPUTED_VALUE"""),"Session 12: IP-Posters")</f>
        <v>Session 12: IP-Posters</v>
      </c>
      <c r="J3238" s="7" t="str">
        <f>IFERROR(__xludf.DUMMYFUNCTION("""COMPUTED_VALUE"""),"Poster Session 4")</f>
        <v>Poster Session 4</v>
      </c>
      <c r="K3238" s="7"/>
      <c r="L3238" s="8">
        <f>IFERROR(__xludf.DUMMYFUNCTION("""COMPUTED_VALUE"""),45868.0)</f>
        <v>45868</v>
      </c>
      <c r="M3238" s="7" t="str">
        <f>IFERROR(__xludf.DUMMYFUNCTION("""COMPUTED_VALUE"""),"11:00-12:30")</f>
        <v>11:00-12:30</v>
      </c>
      <c r="N3238" s="7"/>
    </row>
    <row r="3239">
      <c r="A3239" s="7" t="str">
        <f>IFERROR(__xludf.DUMMYFUNCTION("""COMPUTED_VALUE"""),"5133-MAIN")</f>
        <v>5133-MAIN</v>
      </c>
      <c r="B3239" s="7" t="str">
        <f>IFERROR(__xludf.DUMMYFUNCTION("""COMPUTED_VALUE"""),"La Leaderboard: A Large Language Model Leaderboard for Spanish Varieties and Languages of Spain and Latin America")</f>
        <v>La Leaderboard: A Large Language Model Leaderboard for Spanish Varieties and Languages of Spain and Latin America</v>
      </c>
      <c r="C3239" s="7" t="str">
        <f>IFERROR(__xludf.DUMMYFUNCTION("""COMPUTED_VALUE"""),"Leaderboards showcase the current capabilities and limitations of Large Language Models (LLMs). To motivate the development of LLMs that represent the linguistic and cultural diversity of the Spanish-speaking community, we present La Leaderboard, the firs"&amp;"t open-source leaderboard to evaluate generative LLMs in languages and language varieties of Spain and Latin America. La Leaderboard is a community-driven project that aims to establish an evaluation standard for everyone interested in developing LLMs for"&amp;" the Spanish-speaking community. This initial version combines 66 datasets in Catalan, Basque, Galician, and different Spanish varieties, showcasing the evaluation results of 50 models. To encourage community-driven development of leaderboards in other la"&amp;"nguages, we explain our methodology, including guidance on selecting the most suitable evaluation setup for each downstream task. In particular, we provide a rationale for using fewer few-shot examples than typically found in the literature, aiming to red"&amp;"uce environmental impact and facilitate access to reproducible results for a broader research community.")</f>
        <v>Leaderboards showcase the current capabilities and limitations of Large Language Models (LLMs). To motivate the development of LLMs that represent the linguistic and cultural diversity of the Spanish-speaking community, we present La Leaderboard, the first open-source leaderboard to evaluate generative LLMs in languages and language varieties of Spain and Latin America. La Leaderboard is a community-driven project that aims to establish an evaluation standard for everyone interested in developing LLMs for the Spanish-speaking community. This initial version combines 66 datasets in Catalan, Basque, Galician, and different Spanish varieties, showcasing the evaluation results of 50 models. To encourage community-driven development of leaderboards in other languages, we explain our methodology, including guidance on selecting the most suitable evaluation setup for each downstream task. In particular, we provide a rationale for using fewer few-shot examples than typically found in the literature, aiming to reduce environmental impact and facilitate access to reproducible results for a broader research community.</v>
      </c>
      <c r="D3239" s="7" t="str">
        <f>IFERROR(__xludf.DUMMYFUNCTION("""COMPUTED_VALUE"""),"María Grandury")</f>
        <v>María Grandury</v>
      </c>
      <c r="E3239" s="7" t="str">
        <f>IFERROR(__xludf.DUMMYFUNCTION("""COMPUTED_VALUE"""),"Yes")</f>
        <v>Yes</v>
      </c>
      <c r="F3239" s="7" t="str">
        <f>IFERROR(__xludf.DUMMYFUNCTION("""COMPUTED_VALUE"""),"IP-Poster")</f>
        <v>IP-Poster</v>
      </c>
      <c r="G3239" s="7" t="str">
        <f>IFERROR(__xludf.DUMMYFUNCTION("""COMPUTED_VALUE"""),"In-Person")</f>
        <v>In-Person</v>
      </c>
      <c r="H3239" s="7" t="str">
        <f>IFERROR(__xludf.DUMMYFUNCTION("""COMPUTED_VALUE"""),"Hall 4/5")</f>
        <v>Hall 4/5</v>
      </c>
      <c r="I3239" s="7" t="str">
        <f>IFERROR(__xludf.DUMMYFUNCTION("""COMPUTED_VALUE"""),"Session 12: IP-Posters")</f>
        <v>Session 12: IP-Posters</v>
      </c>
      <c r="J3239" s="7" t="str">
        <f>IFERROR(__xludf.DUMMYFUNCTION("""COMPUTED_VALUE"""),"Poster Session 4")</f>
        <v>Poster Session 4</v>
      </c>
      <c r="K3239" s="7"/>
      <c r="L3239" s="8">
        <f>IFERROR(__xludf.DUMMYFUNCTION("""COMPUTED_VALUE"""),45868.0)</f>
        <v>45868</v>
      </c>
      <c r="M3239" s="7" t="str">
        <f>IFERROR(__xludf.DUMMYFUNCTION("""COMPUTED_VALUE"""),"11:00-12:30")</f>
        <v>11:00-12:30</v>
      </c>
      <c r="N3239" s="7"/>
    </row>
    <row r="3240">
      <c r="A3240" s="7" t="str">
        <f>IFERROR(__xludf.DUMMYFUNCTION("""COMPUTED_VALUE"""),"5139-MAIN")</f>
        <v>5139-MAIN</v>
      </c>
      <c r="B3240" s="7" t="str">
        <f>IFERROR(__xludf.DUMMYFUNCTION("""COMPUTED_VALUE"""),"Navigating the Prompt Space: Supervision Matters in CoT When Reasoning Misleads")</f>
        <v>Navigating the Prompt Space: Supervision Matters in CoT When Reasoning Misleads</v>
      </c>
      <c r="C3240" s="7" t="str">
        <f>IFERROR(__xludf.DUMMYFUNCTION("""COMPUTED_VALUE"""),"Despite the remarkable successes of Large Language Models (LLMs), the underlying Transformer architecture has inherent limitations in handling complex reasoning tasks. {Chain-of-Thought} (CoT) prompting has emerged as a practical workaround, but most CoT-"&amp;"based methods rely on a single generic prompt like “think step by step,” with no task-specific adaptation. These approaches expect the model to discover an effective reasoning path on its own, forcing it to search through a vast prompt space. 
In contrast"&amp;", many work has explored task-specific prompt designs to boost performance. However, these designs are typically developed through trial and error, lacking a theoretical ground. As a result, prompt engineering remains largely ad hoc and unguided.
In this "&amp;"paper, we provide a theoretical framework that explains why some prompts succeed while others fail. We show that prompts function as selectors, extracting specific task-relevant information from the model’s full hidden state during CoT reasoning. Each pro"&amp;"mpt defines a unique trajectory through the answer space, and the choice of this trajectory is crucial for task performance and future navigation in the answer space.
We analyze the complexity of finding optimal prompts and the size of the prompt space fo"&amp;"r a given task. Our theory reveals principles behind effective prompt design and shows that naive CoT—using model-self-guided prompt like “think step by step” —can severely hinder performance. Showing that optimal prompt search can lead to over a 50% impr"&amp;"ovement on reasoning tasks through experiments, our work provide a theoretical foundation for prompt engineering.")</f>
        <v>Despite the remarkable successes of Large Language Models (LLMs), the underlying Transformer architecture has inherent limitations in handling complex reasoning tasks. {Chain-of-Thought} (CoT) prompting has emerged as a practical workaround, but most CoT-based methods rely on a single generic prompt like “think step by step,” with no task-specific adaptation. These approaches expect the model to discover an effective reasoning path on its own, forcing it to search through a vast prompt space. 
In contrast, many work has explored task-specific prompt designs to boost performance. However, these designs are typically developed through trial and error, lacking a theoretical ground. As a result, prompt engineering remains largely ad hoc and unguided.
In this paper, we provide a theoretical framework that explains why some prompts succeed while others fail. We show that prompts function as selectors, extracting specific task-relevant information from the model’s full hidden state during CoT reasoning. Each prompt defines a unique trajectory through the answer space, and the choice of this trajectory is crucial for task performance and future navigation in the answer space.
We analyze the complexity of finding optimal prompts and the size of the prompt space for a given task. Our theory reveals principles behind effective prompt design and shows that naive CoT—using model-self-guided prompt like “think step by step” —can severely hinder performance. Showing that optimal prompt search can lead to over a 50% improvement on reasoning tasks through experiments, our work provide a theoretical foundation for prompt engineering.</v>
      </c>
      <c r="D3240" s="7" t="str">
        <f>IFERROR(__xludf.DUMMYFUNCTION("""COMPUTED_VALUE"""),"Juntai Cao")</f>
        <v>Juntai Cao</v>
      </c>
      <c r="E3240" s="7" t="str">
        <f>IFERROR(__xludf.DUMMYFUNCTION("""COMPUTED_VALUE"""),"Yes")</f>
        <v>Yes</v>
      </c>
      <c r="F3240" s="7" t="str">
        <f>IFERROR(__xludf.DUMMYFUNCTION("""COMPUTED_VALUE"""),"V-Presentation")</f>
        <v>V-Presentation</v>
      </c>
      <c r="G3240" s="7" t="str">
        <f>IFERROR(__xludf.DUMMYFUNCTION("""COMPUTED_VALUE"""),"Virtual/Gather")</f>
        <v>Virtual/Gather</v>
      </c>
      <c r="H3240" s="7" t="str">
        <f>IFERROR(__xludf.DUMMYFUNCTION("""COMPUTED_VALUE"""),"Zoom")</f>
        <v>Zoom</v>
      </c>
      <c r="I3240" s="7" t="str">
        <f>IFERROR(__xludf.DUMMYFUNCTION("""COMPUTED_VALUE"""),"Session 7: V--Presentations ")</f>
        <v>Session 7: V--Presentations </v>
      </c>
      <c r="J3240" s="7" t="str">
        <f>IFERROR(__xludf.DUMMYFUNCTION("""COMPUTED_VALUE"""),"Virtual Presentations 2")</f>
        <v>Virtual Presentations 2</v>
      </c>
      <c r="K3240" s="7"/>
      <c r="L3240" s="8"/>
      <c r="M3240" s="7" t="str">
        <f>IFERROR(__xludf.DUMMYFUNCTION("""COMPUTED_VALUE"""),"10:30-12:00")</f>
        <v>10:30-12:00</v>
      </c>
      <c r="N3240" s="7"/>
    </row>
    <row r="3241">
      <c r="A3241" s="7" t="str">
        <f>IFERROR(__xludf.DUMMYFUNCTION("""COMPUTED_VALUE"""),"5141-MAIN")</f>
        <v>5141-MAIN</v>
      </c>
      <c r="B3241" s="7" t="str">
        <f>IFERROR(__xludf.DUMMYFUNCTION("""COMPUTED_VALUE"""),"Energy Considerations of Large Language Model Inference and Efficiency Optimizations")</f>
        <v>Energy Considerations of Large Language Model Inference and Efficiency Optimizations</v>
      </c>
      <c r="C3241" s="7" t="str">
        <f>IFERROR(__xludf.DUMMYFUNCTION("""COMPUTED_VALUE"""),"As large language models (LLMs) scale in size and adoption, their computational and environmental costs continue to rise.  Prior benchmarking efforts have primarily focused on latency reduction in idealized settings, often overlooking the diverse real-wor"&amp;"ld inference workloads that shape energy use. In this work, we systematically analyze the energy implications of common inference efficiency optimizations across diverse Natural Language Processing (NLP) and generative Artificial Intelligence (AI) workloa"&amp;"ds, including conversational AI and code generation. 
We introduce a modeling approach that approximates real-world LLM workflows through a binning strategy for input-output token distributions and batch size variations. Our empirical analysis spans softw"&amp;"are frameworks, decoding strategies, GPU architectures, online and offline serving settings, and model parallelism configurations. 
We show that the effectiveness of inference optimizations is *highly sensitive to workload geometry, software stack, and ha"&amp;"rdware accelerators*, demonstrating that naive energy estimates based on FLOPs or theoretical GPU utilization significantly underestimate real-world energy consumption.
Our findings reveal that the proper application of relevant inference efficiency optim"&amp;"izations can reduce total energy use by up to **73%** from unoptimized baselines. These insights provide a foundation for sustainable LLM deployment and inform energy-efficient design strategies for future AI infrastructure.")</f>
        <v>As large language models (LLMs) scale in size and adoption, their computational and environmental costs continue to rise.  Prior benchmarking efforts have primarily focused on latency reduction in idealized settings, often overlooking the diverse real-world inference workloads that shape energy use. In this work, we systematically analyze the energy implications of common inference efficiency optimizations across diverse Natural Language Processing (NLP) and generative Artificial Intelligence (AI) workloads, including conversational AI and code generation. 
We introduce a modeling approach that approximates real-world LLM workflows through a binning strategy for input-output token distributions and batch size variations. Our empirical analysis spans software frameworks, decoding strategies, GPU architectures, online and offline serving settings, and model parallelism configurations. 
We show that the effectiveness of inference optimizations is *highly sensitive to workload geometry, software stack, and hardware accelerators*, demonstrating that naive energy estimates based on FLOPs or theoretical GPU utilization significantly underestimate real-world energy consumption.
Our findings reveal that the proper application of relevant inference efficiency optimizations can reduce total energy use by up to **73%** from unoptimized baselines. These insights provide a foundation for sustainable LLM deployment and inform energy-efficient design strategies for future AI infrastructure.</v>
      </c>
      <c r="D3241" s="7" t="str">
        <f>IFERROR(__xludf.DUMMYFUNCTION("""COMPUTED_VALUE"""),"Vashisth Tiwari")</f>
        <v>Vashisth Tiwari</v>
      </c>
      <c r="E3241" s="7" t="str">
        <f>IFERROR(__xludf.DUMMYFUNCTION("""COMPUTED_VALUE"""),"Yes")</f>
        <v>Yes</v>
      </c>
      <c r="F3241" s="7" t="str">
        <f>IFERROR(__xludf.DUMMYFUNCTION("""COMPUTED_VALUE"""),"V-Presentation")</f>
        <v>V-Presentation</v>
      </c>
      <c r="G3241" s="7" t="str">
        <f>IFERROR(__xludf.DUMMYFUNCTION("""COMPUTED_VALUE"""),"Virtual/Gather")</f>
        <v>Virtual/Gather</v>
      </c>
      <c r="H3241" s="7" t="str">
        <f>IFERROR(__xludf.DUMMYFUNCTION("""COMPUTED_VALUE"""),"Zoom")</f>
        <v>Zoom</v>
      </c>
      <c r="I3241" s="7" t="str">
        <f>IFERROR(__xludf.DUMMYFUNCTION("""COMPUTED_VALUE"""),"Session 10: V-Presenations")</f>
        <v>Session 10: V-Presenations</v>
      </c>
      <c r="J3241" s="7" t="str">
        <f>IFERROR(__xludf.DUMMYFUNCTION("""COMPUTED_VALUE"""),"Virtual Presentations 3")</f>
        <v>Virtual Presentations 3</v>
      </c>
      <c r="K3241" s="7"/>
      <c r="L3241" s="8">
        <f>IFERROR(__xludf.DUMMYFUNCTION("""COMPUTED_VALUE"""),45867.0)</f>
        <v>45867</v>
      </c>
      <c r="M3241" s="7" t="str">
        <f>IFERROR(__xludf.DUMMYFUNCTION("""COMPUTED_VALUE"""),"16:00-17:30")</f>
        <v>16:00-17:30</v>
      </c>
      <c r="N3241" s="7"/>
    </row>
    <row r="3242">
      <c r="A3242" s="7" t="str">
        <f>IFERROR(__xludf.DUMMYFUNCTION("""COMPUTED_VALUE"""),"5145-MAIN")</f>
        <v>5145-MAIN</v>
      </c>
      <c r="B3242" s="7" t="str">
        <f>IFERROR(__xludf.DUMMYFUNCTION("""COMPUTED_VALUE"""),"Optimizing Pre-Training Data Mixtures with Mixtures of Data Expert Models")</f>
        <v>Optimizing Pre-Training Data Mixtures with Mixtures of Data Expert Models</v>
      </c>
      <c r="C3242" s="7" t="str">
        <f>IFERROR(__xludf.DUMMYFUNCTION("""COMPUTED_VALUE"""),"We propose a method to optimize language model pre-training data mixtures through efficient approximation of the cross-entropy loss corresponding to each candidate mixture via a Mixture of Data Experts (MDE). We use this approximation as a source of addit"&amp;"ional features in a regression model, trained from observations of model loss for a small number of mixtures. Experiments with Transformer decoder-only language models in the range of 70M to 10B parameters on the SlimPajama dataset show that our method ac"&amp;"hieves significantly better performance than approaches that train regression models using only the mixture rates as input features. Combining this improved optimization method with an objective that takes into account cross-entropy on end task data leads"&amp;" to superior performance on few-shot downstream evaluations. We also provide theoretical insights on why aggregation of data expert predictions can provide good approximations to model losses for data mixtures.")</f>
        <v>We propose a method to optimize language model pre-training data mixtures through efficient approximation of the cross-entropy loss corresponding to each candidate mixture via a Mixture of Data Experts (MDE). We use this approximation as a source of additional features in a regression model, trained from observations of model loss for a small number of mixtures. Experiments with Transformer decoder-only language models in the range of 70M to 10B parameters on the SlimPajama dataset show that our method achieves significantly better performance than approaches that train regression models using only the mixture rates as input features. Combining this improved optimization method with an objective that takes into account cross-entropy on end task data leads to superior performance on few-shot downstream evaluations. We also provide theoretical insights on why aggregation of data expert predictions can provide good approximations to model losses for data mixtures.</v>
      </c>
      <c r="D3242" s="7" t="str">
        <f>IFERROR(__xludf.DUMMYFUNCTION("""COMPUTED_VALUE"""),"Kristina Toutanova")</f>
        <v>Kristina Toutanova</v>
      </c>
      <c r="E3242" s="7" t="str">
        <f>IFERROR(__xludf.DUMMYFUNCTION("""COMPUTED_VALUE"""),"Yes")</f>
        <v>Yes</v>
      </c>
      <c r="F3242" s="7" t="str">
        <f>IFERROR(__xludf.DUMMYFUNCTION("""COMPUTED_VALUE"""),"IP-Poster")</f>
        <v>IP-Poster</v>
      </c>
      <c r="G3242" s="7" t="str">
        <f>IFERROR(__xludf.DUMMYFUNCTION("""COMPUTED_VALUE"""),"In-Person")</f>
        <v>In-Person</v>
      </c>
      <c r="H3242" s="7" t="str">
        <f>IFERROR(__xludf.DUMMYFUNCTION("""COMPUTED_VALUE"""),"Hall 4/5")</f>
        <v>Hall 4/5</v>
      </c>
      <c r="I3242" s="7" t="str">
        <f>IFERROR(__xludf.DUMMYFUNCTION("""COMPUTED_VALUE"""),"Session 12: IP-Posters")</f>
        <v>Session 12: IP-Posters</v>
      </c>
      <c r="J3242" s="7" t="str">
        <f>IFERROR(__xludf.DUMMYFUNCTION("""COMPUTED_VALUE"""),"Poster Session 4")</f>
        <v>Poster Session 4</v>
      </c>
      <c r="K3242" s="7"/>
      <c r="L3242" s="8">
        <f>IFERROR(__xludf.DUMMYFUNCTION("""COMPUTED_VALUE"""),45868.0)</f>
        <v>45868</v>
      </c>
      <c r="M3242" s="7" t="str">
        <f>IFERROR(__xludf.DUMMYFUNCTION("""COMPUTED_VALUE"""),"11:00-12:30")</f>
        <v>11:00-12:30</v>
      </c>
      <c r="N3242" s="7"/>
    </row>
    <row r="3243">
      <c r="A3243" s="7" t="str">
        <f>IFERROR(__xludf.DUMMYFUNCTION("""COMPUTED_VALUE"""),"5149-MAIN")</f>
        <v>5149-MAIN</v>
      </c>
      <c r="B3243" s="7" t="str">
        <f>IFERROR(__xludf.DUMMYFUNCTION("""COMPUTED_VALUE"""),"BFS-Prover: Scalable Best-First Tree Search for LLM-based Automatic Theorem Proving")</f>
        <v>BFS-Prover: Scalable Best-First Tree Search for LLM-based Automatic Theorem Proving</v>
      </c>
      <c r="C3243" s="7" t="str">
        <f>IFERROR(__xludf.DUMMYFUNCTION("""COMPUTED_VALUE"""),"Recent advancements in large language models (LLMs) have spurred growing interest in automatic theorem proving using Lean4, where effective tree search methods are crucial for navigating the underlying large proof search spaces. While the existing approac"&amp;"hes primarily rely on value functions and/or Monte Carlo Tree Search (MCTS), the potential of simpler methods like Best-First Tree Search (BFS) remains underexplored. In this paper, we investigate whether BFS can achieve competitive performance in large-s"&amp;"cale theorem proving tasks. We present \texttt{BFS-Prover}, a scalable expert iteration framework, featuring three key innovations. First, we implement strategic data filtering at each expert iteration round, excluding problems solvable via beam search no"&amp;"de expansion to focus on harder cases. Second, we improve the sample efficiency of BFS through Direct Preference Optimization (DPO) applied to state-tactic pairs automatically annotated with compiler error feedback, refining the LLM's policy to prioritize"&amp;" productive expansions. Third, we employ length normalization in BFS to encourage exploration of deeper proof paths. \texttt{BFS-Prover} achieves a state-of-the-art score of 
72.95 on the MiniF2F test set and therefore challenges the perceived necessity o"&amp;"f complex tree search methods, demonstrating that BFS can achieve competitive performance when properly scaled.")</f>
        <v>Recent advancements in large language models (LLMs) have spurred growing interest in automatic theorem proving using Lean4, where effective tree search methods are crucial for navigating the underlying large proof search spaces. While the existing approaches primarily rely on value functions and/or Monte Carlo Tree Search (MCTS), the potential of simpler methods like Best-First Tree Search (BFS) remains underexplored. In this paper, we investigate whether BFS can achieve competitive performance in large-scale theorem proving tasks. We present \texttt{BFS-Prover}, a scalable expert iteration framework, featuring three key innovations. First, we implement strategic data filtering at each expert iteration round, excluding problems solvable via beam search node expansion to focus on harder cases. Second, we improve the sample efficiency of BFS through Direct Preference Optimization (DPO) applied to state-tactic pairs automatically annotated with compiler error feedback, refining the LLM's policy to prioritize productive expansions. Third, we employ length normalization in BFS to encourage exploration of deeper proof paths. \texttt{BFS-Prover} achieves a state-of-the-art score of 
72.95 on the MiniF2F test set and therefore challenges the perceived necessity of complex tree search methods, demonstrating that BFS can achieve competitive performance when properly scaled.</v>
      </c>
      <c r="D3243" s="7" t="str">
        <f>IFERROR(__xludf.DUMMYFUNCTION("""COMPUTED_VALUE"""),"Ran Xin")</f>
        <v>Ran Xin</v>
      </c>
      <c r="E3243" s="7" t="str">
        <f>IFERROR(__xludf.DUMMYFUNCTION("""COMPUTED_VALUE"""),"Yes")</f>
        <v>Yes</v>
      </c>
      <c r="F3243" s="7" t="str">
        <f>IFERROR(__xludf.DUMMYFUNCTION("""COMPUTED_VALUE"""),"V-Presentation")</f>
        <v>V-Presentation</v>
      </c>
      <c r="G3243" s="7" t="str">
        <f>IFERROR(__xludf.DUMMYFUNCTION("""COMPUTED_VALUE"""),"Virtual/Gather")</f>
        <v>Virtual/Gather</v>
      </c>
      <c r="H3243" s="7" t="str">
        <f>IFERROR(__xludf.DUMMYFUNCTION("""COMPUTED_VALUE"""),"Zoom")</f>
        <v>Zoom</v>
      </c>
      <c r="I3243" s="7" t="str">
        <f>IFERROR(__xludf.DUMMYFUNCTION("""COMPUTED_VALUE"""),"Session 10: V-Presenations")</f>
        <v>Session 10: V-Presenations</v>
      </c>
      <c r="J3243" s="7" t="str">
        <f>IFERROR(__xludf.DUMMYFUNCTION("""COMPUTED_VALUE"""),"Virtual Presentations 3")</f>
        <v>Virtual Presentations 3</v>
      </c>
      <c r="K3243" s="7"/>
      <c r="L3243" s="8">
        <f>IFERROR(__xludf.DUMMYFUNCTION("""COMPUTED_VALUE"""),45867.0)</f>
        <v>45867</v>
      </c>
      <c r="M3243" s="7" t="str">
        <f>IFERROR(__xludf.DUMMYFUNCTION("""COMPUTED_VALUE"""),"16:00-17:30")</f>
        <v>16:00-17:30</v>
      </c>
      <c r="N3243" s="7"/>
    </row>
    <row r="3244">
      <c r="A3244" s="7" t="str">
        <f>IFERROR(__xludf.DUMMYFUNCTION("""COMPUTED_VALUE"""),"5159-MAIN")</f>
        <v>5159-MAIN</v>
      </c>
      <c r="B3244" s="7" t="str">
        <f>IFERROR(__xludf.DUMMYFUNCTION("""COMPUTED_VALUE"""),"Magnet: Multi-turn Tool-use Data Synthesis and Distillation via Graph Translation")</f>
        <v>Magnet: Multi-turn Tool-use Data Synthesis and Distillation via Graph Translation</v>
      </c>
      <c r="C3244" s="7" t="str">
        <f>IFERROR(__xludf.DUMMYFUNCTION("""COMPUTED_VALUE"""),"Large language models (LLMs) have exhibited the ability to effectively utilize external tools to address user queries. However, their performance may be limited in complex, multi-turn interactions involving users and multiple tools. To address this, we pr"&amp;"opose \textsc{Magnet}, a principled framework for synthesizing high-quality training trajectories to enhance the function calling capability of large language model agents in multi-turn conversations with humans. The framework is based on automatic and it"&amp;"erative translations from a function signature path to a sequence of queries and executable function calls. We model the complicated function interactions in multi-turn cases with graph and design novel node operations to build reliable signature paths. M"&amp;"otivated by context distillation, when guiding the generation of positive and negative trajectories using a teacher model, we provide reference function call sequences as positive hints in context and contrastive, incorrect function calls as negative hint"&amp;"s. Experiments show that training with the positive trajectories with supervised fine-tuning and preference optimization against negative trajectories, our 14B model, \textsc{Magnet}-14B-mDPO, obtains 68.01 on BFCL-v3 and 73.30 on ToolQuery, surpassing th"&amp;"e performance of the teacher model Gemini-1.5-pro-002 by a large margin in function calling.")</f>
        <v>Large language models (LLMs) have exhibited the ability to effectively utilize external tools to address user queries. However, their performance may be limited in complex, multi-turn interactions involving users and multiple tools. To address this, we propose \textsc{Magnet}, a principled framework for synthesizing high-quality training trajectories to enhance the function calling capability of large language model agents in multi-turn conversations with humans. The framework is based on automatic and iterative translations from a function signature path to a sequence of queries and executable function calls. We model the complicated function interactions in multi-turn cases with graph and design novel node operations to build reliable signature paths. Motivated by context distillation, when guiding the generation of positive and negative trajectories using a teacher model, we provide reference function call sequences as positive hints in context and contrastive, incorrect function calls as negative hints. Experiments show that training with the positive trajectories with supervised fine-tuning and preference optimization against negative trajectories, our 14B model, \textsc{Magnet}-14B-mDPO, obtains 68.01 on BFCL-v3 and 73.30 on ToolQuery, surpassing the performance of the teacher model Gemini-1.5-pro-002 by a large margin in function calling.</v>
      </c>
      <c r="D3244" s="7" t="str">
        <f>IFERROR(__xludf.DUMMYFUNCTION("""COMPUTED_VALUE"""),"Yanfei Chen")</f>
        <v>Yanfei Chen</v>
      </c>
      <c r="E3244" s="7" t="str">
        <f>IFERROR(__xludf.DUMMYFUNCTION("""COMPUTED_VALUE"""),"Yes")</f>
        <v>Yes</v>
      </c>
      <c r="F3244" s="7" t="str">
        <f>IFERROR(__xludf.DUMMYFUNCTION("""COMPUTED_VALUE"""),"IP-Poster")</f>
        <v>IP-Poster</v>
      </c>
      <c r="G3244" s="7" t="str">
        <f>IFERROR(__xludf.DUMMYFUNCTION("""COMPUTED_VALUE"""),"In-Person")</f>
        <v>In-Person</v>
      </c>
      <c r="H3244" s="7" t="str">
        <f>IFERROR(__xludf.DUMMYFUNCTION("""COMPUTED_VALUE"""),"Hall 4/5")</f>
        <v>Hall 4/5</v>
      </c>
      <c r="I3244" s="7" t="str">
        <f>IFERROR(__xludf.DUMMYFUNCTION("""COMPUTED_VALUE"""),"Session 12: IP-Posters")</f>
        <v>Session 12: IP-Posters</v>
      </c>
      <c r="J3244" s="7" t="str">
        <f>IFERROR(__xludf.DUMMYFUNCTION("""COMPUTED_VALUE"""),"Poster Session 4")</f>
        <v>Poster Session 4</v>
      </c>
      <c r="K3244" s="7"/>
      <c r="L3244" s="8">
        <f>IFERROR(__xludf.DUMMYFUNCTION("""COMPUTED_VALUE"""),45868.0)</f>
        <v>45868</v>
      </c>
      <c r="M3244" s="7" t="str">
        <f>IFERROR(__xludf.DUMMYFUNCTION("""COMPUTED_VALUE"""),"11:00-12:30")</f>
        <v>11:00-12:30</v>
      </c>
      <c r="N3244" s="7"/>
    </row>
    <row r="3245">
      <c r="A3245" s="7" t="str">
        <f>IFERROR(__xludf.DUMMYFUNCTION("""COMPUTED_VALUE"""),"5169-MAIN")</f>
        <v>5169-MAIN</v>
      </c>
      <c r="B3245" s="7" t="str">
        <f>IFERROR(__xludf.DUMMYFUNCTION("""COMPUTED_VALUE"""),"Cross-Lingual Representation Alignment Through Contrastive Image-Caption Tuning")</f>
        <v>Cross-Lingual Representation Alignment Through Contrastive Image-Caption Tuning</v>
      </c>
      <c r="C3245" s="7" t="str">
        <f>IFERROR(__xludf.DUMMYFUNCTION("""COMPUTED_VALUE"""),"Multilingual alignment of sentence representations has mostly required bitexts to bridge the gap between languages. We investigate whether visual information can bridge this gap instead. Image caption datasets are very easy to create without requiring mul"&amp;"tilingual expertise, so this offers a more efficient alternative for low-resource languages. We find that multilingual image-caption alignment can implicitly align the text representations between languages, languages unseen by the encoder in pretraining "&amp;"can be incorporated into this alignment post-hoc, and these aligned representations are usable for cross-lingual Natural Language Understanding (NLU) and bitext retrieval.")</f>
        <v>Multilingual alignment of sentence representations has mostly required bitexts to bridge the gap between languages. We investigate whether visual information can bridge this gap instead. Image caption datasets are very easy to create without requiring multilingual expertise, so this offers a more efficient alternative for low-resource languages. We find that multilingual image-caption alignment can implicitly align the text representations between languages, languages unseen by the encoder in pretraining can be incorporated into this alignment post-hoc, and these aligned representations are usable for cross-lingual Natural Language Understanding (NLU) and bitext retrieval.</v>
      </c>
      <c r="D3245" s="7" t="str">
        <f>IFERROR(__xludf.DUMMYFUNCTION("""COMPUTED_VALUE"""),"Nathaniel Krasner")</f>
        <v>Nathaniel Krasner</v>
      </c>
      <c r="E3245" s="7" t="str">
        <f>IFERROR(__xludf.DUMMYFUNCTION("""COMPUTED_VALUE"""),"Yes")</f>
        <v>Yes</v>
      </c>
      <c r="F3245" s="7" t="str">
        <f>IFERROR(__xludf.DUMMYFUNCTION("""COMPUTED_VALUE"""),"IP-Poster")</f>
        <v>IP-Poster</v>
      </c>
      <c r="G3245" s="7" t="str">
        <f>IFERROR(__xludf.DUMMYFUNCTION("""COMPUTED_VALUE"""),"In-Person")</f>
        <v>In-Person</v>
      </c>
      <c r="H3245" s="7" t="str">
        <f>IFERROR(__xludf.DUMMYFUNCTION("""COMPUTED_VALUE"""),"Hall 4/5")</f>
        <v>Hall 4/5</v>
      </c>
      <c r="I3245" s="7" t="str">
        <f>IFERROR(__xludf.DUMMYFUNCTION("""COMPUTED_VALUE"""),"Session 10: IP-Posters")</f>
        <v>Session 10: IP-Posters</v>
      </c>
      <c r="J3245" s="7" t="str">
        <f>IFERROR(__xludf.DUMMYFUNCTION("""COMPUTED_VALUE"""),"Poster Session 3")</f>
        <v>Poster Session 3</v>
      </c>
      <c r="K3245" s="7"/>
      <c r="L3245" s="8">
        <f>IFERROR(__xludf.DUMMYFUNCTION("""COMPUTED_VALUE"""),45867.0)</f>
        <v>45867</v>
      </c>
      <c r="M3245" s="7" t="str">
        <f>IFERROR(__xludf.DUMMYFUNCTION("""COMPUTED_VALUE"""),"16:00-17:30")</f>
        <v>16:00-17:30</v>
      </c>
      <c r="N3245" s="7"/>
    </row>
    <row r="3246">
      <c r="A3246" s="7" t="str">
        <f>IFERROR(__xludf.DUMMYFUNCTION("""COMPUTED_VALUE"""),"5172-MAIN")</f>
        <v>5172-MAIN</v>
      </c>
      <c r="B3246" s="7" t="str">
        <f>IFERROR(__xludf.DUMMYFUNCTION("""COMPUTED_VALUE"""),"Logic-Regularized Verifier Elicits Reasoning from LLMs")</f>
        <v>Logic-Regularized Verifier Elicits Reasoning from LLMs</v>
      </c>
      <c r="C3246" s="7" t="str">
        <f>IFERROR(__xludf.DUMMYFUNCTION("""COMPUTED_VALUE"""),"Verifiers are crucial components for enhancing modern LLMs' reasoning capability. Typical verifiers require resource-intensive supervised dataset construction, which is costly and faces limitations in data diversity. In this paper, we propose LOVER, an un"&amp;"supervised verifier regularized by logical rules. LOVER treats the verifier as a binary latent variable, utilizing internal activations and enforcing three logical constraints on multiple reasoning paths: negation consistency, intra-group consistency, and"&amp;" inter-group consistency (grouped by the final answer). By incorporating logical rules as priors, LOVER can leverage unlabeled examples and is directly compatible with any off-the-shelf LLMs. Experiments on 10 datasets demonstrate that LOVER significantly"&amp;" outperforms unsupervised baselines, achieving performance comparable to the supervised verifier (reaching its 95% level on average).")</f>
        <v>Verifiers are crucial components for enhancing modern LLMs' reasoning capability. Typical verifiers require resource-intensive supervised dataset construction, which is costly and faces limitations in data diversity. In this paper, we propose LOVER, an unsupervised verifier regularized by logical rules. LOVER treats the verifier as a binary latent variable, utilizing internal activations and enforcing three logical constraints on multiple reasoning paths: negation consistency, intra-group consistency, and inter-group consistency (grouped by the final answer). By incorporating logical rules as priors, LOVER can leverage unlabeled examples and is directly compatible with any off-the-shelf LLMs. Experiments on 10 datasets demonstrate that LOVER significantly outperforms unsupervised baselines, achieving performance comparable to the supervised verifier (reaching its 95% level on average).</v>
      </c>
      <c r="D3246" s="7" t="str">
        <f>IFERROR(__xludf.DUMMYFUNCTION("""COMPUTED_VALUE"""),"Xinyu Wang")</f>
        <v>Xinyu Wang</v>
      </c>
      <c r="E3246" s="7" t="str">
        <f>IFERROR(__xludf.DUMMYFUNCTION("""COMPUTED_VALUE"""),"Yes")</f>
        <v>Yes</v>
      </c>
      <c r="F3246" s="7" t="str">
        <f>IFERROR(__xludf.DUMMYFUNCTION("""COMPUTED_VALUE"""),"IP-Poster")</f>
        <v>IP-Poster</v>
      </c>
      <c r="G3246" s="7" t="str">
        <f>IFERROR(__xludf.DUMMYFUNCTION("""COMPUTED_VALUE"""),"In-Person")</f>
        <v>In-Person</v>
      </c>
      <c r="H3246" s="7" t="str">
        <f>IFERROR(__xludf.DUMMYFUNCTION("""COMPUTED_VALUE"""),"Hall 4/5")</f>
        <v>Hall 4/5</v>
      </c>
      <c r="I3246" s="7" t="str">
        <f>IFERROR(__xludf.DUMMYFUNCTION("""COMPUTED_VALUE"""),"Session 7: IP-Posters")</f>
        <v>Session 7: IP-Posters</v>
      </c>
      <c r="J3246" s="7" t="str">
        <f>IFERROR(__xludf.DUMMYFUNCTION("""COMPUTED_VALUE"""),"Poster Session 2")</f>
        <v>Poster Session 2</v>
      </c>
      <c r="K3246" s="7"/>
      <c r="L3246" s="8">
        <f>IFERROR(__xludf.DUMMYFUNCTION("""COMPUTED_VALUE"""),45867.0)</f>
        <v>45867</v>
      </c>
      <c r="M3246" s="7" t="str">
        <f>IFERROR(__xludf.DUMMYFUNCTION("""COMPUTED_VALUE"""),"10:30-12:00")</f>
        <v>10:30-12:00</v>
      </c>
      <c r="N3246" s="7"/>
    </row>
    <row r="3247">
      <c r="A3247" s="7" t="str">
        <f>IFERROR(__xludf.DUMMYFUNCTION("""COMPUTED_VALUE"""),"5185-MAIN")</f>
        <v>5185-MAIN</v>
      </c>
      <c r="B3247" s="7" t="str">
        <f>IFERROR(__xludf.DUMMYFUNCTION("""COMPUTED_VALUE"""),"Squeezed Attention: Fast Fixed Context Processing for Long Context Length LLM Applications")</f>
        <v>Squeezed Attention: Fast Fixed Context Processing for Long Context Length LLM Applications</v>
      </c>
      <c r="C3247" s="7" t="str">
        <f>IFERROR(__xludf.DUMMYFUNCTION("""COMPUTED_VALUE"""),"Emerging Large Language Model (LLM) applications require long input context in order to perform complex tasks like document analysis and code generation.
For these long context length applications, the length of the input prompt poses a significant challe"&amp;"nge in terms of inference efficiency since the inference costs increase linearly with sequence length.
However, for many of these applications, much of the context in the prompt is fixed across different user inputs, thereby providing the opportunity to p"&amp;"erform offline optimizations in order to process user inputs quickly, as they are received. 
We propose Squeezed Attention to accelerate LLM applications where a large portion of the input context is fixed.
We first leverage K-means clustering offline to "&amp;"group the keys for the fixed context based on semantic similarity and represent each cluster with a single centroid value.
During inference, we compare query tokens from the user input with the centroids to predict which keys from the fixed context are se"&amp;"mantically relevant, and then compute exact attention using only the important keys, thereby reducing bandwidth and computational costs. 
We also present a hierarchical version of our algorithm which can reduce the complexity of attention from linear to l"&amp;"ogarithmic with respect to the fixed context length.
We evaluate our method on various long-context benchmarks including LongBench, where it achieves a 3.1$\times$ reduction in KV budget with no noticeable accuracy loss and up to an 8$\times$ reduction wi"&amp;"th only a 0.5 point accuracy gap for the LLaMA-2-7B-32K, LWM-Text-Chat-1M, and Longchat-7B-v1.5-32K models.
Futhermore, we implement kernels for centroid comparison and sparse FlashAttention with important keys, achieving more than 4$\times$ speedups duri"&amp;"ng both the prefill and generation phases for long-context inference.
Our code is available at https://github.com/SqueezeAILab/SqueezedAttention.")</f>
        <v>Emerging Large Language Model (LLM) applications require long input context in order to perform complex tasks like document analysis and code generation.
For these long context length applications, the length of the input prompt poses a significant challenge in terms of inference efficiency since the inference costs increase linearly with sequence length.
However, for many of these applications, much of the context in the prompt is fixed across different user inputs, thereby providing the opportunity to perform offline optimizations in order to process user inputs quickly, as they are received. 
We propose Squeezed Attention to accelerate LLM applications where a large portion of the input context is fixed.
We first leverage K-means clustering offline to group the keys for the fixed context based on semantic similarity and represent each cluster with a single centroid value.
During inference, we compare query tokens from the user input with the centroids to predict which keys from the fixed context are semantically relevant, and then compute exact attention using only the important keys, thereby reducing bandwidth and computational costs. 
We also present a hierarchical version of our algorithm which can reduce the complexity of attention from linear to logarithmic with respect to the fixed context length.
We evaluate our method on various long-context benchmarks including LongBench, where it achieves a 3.1$\times$ reduction in KV budget with no noticeable accuracy loss and up to an 8$\times$ reduction with only a 0.5 point accuracy gap for the LLaMA-2-7B-32K, LWM-Text-Chat-1M, and Longchat-7B-v1.5-32K models.
Futhermore, we implement kernels for centroid comparison and sparse FlashAttention with important keys, achieving more than 4$\times$ speedups during both the prefill and generation phases for long-context inference.
Our code is available at https://github.com/SqueezeAILab/SqueezedAttention.</v>
      </c>
      <c r="D3247" s="7" t="str">
        <f>IFERROR(__xludf.DUMMYFUNCTION("""COMPUTED_VALUE"""),"Coleman Hooper")</f>
        <v>Coleman Hooper</v>
      </c>
      <c r="E3247" s="7" t="str">
        <f>IFERROR(__xludf.DUMMYFUNCTION("""COMPUTED_VALUE"""),"Yes")</f>
        <v>Yes</v>
      </c>
      <c r="F3247" s="7" t="str">
        <f>IFERROR(__xludf.DUMMYFUNCTION("""COMPUTED_VALUE"""),"IP-Poster")</f>
        <v>IP-Poster</v>
      </c>
      <c r="G3247" s="7" t="str">
        <f>IFERROR(__xludf.DUMMYFUNCTION("""COMPUTED_VALUE"""),"In-Person")</f>
        <v>In-Person</v>
      </c>
      <c r="H3247" s="7" t="str">
        <f>IFERROR(__xludf.DUMMYFUNCTION("""COMPUTED_VALUE"""),"Hall 4/5")</f>
        <v>Hall 4/5</v>
      </c>
      <c r="I3247" s="7" t="str">
        <f>IFERROR(__xludf.DUMMYFUNCTION("""COMPUTED_VALUE"""),"Session 10: IP-Posters")</f>
        <v>Session 10: IP-Posters</v>
      </c>
      <c r="J3247" s="7" t="str">
        <f>IFERROR(__xludf.DUMMYFUNCTION("""COMPUTED_VALUE"""),"Poster Session 3")</f>
        <v>Poster Session 3</v>
      </c>
      <c r="K3247" s="7"/>
      <c r="L3247" s="8">
        <f>IFERROR(__xludf.DUMMYFUNCTION("""COMPUTED_VALUE"""),45867.0)</f>
        <v>45867</v>
      </c>
      <c r="M3247" s="7" t="str">
        <f>IFERROR(__xludf.DUMMYFUNCTION("""COMPUTED_VALUE"""),"16:00-17:30")</f>
        <v>16:00-17:30</v>
      </c>
      <c r="N3247" s="7"/>
    </row>
    <row r="3248">
      <c r="A3248" s="7" t="str">
        <f>IFERROR(__xludf.DUMMYFUNCTION("""COMPUTED_VALUE"""),"5193-MAIN")</f>
        <v>5193-MAIN</v>
      </c>
      <c r="B3248" s="7" t="str">
        <f>IFERROR(__xludf.DUMMYFUNCTION("""COMPUTED_VALUE"""),"LangMark: A Multilingual Dataset for Automatic Post-Editing")</f>
        <v>LangMark: A Multilingual Dataset for Automatic Post-Editing</v>
      </c>
      <c r="C3248" s="7" t="str">
        <f>IFERROR(__xludf.DUMMYFUNCTION("""COMPUTED_VALUE"""),"Automatic post-editing (APE) aims to correct errors in machine-translated text, enhancing translation quality, while reducing the need for human intervention. Despite advances in neural machine translation (NMT), the development of effective APE systems h"&amp;"as been hindered by the lack of large-scale multilingual datasets specifically tailored to NMT outputs. To address this gap, we present and release LangMark, a new human-annotated multilingual APE dataset for English translation to seven languages: Brazil"&amp;"ian Portuguese, French, German, Italian, Japanese, Russian, and Spanish. The dataset has 206,983 triplets, with each triplet consisting of a source segment, its NMT output, and a human post-edited translation. Annotated by expert human linguists, our data"&amp;"set offers both linguistic diversity and scale. Leveraging this dataset, we empirically show that Large Language Models (LLMs) with few-shot prompting can effectively perform APE, improving upon leading commercial and even proprietary machine translation "&amp;"systems. We believe that this new resource will facilitate the future development and evaluation of APE systems.")</f>
        <v>Automatic post-editing (APE) aims to correct errors in machine-translated text, enhancing translation quality, while reducing the need for human intervention. Despite advances in neural machine translation (NMT), the development of effective APE systems has been hindered by the lack of large-scale multilingual datasets specifically tailored to NMT outputs. To address this gap, we present and release LangMark, a new human-annotated multilingual APE dataset for English translation to seven languages: Brazilian Portuguese, French, German, Italian, Japanese, Russian, and Spanish. The dataset has 206,983 triplets, with each triplet consisting of a source segment, its NMT output, and a human post-edited translation. Annotated by expert human linguists, our dataset offers both linguistic diversity and scale. Leveraging this dataset, we empirically show that Large Language Models (LLMs) with few-shot prompting can effectively perform APE, improving upon leading commercial and even proprietary machine translation systems. We believe that this new resource will facilitate the future development and evaluation of APE systems.</v>
      </c>
      <c r="D3248" s="7" t="str">
        <f>IFERROR(__xludf.DUMMYFUNCTION("""COMPUTED_VALUE"""),"Roger Wechsler")</f>
        <v>Roger Wechsler</v>
      </c>
      <c r="E3248" s="7" t="str">
        <f>IFERROR(__xludf.DUMMYFUNCTION("""COMPUTED_VALUE"""),"Yes")</f>
        <v>Yes</v>
      </c>
      <c r="F3248" s="7" t="str">
        <f>IFERROR(__xludf.DUMMYFUNCTION("""COMPUTED_VALUE"""),"IP-Poster")</f>
        <v>IP-Poster</v>
      </c>
      <c r="G3248" s="7" t="str">
        <f>IFERROR(__xludf.DUMMYFUNCTION("""COMPUTED_VALUE"""),"In-Person")</f>
        <v>In-Person</v>
      </c>
      <c r="H3248" s="7" t="str">
        <f>IFERROR(__xludf.DUMMYFUNCTION("""COMPUTED_VALUE"""),"Hall 4/5")</f>
        <v>Hall 4/5</v>
      </c>
      <c r="I3248" s="7" t="str">
        <f>IFERROR(__xludf.DUMMYFUNCTION("""COMPUTED_VALUE"""),"Session 12: IP-Posters")</f>
        <v>Session 12: IP-Posters</v>
      </c>
      <c r="J3248" s="7" t="str">
        <f>IFERROR(__xludf.DUMMYFUNCTION("""COMPUTED_VALUE"""),"Poster Session 4")</f>
        <v>Poster Session 4</v>
      </c>
      <c r="K3248" s="7"/>
      <c r="L3248" s="8">
        <f>IFERROR(__xludf.DUMMYFUNCTION("""COMPUTED_VALUE"""),45868.0)</f>
        <v>45868</v>
      </c>
      <c r="M3248" s="7" t="str">
        <f>IFERROR(__xludf.DUMMYFUNCTION("""COMPUTED_VALUE"""),"11:00-12:30")</f>
        <v>11:00-12:30</v>
      </c>
      <c r="N3248" s="7"/>
    </row>
    <row r="3249">
      <c r="A3249" s="7" t="str">
        <f>IFERROR(__xludf.DUMMYFUNCTION("""COMPUTED_VALUE"""),"5199-MAIN")</f>
        <v>5199-MAIN</v>
      </c>
      <c r="B3249" s="7" t="str">
        <f>IFERROR(__xludf.DUMMYFUNCTION("""COMPUTED_VALUE"""),"Neural Parameter Search for Slimmer Fine-Tuned Models and Better Transfer")</f>
        <v>Neural Parameter Search for Slimmer Fine-Tuned Models and Better Transfer</v>
      </c>
      <c r="C3249" s="7" t="str">
        <f>IFERROR(__xludf.DUMMYFUNCTION("""COMPUTED_VALUE"""),"Foundation models and their checkpoints have significantly advanced deep learning, boosting performance across various applications. However, fine-tuned models often struggle outside their specific domains and exhibit considerable redundancy. Recent studi"&amp;"es suggest that combining a pruned fine-tuned model with the original pre-trained model can mitigate forgetting, reduce interference when merging model parameters across tasks, and improve compression efficiency. In this context, developing an effective p"&amp;"runing strategy for fine-tuned models is crucial. Leveraging the advantages of the task vector mechanism, we preprocess fine-tuned models by calculating the differences between them and the original model. Recognizing that different task vector subspaces "&amp;"contribute variably to model performance, we introduce a novel method called **N**eural **P**arameter **S**earch (**NPS**) for slimming down fine-tuned models. This method enhances pruning efficiency by searching through neural parameters of task vectors "&amp;"within low-rank subspaces. Our method has three key applications: enhancing knowledge transfer through pairwise model interpolation, facilitating effective knowledge fusion via model merging, and enabling the deployment of compressed models that retain ne"&amp;"ar-original performance while significantly reducing storage costs. Extensive experiments across vision, NLP, and multi-modal benchmarks demonstrate the effectiveness and robustness of our approach, resulting in substantial performance gains.")</f>
        <v>Foundation models and their checkpoints have significantly advanced deep learning, boosting performance across various applications. However, fine-tuned models often struggle outside their specific domains and exhibit considerable redundancy. Recent studies suggest that combining a pruned fine-tuned model with the original pre-trained model can mitigate forgetting, reduce interference when merging model parameters across tasks, and improve compression efficiency. In this context, developing an effective pruning strategy for fine-tuned models is crucial. Leveraging the advantages of the task vector mechanism, we preprocess fine-tuned models by calculating the differences between them and the original model. Recognizing that different task vector subspaces contribute variably to model performance, we introduce a novel method called **N**eural **P**arameter **S**earch (**NPS**) for slimming down fine-tuned models. This method enhances pruning efficiency by searching through neural parameters of task vectors within low-rank subspaces. Our method has three key applications: enhancing knowledge transfer through pairwise model interpolation, facilitating effective knowledge fusion via model merging, and enabling the deployment of compressed models that retain near-original performance while significantly reducing storage costs. Extensive experiments across vision, NLP, and multi-modal benchmarks demonstrate the effectiveness and robustness of our approach, resulting in substantial performance gains.</v>
      </c>
      <c r="D3249" s="7" t="str">
        <f>IFERROR(__xludf.DUMMYFUNCTION("""COMPUTED_VALUE"""),"Guodong DU")</f>
        <v>Guodong DU</v>
      </c>
      <c r="E3249" s="7" t="str">
        <f>IFERROR(__xludf.DUMMYFUNCTION("""COMPUTED_VALUE"""),"Yes")</f>
        <v>Yes</v>
      </c>
      <c r="F3249" s="7" t="str">
        <f>IFERROR(__xludf.DUMMYFUNCTION("""COMPUTED_VALUE"""),"IP-Poster")</f>
        <v>IP-Poster</v>
      </c>
      <c r="G3249" s="7" t="str">
        <f>IFERROR(__xludf.DUMMYFUNCTION("""COMPUTED_VALUE"""),"In-Person")</f>
        <v>In-Person</v>
      </c>
      <c r="H3249" s="7" t="str">
        <f>IFERROR(__xludf.DUMMYFUNCTION("""COMPUTED_VALUE"""),"Hall 4/5")</f>
        <v>Hall 4/5</v>
      </c>
      <c r="I3249" s="7" t="str">
        <f>IFERROR(__xludf.DUMMYFUNCTION("""COMPUTED_VALUE"""),"Session 2: IP-Posters ")</f>
        <v>Session 2: IP-Posters </v>
      </c>
      <c r="J3249" s="7" t="str">
        <f>IFERROR(__xludf.DUMMYFUNCTION("""COMPUTED_VALUE"""),"Poster Session 1")</f>
        <v>Poster Session 1</v>
      </c>
      <c r="K3249" s="7"/>
      <c r="L3249" s="8">
        <f>IFERROR(__xludf.DUMMYFUNCTION("""COMPUTED_VALUE"""),45866.0)</f>
        <v>45866</v>
      </c>
      <c r="M3249" s="7" t="str">
        <f>IFERROR(__xludf.DUMMYFUNCTION("""COMPUTED_VALUE"""),"11:00-12:30")</f>
        <v>11:00-12:30</v>
      </c>
      <c r="N3249" s="7"/>
    </row>
    <row r="3250">
      <c r="A3250" s="7" t="str">
        <f>IFERROR(__xludf.DUMMYFUNCTION("""COMPUTED_VALUE"""),"5205-MAIN")</f>
        <v>5205-MAIN</v>
      </c>
      <c r="B3250" s="7" t="str">
        <f>IFERROR(__xludf.DUMMYFUNCTION("""COMPUTED_VALUE"""),"Merge Hijacking: Backdoor Attacks to Model Merging of Large Language Models")</f>
        <v>Merge Hijacking: Backdoor Attacks to Model Merging of Large Language Models</v>
      </c>
      <c r="C3250" s="7" t="str">
        <f>IFERROR(__xludf.DUMMYFUNCTION("""COMPUTED_VALUE"""),"Model merging for Large Language Models (LLMs) directly fuses the parameters of different models finetuned on various tasks, creating a unified model for multi-domain tasks. However, due to potential vulnerabilities in models available on open-source plat"&amp;"forms, model merging is susceptible to backdoor attacks. In this paper, we propose $\textit{Merge Hijacking}$, the first backdoor attack targeting model merging in LLMs. The attacker constructs a malicious upload model and releases it. Once a victim user "&amp;"merges it with any other models, the resulting merged model inherits the backdoor while maintaining utility across tasks. Merge Hijacking defines two main objectives—effectiveness and utility—and achieves them through four steps. Extensive experiments dem"&amp;"onstrate the effectiveness of our attack across different models, merging algorithms, and tasks. Additionally, we show that the attack remains effective even when merging real-world models. Moreover, our attack demonstrates robustness against two inferenc"&amp;"e-time defenses (Paraphrasing and CLEANGEN) and one training-time defense (Fine-pruning).")</f>
        <v>Model merging for Large Language Models (LLMs) directly fuses the parameters of different models finetuned on various tasks, creating a unified model for multi-domain tasks. However, due to potential vulnerabilities in models available on open-source platforms, model merging is susceptible to backdoor attacks. In this paper, we propose $\textit{Merge Hijacking}$, the first backdoor attack targeting model merging in LLMs. The attacker constructs a malicious upload model and releases it. Once a victim user merges it with any other models, the resulting merged model inherits the backdoor while maintaining utility across tasks. Merge Hijacking defines two main objectives—effectiveness and utility—and achieves them through four steps. Extensive experiments demonstrate the effectiveness of our attack across different models, merging algorithms, and tasks. Additionally, we show that the attack remains effective even when merging real-world models. Moreover, our attack demonstrates robustness against two inference-time defenses (Paraphrasing and CLEANGEN) and one training-time defense (Fine-pruning).</v>
      </c>
      <c r="D3250" s="7" t="str">
        <f>IFERROR(__xludf.DUMMYFUNCTION("""COMPUTED_VALUE"""),"Zenghui Yuan")</f>
        <v>Zenghui Yuan</v>
      </c>
      <c r="E3250" s="7" t="str">
        <f>IFERROR(__xludf.DUMMYFUNCTION("""COMPUTED_VALUE"""),"Yes")</f>
        <v>Yes</v>
      </c>
      <c r="F3250" s="7" t="str">
        <f>IFERROR(__xludf.DUMMYFUNCTION("""COMPUTED_VALUE"""),"V-Presentation")</f>
        <v>V-Presentation</v>
      </c>
      <c r="G3250" s="7" t="str">
        <f>IFERROR(__xludf.DUMMYFUNCTION("""COMPUTED_VALUE"""),"Virtual/Gather")</f>
        <v>Virtual/Gather</v>
      </c>
      <c r="H3250" s="7" t="str">
        <f>IFERROR(__xludf.DUMMYFUNCTION("""COMPUTED_VALUE"""),"Zoom")</f>
        <v>Zoom</v>
      </c>
      <c r="I3250" s="7" t="str">
        <f>IFERROR(__xludf.DUMMYFUNCTION("""COMPUTED_VALUE"""),"Session 2: V-Presentations")</f>
        <v>Session 2: V-Presentations</v>
      </c>
      <c r="J3250" s="7" t="str">
        <f>IFERROR(__xludf.DUMMYFUNCTION("""COMPUTED_VALUE"""),"Virtual Presentations 1")</f>
        <v>Virtual Presentations 1</v>
      </c>
      <c r="K3250" s="7"/>
      <c r="L3250" s="8">
        <f>IFERROR(__xludf.DUMMYFUNCTION("""COMPUTED_VALUE"""),45866.0)</f>
        <v>45866</v>
      </c>
      <c r="M3250" s="7" t="str">
        <f>IFERROR(__xludf.DUMMYFUNCTION("""COMPUTED_VALUE"""),"11:00-12:30")</f>
        <v>11:00-12:30</v>
      </c>
      <c r="N3250" s="7"/>
    </row>
    <row r="3251">
      <c r="A3251" s="7" t="str">
        <f>IFERROR(__xludf.DUMMYFUNCTION("""COMPUTED_VALUE"""),"5211-MAIN")</f>
        <v>5211-MAIN</v>
      </c>
      <c r="B3251" s="7" t="str">
        <f>IFERROR(__xludf.DUMMYFUNCTION("""COMPUTED_VALUE"""),"LAMB: A Training-Free Method to Enhance the Long-Context Understanding of SSMs via Attention-Guided Token Filtering")</f>
        <v>LAMB: A Training-Free Method to Enhance the Long-Context Understanding of SSMs via Attention-Guided Token Filtering</v>
      </c>
      <c r="C3251" s="7" t="str">
        <f>IFERROR(__xludf.DUMMYFUNCTION("""COMPUTED_VALUE"""),"State space models (SSMs) achieve efficient sub-quadratic compute complexity but often exhibit significant performance drops as context length increases. Recent work attributes this deterioration to an exponential decay in hidden-state memory. While token"&amp;" filtering has emerged as a promising remedy, its underlying rationale and limitations remain largely non-understood. In this paper, we first investigate the attention patterns of Mamba to shed light on why token filtering alleviates long-context degradat"&amp;"ion. Motivated by these findings, we propose LAMB, a training-free, attention-guided token filtering strategy designed to preserve critical tokens during inference. LAMB can boost long-context performance for both pure SSMs and hybrid models, achieving up"&amp;" to an average improvement of 30.35% over state-of-the-art techniques on standard long-context understanding benchmarks. Our analysis and experiments reveal new insights into the interplay between attention, token selection, and memory retention, and are "&amp;"thus expected to inspire broader applications of token filtering in long-sequence modeling.")</f>
        <v>State space models (SSMs) achieve efficient sub-quadratic compute complexity but often exhibit significant performance drops as context length increases. Recent work attributes this deterioration to an exponential decay in hidden-state memory. While token filtering has emerged as a promising remedy, its underlying rationale and limitations remain largely non-understood. In this paper, we first investigate the attention patterns of Mamba to shed light on why token filtering alleviates long-context degradation. Motivated by these findings, we propose LAMB, a training-free, attention-guided token filtering strategy designed to preserve critical tokens during inference. LAMB can boost long-context performance for both pure SSMs and hybrid models, achieving up to an average improvement of 30.35% over state-of-the-art techniques on standard long-context understanding benchmarks. Our analysis and experiments reveal new insights into the interplay between attention, token selection, and memory retention, and are thus expected to inspire broader applications of token filtering in long-sequence modeling.</v>
      </c>
      <c r="D3251" s="7" t="str">
        <f>IFERROR(__xludf.DUMMYFUNCTION("""COMPUTED_VALUE"""),"Zhifan Ye")</f>
        <v>Zhifan Ye</v>
      </c>
      <c r="E3251" s="7" t="str">
        <f>IFERROR(__xludf.DUMMYFUNCTION("""COMPUTED_VALUE"""),"Yes")</f>
        <v>Yes</v>
      </c>
      <c r="F3251" s="7" t="str">
        <f>IFERROR(__xludf.DUMMYFUNCTION("""COMPUTED_VALUE"""),"V-Presentation")</f>
        <v>V-Presentation</v>
      </c>
      <c r="G3251" s="7" t="str">
        <f>IFERROR(__xludf.DUMMYFUNCTION("""COMPUTED_VALUE"""),"Virtual/Gather")</f>
        <v>Virtual/Gather</v>
      </c>
      <c r="H3251" s="7" t="str">
        <f>IFERROR(__xludf.DUMMYFUNCTION("""COMPUTED_VALUE"""),"Zoom")</f>
        <v>Zoom</v>
      </c>
      <c r="I3251" s="7" t="str">
        <f>IFERROR(__xludf.DUMMYFUNCTION("""COMPUTED_VALUE"""),"Session 10: V-Presenations")</f>
        <v>Session 10: V-Presenations</v>
      </c>
      <c r="J3251" s="7" t="str">
        <f>IFERROR(__xludf.DUMMYFUNCTION("""COMPUTED_VALUE"""),"Virtual Presentations 3")</f>
        <v>Virtual Presentations 3</v>
      </c>
      <c r="K3251" s="7"/>
      <c r="L3251" s="8">
        <f>IFERROR(__xludf.DUMMYFUNCTION("""COMPUTED_VALUE"""),45867.0)</f>
        <v>45867</v>
      </c>
      <c r="M3251" s="7" t="str">
        <f>IFERROR(__xludf.DUMMYFUNCTION("""COMPUTED_VALUE"""),"16:00-17:30")</f>
        <v>16:00-17:30</v>
      </c>
      <c r="N3251" s="7"/>
    </row>
    <row r="3252">
      <c r="A3252" s="7" t="str">
        <f>IFERROR(__xludf.DUMMYFUNCTION("""COMPUTED_VALUE"""),"5215-MAIN")</f>
        <v>5215-MAIN</v>
      </c>
      <c r="B3252" s="7" t="str">
        <f>IFERROR(__xludf.DUMMYFUNCTION("""COMPUTED_VALUE"""),"Where Are We? Evaluating LLM Performance on African Languages")</f>
        <v>Where Are We? Evaluating LLM Performance on African Languages</v>
      </c>
      <c r="C3252" s="7" t="str">
        <f>IFERROR(__xludf.DUMMYFUNCTION("""COMPUTED_VALUE"""),"Africa’s rich linguistic heritage remains underrepresented in NLP, largely due to historical policies that favor foreign languages and create significant data inequities. In this paper, we integrate theoretical insights on Africa’s language landscape with"&amp;" an empirical evaluation using Sahara— a comprehensive benchmark curated from large-scale, publicly accessible datasets capturing the continent’s linguistic diversity. By systematically assessing the performance of leading large language models (LLMs) on "&amp;"Sahara, we demonstrate how policy-induced data variations directly impact model effectiveness across African languages. Our findings reveal that while a few languages perform reasonably well, many Indigenous languages remain marginalized due to sparse dat"&amp;"a. Leveraging these insights, we offer actionable recommendations for policy reforms and inclusive data practices. Overall, our work underscores the urgent need for a dual approach—combining theoretical understanding with empirical evaluation—to foster li"&amp;"nguistic diversity in AI for African communities.")</f>
        <v>Africa’s rich linguistic heritage remains underrepresented in NLP, largely due to historical policies that favor foreign languages and create significant data inequities. In this paper, we integrate theoretical insights on Africa’s language landscape with an empirical evaluation using Sahara— a comprehensive benchmark curated from large-scale, publicly accessible datasets capturing the continent’s linguistic diversity. By systematically assessing the performance of leading large language models (LLMs) on Sahara, we demonstrate how policy-induced data variations directly impact model effectiveness across African languages. Our findings reveal that while a few languages perform reasonably well, many Indigenous languages remain marginalized due to sparse data. Leveraging these insights, we offer actionable recommendations for policy reforms and inclusive data practices. Overall, our work underscores the urgent need for a dual approach—combining theoretical understanding with empirical evaluation—to foster linguistic diversity in AI for African communities.</v>
      </c>
      <c r="D3252" s="7" t="str">
        <f>IFERROR(__xludf.DUMMYFUNCTION("""COMPUTED_VALUE"""),"Muhammad Abdul-Mageed")</f>
        <v>Muhammad Abdul-Mageed</v>
      </c>
      <c r="E3252" s="7" t="str">
        <f>IFERROR(__xludf.DUMMYFUNCTION("""COMPUTED_VALUE"""),"Yes")</f>
        <v>Yes</v>
      </c>
      <c r="F3252" s="7" t="str">
        <f>IFERROR(__xludf.DUMMYFUNCTION("""COMPUTED_VALUE"""),"IP-Poster")</f>
        <v>IP-Poster</v>
      </c>
      <c r="G3252" s="7" t="str">
        <f>IFERROR(__xludf.DUMMYFUNCTION("""COMPUTED_VALUE"""),"In-Person")</f>
        <v>In-Person</v>
      </c>
      <c r="H3252" s="7" t="str">
        <f>IFERROR(__xludf.DUMMYFUNCTION("""COMPUTED_VALUE"""),"Hall 4/5")</f>
        <v>Hall 4/5</v>
      </c>
      <c r="I3252" s="7" t="str">
        <f>IFERROR(__xludf.DUMMYFUNCTION("""COMPUTED_VALUE"""),"Session 7: IP-Posters")</f>
        <v>Session 7: IP-Posters</v>
      </c>
      <c r="J3252" s="7" t="str">
        <f>IFERROR(__xludf.DUMMYFUNCTION("""COMPUTED_VALUE"""),"Poster Session 2")</f>
        <v>Poster Session 2</v>
      </c>
      <c r="K3252" s="7"/>
      <c r="L3252" s="8">
        <f>IFERROR(__xludf.DUMMYFUNCTION("""COMPUTED_VALUE"""),45867.0)</f>
        <v>45867</v>
      </c>
      <c r="M3252" s="7" t="str">
        <f>IFERROR(__xludf.DUMMYFUNCTION("""COMPUTED_VALUE"""),"10:30-12:00")</f>
        <v>10:30-12:00</v>
      </c>
      <c r="N3252" s="7"/>
    </row>
    <row r="3253">
      <c r="A3253" s="7" t="str">
        <f>IFERROR(__xludf.DUMMYFUNCTION("""COMPUTED_VALUE"""),"5218-MAIN")</f>
        <v>5218-MAIN</v>
      </c>
      <c r="B3253" s="7" t="str">
        <f>IFERROR(__xludf.DUMMYFUNCTION("""COMPUTED_VALUE"""),"Beyond Output Matching: Bidirectional Alignment for Enhanced In-Context Learning")</f>
        <v>Beyond Output Matching: Bidirectional Alignment for Enhanced In-Context Learning</v>
      </c>
      <c r="C3253" s="7" t="str">
        <f>IFERROR(__xludf.DUMMYFUNCTION("""COMPUTED_VALUE"""),"Large language models (LLMs) have shown impressive few-shot generalization on many tasks via in-context learning (ICL). Despite their success in showing such emergent abilities, the scale and complexity of larger models also lead to unprecedentedly high c"&amp;"omputational demands and deployment challenges. In reaction, researchers explore transferring the powerful capabilities of larger models to more efficient and compact models by typically aligning the output of smaller (student) models with that of larger "&amp;"(teacher) models. Existing methods either train student models on the generated outputs of teacher models or imitate their token-level probability distributions. However, these distillation methods pay little to no attention to the input, which also plays"&amp;" a crucial role in ICL. Based on the finding that the performance of ICL is highly sensitive to the selection of demonstration examples, we propose Bidirectional Alignment (BiAlign) to fully leverage the models' preferences for ICL examples to improve the"&amp;" ICL abilities of student models. Specifically, we introduce the alignment of input preferences between student and teacher models by incorporating a novel ranking loss, in addition to aligning the token-level output distribution. With extensive experimen"&amp;"ts and analysis, we demonstrate that BiAlign can consistently outperform existing baselines on a variety of tasks involving language understanding, reasoning, and coding.")</f>
        <v>Large language models (LLMs) have shown impressive few-shot generalization on many tasks via in-context learning (ICL). Despite their success in showing such emergent abilities, the scale and complexity of larger models also lead to unprecedentedly high computational demands and deployment challenges. In reaction, researchers explore transferring the powerful capabilities of larger models to more efficient and compact models by typically aligning the output of smaller (student) models with that of larger (teacher) models. Existing methods either train student models on the generated outputs of teacher models or imitate their token-level probability distributions. However, these distillation methods pay little to no attention to the input, which also plays a crucial role in ICL. Based on the finding that the performance of ICL is highly sensitive to the selection of demonstration examples, we propose Bidirectional Alignment (BiAlign) to fully leverage the models' preferences for ICL examples to improve the ICL abilities of student models. Specifically, we introduce the alignment of input preferences between student and teacher models by incorporating a novel ranking loss, in addition to aligning the token-level output distribution. With extensive experiments and analysis, we demonstrate that BiAlign can consistently outperform existing baselines on a variety of tasks involving language understanding, reasoning, and coding.</v>
      </c>
      <c r="D3253" s="7" t="str">
        <f>IFERROR(__xludf.DUMMYFUNCTION("""COMPUTED_VALUE"""),"Chengwei Qin")</f>
        <v>Chengwei Qin</v>
      </c>
      <c r="E3253" s="7" t="str">
        <f>IFERROR(__xludf.DUMMYFUNCTION("""COMPUTED_VALUE"""),"Yes")</f>
        <v>Yes</v>
      </c>
      <c r="F3253" s="7" t="str">
        <f>IFERROR(__xludf.DUMMYFUNCTION("""COMPUTED_VALUE"""),"V-Presentation")</f>
        <v>V-Presentation</v>
      </c>
      <c r="G3253" s="7" t="str">
        <f>IFERROR(__xludf.DUMMYFUNCTION("""COMPUTED_VALUE"""),"Virtual/Gather")</f>
        <v>Virtual/Gather</v>
      </c>
      <c r="H3253" s="7" t="str">
        <f>IFERROR(__xludf.DUMMYFUNCTION("""COMPUTED_VALUE"""),"Zoom")</f>
        <v>Zoom</v>
      </c>
      <c r="I3253" s="7" t="str">
        <f>IFERROR(__xludf.DUMMYFUNCTION("""COMPUTED_VALUE"""),"Session 7: V--Presentations ")</f>
        <v>Session 7: V--Presentations </v>
      </c>
      <c r="J3253" s="7" t="str">
        <f>IFERROR(__xludf.DUMMYFUNCTION("""COMPUTED_VALUE"""),"Virtual Presentations 2")</f>
        <v>Virtual Presentations 2</v>
      </c>
      <c r="K3253" s="7"/>
      <c r="L3253" s="8"/>
      <c r="M3253" s="7" t="str">
        <f>IFERROR(__xludf.DUMMYFUNCTION("""COMPUTED_VALUE"""),"10:30-12:00")</f>
        <v>10:30-12:00</v>
      </c>
      <c r="N3253" s="7"/>
    </row>
    <row r="3254">
      <c r="A3254" s="7" t="str">
        <f>IFERROR(__xludf.DUMMYFUNCTION("""COMPUTED_VALUE"""),"5235-MAIN")</f>
        <v>5235-MAIN</v>
      </c>
      <c r="B3254" s="7" t="str">
        <f>IFERROR(__xludf.DUMMYFUNCTION("""COMPUTED_VALUE"""),"CiteEval: Principle-Driven Citation Evaluation for Source Attribution")</f>
        <v>CiteEval: Principle-Driven Citation Evaluation for Source Attribution</v>
      </c>
      <c r="C3254" s="7" t="str">
        <f>IFERROR(__xludf.DUMMYFUNCTION("""COMPUTED_VALUE"""),"Citation quality is crucial in information-seeking systems, directly influencing trust and the effectiveness of information access. Current evaluation frameworks, both human and automatic, mainly rely on Natural Language Inference (NLI) to assess binary o"&amp;"r ternary supportiveness from cited sources, which we argue is a suboptimal proxy for citation evaluation. In this work we introduce CiteEval, a citation evaluation framework driven by principles focusing on fine-grained citation assessment within a broad"&amp;" context, encompassing not only the cited sources but the full retrieval context, user query, and generated text. Guided by the proposed framework, we construct CiteBench, a multi-domain benchmark with high-quality human annotations on citation quality. T"&amp;"o enable efficient evaluation, we further develop CiteEval-Auto, a suite of model-based metrics that exhibit strong correlation with human judgments. Experiments across diverse systems demonstrate CiteEval-Auto's superior ability to capture the multifacet"&amp;"ed nature of citations compared to existing metrics, offering a principled and scalable approach to evaluate and improve model-generated citations.")</f>
        <v>Citation quality is crucial in information-seeking systems, directly influencing trust and the effectiveness of information access. Current evaluation frameworks, both human and automatic, mainly rely on Natural Language Inference (NLI) to assess binary or ternary supportiveness from cited sources, which we argue is a suboptimal proxy for citation evaluation. In this work we introduce CiteEval, a citation evaluation framework driven by principles focusing on fine-grained citation assessment within a broad context, encompassing not only the cited sources but the full retrieval context, user query, and generated text. Guided by the proposed framework, we construct CiteBench, a multi-domain benchmark with high-quality human annotations on citation quality. To enable efficient evaluation, we further develop CiteEval-Auto, a suite of model-based metrics that exhibit strong correlation with human judgments. Experiments across diverse systems demonstrate CiteEval-Auto's superior ability to capture the multifaceted nature of citations compared to existing metrics, offering a principled and scalable approach to evaluate and improve model-generated citations.</v>
      </c>
      <c r="D3254" s="7" t="str">
        <f>IFERROR(__xludf.DUMMYFUNCTION("""COMPUTED_VALUE"""),"Yumo Xu")</f>
        <v>Yumo Xu</v>
      </c>
      <c r="E3254" s="7" t="str">
        <f>IFERROR(__xludf.DUMMYFUNCTION("""COMPUTED_VALUE"""),"Yes")</f>
        <v>Yes</v>
      </c>
      <c r="F3254" s="7" t="str">
        <f>IFERROR(__xludf.DUMMYFUNCTION("""COMPUTED_VALUE"""),"IP-Poster")</f>
        <v>IP-Poster</v>
      </c>
      <c r="G3254" s="7" t="str">
        <f>IFERROR(__xludf.DUMMYFUNCTION("""COMPUTED_VALUE"""),"In-Person")</f>
        <v>In-Person</v>
      </c>
      <c r="H3254" s="7" t="str">
        <f>IFERROR(__xludf.DUMMYFUNCTION("""COMPUTED_VALUE"""),"Hall 4/5")</f>
        <v>Hall 4/5</v>
      </c>
      <c r="I3254" s="7" t="str">
        <f>IFERROR(__xludf.DUMMYFUNCTION("""COMPUTED_VALUE"""),"Session 7: IP-Posters")</f>
        <v>Session 7: IP-Posters</v>
      </c>
      <c r="J3254" s="7" t="str">
        <f>IFERROR(__xludf.DUMMYFUNCTION("""COMPUTED_VALUE"""),"Poster Session 2")</f>
        <v>Poster Session 2</v>
      </c>
      <c r="K3254" s="7"/>
      <c r="L3254" s="8">
        <f>IFERROR(__xludf.DUMMYFUNCTION("""COMPUTED_VALUE"""),45867.0)</f>
        <v>45867</v>
      </c>
      <c r="M3254" s="7" t="str">
        <f>IFERROR(__xludf.DUMMYFUNCTION("""COMPUTED_VALUE"""),"10:30-12:00")</f>
        <v>10:30-12:00</v>
      </c>
      <c r="N3254" s="7"/>
    </row>
    <row r="3255">
      <c r="A3255" s="7" t="str">
        <f>IFERROR(__xludf.DUMMYFUNCTION("""COMPUTED_VALUE"""),"5239-MAIN")</f>
        <v>5239-MAIN</v>
      </c>
      <c r="B3255" s="7" t="str">
        <f>IFERROR(__xludf.DUMMYFUNCTION("""COMPUTED_VALUE"""),"HiAgent: Hierarchical Working Memory Management for Solving Long-Horizon Agentic Tasks with Large Language Models")</f>
        <v>HiAgent: Hierarchical Working Memory Management for Solving Long-Horizon Agentic Tasks with Large Language Models</v>
      </c>
      <c r="C3255" s="7" t="str">
        <f>IFERROR(__xludf.DUMMYFUNCTION("""COMPUTED_VALUE"""),"Large Language Model (LLM)-based agents exhibit significant potential across various domains, operating as interactive systems that process environmental observations to generate executable actions for target tasks. The effectiveness of these agents is si"&amp;"gnificantly influenced by their memory mechanism, which records historical experiences as sequences of action-observation pairs. We categorize memory into two types: cross-trial memory, accumulated across multiple attempts, and in-trial memory (working me"&amp;"mory), accumulated within a single attempt. While considerable research has optimized performance through cross-trial memory, the enhancement of agent performance through improved working memory utilization remains underexplored. Instead, existing approac"&amp;"hes often involve directly inputting entire historical action-observation pairs into LLMs, leading to redundancy in long-horizon tasks. Inspired by human problem-solving strategies, this paper introduces HiAgent, a framework that leverages subgoals as mem"&amp;"ory chunks to manage the working memory of LLM-based agents hierarchically. Specifically, HiAgent prompts LLMs to formulate subgoals before generating executable actions and enables LLMs to decide proactively to replace previous subgoals with summarized o"&amp;"bservations, retaining only the action-observation pairs relevant to the current subgoal. Experimental results across five long-horizon tasks demonstrate that HiAgent achieves a twofold increase in success rate and reduces the average number of steps requ"&amp;"ired by 3.8. Additionally, our analysis shows that HiAgent consistently improves performance across various steps, highlighting its robustness and generalizability. Code is available in this URL: https://github.com/HiAgent2024/HiAgent")</f>
        <v>Large Language Model (LLM)-based agents exhibit significant potential across various domains, operating as interactive systems that process environmental observations to generate executable actions for target tasks. The effectiveness of these agents is significantly influenced by their memory mechanism, which records historical experiences as sequences of action-observation pairs. We categorize memory into two types: cross-trial memory, accumulated across multiple attempts, and in-trial memory (working memory), accumulated within a single attempt. While considerable research has optimized performance through cross-trial memory, the enhancement of agent performance through improved working memory utilization remains underexplored. Instead, existing approaches often involve directly inputting entire historical action-observation pairs into LLMs, leading to redundancy in long-horizon tasks. Inspired by human problem-solving strategies, this paper introduces HiAgent, a framework that leverages subgoals as memory chunks to manage the working memory of LLM-based agents hierarchically. Specifically, HiAgent prompts LLMs to formulate subgoals before generating executable actions and enables LLMs to decide proactively to replace previous subgoals with summarized observations, retaining only the action-observation pairs relevant to the current subgoal. Experimental results across five long-horizon tasks demonstrate that HiAgent achieves a twofold increase in success rate and reduces the average number of steps required by 3.8. Additionally, our analysis shows that HiAgent consistently improves performance across various steps, highlighting its robustness and generalizability. Code is available in this URL: https://github.com/HiAgent2024/HiAgent</v>
      </c>
      <c r="D3255" s="7" t="str">
        <f>IFERROR(__xludf.DUMMYFUNCTION("""COMPUTED_VALUE"""),"Mengkang Hu")</f>
        <v>Mengkang Hu</v>
      </c>
      <c r="E3255" s="7" t="str">
        <f>IFERROR(__xludf.DUMMYFUNCTION("""COMPUTED_VALUE"""),"Yes")</f>
        <v>Yes</v>
      </c>
      <c r="F3255" s="7" t="str">
        <f>IFERROR(__xludf.DUMMYFUNCTION("""COMPUTED_VALUE"""),"IP-Poster")</f>
        <v>IP-Poster</v>
      </c>
      <c r="G3255" s="7" t="str">
        <f>IFERROR(__xludf.DUMMYFUNCTION("""COMPUTED_VALUE"""),"In-Person")</f>
        <v>In-Person</v>
      </c>
      <c r="H3255" s="7" t="str">
        <f>IFERROR(__xludf.DUMMYFUNCTION("""COMPUTED_VALUE"""),"Hall 4/5")</f>
        <v>Hall 4/5</v>
      </c>
      <c r="I3255" s="7" t="str">
        <f>IFERROR(__xludf.DUMMYFUNCTION("""COMPUTED_VALUE"""),"Session 7: IP-Posters")</f>
        <v>Session 7: IP-Posters</v>
      </c>
      <c r="J3255" s="7" t="str">
        <f>IFERROR(__xludf.DUMMYFUNCTION("""COMPUTED_VALUE"""),"Poster Session 2")</f>
        <v>Poster Session 2</v>
      </c>
      <c r="K3255" s="7"/>
      <c r="L3255" s="8">
        <f>IFERROR(__xludf.DUMMYFUNCTION("""COMPUTED_VALUE"""),45867.0)</f>
        <v>45867</v>
      </c>
      <c r="M3255" s="7" t="str">
        <f>IFERROR(__xludf.DUMMYFUNCTION("""COMPUTED_VALUE"""),"10:30-12:00")</f>
        <v>10:30-12:00</v>
      </c>
      <c r="N3255" s="7"/>
    </row>
    <row r="3256">
      <c r="A3256" s="7" t="str">
        <f>IFERROR(__xludf.DUMMYFUNCTION("""COMPUTED_VALUE"""),"5245-MAIN")</f>
        <v>5245-MAIN</v>
      </c>
      <c r="B3256" s="7" t="str">
        <f>IFERROR(__xludf.DUMMYFUNCTION("""COMPUTED_VALUE"""),"Counterfactual-Consistency Prompting for Relative Temporal Understanding in Large Language Models")</f>
        <v>Counterfactual-Consistency Prompting for Relative Temporal Understanding in Large Language Models</v>
      </c>
      <c r="C3256" s="7" t="str">
        <f>IFERROR(__xludf.DUMMYFUNCTION("""COMPUTED_VALUE"""),"Despite the advanced capabilities of large language models (LLMs), their temporal reasoning ability remains underdeveloped. Prior works have highlighted this limitation, particularly in maintaining temporal consistency when understanding event relations. "&amp;"For example, models often confuse mutually exclusive temporal relations like “before” and “after” between events and make inconsistent predictions. In this work, we tackle the issue of temporal inconsistency in LLMs by proposing a novel counterfactual pro"&amp;"mpting approach. Our method generates counterfactual questions and enforces collective constraints, enhancing the model’s consistency. We evaluate our method on multiple datasets, demonstrating significant improvements in event ordering for explicit and i"&amp;"mplicit events and temporal commonsense understanding, by effectively addressing temporal inconsistencies.")</f>
        <v>Despite the advanced capabilities of large language models (LLMs), their temporal reasoning ability remains underdeveloped. Prior works have highlighted this limitation, particularly in maintaining temporal consistency when understanding event relations. For example, models often confuse mutually exclusive temporal relations like “before” and “after” between events and make inconsistent predictions. In this work, we tackle the issue of temporal inconsistency in LLMs by proposing a novel counterfactual prompting approach. Our method generates counterfactual questions and enforces collective constraints, enhancing the model’s consistency. We evaluate our method on multiple datasets, demonstrating significant improvements in event ordering for explicit and implicit events and temporal commonsense understanding, by effectively addressing temporal inconsistencies.</v>
      </c>
      <c r="D3256" s="7" t="str">
        <f>IFERROR(__xludf.DUMMYFUNCTION("""COMPUTED_VALUE"""),"Jongho Kim")</f>
        <v>Jongho Kim</v>
      </c>
      <c r="E3256" s="7" t="str">
        <f>IFERROR(__xludf.DUMMYFUNCTION("""COMPUTED_VALUE"""),"Yes")</f>
        <v>Yes</v>
      </c>
      <c r="F3256" s="7" t="str">
        <f>IFERROR(__xludf.DUMMYFUNCTION("""COMPUTED_VALUE"""),"IP-Poster")</f>
        <v>IP-Poster</v>
      </c>
      <c r="G3256" s="7" t="str">
        <f>IFERROR(__xludf.DUMMYFUNCTION("""COMPUTED_VALUE"""),"In-Person")</f>
        <v>In-Person</v>
      </c>
      <c r="H3256" s="7" t="str">
        <f>IFERROR(__xludf.DUMMYFUNCTION("""COMPUTED_VALUE"""),"Hall 4/5")</f>
        <v>Hall 4/5</v>
      </c>
      <c r="I3256" s="7" t="str">
        <f>IFERROR(__xludf.DUMMYFUNCTION("""COMPUTED_VALUE"""),"Session 7: IP-Posters")</f>
        <v>Session 7: IP-Posters</v>
      </c>
      <c r="J3256" s="7" t="str">
        <f>IFERROR(__xludf.DUMMYFUNCTION("""COMPUTED_VALUE"""),"Poster Session 2")</f>
        <v>Poster Session 2</v>
      </c>
      <c r="K3256" s="7"/>
      <c r="L3256" s="8">
        <f>IFERROR(__xludf.DUMMYFUNCTION("""COMPUTED_VALUE"""),45867.0)</f>
        <v>45867</v>
      </c>
      <c r="M3256" s="7" t="str">
        <f>IFERROR(__xludf.DUMMYFUNCTION("""COMPUTED_VALUE"""),"10:30-12:00")</f>
        <v>10:30-12:00</v>
      </c>
      <c r="N3256" s="7"/>
    </row>
    <row r="3257">
      <c r="A3257" s="7" t="str">
        <f>IFERROR(__xludf.DUMMYFUNCTION("""COMPUTED_VALUE"""),"5247-MAIN")</f>
        <v>5247-MAIN</v>
      </c>
      <c r="B3257" s="7" t="str">
        <f>IFERROR(__xludf.DUMMYFUNCTION("""COMPUTED_VALUE"""),"EducationQ: Evaluating LLMs' Teaching Capabilities Through Multi-Agent Dialogue Framework")</f>
        <v>EducationQ: Evaluating LLMs' Teaching Capabilities Through Multi-Agent Dialogue Framework</v>
      </c>
      <c r="C3257" s="7" t="str">
        <f>IFERROR(__xludf.DUMMYFUNCTION("""COMPUTED_VALUE"""),"Large Language Models (LLMs) increasingly serve as educational tools, yet evaluating their teaching capabilities remains challenging due to the resource-intensive, context-dependent, and methodologically complex nature of teacher-student interactions. We "&amp;"introduce EducationQ, a multi-agent dialogue framework that efficiently assesses teaching capabilities through simulated dynamic educational scenarios, featuring specialized agents for teaching, learning, and evaluation. Testing 14 LLMs across major AI Or"&amp;"ganizations (OpenAI, Meta, Google, Anthropic, and others) on 1,498 questions spanning 13 disciplines and 10 difficulty levels reveals that teaching effectiveness does not correlate linearly with model scale or general reasoning capabilities - with some sm"&amp;"aller open-source models outperforming larger commercial counterparts in teaching contexts. This finding highlights a critical gap in current evaluations that prioritize knowledge recall over interactive pedagogy. Our mixed-methods evaluation, combining q"&amp;"uantitative metrics with qualitative analysis and expert case studies, identifies distinct pedagogical strengths employed by top-performing models (e.g., sophisticated questioning strategies, adaptive feedback mechanisms). Human expert evaluations show 78"&amp;"% agreement with our automated qualitative analysis of effective teaching behaviors, validating our methodology. EducationQ demonstrates that LLMs-as-Teachers require specialized optimization beyond simple scaling, suggesting next-generation educational A"&amp;"I prioritize targeted enhancement of specific pedagogical effectiveness.")</f>
        <v>Large Language Models (LLMs) increasingly serve as educational tools, yet evaluating their teaching capabilities remains challenging due to the resource-intensive, context-dependent, and methodologically complex nature of teacher-student interactions. We introduce EducationQ, a multi-agent dialogue framework that efficiently assesses teaching capabilities through simulated dynamic educational scenarios, featuring specialized agents for teaching, learning, and evaluation. Testing 14 LLMs across major AI Organizations (OpenAI, Meta, Google, Anthropic, and others) on 1,498 questions spanning 13 disciplines and 10 difficulty levels reveals that teaching effectiveness does not correlate linearly with model scale or general reasoning capabilities - with some smaller open-source models outperforming larger commercial counterparts in teaching contexts. This finding highlights a critical gap in current evaluations that prioritize knowledge recall over interactive pedagogy. Our mixed-methods evaluation, combining quantitative metrics with qualitative analysis and expert case studies, identifies distinct pedagogical strengths employed by top-performing models (e.g., sophisticated questioning strategies, adaptive feedback mechanisms). Human expert evaluations show 78% agreement with our automated qualitative analysis of effective teaching behaviors, validating our methodology. EducationQ demonstrates that LLMs-as-Teachers require specialized optimization beyond simple scaling, suggesting next-generation educational AI prioritize targeted enhancement of specific pedagogical effectiveness.</v>
      </c>
      <c r="D3257" s="7" t="str">
        <f>IFERROR(__xludf.DUMMYFUNCTION("""COMPUTED_VALUE"""),"Yao Shi")</f>
        <v>Yao Shi</v>
      </c>
      <c r="E3257" s="7" t="str">
        <f>IFERROR(__xludf.DUMMYFUNCTION("""COMPUTED_VALUE"""),"Yes")</f>
        <v>Yes</v>
      </c>
      <c r="F3257" s="7" t="str">
        <f>IFERROR(__xludf.DUMMYFUNCTION("""COMPUTED_VALUE"""),"IP-Poster")</f>
        <v>IP-Poster</v>
      </c>
      <c r="G3257" s="7" t="str">
        <f>IFERROR(__xludf.DUMMYFUNCTION("""COMPUTED_VALUE"""),"In-Person")</f>
        <v>In-Person</v>
      </c>
      <c r="H3257" s="7" t="str">
        <f>IFERROR(__xludf.DUMMYFUNCTION("""COMPUTED_VALUE"""),"Hall 4/5")</f>
        <v>Hall 4/5</v>
      </c>
      <c r="I3257" s="7" t="str">
        <f>IFERROR(__xludf.DUMMYFUNCTION("""COMPUTED_VALUE"""),"Session 2: IP-Posters ")</f>
        <v>Session 2: IP-Posters </v>
      </c>
      <c r="J3257" s="7" t="str">
        <f>IFERROR(__xludf.DUMMYFUNCTION("""COMPUTED_VALUE"""),"Poster Session 1")</f>
        <v>Poster Session 1</v>
      </c>
      <c r="K3257" s="7"/>
      <c r="L3257" s="8">
        <f>IFERROR(__xludf.DUMMYFUNCTION("""COMPUTED_VALUE"""),45866.0)</f>
        <v>45866</v>
      </c>
      <c r="M3257" s="7" t="str">
        <f>IFERROR(__xludf.DUMMYFUNCTION("""COMPUTED_VALUE"""),"11:00-12:30")</f>
        <v>11:00-12:30</v>
      </c>
      <c r="N3257" s="7"/>
    </row>
    <row r="3258">
      <c r="A3258" s="7" t="str">
        <f>IFERROR(__xludf.DUMMYFUNCTION("""COMPUTED_VALUE"""),"5263-MAIN")</f>
        <v>5263-MAIN</v>
      </c>
      <c r="B3258" s="7" t="str">
        <f>IFERROR(__xludf.DUMMYFUNCTION("""COMPUTED_VALUE"""),"KRISTEVA: Close Reading as a Novel Task for Benchmarking Interpretive Reasoning")</f>
        <v>KRISTEVA: Close Reading as a Novel Task for Benchmarking Interpretive Reasoning</v>
      </c>
      <c r="C3258" s="7" t="str">
        <f>IFERROR(__xludf.DUMMYFUNCTION("""COMPUTED_VALUE"""),"Each year, tens of millions of essays are written and graded in college-level English courses. Students are asked to analyze literary and cultural texts through a process known as close reading, where they gather textual details from which to formulate ev"&amp;"idence-based arguments. Despite being viewed as a basis for critical thinking and widely adopted as a required element of university coursework, close reading has never been evaluated on large language models (LLMs), and multi-discipline benchmarks like M"&amp;"MLU do not include literature as a subject. To fill this gap, we present KRISTEVA, the first close reading benchmark for evaluating interpretive reasoning, consisting of 1331 multiple-choice questions adapted from classroom data. With KRISTEVA, we propose"&amp;" three progressively more difficult sets of tasks to approximate different elements of the close reading process, which we use to test how well LLMs understand and reason about literary works: 1) extracting stylistic features, 2) retrieving relevant conte"&amp;"xtual information from parametric knowledge, and 3) multi-hop reasoning between style and external contexts. Our baseline results find that while state-of-the-art LLMs possess some college-level close reading competency (accuracy 49.7% - 69.7%), their per"&amp;"formances still trail those of experienced human evaluators on 10 out of our 11 tasks.")</f>
        <v>Each year, tens of millions of essays are written and graded in college-level English courses. Students are asked to analyze literary and cultural texts through a process known as close reading, where they gather textual details from which to formulate evidence-based arguments. Despite being viewed as a basis for critical thinking and widely adopted as a required element of university coursework, close reading has never been evaluated on large language models (LLMs), and multi-discipline benchmarks like MMLU do not include literature as a subject. To fill this gap, we present KRISTEVA, the first close reading benchmark for evaluating interpretive reasoning, consisting of 1331 multiple-choice questions adapted from classroom data. With KRISTEVA, we propose three progressively more difficult sets of tasks to approximate different elements of the close reading process, which we use to test how well LLMs understand and reason about literary works: 1) extracting stylistic features, 2) retrieving relevant contextual information from parametric knowledge, and 3) multi-hop reasoning between style and external contexts. Our baseline results find that while state-of-the-art LLMs possess some college-level close reading competency (accuracy 49.7% - 69.7%), their performances still trail those of experienced human evaluators on 10 out of our 11 tasks.</v>
      </c>
      <c r="D3258" s="7" t="str">
        <f>IFERROR(__xludf.DUMMYFUNCTION("""COMPUTED_VALUE"""),"Peiqi Sui")</f>
        <v>Peiqi Sui</v>
      </c>
      <c r="E3258" s="7" t="str">
        <f>IFERROR(__xludf.DUMMYFUNCTION("""COMPUTED_VALUE"""),"Yes")</f>
        <v>Yes</v>
      </c>
      <c r="F3258" s="7" t="str">
        <f>IFERROR(__xludf.DUMMYFUNCTION("""COMPUTED_VALUE"""),"IP-Poster")</f>
        <v>IP-Poster</v>
      </c>
      <c r="G3258" s="7" t="str">
        <f>IFERROR(__xludf.DUMMYFUNCTION("""COMPUTED_VALUE"""),"In-Person")</f>
        <v>In-Person</v>
      </c>
      <c r="H3258" s="7" t="str">
        <f>IFERROR(__xludf.DUMMYFUNCTION("""COMPUTED_VALUE"""),"Hall 4/5")</f>
        <v>Hall 4/5</v>
      </c>
      <c r="I3258" s="7" t="str">
        <f>IFERROR(__xludf.DUMMYFUNCTION("""COMPUTED_VALUE"""),"Session 12: IP-Posters")</f>
        <v>Session 12: IP-Posters</v>
      </c>
      <c r="J3258" s="7" t="str">
        <f>IFERROR(__xludf.DUMMYFUNCTION("""COMPUTED_VALUE"""),"Poster Session 4")</f>
        <v>Poster Session 4</v>
      </c>
      <c r="K3258" s="7"/>
      <c r="L3258" s="8">
        <f>IFERROR(__xludf.DUMMYFUNCTION("""COMPUTED_VALUE"""),45868.0)</f>
        <v>45868</v>
      </c>
      <c r="M3258" s="7" t="str">
        <f>IFERROR(__xludf.DUMMYFUNCTION("""COMPUTED_VALUE"""),"11:00-12:30")</f>
        <v>11:00-12:30</v>
      </c>
      <c r="N3258" s="7"/>
    </row>
    <row r="3259">
      <c r="A3259" s="7" t="str">
        <f>IFERROR(__xludf.DUMMYFUNCTION("""COMPUTED_VALUE"""),"5270-MAIN")</f>
        <v>5270-MAIN</v>
      </c>
      <c r="B3259" s="7" t="str">
        <f>IFERROR(__xludf.DUMMYFUNCTION("""COMPUTED_VALUE"""),"Efficient Domain Continual pretraining by Mitigating the Stability Gap")</f>
        <v>Efficient Domain Continual pretraining by Mitigating the Stability Gap</v>
      </c>
      <c r="C3259" s="7" t="str">
        <f>IFERROR(__xludf.DUMMYFUNCTION("""COMPUTED_VALUE"""),"Continual pretraining enables Large Language Models (LLMs) to adapt to specialized domains like medicine and law. However, we observe a consistent phenomenon across different model sizes and domains: a temporary performance drop at the start of the contin"&amp;"ual pretraining process, followed by a performance recovery phase. To gain a deeper understanding of this issue, we use the stability gap— a concept adapted from the visual domain—which explains this initial drop arises from instability in the model’s gen"&amp;"eral abilities. We validate this hypothesis through a series of experiments. To address this initial instability and enhance LLM performance within a fixed compute budget, we propose a training strategy that mitigates instability by increasing the number "&amp;"of epochs, alongside two data sampling strategies targeting data domain relevance and corpus distribution. We conduct experiments on Llama-family models to validate the effectiveness of our strategies for continual pretraining and instruction tuning in me"&amp;"dical and legal domains. Our strategies improve the average medical task performance of the OpenLlama-3B model from 36.2% to 40.7% using only 40% of the original training budget, while also enhancing general task performance without causing forgetting. Fu"&amp;"rthermore, we aPPLy our strategies to continually pre-train and instruction-tune the Llama-3-8B model. The resulting model, Llama-3-Physician, achieves the best medical performance among open-source models on several benchmarks and rivals GPT-4 on specifi"&amp;"c tasks. We release our models at https://huggingface.co/YiDuo1999/Llama-3-Physician-8B-Instruct.")</f>
        <v>Continual pretraining enables Large Language Models (LLMs) to adapt to specialized domains like medicine and law. However, we observe a consistent phenomenon across different model sizes and domains: a temporary performance drop at the start of the continual pretraining process, followed by a performance recovery phase. To gain a deeper understanding of this issue, we use the stability gap— a concept adapted from the visual domain—which explains this initial drop arises from instability in the model’s general abilities. We validate this hypothesis through a series of experiments. To address this initial instability and enhance LLM performance within a fixed compute budget, we propose a training strategy that mitigates instability by increasing the number of epochs, alongside two data sampling strategies targeting data domain relevance and corpus distribution. We conduct experiments on Llama-family models to validate the effectiveness of our strategies for continual pretraining and instruction tuning in medical and legal domains. Our strategies improve the average medical task performance of the OpenLlama-3B model from 36.2% to 40.7% using only 40% of the original training budget, while also enhancing general task performance without causing forgetting. Furthermore, we aPPLy our strategies to continually pre-train and instruction-tune the Llama-3-8B model. The resulting model, Llama-3-Physician, achieves the best medical performance among open-source models on several benchmarks and rivals GPT-4 on specific tasks. We release our models at https://huggingface.co/YiDuo1999/Llama-3-Physician-8B-Instruct.</v>
      </c>
      <c r="D3259" s="7" t="str">
        <f>IFERROR(__xludf.DUMMYFUNCTION("""COMPUTED_VALUE"""),"Yiduo Guo")</f>
        <v>Yiduo Guo</v>
      </c>
      <c r="E3259" s="7" t="str">
        <f>IFERROR(__xludf.DUMMYFUNCTION("""COMPUTED_VALUE"""),"Yes")</f>
        <v>Yes</v>
      </c>
      <c r="F3259" s="7" t="str">
        <f>IFERROR(__xludf.DUMMYFUNCTION("""COMPUTED_VALUE"""),"IP-Poster")</f>
        <v>IP-Poster</v>
      </c>
      <c r="G3259" s="7" t="str">
        <f>IFERROR(__xludf.DUMMYFUNCTION("""COMPUTED_VALUE"""),"In-Person")</f>
        <v>In-Person</v>
      </c>
      <c r="H3259" s="7" t="str">
        <f>IFERROR(__xludf.DUMMYFUNCTION("""COMPUTED_VALUE"""),"Hall 4/5")</f>
        <v>Hall 4/5</v>
      </c>
      <c r="I3259" s="7" t="str">
        <f>IFERROR(__xludf.DUMMYFUNCTION("""COMPUTED_VALUE"""),"Session 12: IP-Posters")</f>
        <v>Session 12: IP-Posters</v>
      </c>
      <c r="J3259" s="7" t="str">
        <f>IFERROR(__xludf.DUMMYFUNCTION("""COMPUTED_VALUE"""),"Poster Session 4")</f>
        <v>Poster Session 4</v>
      </c>
      <c r="K3259" s="7"/>
      <c r="L3259" s="8">
        <f>IFERROR(__xludf.DUMMYFUNCTION("""COMPUTED_VALUE"""),45868.0)</f>
        <v>45868</v>
      </c>
      <c r="M3259" s="7" t="str">
        <f>IFERROR(__xludf.DUMMYFUNCTION("""COMPUTED_VALUE"""),"11:00-12:30")</f>
        <v>11:00-12:30</v>
      </c>
      <c r="N3259" s="7"/>
    </row>
    <row r="3260">
      <c r="A3260" s="7" t="str">
        <f>IFERROR(__xludf.DUMMYFUNCTION("""COMPUTED_VALUE"""),"5296-MAIN")</f>
        <v>5296-MAIN</v>
      </c>
      <c r="B3260" s="7" t="str">
        <f>IFERROR(__xludf.DUMMYFUNCTION("""COMPUTED_VALUE"""),"Palm: A Culturally Inclusive and Linguistically Diverse Dataset for Arabic LLMs")</f>
        <v>Palm: A Culturally Inclusive and Linguistically Diverse Dataset for Arabic LLMs</v>
      </c>
      <c r="C3260" s="7" t="str">
        <f>IFERROR(__xludf.DUMMYFUNCTION("""COMPUTED_VALUE"""),"As large language models (LLMs) become increasingly integrated into daily life, ensuring their cultural sensitivity and inclusivity is paramount. We introduce PALM, a year-long community-driven project covering all 22 Arab countries. The dataset contains "&amp;"instruction–response pairs in both Modern Standard Arabic (MSA) and dialectal Arabic (DA), spanning 20 diverse topics. Built by a team of 44 researchers across the Arab world—each an author of this paper—PALM offers a broad, inclusive perspective. We use "&amp;"PALM to evaluate the cultural and dialectal capabilities of several frontier LLMs, revealing notable limitations: while closed-source LLMs generally perform strongly, they still exhibit flaws, and smaller open-source models face greater challenges. Furthe"&amp;"rmore, certain countries (e.g., Egypt, the UAE) appear better represented than others (e.g., Iraq, Mauritania, Yemen). Our annotation guidelines, code, and data are publicly available for reproducibility. More information about PALM is available on our pr"&amp;"oject page: https://github.com/UBC-NLP/palm.")</f>
        <v>As large language models (LLMs) become increasingly integrated into daily life, ensuring their cultural sensitivity and inclusivity is paramount. We introduce PALM, a year-long community-driven project covering all 22 Arab countries. The dataset contains instruction–response pairs in both Modern Standard Arabic (MSA) and dialectal Arabic (DA), spanning 20 diverse topics. Built by a team of 44 researchers across the Arab world—each an author of this paper—PALM offers a broad, inclusive perspective. We use PALM to evaluate the cultural and dialectal capabilities of several frontier LLMs, revealing notable limitations: while closed-source LLMs generally perform strongly, they still exhibit flaws, and smaller open-source models face greater challenges. Furthermore, certain countries (e.g., Egypt, the UAE) appear better represented than others (e.g., Iraq, Mauritania, Yemen). Our annotation guidelines, code, and data are publicly available for reproducibility. More information about PALM is available on our project page: https://github.com/UBC-NLP/palm.</v>
      </c>
      <c r="D3260" s="7" t="str">
        <f>IFERROR(__xludf.DUMMYFUNCTION("""COMPUTED_VALUE"""),"Muhammad Abdul-Mageed")</f>
        <v>Muhammad Abdul-Mageed</v>
      </c>
      <c r="E3260" s="7" t="str">
        <f>IFERROR(__xludf.DUMMYFUNCTION("""COMPUTED_VALUE"""),"Yes")</f>
        <v>Yes</v>
      </c>
      <c r="F3260" s="7" t="str">
        <f>IFERROR(__xludf.DUMMYFUNCTION("""COMPUTED_VALUE"""),"IP-Oral")</f>
        <v>IP-Oral</v>
      </c>
      <c r="G3260" s="7" t="str">
        <f>IFERROR(__xludf.DUMMYFUNCTION("""COMPUTED_VALUE"""),"In-Person")</f>
        <v>In-Person</v>
      </c>
      <c r="H3260" s="7" t="str">
        <f>IFERROR(__xludf.DUMMYFUNCTION("""COMPUTED_VALUE"""),"Hall C")</f>
        <v>Hall C</v>
      </c>
      <c r="I3260" s="7" t="str">
        <f>IFERROR(__xludf.DUMMYFUNCTION("""COMPUTED_VALUE"""),"Session 11: IP-Orals ")</f>
        <v>Session 11: IP-Orals </v>
      </c>
      <c r="J3260" s="7" t="str">
        <f>IFERROR(__xludf.DUMMYFUNCTION("""COMPUTED_VALUE"""),"Panel 3: Human-centred NLP")</f>
        <v>Panel 3: Human-centred NLP</v>
      </c>
      <c r="K3260" s="7"/>
      <c r="L3260" s="8">
        <f>IFERROR(__xludf.DUMMYFUNCTION("""COMPUTED_VALUE"""),45868.0)</f>
        <v>45868</v>
      </c>
      <c r="M3260" s="7" t="str">
        <f>IFERROR(__xludf.DUMMYFUNCTION("""COMPUTED_VALUE"""),"09:00-10:30")</f>
        <v>09:00-10:30</v>
      </c>
      <c r="N3260" s="7">
        <f>IFERROR(__xludf.DUMMYFUNCTION("""COMPUTED_VALUE"""),5.0)</f>
        <v>5</v>
      </c>
    </row>
    <row r="3261">
      <c r="A3261" s="7" t="str">
        <f>IFERROR(__xludf.DUMMYFUNCTION("""COMPUTED_VALUE"""),"5297-MAIN")</f>
        <v>5297-MAIN</v>
      </c>
      <c r="B3261" s="7" t="str">
        <f>IFERROR(__xludf.DUMMYFUNCTION("""COMPUTED_VALUE"""),"NewsInterview: a Dataset and a Playground to Evaluate LLMs' Grounding Gap via Informational Interviews")</f>
        <v>NewsInterview: a Dataset and a Playground to Evaluate LLMs' Grounding Gap via Informational Interviews</v>
      </c>
      <c r="C3261" s="7" t="str">
        <f>IFERROR(__xludf.DUMMYFUNCTION("""COMPUTED_VALUE"""),"Large Language Models (LLMs) have demonstrated impressive capabilities in generating coherent text but often struggle with grounding language and strategic dialogue. To address this gap, we focus on journalistic interviews, a domain rich in grounding comm"&amp;"unication and abundant in data. We curate a dataset of 40,000 two-person informational interviews from NPR and CNN, and reveal that LLMs are significantly less likely than human interviewers to use acknowledgements and to pivot to higher-level questions. "&amp;"Realizing that a fundamental deficit exists in multi-turn planning and strategic thinking, we develop a realistic simulated environment, incorporating source personas and persuasive elements, in order to facilitate the development of agents with longer-ho"&amp;"rizon rewards. Our experiments show that while source LLMs mimic human behavior in information sharing, interviewer LLMs struggle with recognizing when questions are answered and engaging persuasively, leading to suboptimal information extraction across m"&amp;"odel size and capability. These findings underscore the need for enhancing LLMs' strategic dialogue capabilities.")</f>
        <v>Large Language Models (LLMs) have demonstrated impressive capabilities in generating coherent text but often struggle with grounding language and strategic dialogue. To address this gap, we focus on journalistic interviews, a domain rich in grounding communication and abundant in data. We curate a dataset of 40,000 two-person informational interviews from NPR and CNN, and reveal that LLMs are significantly less likely than human interviewers to use acknowledgements and to pivot to higher-level questions. Realizing that a fundamental deficit exists in multi-turn planning and strategic thinking, we develop a realistic simulated environment, incorporating source personas and persuasive elements, in order to facilitate the development of agents with longer-horizon rewards. Our experiments show that while source LLMs mimic human behavior in information sharing, interviewer LLMs struggle with recognizing when questions are answered and engaging persuasively, leading to suboptimal information extraction across model size and capability. These findings underscore the need for enhancing LLMs' strategic dialogue capabilities.</v>
      </c>
      <c r="D3261" s="7" t="str">
        <f>IFERROR(__xludf.DUMMYFUNCTION("""COMPUTED_VALUE"""),"Alexander Spangher")</f>
        <v>Alexander Spangher</v>
      </c>
      <c r="E3261" s="7" t="str">
        <f>IFERROR(__xludf.DUMMYFUNCTION("""COMPUTED_VALUE"""),"Yes")</f>
        <v>Yes</v>
      </c>
      <c r="F3261" s="7" t="str">
        <f>IFERROR(__xludf.DUMMYFUNCTION("""COMPUTED_VALUE"""),"IP-Oral")</f>
        <v>IP-Oral</v>
      </c>
      <c r="G3261" s="7" t="str">
        <f>IFERROR(__xludf.DUMMYFUNCTION("""COMPUTED_VALUE"""),"In-Person")</f>
        <v>In-Person</v>
      </c>
      <c r="H3261" s="7" t="str">
        <f>IFERROR(__xludf.DUMMYFUNCTION("""COMPUTED_VALUE"""),"Room 1.85")</f>
        <v>Room 1.85</v>
      </c>
      <c r="I3261" s="7" t="str">
        <f>IFERROR(__xludf.DUMMYFUNCTION("""COMPUTED_VALUE"""),"Session 9: IP-Orals")</f>
        <v>Session 9: IP-Orals</v>
      </c>
      <c r="J3261" s="7" t="str">
        <f>IFERROR(__xludf.DUMMYFUNCTION("""COMPUTED_VALUE"""),"Computational Social Science and Cultural Analytics")</f>
        <v>Computational Social Science and Cultural Analytics</v>
      </c>
      <c r="K3261" s="7"/>
      <c r="L3261" s="8">
        <f>IFERROR(__xludf.DUMMYFUNCTION("""COMPUTED_VALUE"""),45867.0)</f>
        <v>45867</v>
      </c>
      <c r="M3261" s="7" t="str">
        <f>IFERROR(__xludf.DUMMYFUNCTION("""COMPUTED_VALUE"""),"14:00-15:30")</f>
        <v>14:00-15:30</v>
      </c>
      <c r="N3261" s="7">
        <f>IFERROR(__xludf.DUMMYFUNCTION("""COMPUTED_VALUE"""),6.0)</f>
        <v>6</v>
      </c>
    </row>
    <row r="3262">
      <c r="A3262" s="7" t="str">
        <f>IFERROR(__xludf.DUMMYFUNCTION("""COMPUTED_VALUE"""),"5299-MAIN")</f>
        <v>5299-MAIN</v>
      </c>
      <c r="B3262" s="7" t="str">
        <f>IFERROR(__xludf.DUMMYFUNCTION("""COMPUTED_VALUE"""),"CFBench: A Comprehensive Constraints-Following Benchmark for LLMs")</f>
        <v>CFBench: A Comprehensive Constraints-Following Benchmark for LLMs</v>
      </c>
      <c r="C3262" s="7" t="str">
        <f>IFERROR(__xludf.DUMMYFUNCTION("""COMPUTED_VALUE"""),"The adeptness of Large Language Models (LLMs) in comprehending and following natural language instructions is critical for their deployment in sophisticated real-world applications. Existing evaluations mainly focus on fragmented constraints or narrow sce"&amp;"narios, but they overlook the comprehensiveness and authenticity of constraints from the user's perspective. To bridge this gap, we propose CFBench, a large-scale Chinese Comprehensive Constraints Following Benchmark for LLMs, featuring 1,000 curated samp"&amp;"les that cover more than 200 real-life scenarios and over 50 NLP tasks. CFBench meticulously compiles constraints from real-world instructions and constructs an innovative systematic framework for constraint types, which includes 10 primary categories and"&amp;" over 25 subcategories, and ensures each constraint is seamlessly integrated within the instructions. To make certain that the evaluation of LLM outputs aligns with user perceptions, we propose an advanced methodology that integrates multi-dimensional ass"&amp;"essment criteria with requirement prioritization, covering various perspectives of constraints, instructions, and requirement fulfillment. Evaluating current leading LLMs on CFBench reveals substantial room for improvement in constraints following, and we"&amp;" further investigate influencing factors and enhancement strategies. The data and code will be made available.")</f>
        <v>The adeptness of Large Language Models (LLMs) in comprehending and following natural language instructions is critical for their deployment in sophisticated real-world applications. Existing evaluations mainly focus on fragmented constraints or narrow scenarios, but they overlook the comprehensiveness and authenticity of constraints from the user's perspective. To bridge this gap, we propose CFBench, a large-scale Chinese Comprehensive Constraints Following Benchmark for LLMs, featuring 1,000 curated samples that cover more than 200 real-life scenarios and over 50 NLP tasks. CFBench meticulously compiles constraints from real-world instructions and constructs an innovative systematic framework for constraint types, which includes 10 primary categories and over 25 subcategories, and ensures each constraint is seamlessly integrated within the instructions. To make certain that the evaluation of LLM outputs aligns with user perceptions, we propose an advanced methodology that integrates multi-dimensional assessment criteria with requirement prioritization, covering various perspectives of constraints, instructions, and requirement fulfillment. Evaluating current leading LLMs on CFBench reveals substantial room for improvement in constraints following, and we further investigate influencing factors and enhancement strategies. The data and code will be made available.</v>
      </c>
      <c r="D3262" s="7" t="str">
        <f>IFERROR(__xludf.DUMMYFUNCTION("""COMPUTED_VALUE"""),"ChengLin Zhu")</f>
        <v>ChengLin Zhu</v>
      </c>
      <c r="E3262" s="7" t="str">
        <f>IFERROR(__xludf.DUMMYFUNCTION("""COMPUTED_VALUE"""),"Yes")</f>
        <v>Yes</v>
      </c>
      <c r="F3262" s="7" t="str">
        <f>IFERROR(__xludf.DUMMYFUNCTION("""COMPUTED_VALUE"""),"V-Presentation")</f>
        <v>V-Presentation</v>
      </c>
      <c r="G3262" s="7" t="str">
        <f>IFERROR(__xludf.DUMMYFUNCTION("""COMPUTED_VALUE"""),"Virtual/Gather")</f>
        <v>Virtual/Gather</v>
      </c>
      <c r="H3262" s="7" t="str">
        <f>IFERROR(__xludf.DUMMYFUNCTION("""COMPUTED_VALUE"""),"Zoom")</f>
        <v>Zoom</v>
      </c>
      <c r="I3262" s="7" t="str">
        <f>IFERROR(__xludf.DUMMYFUNCTION("""COMPUTED_VALUE"""),"Session 2: V-Presentations")</f>
        <v>Session 2: V-Presentations</v>
      </c>
      <c r="J3262" s="7" t="str">
        <f>IFERROR(__xludf.DUMMYFUNCTION("""COMPUTED_VALUE"""),"Virtual Presentations 1")</f>
        <v>Virtual Presentations 1</v>
      </c>
      <c r="K3262" s="7"/>
      <c r="L3262" s="8">
        <f>IFERROR(__xludf.DUMMYFUNCTION("""COMPUTED_VALUE"""),45866.0)</f>
        <v>45866</v>
      </c>
      <c r="M3262" s="7" t="str">
        <f>IFERROR(__xludf.DUMMYFUNCTION("""COMPUTED_VALUE"""),"11:00-12:30")</f>
        <v>11:00-12:30</v>
      </c>
      <c r="N3262" s="7"/>
    </row>
    <row r="3263">
      <c r="A3263" s="7" t="str">
        <f>IFERROR(__xludf.DUMMYFUNCTION("""COMPUTED_VALUE"""),"5313-MAIN")</f>
        <v>5313-MAIN</v>
      </c>
      <c r="B3263" s="7" t="str">
        <f>IFERROR(__xludf.DUMMYFUNCTION("""COMPUTED_VALUE"""),"Towards Building Large Scale Datasets and State-of-the-Art Automatic Speech Translation Systems for 13 Indian Languages")</f>
        <v>Towards Building Large Scale Datasets and State-of-the-Art Automatic Speech Translation Systems for 13 Indian Languages</v>
      </c>
      <c r="C3263" s="7" t="str">
        <f>IFERROR(__xludf.DUMMYFUNCTION("""COMPUTED_VALUE"""),"Speech translation for Indian languages remains a challenging task due to the scarcity of large-scale, publicly available datasets that capture the linguistic diversity and domain coverage essential for real-world applications. Existing datasets cover a f"&amp;"raction of Indian languages and lack the breadth needed to train robust models that generalize beyond curated benchmarks. To bridge this gap, we introduce BhasaAnuvaad, the largest speech translation dataset for Indian languages, spanning over 44 thousand"&amp;" hours of audio and 17 million aligned text segments across 14 Indian languages and English. Our dataset is built through a threefold methodology: (a) aggregating high-quality existing sources, (b) large-scale web crawling to ensure linguistic and domain "&amp;"diversity, and (c) creating synthetic data to model real-world speech disfluencies. Leveraging BhasaAnuvaad, we train IndicSeamless, a state-of-the-art speech translation model for Indian languages that performs better than existing models. Our experiment"&amp;"s demonstrate improvements in the translation quality, setting a new standard for Indian language speech translation. We will release all the code, data and model weights in the open-source, with permissive licenses to promote accessibility and collaborat"&amp;"ion.")</f>
        <v>Speech translation for Indian languages remains a challenging task due to the scarcity of large-scale, publicly available datasets that capture the linguistic diversity and domain coverage essential for real-world applications. Existing datasets cover a fraction of Indian languages and lack the breadth needed to train robust models that generalize beyond curated benchmarks. To bridge this gap, we introduce BhasaAnuvaad, the largest speech translation dataset for Indian languages, spanning over 44 thousand hours of audio and 17 million aligned text segments across 14 Indian languages and English. Our dataset is built through a threefold methodology: (a) aggregating high-quality existing sources, (b) large-scale web crawling to ensure linguistic and domain diversity, and (c) creating synthetic data to model real-world speech disfluencies. Leveraging BhasaAnuvaad, we train IndicSeamless, a state-of-the-art speech translation model for Indian languages that performs better than existing models. Our experiments demonstrate improvements in the translation quality, setting a new standard for Indian language speech translation. We will release all the code, data and model weights in the open-source, with permissive licenses to promote accessibility and collaboration.</v>
      </c>
      <c r="D3263" s="7" t="str">
        <f>IFERROR(__xludf.DUMMYFUNCTION("""COMPUTED_VALUE"""),"Ashwin Sankar")</f>
        <v>Ashwin Sankar</v>
      </c>
      <c r="E3263" s="7" t="str">
        <f>IFERROR(__xludf.DUMMYFUNCTION("""COMPUTED_VALUE"""),"Yes")</f>
        <v>Yes</v>
      </c>
      <c r="F3263" s="7" t="str">
        <f>IFERROR(__xludf.DUMMYFUNCTION("""COMPUTED_VALUE"""),"IP-Poster")</f>
        <v>IP-Poster</v>
      </c>
      <c r="G3263" s="7" t="str">
        <f>IFERROR(__xludf.DUMMYFUNCTION("""COMPUTED_VALUE"""),"In-Person")</f>
        <v>In-Person</v>
      </c>
      <c r="H3263" s="7" t="str">
        <f>IFERROR(__xludf.DUMMYFUNCTION("""COMPUTED_VALUE"""),"Hall 4/5")</f>
        <v>Hall 4/5</v>
      </c>
      <c r="I3263" s="7" t="str">
        <f>IFERROR(__xludf.DUMMYFUNCTION("""COMPUTED_VALUE"""),"Session 2: IP-Posters ")</f>
        <v>Session 2: IP-Posters </v>
      </c>
      <c r="J3263" s="7" t="str">
        <f>IFERROR(__xludf.DUMMYFUNCTION("""COMPUTED_VALUE"""),"Poster Session 1")</f>
        <v>Poster Session 1</v>
      </c>
      <c r="K3263" s="7"/>
      <c r="L3263" s="8">
        <f>IFERROR(__xludf.DUMMYFUNCTION("""COMPUTED_VALUE"""),45866.0)</f>
        <v>45866</v>
      </c>
      <c r="M3263" s="7" t="str">
        <f>IFERROR(__xludf.DUMMYFUNCTION("""COMPUTED_VALUE"""),"11:00-12:30")</f>
        <v>11:00-12:30</v>
      </c>
      <c r="N3263" s="7"/>
    </row>
    <row r="3264">
      <c r="A3264" s="7" t="str">
        <f>IFERROR(__xludf.DUMMYFUNCTION("""COMPUTED_VALUE"""),"5334-MAIN")</f>
        <v>5334-MAIN</v>
      </c>
      <c r="B3264" s="7" t="str">
        <f>IFERROR(__xludf.DUMMYFUNCTION("""COMPUTED_VALUE"""),"CoRe-MMRAG: Cross-Source Knowledge Reconciliation for Multimodal RAG")</f>
        <v>CoRe-MMRAG: Cross-Source Knowledge Reconciliation for Multimodal RAG</v>
      </c>
      <c r="C3264" s="7" t="str">
        <f>IFERROR(__xludf.DUMMYFUNCTION("""COMPUTED_VALUE"""),"Multimodal Retrieval-Augmented Generation (MMRAG) has been introduced to enhance Multimodal Large Language Models by incorporating externally retrieved multimodal knowledge, but it introduces two challenges: Parametric-Retrieved Knowledge Inconsistency (P"&amp;"RKI), where discrepancies between parametric and retrieved knowledge create uncertainty in determining reliability, and Visual-Textual Knowledge Inconsistency (VTKI), where misalignment between visual and textual sources disrupts entity representation. To"&amp;" address these challenges, we propose $\textbf{C}$r$\textbf{o}$ss-source knowledge $\textbf{Re}$conciliation for $\textbf{M}$ulti$\textbf{M}$odal $\textbf{RAG}$ (CoRe-MMRAG), a novel end-to-end framework that effectively reconciles inconsistencies across "&amp;"knowledge sources. CoRe-MMRAG follows a four-stage pipeline: it first generates an internal response from parametric knowledge, then selects the most relevant multimodal evidence via joint similarity assessment, generates an external response, and finally"&amp;" integrates both to produce a reliable answer. Additionally, a specialized training paradigm enhances knowledge source discrimination, multimodal integration, and unified answer generation. Experiments on KB-VQA benchmarks show that CoRe-MMRAG achieves su"&amp;"bstantial improvements over baseline methods, achieving 5.6\% and 9.3\% performance gains on InfoSeek and Encyclopedic-VQA, respectively. We release code and data at \href{https://github.com/TyangJN/CoRe-MMRAG}{https://github.com/TyangJN/CoRe-MMRAG}.")</f>
        <v>Multimodal Retrieval-Augmented Generation (MMRAG) has been introduced to enhance Multimodal Large Language Models by incorporating externally retrieved multimodal knowledge, but it introduces two challenges: Parametric-Retrieved Knowledge Inconsistency (PRKI), where discrepancies between parametric and retrieved knowledge create uncertainty in determining reliability, and Visual-Textual Knowledge Inconsistency (VTKI), where misalignment between visual and textual sources disrupts entity representation. To address these challenges, we propose $\textbf{C}$r$\textbf{o}$ss-source knowledge $\textbf{Re}$conciliation for $\textbf{M}$ulti$\textbf{M}$odal $\textbf{RAG}$ (CoRe-MMRAG), a novel end-to-end framework that effectively reconciles inconsistencies across knowledge sources. CoRe-MMRAG follows a four-stage pipeline: it first generates an internal response from parametric knowledge, then selects the most relevant multimodal evidence via joint similarity assessment, generates an external response, and finally integrates both to produce a reliable answer. Additionally, a specialized training paradigm enhances knowledge source discrimination, multimodal integration, and unified answer generation. Experiments on KB-VQA benchmarks show that CoRe-MMRAG achieves substantial improvements over baseline methods, achieving 5.6\% and 9.3\% performance gains on InfoSeek and Encyclopedic-VQA, respectively. We release code and data at \href{https://github.com/TyangJN/CoRe-MMRAG}{https://github.com/TyangJN/CoRe-MMRAG}.</v>
      </c>
      <c r="D3264" s="7" t="str">
        <f>IFERROR(__xludf.DUMMYFUNCTION("""COMPUTED_VALUE"""),"Yang Tian")</f>
        <v>Yang Tian</v>
      </c>
      <c r="E3264" s="7" t="str">
        <f>IFERROR(__xludf.DUMMYFUNCTION("""COMPUTED_VALUE"""),"Yes")</f>
        <v>Yes</v>
      </c>
      <c r="F3264" s="7" t="str">
        <f>IFERROR(__xludf.DUMMYFUNCTION("""COMPUTED_VALUE"""),"IP-Poster")</f>
        <v>IP-Poster</v>
      </c>
      <c r="G3264" s="7" t="str">
        <f>IFERROR(__xludf.DUMMYFUNCTION("""COMPUTED_VALUE"""),"In-Person")</f>
        <v>In-Person</v>
      </c>
      <c r="H3264" s="7" t="str">
        <f>IFERROR(__xludf.DUMMYFUNCTION("""COMPUTED_VALUE"""),"Hall 4/5")</f>
        <v>Hall 4/5</v>
      </c>
      <c r="I3264" s="7" t="str">
        <f>IFERROR(__xludf.DUMMYFUNCTION("""COMPUTED_VALUE"""),"Session 12: IP-Posters")</f>
        <v>Session 12: IP-Posters</v>
      </c>
      <c r="J3264" s="7" t="str">
        <f>IFERROR(__xludf.DUMMYFUNCTION("""COMPUTED_VALUE"""),"Poster Session 4")</f>
        <v>Poster Session 4</v>
      </c>
      <c r="K3264" s="7"/>
      <c r="L3264" s="8">
        <f>IFERROR(__xludf.DUMMYFUNCTION("""COMPUTED_VALUE"""),45868.0)</f>
        <v>45868</v>
      </c>
      <c r="M3264" s="7" t="str">
        <f>IFERROR(__xludf.DUMMYFUNCTION("""COMPUTED_VALUE"""),"11:00-12:30")</f>
        <v>11:00-12:30</v>
      </c>
      <c r="N3264" s="7"/>
    </row>
    <row r="3265">
      <c r="A3265" s="7" t="str">
        <f>IFERROR(__xludf.DUMMYFUNCTION("""COMPUTED_VALUE"""),"5361-MAIN")</f>
        <v>5361-MAIN</v>
      </c>
      <c r="B3265" s="7" t="str">
        <f>IFERROR(__xludf.DUMMYFUNCTION("""COMPUTED_VALUE"""),"Mapping 1,000+ Language Models via the Log-Likelihood Vector")</f>
        <v>Mapping 1,000+ Language Models via the Log-Likelihood Vector</v>
      </c>
      <c r="C3265" s="7" t="str">
        <f>IFERROR(__xludf.DUMMYFUNCTION("""COMPUTED_VALUE"""),"To compare autoregressive language models at scale, we propose using log-likelihood vectors computed on a predefined text set as model features. This approach has a solid theoretical basis: when treated as model coordinates, their squared Euclidean distan"&amp;"ce approximates the Kullback-Leibler divergence of text-generation probabilities. Our method is highly scalable, with computational cost growing linearly in both the number of models and text samples, and is easy to implement as the required features are "&amp;"derived from cross-entropy loss. Applying this method to over 1,000 language models, we constructed a ``model map,'' providing a new perspective on large-scale model analysis.")</f>
        <v>To compare autoregressive language models at scale, we propose using log-likelihood vectors computed on a predefined text set as model features. This approach has a solid theoretical basis: when treated as model coordinates, their squared Euclidean distance approximates the Kullback-Leibler divergence of text-generation probabilities. Our method is highly scalable, with computational cost growing linearly in both the number of models and text samples, and is easy to implement as the required features are derived from cross-entropy loss. Applying this method to over 1,000 language models, we constructed a ``model map,'' providing a new perspective on large-scale model analysis.</v>
      </c>
      <c r="D3265" s="7" t="str">
        <f>IFERROR(__xludf.DUMMYFUNCTION("""COMPUTED_VALUE"""),"Momose Oyama")</f>
        <v>Momose Oyama</v>
      </c>
      <c r="E3265" s="7" t="str">
        <f>IFERROR(__xludf.DUMMYFUNCTION("""COMPUTED_VALUE"""),"Yes")</f>
        <v>Yes</v>
      </c>
      <c r="F3265" s="7" t="str">
        <f>IFERROR(__xludf.DUMMYFUNCTION("""COMPUTED_VALUE"""),"IP-Oral")</f>
        <v>IP-Oral</v>
      </c>
      <c r="G3265" s="7" t="str">
        <f>IFERROR(__xludf.DUMMYFUNCTION("""COMPUTED_VALUE"""),"In-Person")</f>
        <v>In-Person</v>
      </c>
      <c r="H3265" s="7" t="str">
        <f>IFERROR(__xludf.DUMMYFUNCTION("""COMPUTED_VALUE"""),"Hall N.1")</f>
        <v>Hall N.1</v>
      </c>
      <c r="I3265" s="7" t="str">
        <f>IFERROR(__xludf.DUMMYFUNCTION("""COMPUTED_VALUE"""),"Session 11: IP-Orals ")</f>
        <v>Session 11: IP-Orals </v>
      </c>
      <c r="J3265" s="7" t="str">
        <f>IFERROR(__xludf.DUMMYFUNCTION("""COMPUTED_VALUE"""),"Panel 4: Interpretability and model analysis")</f>
        <v>Panel 4: Interpretability and model analysis</v>
      </c>
      <c r="K3265" s="7"/>
      <c r="L3265" s="8">
        <f>IFERROR(__xludf.DUMMYFUNCTION("""COMPUTED_VALUE"""),45868.0)</f>
        <v>45868</v>
      </c>
      <c r="M3265" s="7" t="str">
        <f>IFERROR(__xludf.DUMMYFUNCTION("""COMPUTED_VALUE"""),"09:00-10:30")</f>
        <v>09:00-10:30</v>
      </c>
      <c r="N3265" s="7">
        <f>IFERROR(__xludf.DUMMYFUNCTION("""COMPUTED_VALUE"""),5.0)</f>
        <v>5</v>
      </c>
    </row>
    <row r="3266">
      <c r="A3266" s="7" t="str">
        <f>IFERROR(__xludf.DUMMYFUNCTION("""COMPUTED_VALUE"""),"5365-MAIN")</f>
        <v>5365-MAIN</v>
      </c>
      <c r="B3266" s="7" t="str">
        <f>IFERROR(__xludf.DUMMYFUNCTION("""COMPUTED_VALUE"""),"ConsistencyChecker: Tree-based Evaluation of LLM Generalization Capabilities")</f>
        <v>ConsistencyChecker: Tree-based Evaluation of LLM Generalization Capabilities</v>
      </c>
      <c r="C3266" s="7" t="str">
        <f>IFERROR(__xludf.DUMMYFUNCTION("""COMPUTED_VALUE"""),"Evaluating Large Language Models (LLMs) requires effective methods to assess semantic consistency across multiple reversible transformations. Traditional self-consistency methods often fail to capture subtle semantic errors in multi-step tasks. We introdu"&amp;"ce ConsistencyChecker, a tree-based evaluation framework that measures LLMs' ability to preserve semantic consistency during reversible transformation processes, sidestepping benchmark data contamination issues. Our approach constructs self-consistency tr"&amp;"ees where nodes represent text states after transformations (e.g., translation, code modification, paraphrasing) and edges represent pairs of opposite transformations. By analyzing semantic preservation between nodes at different tree depths, ConsistencyC"&amp;"hecker quantifies model reliability without requiring manually annotated reference data. Experiments demonstrate that ConsistencyChecker reliably measures generalization abilities across models from 1.5B to 72B parameters. On translation tasks, GPT-4o Min"&amp;"i achieves the highest L3 consistency score of 98.0%. For code generation, Qwen 2.5 32B leads with 85.1% semantic consistency at L3. Results show Pearson correlation greater than 0.7 between our embedding-based scores and WMT 2024 rankings on 4 out of 5 s"&amp;"hared language pairs, validating the method's effectiveness for benchmarking LLM performance without constructing new datasets.")</f>
        <v>Evaluating Large Language Models (LLMs) requires effective methods to assess semantic consistency across multiple reversible transformations. Traditional self-consistency methods often fail to capture subtle semantic errors in multi-step tasks. We introduce ConsistencyChecker, a tree-based evaluation framework that measures LLMs' ability to preserve semantic consistency during reversible transformation processes, sidestepping benchmark data contamination issues. Our approach constructs self-consistency trees where nodes represent text states after transformations (e.g., translation, code modification, paraphrasing) and edges represent pairs of opposite transformations. By analyzing semantic preservation between nodes at different tree depths, ConsistencyChecker quantifies model reliability without requiring manually annotated reference data. Experiments demonstrate that ConsistencyChecker reliably measures generalization abilities across models from 1.5B to 72B parameters. On translation tasks, GPT-4o Mini achieves the highest L3 consistency score of 98.0%. For code generation, Qwen 2.5 32B leads with 85.1% semantic consistency at L3. Results show Pearson correlation greater than 0.7 between our embedding-based scores and WMT 2024 rankings on 4 out of 5 shared language pairs, validating the method's effectiveness for benchmarking LLM performance without constructing new datasets.</v>
      </c>
      <c r="D3266" s="7" t="str">
        <f>IFERROR(__xludf.DUMMYFUNCTION("""COMPUTED_VALUE"""),"Zhaochen Hong")</f>
        <v>Zhaochen Hong</v>
      </c>
      <c r="E3266" s="7" t="str">
        <f>IFERROR(__xludf.DUMMYFUNCTION("""COMPUTED_VALUE"""),"Yes")</f>
        <v>Yes</v>
      </c>
      <c r="F3266" s="7" t="str">
        <f>IFERROR(__xludf.DUMMYFUNCTION("""COMPUTED_VALUE"""),"V-Presentation")</f>
        <v>V-Presentation</v>
      </c>
      <c r="G3266" s="7" t="str">
        <f>IFERROR(__xludf.DUMMYFUNCTION("""COMPUTED_VALUE"""),"Virtual/Gather")</f>
        <v>Virtual/Gather</v>
      </c>
      <c r="H3266" s="7" t="str">
        <f>IFERROR(__xludf.DUMMYFUNCTION("""COMPUTED_VALUE"""),"Zoom")</f>
        <v>Zoom</v>
      </c>
      <c r="I3266" s="7" t="str">
        <f>IFERROR(__xludf.DUMMYFUNCTION("""COMPUTED_VALUE"""),"Session 2: V-Presentations")</f>
        <v>Session 2: V-Presentations</v>
      </c>
      <c r="J3266" s="7" t="str">
        <f>IFERROR(__xludf.DUMMYFUNCTION("""COMPUTED_VALUE"""),"Virtual Presentations 1")</f>
        <v>Virtual Presentations 1</v>
      </c>
      <c r="K3266" s="7"/>
      <c r="L3266" s="8">
        <f>IFERROR(__xludf.DUMMYFUNCTION("""COMPUTED_VALUE"""),45866.0)</f>
        <v>45866</v>
      </c>
      <c r="M3266" s="7" t="str">
        <f>IFERROR(__xludf.DUMMYFUNCTION("""COMPUTED_VALUE"""),"11:00-12:30")</f>
        <v>11:00-12:30</v>
      </c>
      <c r="N3266" s="7"/>
    </row>
    <row r="3267">
      <c r="A3267" s="7" t="str">
        <f>IFERROR(__xludf.DUMMYFUNCTION("""COMPUTED_VALUE"""),"5366-MAIN")</f>
        <v>5366-MAIN</v>
      </c>
      <c r="B3267" s="7" t="str">
        <f>IFERROR(__xludf.DUMMYFUNCTION("""COMPUTED_VALUE"""),"Robust Estimation of Population-Level Effects in Repeated-Measures NLP Experimental Designs")</f>
        <v>Robust Estimation of Population-Level Effects in Repeated-Measures NLP Experimental Designs</v>
      </c>
      <c r="C3267" s="7" t="str">
        <f>IFERROR(__xludf.DUMMYFUNCTION("""COMPUTED_VALUE"""),"NLP research frequently grapples with multiple sources of variability—spanning runs, datasets, annotators, and more—yet conventional analysis methods often neglect these hierarchical structures, threatening the reproducibility of findings. To address this"&amp;" gap, we contribute a case study illustrating how linear mixed-effects models (LMMs) can rigorously capture systematic language-dependent differences (i.e., population-level effects) in a population of monolingual and multilingual language models. In the "&amp;"context of a bilingual hate speech detection task, we demonstrate that LMMs can uncover significant population-level effects—even under low-resource (small-N) experimental designs—while mitigating confounds and random noise. By setting out a transparent b"&amp;"lueprint for repeated-measures experimentation, we encourage the NLP community to embrace variability as a feature, rather than a nuisance, in order to advance more robust, reproducible, and ultimately trustworthy results.")</f>
        <v>NLP research frequently grapples with multiple sources of variability—spanning runs, datasets, annotators, and more—yet conventional analysis methods often neglect these hierarchical structures, threatening the reproducibility of findings. To address this gap, we contribute a case study illustrating how linear mixed-effects models (LMMs) can rigorously capture systematic language-dependent differences (i.e., population-level effects) in a population of monolingual and multilingual language models. In the context of a bilingual hate speech detection task, we demonstrate that LMMs can uncover significant population-level effects—even under low-resource (small-N) experimental designs—while mitigating confounds and random noise. By setting out a transparent blueprint for repeated-measures experimentation, we encourage the NLP community to embrace variability as a feature, rather than a nuisance, in order to advance more robust, reproducible, and ultimately trustworthy results.</v>
      </c>
      <c r="D3267" s="7" t="str">
        <f>IFERROR(__xludf.DUMMYFUNCTION("""COMPUTED_VALUE"""),"Alejandro Benito-Santos")</f>
        <v>Alejandro Benito-Santos</v>
      </c>
      <c r="E3267" s="7" t="str">
        <f>IFERROR(__xludf.DUMMYFUNCTION("""COMPUTED_VALUE"""),"Yes")</f>
        <v>Yes</v>
      </c>
      <c r="F3267" s="7" t="str">
        <f>IFERROR(__xludf.DUMMYFUNCTION("""COMPUTED_VALUE"""),"IP-Poster")</f>
        <v>IP-Poster</v>
      </c>
      <c r="G3267" s="7" t="str">
        <f>IFERROR(__xludf.DUMMYFUNCTION("""COMPUTED_VALUE"""),"In-Person")</f>
        <v>In-Person</v>
      </c>
      <c r="H3267" s="7" t="str">
        <f>IFERROR(__xludf.DUMMYFUNCTION("""COMPUTED_VALUE"""),"Hall 4/5")</f>
        <v>Hall 4/5</v>
      </c>
      <c r="I3267" s="7" t="str">
        <f>IFERROR(__xludf.DUMMYFUNCTION("""COMPUTED_VALUE"""),"Session 7: IP-Posters")</f>
        <v>Session 7: IP-Posters</v>
      </c>
      <c r="J3267" s="7" t="str">
        <f>IFERROR(__xludf.DUMMYFUNCTION("""COMPUTED_VALUE"""),"Poster Session 2")</f>
        <v>Poster Session 2</v>
      </c>
      <c r="K3267" s="7"/>
      <c r="L3267" s="8">
        <f>IFERROR(__xludf.DUMMYFUNCTION("""COMPUTED_VALUE"""),45867.0)</f>
        <v>45867</v>
      </c>
      <c r="M3267" s="7" t="str">
        <f>IFERROR(__xludf.DUMMYFUNCTION("""COMPUTED_VALUE"""),"10:30-12:00")</f>
        <v>10:30-12:00</v>
      </c>
      <c r="N3267" s="7"/>
    </row>
    <row r="3268">
      <c r="A3268" s="7" t="str">
        <f>IFERROR(__xludf.DUMMYFUNCTION("""COMPUTED_VALUE"""),"5370-MAIN")</f>
        <v>5370-MAIN</v>
      </c>
      <c r="B3268" s="7" t="str">
        <f>IFERROR(__xludf.DUMMYFUNCTION("""COMPUTED_VALUE"""),"FactBench: A Dynamic Benchmark for In-the-Wild Language Model Factuality Evaluation")</f>
        <v>FactBench: A Dynamic Benchmark for In-the-Wild Language Model Factuality Evaluation</v>
      </c>
      <c r="C3268" s="7" t="str">
        <f>IFERROR(__xludf.DUMMYFUNCTION("""COMPUTED_VALUE"""),"The rapid adoption of language models (LMs) across diverse applications has raised concerns about their factuality, i.e., their consistency with real-world facts. We introduce VERIFY, an evidence-based evaluation pipeline that measures LMs’ factuality in "&amp;"real-world user interactions. VERIFY considers the verifiability of LM-generated content and categorizes content units as Supported, Unsupported, or Undecidable based on Web-retrieved evidence. Importantly, factuality judgment by VERIFY more strongly corr"&amp;"elates with human evaluations than existing methods. Using VERIFY, we identify “hallucination prompts,” i.e., those that frequently elicit factual errors in LM responses. These prompts form FactBench, a dataset of 1K prompts spanning 150 topics and tiered"&amp;" into Easy, Moderate, and Hard prompts. We benchmark widely-used openweight and proprietary LMs from six families, yielding three key findings: (i) LMs’ factual precision declines from Easy to Hard prompts, (ii) factuality does not necessarily improve wit"&amp;"h scale; Llama3.1-405B-Instruct performs comparably to or worse than its 70B variant, and (iii) Gemini1.5-Pro shows a notably higher refusal rate, with over-refusal in 25% of cases.")</f>
        <v>The rapid adoption of language models (LMs) across diverse applications has raised concerns about their factuality, i.e., their consistency with real-world facts. We introduce VERIFY, an evidence-based evaluation pipeline that measures LMs’ factuality in real-world user interactions. VERIFY considers the verifiability of LM-generated content and categorizes content units as Supported, Unsupported, or Undecidable based on Web-retrieved evidence. Importantly, factuality judgment by VERIFY more strongly correlates with human evaluations than existing methods. Using VERIFY, we identify “hallucination prompts,” i.e., those that frequently elicit factual errors in LM responses. These prompts form FactBench, a dataset of 1K prompts spanning 150 topics and tiered into Easy, Moderate, and Hard prompts. We benchmark widely-used openweight and proprietary LMs from six families, yielding three key findings: (i) LMs’ factual precision declines from Easy to Hard prompts, (ii) factuality does not necessarily improve with scale; Llama3.1-405B-Instruct performs comparably to or worse than its 70B variant, and (iii) Gemini1.5-Pro shows a notably higher refusal rate, with over-refusal in 25% of cases.</v>
      </c>
      <c r="D3268" s="7" t="str">
        <f>IFERROR(__xludf.DUMMYFUNCTION("""COMPUTED_VALUE"""),"Lu Wang")</f>
        <v>Lu Wang</v>
      </c>
      <c r="E3268" s="7" t="str">
        <f>IFERROR(__xludf.DUMMYFUNCTION("""COMPUTED_VALUE"""),"Yes")</f>
        <v>Yes</v>
      </c>
      <c r="F3268" s="7" t="str">
        <f>IFERROR(__xludf.DUMMYFUNCTION("""COMPUTED_VALUE"""),"IP-Oral")</f>
        <v>IP-Oral</v>
      </c>
      <c r="G3268" s="7" t="str">
        <f>IFERROR(__xludf.DUMMYFUNCTION("""COMPUTED_VALUE"""),"In-Person")</f>
        <v>In-Person</v>
      </c>
      <c r="H3268" s="7" t="str">
        <f>IFERROR(__xludf.DUMMYFUNCTION("""COMPUTED_VALUE"""),"Hall B")</f>
        <v>Hall B</v>
      </c>
      <c r="I3268" s="7" t="str">
        <f>IFERROR(__xludf.DUMMYFUNCTION("""COMPUTED_VALUE"""),"Session 9: IP-Orals")</f>
        <v>Session 9: IP-Orals</v>
      </c>
      <c r="J3268" s="7" t="str">
        <f>IFERROR(__xludf.DUMMYFUNCTION("""COMPUTED_VALUE"""),"Resources and Evaluation 2")</f>
        <v>Resources and Evaluation 2</v>
      </c>
      <c r="K3268" s="7"/>
      <c r="L3268" s="8">
        <f>IFERROR(__xludf.DUMMYFUNCTION("""COMPUTED_VALUE"""),45867.0)</f>
        <v>45867</v>
      </c>
      <c r="M3268" s="7" t="str">
        <f>IFERROR(__xludf.DUMMYFUNCTION("""COMPUTED_VALUE"""),"14:00-15:30")</f>
        <v>14:00-15:30</v>
      </c>
      <c r="N3268" s="7">
        <f>IFERROR(__xludf.DUMMYFUNCTION("""COMPUTED_VALUE"""),4.0)</f>
        <v>4</v>
      </c>
    </row>
    <row r="3269">
      <c r="A3269" s="7" t="str">
        <f>IFERROR(__xludf.DUMMYFUNCTION("""COMPUTED_VALUE"""),"5375-MAIN")</f>
        <v>5375-MAIN</v>
      </c>
      <c r="B3269" s="7" t="str">
        <f>IFERROR(__xludf.DUMMYFUNCTION("""COMPUTED_VALUE"""),"Training-free LLM Merging for Multi-task Learning")</f>
        <v>Training-free LLM Merging for Multi-task Learning</v>
      </c>
      <c r="C3269" s="7" t="str">
        <f>IFERROR(__xludf.DUMMYFUNCTION("""COMPUTED_VALUE"""),"Large Language Models (LLMs) have demonstrated exceptional capabilities across diverse natural language processing (NLP) tasks. The release of open-source LLMs like LLaMA and Qwen has triggered the development of numerous fine-tuned models tailored for va"&amp;"rious tasks and languages. In this paper, we explore an important question: is it possible to combine these specialized models to create a unified model with multi-task capabilities. We introduces **H**ierarchical **I**terative **Merging** (Hi-Merging), a"&amp;" training-free method for unifying different specialized LLMs into a single model. Specifically, Hi-Merging employs model-wise and layer-wise pruning and scaling, guided by contribution analysis, to mitigate parameter conflicts. Extensive experiments on m"&amp;"ultiple-choice and question-answering tasks in both Chinese and English validate Hi-Merging's ability for multi-task learning. The results demonstrate that Hi-Merging consistently outperforms existing merging techniques and surpasses the performance of mo"&amp;"dels fine-tuned on combined datasets in most scenarios. Code is available at [Applied-Machine-Learning-Lab/Hi-Merging](https://github.com/Applied-Machine-Learning-Lab/Hi-Merging).")</f>
        <v>Large Language Models (LLMs) have demonstrated exceptional capabilities across diverse natural language processing (NLP) tasks. The release of open-source LLMs like LLaMA and Qwen has triggered the development of numerous fine-tuned models tailored for various tasks and languages. In this paper, we explore an important question: is it possible to combine these specialized models to create a unified model with multi-task capabilities. We introduces **H**ierarchical **I**terative **Merging** (Hi-Merging), a training-free method for unifying different specialized LLMs into a single model. Specifically, Hi-Merging employs model-wise and layer-wise pruning and scaling, guided by contribution analysis, to mitigate parameter conflicts. Extensive experiments on multiple-choice and question-answering tasks in both Chinese and English validate Hi-Merging's ability for multi-task learning. The results demonstrate that Hi-Merging consistently outperforms existing merging techniques and surpasses the performance of models fine-tuned on combined datasets in most scenarios. Code is available at [Applied-Machine-Learning-Lab/Hi-Merging](https://github.com/Applied-Machine-Learning-Lab/Hi-Merging).</v>
      </c>
      <c r="D3269" s="7" t="str">
        <f>IFERROR(__xludf.DUMMYFUNCTION("""COMPUTED_VALUE"""),"Zichuan Fu")</f>
        <v>Zichuan Fu</v>
      </c>
      <c r="E3269" s="7" t="str">
        <f>IFERROR(__xludf.DUMMYFUNCTION("""COMPUTED_VALUE"""),"Yes")</f>
        <v>Yes</v>
      </c>
      <c r="F3269" s="7" t="str">
        <f>IFERROR(__xludf.DUMMYFUNCTION("""COMPUTED_VALUE"""),"IP-Oral")</f>
        <v>IP-Oral</v>
      </c>
      <c r="G3269" s="7" t="str">
        <f>IFERROR(__xludf.DUMMYFUNCTION("""COMPUTED_VALUE"""),"In-Person")</f>
        <v>In-Person</v>
      </c>
      <c r="H3269" s="7" t="str">
        <f>IFERROR(__xludf.DUMMYFUNCTION("""COMPUTED_VALUE"""),"Room 1.15-16")</f>
        <v>Room 1.15-16</v>
      </c>
      <c r="I3269" s="7" t="str">
        <f>IFERROR(__xludf.DUMMYFUNCTION("""COMPUTED_VALUE"""),"Session 9: IP-Orals")</f>
        <v>Session 9: IP-Orals</v>
      </c>
      <c r="J3269" s="7" t="str">
        <f>IFERROR(__xludf.DUMMYFUNCTION("""COMPUTED_VALUE"""),"Multilingualism and Cross-Lingual NLP")</f>
        <v>Multilingualism and Cross-Lingual NLP</v>
      </c>
      <c r="K3269" s="7"/>
      <c r="L3269" s="8">
        <f>IFERROR(__xludf.DUMMYFUNCTION("""COMPUTED_VALUE"""),45867.0)</f>
        <v>45867</v>
      </c>
      <c r="M3269" s="7" t="str">
        <f>IFERROR(__xludf.DUMMYFUNCTION("""COMPUTED_VALUE"""),"14:00-15:30")</f>
        <v>14:00-15:30</v>
      </c>
      <c r="N3269" s="7">
        <f>IFERROR(__xludf.DUMMYFUNCTION("""COMPUTED_VALUE"""),8.0)</f>
        <v>8</v>
      </c>
    </row>
    <row r="3270">
      <c r="A3270" s="7" t="str">
        <f>IFERROR(__xludf.DUMMYFUNCTION("""COMPUTED_VALUE"""),"5380-MAIN")</f>
        <v>5380-MAIN</v>
      </c>
      <c r="B3270" s="7" t="str">
        <f>IFERROR(__xludf.DUMMYFUNCTION("""COMPUTED_VALUE"""),"Inferring from Logits: Exploring Best Practices for Decoding-Free Generative Candidate Selection")</f>
        <v>Inferring from Logits: Exploring Best Practices for Decoding-Free Generative Candidate Selection</v>
      </c>
      <c r="C3270" s="7" t="str">
        <f>IFERROR(__xludf.DUMMYFUNCTION("""COMPUTED_VALUE"""),"Generative Language Models rely on autoregressive decoding to produce the output sequence token by token. Many tasks such as preference optimization, require the model to produce task-level output consisting of multiple tokens directly by selecting candid"&amp;"ates from a pool as predictions. Determining a task-level prediction from candidates using the ordinary token-level decoding mechanism is constrained by time-consuming decoding and interrupted gradients by discrete token selection. Existing works have bee"&amp;"n using decoding-free candidate selection methods to obtain candidate probability from initial output logits over vocabulary. Though these estimation methods are widely used, they are not systematically evaluated, especially on end tasks. We introduce an "&amp;"evaluation of a comprehensive collection of decoding-free candidate selection approaches on a comprehensive set of tasks, including five multiple-choice QA tasks with a small candidate pool and four clinical decision tasks with a massive amount of candida"&amp;"tes, some with 10k+ options. We evaluate the estimation methods paired with a wide spectrum of foundation LMs covering different architectures, sizes and training paradigms. The results and insights from our analysis inform the future model design.")</f>
        <v>Generative Language Models rely on autoregressive decoding to produce the output sequence token by token. Many tasks such as preference optimization, require the model to produce task-level output consisting of multiple tokens directly by selecting candidates from a pool as predictions. Determining a task-level prediction from candidates using the ordinary token-level decoding mechanism is constrained by time-consuming decoding and interrupted gradients by discrete token selection. Existing works have been using decoding-free candidate selection methods to obtain candidate probability from initial output logits over vocabulary. Though these estimation methods are widely used, they are not systematically evaluated, especially on end tasks. We introduce an evaluation of a comprehensive collection of decoding-free candidate selection approaches on a comprehensive set of tasks, including five multiple-choice QA tasks with a small candidate pool and four clinical decision tasks with a massive amount of candidates, some with 10k+ options. We evaluate the estimation methods paired with a wide spectrum of foundation LMs covering different architectures, sizes and training paradigms. The results and insights from our analysis inform the future model design.</v>
      </c>
      <c r="D3270" s="7" t="str">
        <f>IFERROR(__xludf.DUMMYFUNCTION("""COMPUTED_VALUE"""),"Mingyu Derek Ma")</f>
        <v>Mingyu Derek Ma</v>
      </c>
      <c r="E3270" s="7" t="str">
        <f>IFERROR(__xludf.DUMMYFUNCTION("""COMPUTED_VALUE"""),"Yes")</f>
        <v>Yes</v>
      </c>
      <c r="F3270" s="7" t="str">
        <f>IFERROR(__xludf.DUMMYFUNCTION("""COMPUTED_VALUE"""),"V-Presentation")</f>
        <v>V-Presentation</v>
      </c>
      <c r="G3270" s="7" t="str">
        <f>IFERROR(__xludf.DUMMYFUNCTION("""COMPUTED_VALUE"""),"Virtual/Gather")</f>
        <v>Virtual/Gather</v>
      </c>
      <c r="H3270" s="7" t="str">
        <f>IFERROR(__xludf.DUMMYFUNCTION("""COMPUTED_VALUE"""),"Zoom")</f>
        <v>Zoom</v>
      </c>
      <c r="I3270" s="7" t="str">
        <f>IFERROR(__xludf.DUMMYFUNCTION("""COMPUTED_VALUE"""),"Session 10: V-Presenations")</f>
        <v>Session 10: V-Presenations</v>
      </c>
      <c r="J3270" s="7" t="str">
        <f>IFERROR(__xludf.DUMMYFUNCTION("""COMPUTED_VALUE"""),"Virtual Presentations 3")</f>
        <v>Virtual Presentations 3</v>
      </c>
      <c r="K3270" s="7"/>
      <c r="L3270" s="8">
        <f>IFERROR(__xludf.DUMMYFUNCTION("""COMPUTED_VALUE"""),45867.0)</f>
        <v>45867</v>
      </c>
      <c r="M3270" s="7" t="str">
        <f>IFERROR(__xludf.DUMMYFUNCTION("""COMPUTED_VALUE"""),"16:00-17:30")</f>
        <v>16:00-17:30</v>
      </c>
      <c r="N3270" s="7"/>
    </row>
    <row r="3271">
      <c r="A3271" s="7" t="str">
        <f>IFERROR(__xludf.DUMMYFUNCTION("""COMPUTED_VALUE"""),"5392-MAIN")</f>
        <v>5392-MAIN</v>
      </c>
      <c r="B3271" s="7" t="str">
        <f>IFERROR(__xludf.DUMMYFUNCTION("""COMPUTED_VALUE"""),"Comparison-based Active Preference Learning for Multi-dimensional Personalization")</f>
        <v>Comparison-based Active Preference Learning for Multi-dimensional Personalization</v>
      </c>
      <c r="C3271" s="7" t="str">
        <f>IFERROR(__xludf.DUMMYFUNCTION("""COMPUTED_VALUE"""),"Large language models (LLMs) have shown remarkable success, but aligning them with human preferences remains a core challenge. As individuals have their own, multi-dimensional preferences, recent studies have explored *multi-dimensional personalization*, "&amp;"which aims to enable models to generate responses personalized to *explicit* preferences. However, human preferences are often *implicit* and thus difficult to articulate, limiting the direct application of this approach. To bridge this gap, we propose Ac"&amp;"tive Multi-dimensional Preference Learning (AMPLe), designed to capture implicit user preferences from interactively collected comparative feedback. Building on Bayesian inference, our work introduces a modified posterior update procedure to mitigate esti"&amp;"mation bias and potential noise in comparisons. Also, inspired by generalized binary search, we employ an active query selection strategy to minimize the number of required comparisons by a user. Through theoretical analysis and experiments on language ge"&amp;"neration tasks, we demonstrate feedback efficiency and effectiveness of our framework in personalizing model responses. Our code is publicly available at https://github.com/ml-postech/AMPLe.")</f>
        <v>Large language models (LLMs) have shown remarkable success, but aligning them with human preferences remains a core challenge. As individuals have their own, multi-dimensional preferences, recent studies have explored *multi-dimensional personalization*, which aims to enable models to generate responses personalized to *explicit* preferences. However, human preferences are often *implicit* and thus difficult to articulate, limiting the direct application of this approach. To bridge this gap, we propose Active Multi-dimensional Preference Learning (AMPLe), designed to capture implicit user preferences from interactively collected comparative feedback. Building on Bayesian inference, our work introduces a modified posterior update procedure to mitigate estimation bias and potential noise in comparisons. Also, inspired by generalized binary search, we employ an active query selection strategy to minimize the number of required comparisons by a user. Through theoretical analysis and experiments on language generation tasks, we demonstrate feedback efficiency and effectiveness of our framework in personalizing model responses. Our code is publicly available at https://github.com/ml-postech/AMPLe.</v>
      </c>
      <c r="D3271" s="7" t="str">
        <f>IFERROR(__xludf.DUMMYFUNCTION("""COMPUTED_VALUE"""),"Minhyeon Oh")</f>
        <v>Minhyeon Oh</v>
      </c>
      <c r="E3271" s="7" t="str">
        <f>IFERROR(__xludf.DUMMYFUNCTION("""COMPUTED_VALUE"""),"Yes")</f>
        <v>Yes</v>
      </c>
      <c r="F3271" s="7" t="str">
        <f>IFERROR(__xludf.DUMMYFUNCTION("""COMPUTED_VALUE"""),"IP-Oral")</f>
        <v>IP-Oral</v>
      </c>
      <c r="G3271" s="7" t="str">
        <f>IFERROR(__xludf.DUMMYFUNCTION("""COMPUTED_VALUE"""),"In-Person")</f>
        <v>In-Person</v>
      </c>
      <c r="H3271" s="7" t="str">
        <f>IFERROR(__xludf.DUMMYFUNCTION("""COMPUTED_VALUE"""),"Room 1.62")</f>
        <v>Room 1.62</v>
      </c>
      <c r="I3271" s="7" t="str">
        <f>IFERROR(__xludf.DUMMYFUNCTION("""COMPUTED_VALUE"""),"Session 3: IP-Orals")</f>
        <v>Session 3: IP-Orals</v>
      </c>
      <c r="J3271" s="7" t="str">
        <f>IFERROR(__xludf.DUMMYFUNCTION("""COMPUTED_VALUE"""),"Human-centered NLP")</f>
        <v>Human-centered NLP</v>
      </c>
      <c r="K3271" s="7"/>
      <c r="L3271" s="8">
        <f>IFERROR(__xludf.DUMMYFUNCTION("""COMPUTED_VALUE"""),45866.0)</f>
        <v>45866</v>
      </c>
      <c r="M3271" s="7" t="str">
        <f>IFERROR(__xludf.DUMMYFUNCTION("""COMPUTED_VALUE"""),"14:00-15:30")</f>
        <v>14:00-15:30</v>
      </c>
      <c r="N3271" s="7">
        <f>IFERROR(__xludf.DUMMYFUNCTION("""COMPUTED_VALUE"""),8.0)</f>
        <v>8</v>
      </c>
    </row>
    <row r="3272">
      <c r="A3272" s="7" t="str">
        <f>IFERROR(__xludf.DUMMYFUNCTION("""COMPUTED_VALUE"""),"5399-MAIN")</f>
        <v>5399-MAIN</v>
      </c>
      <c r="B3272" s="7" t="str">
        <f>IFERROR(__xludf.DUMMYFUNCTION("""COMPUTED_VALUE"""),"OpenCoder: The Open Cookbook for Top-Tier Code Large Language Models")</f>
        <v>OpenCoder: The Open Cookbook for Top-Tier Code Large Language Models</v>
      </c>
      <c r="C3272" s="7" t="str">
        <f>IFERROR(__xludf.DUMMYFUNCTION("""COMPUTED_VALUE"""),"Code LLMs have been widely used in various domains, including code generation, logical reasoning, and agent systems. However, open-access code LLMs mostly only release weights, lacking key features such as reproducible data pipelines and transparent train"&amp;"ing protocols, which are crucial for advancing deeper, more reliable investigations. To address the gap, we introduce OpenCoder, a top-tier code LLM that not only achieves performance comparable to leading models but also serves as an ``open cookbook'' fo"&amp;"r the research community. Unlike most prior efforts, we release not only model weights and inference code, but also the reproducible training data, complete data processing pipeline, rigorous experimental ablation results, and detailed training protocols "&amp;"for open scientific research. Our work identifies the key ingredients for building a top-tier code LLM: optimized heuristic rules for data cleaning and deduplication, effective recall of code-related text corpus, and high-quality synthetic data for both a"&amp;"nnealing and supervised fine-tuning stages. By offering this level of openness, we aim to broaden access to all aspects of a top-tier code LLM, with OpenCoder serving as both a powerful model and an open foundation to accelerate research and enable reprod"&amp;"ucible advancements in code intelligence.  The released resource is available at https://opencoder-llm.github.io.")</f>
        <v>Code LLMs have been widely used in various domains, including code generation, logical reasoning, and agent systems. However, open-access code LLMs mostly only release weights, lacking key features such as reproducible data pipelines and transparent training protocols, which are crucial for advancing deeper, more reliable investigations. To address the gap, we introduce OpenCoder, a top-tier code LLM that not only achieves performance comparable to leading models but also serves as an ``open cookbook'' for the research community. Unlike most prior efforts, we release not only model weights and inference code, but also the reproducible training data, complete data processing pipeline, rigorous experimental ablation results, and detailed training protocols for open scientific research. Our work identifies the key ingredients for building a top-tier code LLM: optimized heuristic rules for data cleaning and deduplication, effective recall of code-related text corpus, and high-quality synthetic data for both annealing and supervised fine-tuning stages. By offering this level of openness, we aim to broaden access to all aspects of a top-tier code LLM, with OpenCoder serving as both a powerful model and an open foundation to accelerate research and enable reproducible advancements in code intelligence.  The released resource is available at https://opencoder-llm.github.io.</v>
      </c>
      <c r="D3272" s="7" t="str">
        <f>IFERROR(__xludf.DUMMYFUNCTION("""COMPUTED_VALUE"""),"Siming Huang")</f>
        <v>Siming Huang</v>
      </c>
      <c r="E3272" s="7" t="str">
        <f>IFERROR(__xludf.DUMMYFUNCTION("""COMPUTED_VALUE"""),"Yes")</f>
        <v>Yes</v>
      </c>
      <c r="F3272" s="7" t="str">
        <f>IFERROR(__xludf.DUMMYFUNCTION("""COMPUTED_VALUE"""),"IP-Oral")</f>
        <v>IP-Oral</v>
      </c>
      <c r="G3272" s="7" t="str">
        <f>IFERROR(__xludf.DUMMYFUNCTION("""COMPUTED_VALUE"""),"In-Person")</f>
        <v>In-Person</v>
      </c>
      <c r="H3272" s="7" t="str">
        <f>IFERROR(__xludf.DUMMYFUNCTION("""COMPUTED_VALUE"""),"Hall C")</f>
        <v>Hall C</v>
      </c>
      <c r="I3272" s="7" t="str">
        <f>IFERROR(__xludf.DUMMYFUNCTION("""COMPUTED_VALUE"""),"Session 9: IP-Orals")</f>
        <v>Session 9: IP-Orals</v>
      </c>
      <c r="J3272" s="7" t="str">
        <f>IFERROR(__xludf.DUMMYFUNCTION("""COMPUTED_VALUE"""),"Language Modeling 1")</f>
        <v>Language Modeling 1</v>
      </c>
      <c r="K3272" s="7"/>
      <c r="L3272" s="8">
        <f>IFERROR(__xludf.DUMMYFUNCTION("""COMPUTED_VALUE"""),45867.0)</f>
        <v>45867</v>
      </c>
      <c r="M3272" s="7" t="str">
        <f>IFERROR(__xludf.DUMMYFUNCTION("""COMPUTED_VALUE"""),"14:00-15:30")</f>
        <v>14:00-15:30</v>
      </c>
      <c r="N3272" s="7">
        <f>IFERROR(__xludf.DUMMYFUNCTION("""COMPUTED_VALUE"""),8.0)</f>
        <v>8</v>
      </c>
    </row>
    <row r="3273">
      <c r="A3273" s="7" t="str">
        <f>IFERROR(__xludf.DUMMYFUNCTION("""COMPUTED_VALUE"""),"5406-MAIN")</f>
        <v>5406-MAIN</v>
      </c>
      <c r="B3273" s="7" t="str">
        <f>IFERROR(__xludf.DUMMYFUNCTION("""COMPUTED_VALUE"""),"LlamaDuo: LLMOps Pipeline for Seamless Migration from Service LLMs to Small-Scale Local LLMs")</f>
        <v>LlamaDuo: LLMOps Pipeline for Seamless Migration from Service LLMs to Small-Scale Local LLMs</v>
      </c>
      <c r="C3273" s="7" t="str">
        <f>IFERROR(__xludf.DUMMYFUNCTION("""COMPUTED_VALUE"""),"The widespread adoption of cloud-based proprietary large language models (LLMs) has introduced significant challenges, including operational dependencies, privacy concerns, and the necessity of continuous internet connectivity. In this work, we introduce "&amp;"an LLMOps pipeline, ""LlamaDuo"", for the seamless migration of knowledge and abilities from service-oriented LLMs to smaller, locally manageable models. This pipeline is crucial for ensuring service continuity in the presence of operational failures, str"&amp;"ict privacy policies, or offline requirements. Our LlamaDuo involves fine-tuning a small language model against the service LLM using a synthetic dataset generated by the latter. If the performance of the fine-tuned model falls short of expectations, it i"&amp;"s automatically improved through additional fine-tuning using extra similar data generated by the service LLM. This multi-turn process guarantees that the smaller model can eventually match or even surpass the service LLM's capabilities in specific downst"&amp;"ream tasks, offering a practical and scalable solution for managing AI deployments in constrained environments. Extensive experiments with leading-edge LLMs are conducted to demonstrate the effectiveness, adaptability, and affordability of LlamaDuo across"&amp;" various downstream tasks. Our pipeline implementation is available at https://github.com/deep-diver/llamaduo.")</f>
        <v>The widespread adoption of cloud-based proprietary large language models (LLMs) has introduced significant challenges, including operational dependencies, privacy concerns, and the necessity of continuous internet connectivity. In this work, we introduce an LLMOps pipeline, "LlamaDuo", for the seamless migration of knowledge and abilities from service-oriented LLMs to smaller, locally manageable models. This pipeline is crucial for ensuring service continuity in the presence of operational failures, strict privacy policies, or offline requirements. Our LlamaDuo involves fine-tuning a small language model against the service LLM using a synthetic dataset generated by the latter. If the performance of the fine-tuned model falls short of expectations, it is automatically improved through additional fine-tuning using extra similar data generated by the service LLM. This multi-turn process guarantees that the smaller model can eventually match or even surpass the service LLM's capabilities in specific downstream tasks, offering a practical and scalable solution for managing AI deployments in constrained environments. Extensive experiments with leading-edge LLMs are conducted to demonstrate the effectiveness, adaptability, and affordability of LlamaDuo across various downstream tasks. Our pipeline implementation is available at https://github.com/deep-diver/llamaduo.</v>
      </c>
      <c r="D3273" s="7" t="str">
        <f>IFERROR(__xludf.DUMMYFUNCTION("""COMPUTED_VALUE"""),"Chansung Park")</f>
        <v>Chansung Park</v>
      </c>
      <c r="E3273" s="7" t="str">
        <f>IFERROR(__xludf.DUMMYFUNCTION("""COMPUTED_VALUE"""),"Yes")</f>
        <v>Yes</v>
      </c>
      <c r="F3273" s="7" t="str">
        <f>IFERROR(__xludf.DUMMYFUNCTION("""COMPUTED_VALUE"""),"IP-Poster")</f>
        <v>IP-Poster</v>
      </c>
      <c r="G3273" s="7" t="str">
        <f>IFERROR(__xludf.DUMMYFUNCTION("""COMPUTED_VALUE"""),"In-Person")</f>
        <v>In-Person</v>
      </c>
      <c r="H3273" s="7" t="str">
        <f>IFERROR(__xludf.DUMMYFUNCTION("""COMPUTED_VALUE"""),"Hall 4/5")</f>
        <v>Hall 4/5</v>
      </c>
      <c r="I3273" s="7" t="str">
        <f>IFERROR(__xludf.DUMMYFUNCTION("""COMPUTED_VALUE"""),"Session 2: IP-Posters ")</f>
        <v>Session 2: IP-Posters </v>
      </c>
      <c r="J3273" s="7" t="str">
        <f>IFERROR(__xludf.DUMMYFUNCTION("""COMPUTED_VALUE"""),"Poster Session 1")</f>
        <v>Poster Session 1</v>
      </c>
      <c r="K3273" s="7"/>
      <c r="L3273" s="8">
        <f>IFERROR(__xludf.DUMMYFUNCTION("""COMPUTED_VALUE"""),45866.0)</f>
        <v>45866</v>
      </c>
      <c r="M3273" s="7" t="str">
        <f>IFERROR(__xludf.DUMMYFUNCTION("""COMPUTED_VALUE"""),"11:00-12:30")</f>
        <v>11:00-12:30</v>
      </c>
      <c r="N3273" s="7"/>
    </row>
    <row r="3274">
      <c r="A3274" s="7" t="str">
        <f>IFERROR(__xludf.DUMMYFUNCTION("""COMPUTED_VALUE"""),"5414-MAIN")</f>
        <v>5414-MAIN</v>
      </c>
      <c r="B3274" s="7" t="str">
        <f>IFERROR(__xludf.DUMMYFUNCTION("""COMPUTED_VALUE"""),"AmbiK: Dataset of Ambiguous Tasks in Kitchen Environment")</f>
        <v>AmbiK: Dataset of Ambiguous Tasks in Kitchen Environment</v>
      </c>
      <c r="C3274" s="7" t="str">
        <f>IFERROR(__xludf.DUMMYFUNCTION("""COMPUTED_VALUE"""),"As a part of an embodied agent, Large Language Models (LLMs) are typically used for behavior planning given natural language instructions from the user. However, dealing with ambiguous instructions in real-world environments remains a challenge for LLMs. "&amp;"Various methods for task ambiguity detection have been proposed. However, it is difficult to compare them because they are tested on different datasets and there is no universal benchmark. For this reason, we propose AmbiK (Ambiguous Tasks in Kitchen Envi"&amp;"ronment), the fully textual dataset of ambiguous instructions addressed to a robot in a kitchen environment. AmbiK was collected with the assistance of LLMs and is human-validated. It comprises 1000 pairs of ambiguous tasks and their unambiguous counterpa"&amp;"rts, categorized by ambiguity type (Human Preferences, Common Sense Knowledge, Safety), with environment descriptions, clarifying questions and answers, user intents, and task plans, for a total of 2000 tasks. We hope that AmbiK will enable researchers to"&amp;" perform a unified comparison of ambiguity detection methods. AmbiK is available at https://github.com/cog-model/AmbiK-dataset.")</f>
        <v>As a part of an embodied agent, Large Language Models (LLMs) are typically used for behavior planning given natural language instructions from the user. However, dealing with ambiguous instructions in real-world environments remains a challenge for LLMs. Various methods for task ambiguity detection have been proposed. However, it is difficult to compare them because they are tested on different datasets and there is no universal benchmark. For this reason, we propose AmbiK (Ambiguous Tasks in Kitchen Environment), the fully textual dataset of ambiguous instructions addressed to a robot in a kitchen environment. AmbiK was collected with the assistance of LLMs and is human-validated. It comprises 1000 pairs of ambiguous tasks and their unambiguous counterparts, categorized by ambiguity type (Human Preferences, Common Sense Knowledge, Safety), with environment descriptions, clarifying questions and answers, user intents, and task plans, for a total of 2000 tasks. We hope that AmbiK will enable researchers to perform a unified comparison of ambiguity detection methods. AmbiK is available at https://github.com/cog-model/AmbiK-dataset.</v>
      </c>
      <c r="D3274" s="7" t="str">
        <f>IFERROR(__xludf.DUMMYFUNCTION("""COMPUTED_VALUE"""),"Anastasiia Ivanova
Alexey K. Kovalev")</f>
        <v>Anastasiia Ivanova
Alexey K. Kovalev</v>
      </c>
      <c r="E3274" s="7" t="str">
        <f>IFERROR(__xludf.DUMMYFUNCTION("""COMPUTED_VALUE"""),"Yes")</f>
        <v>Yes</v>
      </c>
      <c r="F3274" s="7" t="str">
        <f>IFERROR(__xludf.DUMMYFUNCTION("""COMPUTED_VALUE"""),"IP-Poster")</f>
        <v>IP-Poster</v>
      </c>
      <c r="G3274" s="7" t="str">
        <f>IFERROR(__xludf.DUMMYFUNCTION("""COMPUTED_VALUE"""),"In-Person")</f>
        <v>In-Person</v>
      </c>
      <c r="H3274" s="7" t="str">
        <f>IFERROR(__xludf.DUMMYFUNCTION("""COMPUTED_VALUE"""),"Hall 4/5")</f>
        <v>Hall 4/5</v>
      </c>
      <c r="I3274" s="7" t="str">
        <f>IFERROR(__xludf.DUMMYFUNCTION("""COMPUTED_VALUE"""),"Session 2: IP-Posters ")</f>
        <v>Session 2: IP-Posters </v>
      </c>
      <c r="J3274" s="7" t="str">
        <f>IFERROR(__xludf.DUMMYFUNCTION("""COMPUTED_VALUE"""),"Poster Session 1")</f>
        <v>Poster Session 1</v>
      </c>
      <c r="K3274" s="7"/>
      <c r="L3274" s="8">
        <f>IFERROR(__xludf.DUMMYFUNCTION("""COMPUTED_VALUE"""),45866.0)</f>
        <v>45866</v>
      </c>
      <c r="M3274" s="7" t="str">
        <f>IFERROR(__xludf.DUMMYFUNCTION("""COMPUTED_VALUE"""),"11:00-12:30")</f>
        <v>11:00-12:30</v>
      </c>
      <c r="N3274" s="7"/>
    </row>
    <row r="3275">
      <c r="A3275" s="7" t="str">
        <f>IFERROR(__xludf.DUMMYFUNCTION("""COMPUTED_VALUE"""),"5460-MAIN")</f>
        <v>5460-MAIN</v>
      </c>
      <c r="B3275" s="7" t="str">
        <f>IFERROR(__xludf.DUMMYFUNCTION("""COMPUTED_VALUE"""),"SocialDuolingo: Interactive Evaluation for Cultural Competence in Language Agents")</f>
        <v>SocialDuolingo: Interactive Evaluation for Cultural Competence in Language Agents</v>
      </c>
      <c r="C3275" s="7" t="str">
        <f>IFERROR(__xludf.DUMMYFUNCTION("""COMPUTED_VALUE"""),"Large Language Models (LLMs) are increasingly deployed worldwide, yet their ability to navigate cultural nuances remains underexplored. Misinterpreting cultural content can lead to AI-generated responses that are offensive or inappropriate, limiting their"&amp;" usability in global applications such as customer service, diplomatic communication, and online education. While prior research has evaluated cultural knowledge of LLMs, existing benchmarks fail to assess dynamic cultural competence-the ability to apply "&amp;"cultural knowledge effectively in real-world interactions. To address this gap, we introduce SocialDuolingo, a novel benchmark designed to evaluate cultural competence through multi-turn interactive intercultural scenarios. It comprises 3,060 human-writte"&amp;"n scenarios spanning 60 countries across six continents. Through extensive experiments on eight prominent LLMs, our findings reveal a significant gap between the cultural knowledge stored in these models and their ability to apply it effectively in cross-"&amp;"cultural communication.")</f>
        <v>Large Language Models (LLMs) are increasingly deployed worldwide, yet their ability to navigate cultural nuances remains underexplored. Misinterpreting cultural content can lead to AI-generated responses that are offensive or inappropriate, limiting their usability in global applications such as customer service, diplomatic communication, and online education. While prior research has evaluated cultural knowledge of LLMs, existing benchmarks fail to assess dynamic cultural competence-the ability to apply cultural knowledge effectively in real-world interactions. To address this gap, we introduce SocialDuolingo, a novel benchmark designed to evaluate cultural competence through multi-turn interactive intercultural scenarios. It comprises 3,060 human-written scenarios spanning 60 countries across six continents. Through extensive experiments on eight prominent LLMs, our findings reveal a significant gap between the cultural knowledge stored in these models and their ability to apply it effectively in cross-cultural communication.</v>
      </c>
      <c r="D3275" s="7" t="str">
        <f>IFERROR(__xludf.DUMMYFUNCTION("""COMPUTED_VALUE"""),"Jincenzi Wu")</f>
        <v>Jincenzi Wu</v>
      </c>
      <c r="E3275" s="7" t="str">
        <f>IFERROR(__xludf.DUMMYFUNCTION("""COMPUTED_VALUE"""),"Yes")</f>
        <v>Yes</v>
      </c>
      <c r="F3275" s="7" t="str">
        <f>IFERROR(__xludf.DUMMYFUNCTION("""COMPUTED_VALUE"""),"IP-Poster")</f>
        <v>IP-Poster</v>
      </c>
      <c r="G3275" s="7" t="str">
        <f>IFERROR(__xludf.DUMMYFUNCTION("""COMPUTED_VALUE"""),"In-Person")</f>
        <v>In-Person</v>
      </c>
      <c r="H3275" s="7" t="str">
        <f>IFERROR(__xludf.DUMMYFUNCTION("""COMPUTED_VALUE"""),"Hall 4/5")</f>
        <v>Hall 4/5</v>
      </c>
      <c r="I3275" s="7" t="str">
        <f>IFERROR(__xludf.DUMMYFUNCTION("""COMPUTED_VALUE"""),"Session 12: IP-Posters")</f>
        <v>Session 12: IP-Posters</v>
      </c>
      <c r="J3275" s="7" t="str">
        <f>IFERROR(__xludf.DUMMYFUNCTION("""COMPUTED_VALUE"""),"Poster Session 4")</f>
        <v>Poster Session 4</v>
      </c>
      <c r="K3275" s="7"/>
      <c r="L3275" s="8">
        <f>IFERROR(__xludf.DUMMYFUNCTION("""COMPUTED_VALUE"""),45868.0)</f>
        <v>45868</v>
      </c>
      <c r="M3275" s="7" t="str">
        <f>IFERROR(__xludf.DUMMYFUNCTION("""COMPUTED_VALUE"""),"11:00-12:30")</f>
        <v>11:00-12:30</v>
      </c>
      <c r="N3275" s="7"/>
    </row>
    <row r="3276">
      <c r="A3276" s="7" t="str">
        <f>IFERROR(__xludf.DUMMYFUNCTION("""COMPUTED_VALUE"""),"5481-MAIN")</f>
        <v>5481-MAIN</v>
      </c>
      <c r="B3276" s="7" t="str">
        <f>IFERROR(__xludf.DUMMYFUNCTION("""COMPUTED_VALUE"""),"Scalable Vision Language Model Training via High Quality Data Curation")</f>
        <v>Scalable Vision Language Model Training via High Quality Data Curation</v>
      </c>
      <c r="C3276" s="7" t="str">
        <f>IFERROR(__xludf.DUMMYFUNCTION("""COMPUTED_VALUE"""),"In this paper, we introduce \textit{\textbf{SAIL}-VL} (\textit{\textbf{S}c\textbf{A}lable Vision Language Model Tra\textbf{I}ning via High Qua\textbf{L}ity Data Curation}), an open-source vision language model (VLM) series achieving state-of-the-art (SOTA"&amp;") performance in 2B and 8B parameters.  The following three key improvements contribute to SAIL-VL's leading performance: (1) Scalable high-quality visual understanding data construction: We implement a data construction pipeline to enable hundred-million"&amp;"-scale high-quality recaption data annotation. The resulted dataset SAIL-Caption is validated to be of the highest data quality compared with opensource datasets. (2) Scalable Pretraining with High-Quality Visual Understanding Data: We scale SAIL-VL's pre"&amp;"training budget up to 655B tokens and show that even a 2B VLM benefits from scaled up training data sizes, exhibiting logarithmic data size scaling laws in benchmark performance. (3) Scalable SFT via data quantity and complexity scaling: We curate a high-"&amp;"quality SFT dataset collection with leading data quantity scaling effectiveness and demonstrate that training with progressively higher-complexity data surpasses baseline one-stage training by a large margin. 
SAIL-VL series models achieve the highest av"&amp;"erage score in 18 widely used VLM benchmarks in our evaluation, with the 2B model takes the top position over VLMs of comparable sizes on OpenCompass 2024 (https://rank.opencompass.org.cn/leaderboard-multimodal), demonstrating robust visual comprehension "&amp;"abilities. SAIL-VL series models are released at HuggingFace (https://huggingface.co/BytedanceDouyinContent).")</f>
        <v>In this paper, we introduce \textit{\textbf{SAIL}-VL} (\textit{\textbf{S}c\textbf{A}lable Vision Language Model Tra\textbf{I}ning via High Qua\textbf{L}ity Data Curation}), an open-source vision language model (VLM) series achieving state-of-the-art (SOTA) performance in 2B and 8B parameters.  The following three key improvements contribute to SAIL-VL's leading performance: (1) Scalable high-quality visual understanding data construction: We implement a data construction pipeline to enable hundred-million-scale high-quality recaption data annotation. The resulted dataset SAIL-Caption is validated to be of the highest data quality compared with opensource datasets. (2) Scalable Pretraining with High-Quality Visual Understanding Data: We scale SAIL-VL's pretraining budget up to 655B tokens and show that even a 2B VLM benefits from scaled up training data sizes, exhibiting logarithmic data size scaling laws in benchmark performance. (3) Scalable SFT via data quantity and complexity scaling: We curate a high-quality SFT dataset collection with leading data quantity scaling effectiveness and demonstrate that training with progressively higher-complexity data surpasses baseline one-stage training by a large margin. 
SAIL-VL series models achieve the highest average score in 18 widely used VLM benchmarks in our evaluation, with the 2B model takes the top position over VLMs of comparable sizes on OpenCompass 2024 (https://rank.opencompass.org.cn/leaderboard-multimodal), demonstrating robust visual comprehension abilities. SAIL-VL series models are released at HuggingFace (https://huggingface.co/BytedanceDouyinContent).</v>
      </c>
      <c r="D3276" s="7" t="str">
        <f>IFERROR(__xludf.DUMMYFUNCTION("""COMPUTED_VALUE"""),"Hongyuan Dong")</f>
        <v>Hongyuan Dong</v>
      </c>
      <c r="E3276" s="7" t="str">
        <f>IFERROR(__xludf.DUMMYFUNCTION("""COMPUTED_VALUE"""),"Yes")</f>
        <v>Yes</v>
      </c>
      <c r="F3276" s="7" t="str">
        <f>IFERROR(__xludf.DUMMYFUNCTION("""COMPUTED_VALUE"""),"IP-Poster")</f>
        <v>IP-Poster</v>
      </c>
      <c r="G3276" s="7" t="str">
        <f>IFERROR(__xludf.DUMMYFUNCTION("""COMPUTED_VALUE"""),"In-Person")</f>
        <v>In-Person</v>
      </c>
      <c r="H3276" s="7" t="str">
        <f>IFERROR(__xludf.DUMMYFUNCTION("""COMPUTED_VALUE"""),"Hall 4/5")</f>
        <v>Hall 4/5</v>
      </c>
      <c r="I3276" s="7" t="str">
        <f>IFERROR(__xludf.DUMMYFUNCTION("""COMPUTED_VALUE"""),"Session 10: IP-Posters")</f>
        <v>Session 10: IP-Posters</v>
      </c>
      <c r="J3276" s="7" t="str">
        <f>IFERROR(__xludf.DUMMYFUNCTION("""COMPUTED_VALUE"""),"Poster Session 3")</f>
        <v>Poster Session 3</v>
      </c>
      <c r="K3276" s="7"/>
      <c r="L3276" s="8">
        <f>IFERROR(__xludf.DUMMYFUNCTION("""COMPUTED_VALUE"""),45867.0)</f>
        <v>45867</v>
      </c>
      <c r="M3276" s="7" t="str">
        <f>IFERROR(__xludf.DUMMYFUNCTION("""COMPUTED_VALUE"""),"16:00-17:30")</f>
        <v>16:00-17:30</v>
      </c>
      <c r="N3276" s="7"/>
    </row>
    <row r="3277">
      <c r="A3277" s="7" t="str">
        <f>IFERROR(__xludf.DUMMYFUNCTION("""COMPUTED_VALUE"""),"5484-MAIN")</f>
        <v>5484-MAIN</v>
      </c>
      <c r="B3277" s="7" t="str">
        <f>IFERROR(__xludf.DUMMYFUNCTION("""COMPUTED_VALUE"""),"GRAM: Generative Recommendation via Semantic-aware Multi-granular Late Fusion")</f>
        <v>GRAM: Generative Recommendation via Semantic-aware Multi-granular Late Fusion</v>
      </c>
      <c r="C3277" s="7" t="str">
        <f>IFERROR(__xludf.DUMMYFUNCTION("""COMPUTED_VALUE"""),"Generative recommendation is an emerging paradigm that leverages the extensive knowledge of large language models by formulating recommendations into a text-to-text generation task. However, existing studies face two key limitations in (i) incorporating i"&amp;"mplicit item relationships and (ii) utilizing rich yet lengthy item information. To address these challenges, we propose a Generative Recommender via semantic-Aware Multi-granular late fusion (GRAM), introducing two synergistic innovations. First, we desi"&amp;"gn semantic-to-lexical translation to encode implicit hierarchical and collaborative item relationships into the vocabulary space of LLMs. Second, we present multi-granular late fusion to integrate rich semantics efficiently with minimal information loss."&amp;" It employs separate encoders for multi-granular prompts, delaying the fusion until the decoding stage. Experiments on four benchmark datasets show that GRAM outperforms eight state-of-the-art generative recommendation models, achieving significant improv"&amp;"ements of 11.5-16.0% in Recall@5 and 5.3-13.6% in NDCG@5. The source code is available at https://github.com/skleee/GRAM.")</f>
        <v>Generative recommendation is an emerging paradigm that leverages the extensive knowledge of large language models by formulating recommendations into a text-to-text generation task. However, existing studies face two key limitations in (i) incorporating implicit item relationships and (ii) utilizing rich yet lengthy item information. To address these challenges, we propose a Generative Recommender via semantic-Aware Multi-granular late fusion (GRAM), introducing two synergistic innovations. First, we design semantic-to-lexical translation to encode implicit hierarchical and collaborative item relationships into the vocabulary space of LLMs. Second, we present multi-granular late fusion to integrate rich semantics efficiently with minimal information loss. It employs separate encoders for multi-granular prompts, delaying the fusion until the decoding stage. Experiments on four benchmark datasets show that GRAM outperforms eight state-of-the-art generative recommendation models, achieving significant improvements of 11.5-16.0% in Recall@5 and 5.3-13.6% in NDCG@5. The source code is available at https://github.com/skleee/GRAM.</v>
      </c>
      <c r="D3277" s="7" t="str">
        <f>IFERROR(__xludf.DUMMYFUNCTION("""COMPUTED_VALUE"""),"Sunkyung Lee")</f>
        <v>Sunkyung Lee</v>
      </c>
      <c r="E3277" s="7" t="str">
        <f>IFERROR(__xludf.DUMMYFUNCTION("""COMPUTED_VALUE"""),"Yes")</f>
        <v>Yes</v>
      </c>
      <c r="F3277" s="7" t="str">
        <f>IFERROR(__xludf.DUMMYFUNCTION("""COMPUTED_VALUE"""),"IP-Poster")</f>
        <v>IP-Poster</v>
      </c>
      <c r="G3277" s="7" t="str">
        <f>IFERROR(__xludf.DUMMYFUNCTION("""COMPUTED_VALUE"""),"In-Person")</f>
        <v>In-Person</v>
      </c>
      <c r="H3277" s="7" t="str">
        <f>IFERROR(__xludf.DUMMYFUNCTION("""COMPUTED_VALUE"""),"Hall 4/5")</f>
        <v>Hall 4/5</v>
      </c>
      <c r="I3277" s="7" t="str">
        <f>IFERROR(__xludf.DUMMYFUNCTION("""COMPUTED_VALUE"""),"Session 2: IP-Posters ")</f>
        <v>Session 2: IP-Posters </v>
      </c>
      <c r="J3277" s="7" t="str">
        <f>IFERROR(__xludf.DUMMYFUNCTION("""COMPUTED_VALUE"""),"Poster Session 1")</f>
        <v>Poster Session 1</v>
      </c>
      <c r="K3277" s="7"/>
      <c r="L3277" s="8">
        <f>IFERROR(__xludf.DUMMYFUNCTION("""COMPUTED_VALUE"""),45866.0)</f>
        <v>45866</v>
      </c>
      <c r="M3277" s="7" t="str">
        <f>IFERROR(__xludf.DUMMYFUNCTION("""COMPUTED_VALUE"""),"11:00-12:30")</f>
        <v>11:00-12:30</v>
      </c>
      <c r="N3277" s="7"/>
    </row>
    <row r="3278">
      <c r="A3278" s="7" t="str">
        <f>IFERROR(__xludf.DUMMYFUNCTION("""COMPUTED_VALUE"""),"5502-MAIN")</f>
        <v>5502-MAIN</v>
      </c>
      <c r="B3278" s="7" t="str">
        <f>IFERROR(__xludf.DUMMYFUNCTION("""COMPUTED_VALUE"""),"Towards Economical Inference: Enabling DeepSeek's Multi-Head Latent Attention in Any Transformer-based LLMs")</f>
        <v>Towards Economical Inference: Enabling DeepSeek's Multi-Head Latent Attention in Any Transformer-based LLMs</v>
      </c>
      <c r="C3278" s="7" t="str">
        <f>IFERROR(__xludf.DUMMYFUNCTION("""COMPUTED_VALUE"""),"Multi-head Latent Attention (MLA) is an innovative architecture proposed by DeepSeek, designed to ensure efficient and economical inference by significantly compressing the Key-Value (KV) cache into a latent vector. Compared to MLA, standard LLMs employin"&amp;"g Multi-Head Attention (MHA) and its variants such as Grouped-Query Attention (GQA) exhibit significant cost disadvantages. Enabling well-trained LLMs (e.g., Llama) to rapidly adapt to MLA without pre-training from scratch is both meaningful and challengi"&amp;"ng. This paper proposes the first data-efficient fine-tuning method for transitioning from MHA to MLA (**MHA2MLA**), which includes two key components: for *partial-RoPE*, we remove RoPE from dimensions of queries and keys that contribute less to the atte"&amp;"ntion scores, for *low-rank approximation*, we introduce joint SVD approximations based on the pre-trained parameters of keys and values. These carefully designed strategies enable MHA2MLA to recover performance using only a small fraction (0.6\% to 1\%) "&amp;"of the data, significantly reducing inference costs while seamlessly integrating with compression techniques such as KV cache quantization. For example, the KV cache size of Llama2-7B is reduced by 92.19\%, with only a 1\% drop in LongBench performance. O"&amp;"ur source code is publicly available at https://github.com/JT-Ushio/MHA2MLA.")</f>
        <v>Multi-head Latent Attention (MLA) is an innovative architecture proposed by DeepSeek, designed to ensure efficient and economical inference by significantly compressing the Key-Value (KV) cache into a latent vector. Compared to MLA, standard LLMs employing Multi-Head Attention (MHA) and its variants such as Grouped-Query Attention (GQA) exhibit significant cost disadvantages. Enabling well-trained LLMs (e.g., Llama) to rapidly adapt to MLA without pre-training from scratch is both meaningful and challenging. This paper proposes the first data-efficient fine-tuning method for transitioning from MHA to MLA (**MHA2MLA**), which includes two key components: for *partial-RoPE*, we remove RoPE from dimensions of queries and keys that contribute less to the attention scores, for *low-rank approximation*, we introduce joint SVD approximations based on the pre-trained parameters of keys and values. These carefully designed strategies enable MHA2MLA to recover performance using only a small fraction (0.6\% to 1\%) of the data, significantly reducing inference costs while seamlessly integrating with compression techniques such as KV cache quantization. For example, the KV cache size of Llama2-7B is reduced by 92.19\%, with only a 1\% drop in LongBench performance. Our source code is publicly available at https://github.com/JT-Ushio/MHA2MLA.</v>
      </c>
      <c r="D3278" s="7" t="str">
        <f>IFERROR(__xludf.DUMMYFUNCTION("""COMPUTED_VALUE"""),"Tao Ji")</f>
        <v>Tao Ji</v>
      </c>
      <c r="E3278" s="7" t="str">
        <f>IFERROR(__xludf.DUMMYFUNCTION("""COMPUTED_VALUE"""),"Yes")</f>
        <v>Yes</v>
      </c>
      <c r="F3278" s="7" t="str">
        <f>IFERROR(__xludf.DUMMYFUNCTION("""COMPUTED_VALUE"""),"IP-Poster")</f>
        <v>IP-Poster</v>
      </c>
      <c r="G3278" s="7" t="str">
        <f>IFERROR(__xludf.DUMMYFUNCTION("""COMPUTED_VALUE"""),"In-Person")</f>
        <v>In-Person</v>
      </c>
      <c r="H3278" s="7" t="str">
        <f>IFERROR(__xludf.DUMMYFUNCTION("""COMPUTED_VALUE"""),"Hall 4/5")</f>
        <v>Hall 4/5</v>
      </c>
      <c r="I3278" s="7" t="str">
        <f>IFERROR(__xludf.DUMMYFUNCTION("""COMPUTED_VALUE"""),"Session 10: IP-Posters")</f>
        <v>Session 10: IP-Posters</v>
      </c>
      <c r="J3278" s="7" t="str">
        <f>IFERROR(__xludf.DUMMYFUNCTION("""COMPUTED_VALUE"""),"Poster Session 3")</f>
        <v>Poster Session 3</v>
      </c>
      <c r="K3278" s="7"/>
      <c r="L3278" s="8">
        <f>IFERROR(__xludf.DUMMYFUNCTION("""COMPUTED_VALUE"""),45867.0)</f>
        <v>45867</v>
      </c>
      <c r="M3278" s="7" t="str">
        <f>IFERROR(__xludf.DUMMYFUNCTION("""COMPUTED_VALUE"""),"16:00-17:30")</f>
        <v>16:00-17:30</v>
      </c>
      <c r="N3278" s="7"/>
    </row>
    <row r="3279">
      <c r="A3279" s="7" t="str">
        <f>IFERROR(__xludf.DUMMYFUNCTION("""COMPUTED_VALUE"""),"5503-MAIN")</f>
        <v>5503-MAIN</v>
      </c>
      <c r="B3279" s="7" t="str">
        <f>IFERROR(__xludf.DUMMYFUNCTION("""COMPUTED_VALUE"""),"TETRIS: Optimal Draft Token Selection for Batch Speculative Decoding")</f>
        <v>TETRIS: Optimal Draft Token Selection for Batch Speculative Decoding</v>
      </c>
      <c r="C3279" s="7" t="str">
        <f>IFERROR(__xludf.DUMMYFUNCTION("""COMPUTED_VALUE"""),"We propose TETRIS, a novel method that optimizes the total throughput of batch speculative decoding in multi-request settings. Unlike existing methods that optimize for a single request or a group of requests as a whole, TETRIS actively selects the most p"&amp;"romising draft tokens (for every request in a batch) to be accepted when verified in parallel, resulting in fewer rejected tokens and hence less wasted computing resources. Such an effective resource utilization to achieve fast inference in large language"&amp;" models (LLMs) is especially important to service providers with limited inference capacity. Compared to baseline speculative decoding, TETRIS yields a consistently higher acceptance rate and more effective utilization of the limited inference capacity. W"&amp;"e show theoretically and empirically that TETRIS outperforms baseline speculative decoding and existing methods that dynamically select draft tokens, leading to a more efficient batch inference in LLMs.")</f>
        <v>We propose TETRIS, a novel method that optimizes the total throughput of batch speculative decoding in multi-request settings. Unlike existing methods that optimize for a single request or a group of requests as a whole, TETRIS actively selects the most promising draft tokens (for every request in a batch) to be accepted when verified in parallel, resulting in fewer rejected tokens and hence less wasted computing resources. Such an effective resource utilization to achieve fast inference in large language models (LLMs) is especially important to service providers with limited inference capacity. Compared to baseline speculative decoding, TETRIS yields a consistently higher acceptance rate and more effective utilization of the limited inference capacity. We show theoretically and empirically that TETRIS outperforms baseline speculative decoding and existing methods that dynamically select draft tokens, leading to a more efficient batch inference in LLMs.</v>
      </c>
      <c r="D3279" s="7" t="str">
        <f>IFERROR(__xludf.DUMMYFUNCTION("""COMPUTED_VALUE"""),"Zhaoxuan Wu, Zijian Zhou")</f>
        <v>Zhaoxuan Wu, Zijian Zhou</v>
      </c>
      <c r="E3279" s="7" t="str">
        <f>IFERROR(__xludf.DUMMYFUNCTION("""COMPUTED_VALUE"""),"Yes")</f>
        <v>Yes</v>
      </c>
      <c r="F3279" s="7" t="str">
        <f>IFERROR(__xludf.DUMMYFUNCTION("""COMPUTED_VALUE"""),"IP-Poster")</f>
        <v>IP-Poster</v>
      </c>
      <c r="G3279" s="7" t="str">
        <f>IFERROR(__xludf.DUMMYFUNCTION("""COMPUTED_VALUE"""),"In-Person")</f>
        <v>In-Person</v>
      </c>
      <c r="H3279" s="7" t="str">
        <f>IFERROR(__xludf.DUMMYFUNCTION("""COMPUTED_VALUE"""),"Hall 4/5")</f>
        <v>Hall 4/5</v>
      </c>
      <c r="I3279" s="7" t="str">
        <f>IFERROR(__xludf.DUMMYFUNCTION("""COMPUTED_VALUE"""),"Session 2: IP-Posters ")</f>
        <v>Session 2: IP-Posters </v>
      </c>
      <c r="J3279" s="7" t="str">
        <f>IFERROR(__xludf.DUMMYFUNCTION("""COMPUTED_VALUE"""),"Poster Session 1")</f>
        <v>Poster Session 1</v>
      </c>
      <c r="K3279" s="7"/>
      <c r="L3279" s="8">
        <f>IFERROR(__xludf.DUMMYFUNCTION("""COMPUTED_VALUE"""),45866.0)</f>
        <v>45866</v>
      </c>
      <c r="M3279" s="7" t="str">
        <f>IFERROR(__xludf.DUMMYFUNCTION("""COMPUTED_VALUE"""),"11:00-12:30")</f>
        <v>11:00-12:30</v>
      </c>
      <c r="N3279" s="7"/>
    </row>
    <row r="3280">
      <c r="A3280" s="7" t="str">
        <f>IFERROR(__xludf.DUMMYFUNCTION("""COMPUTED_VALUE"""),"5509-MAIN")</f>
        <v>5509-MAIN</v>
      </c>
      <c r="B3280" s="7" t="str">
        <f>IFERROR(__xludf.DUMMYFUNCTION("""COMPUTED_VALUE"""),"Introducing Verification Task of Set Consistency with Set-Consistency Energy Networks")</f>
        <v>Introducing Verification Task of Set Consistency with Set-Consistency Energy Networks</v>
      </c>
      <c r="C3280" s="7" t="str">
        <f>IFERROR(__xludf.DUMMYFUNCTION("""COMPUTED_VALUE"""),"Examining logical inconsistencies among multiple statements (such as collections of sentences or question-answer pairs) is a crucial challenge in machine learning, particularly for ensuring the safety and reliability of models. Traditional methods that re"&amp;"ly on 1:1 pairwise comparisons often fail to capture inconsistencies that only emerge when more than two statements are evaluated collectively. To address this gap, we introduce the task of set-consistency verification, an extension of natural language in"&amp;"ference (NLI) that assesses the logical coherence of entire sets rather than isolated pairs. Building on this task, we present the Set-Consistency Energy Network (SC-Energy), a novel model that employs a margin-based loss to learn the compatibility among "&amp;"a collection of statements. Our approach not only efficiently verifies inconsistencies and pinpoints the specific statements responsible for logical contradictions, but also significantly outperforms existing methods, including prompting-based LLM models."&amp;" Furthermore, we release two new datasets: Set-LConVQA and Set-SNLI for set-consistency verification task.")</f>
        <v>Examining logical inconsistencies among multiple statements (such as collections of sentences or question-answer pairs) is a crucial challenge in machine learning, particularly for ensuring the safety and reliability of models. Traditional methods that rely on 1:1 pairwise comparisons often fail to capture inconsistencies that only emerge when more than two statements are evaluated collectively. To address this gap, we introduce the task of set-consistency verification, an extension of natural language inference (NLI) that assesses the logical coherence of entire sets rather than isolated pairs. Building on this task, we present the Set-Consistency Energy Network (SC-Energy), a novel model that employs a margin-based loss to learn the compatibility among a collection of statements. Our approach not only efficiently verifies inconsistencies and pinpoints the specific statements responsible for logical contradictions, but also significantly outperforms existing methods, including prompting-based LLM models. Furthermore, we release two new datasets: Set-LConVQA and Set-SNLI for set-consistency verification task.</v>
      </c>
      <c r="D3280" s="7" t="str">
        <f>IFERROR(__xludf.DUMMYFUNCTION("""COMPUTED_VALUE"""),"Mooho Song")</f>
        <v>Mooho Song</v>
      </c>
      <c r="E3280" s="7" t="str">
        <f>IFERROR(__xludf.DUMMYFUNCTION("""COMPUTED_VALUE"""),"Yes")</f>
        <v>Yes</v>
      </c>
      <c r="F3280" s="7" t="str">
        <f>IFERROR(__xludf.DUMMYFUNCTION("""COMPUTED_VALUE"""),"IP-Oral")</f>
        <v>IP-Oral</v>
      </c>
      <c r="G3280" s="7" t="str">
        <f>IFERROR(__xludf.DUMMYFUNCTION("""COMPUTED_VALUE"""),"In-Person")</f>
        <v>In-Person</v>
      </c>
      <c r="H3280" s="7" t="str">
        <f>IFERROR(__xludf.DUMMYFUNCTION("""COMPUTED_VALUE"""),"Hall B")</f>
        <v>Hall B</v>
      </c>
      <c r="I3280" s="7" t="str">
        <f>IFERROR(__xludf.DUMMYFUNCTION("""COMPUTED_VALUE"""),"Session 3: IP-Orals")</f>
        <v>Session 3: IP-Orals</v>
      </c>
      <c r="J3280" s="7" t="str">
        <f>IFERROR(__xludf.DUMMYFUNCTION("""COMPUTED_VALUE"""),"NLP Applications 1")</f>
        <v>NLP Applications 1</v>
      </c>
      <c r="K3280" s="7"/>
      <c r="L3280" s="8">
        <f>IFERROR(__xludf.DUMMYFUNCTION("""COMPUTED_VALUE"""),45866.0)</f>
        <v>45866</v>
      </c>
      <c r="M3280" s="7" t="str">
        <f>IFERROR(__xludf.DUMMYFUNCTION("""COMPUTED_VALUE"""),"14:00-15:30")</f>
        <v>14:00-15:30</v>
      </c>
      <c r="N3280" s="7">
        <f>IFERROR(__xludf.DUMMYFUNCTION("""COMPUTED_VALUE"""),8.0)</f>
        <v>8</v>
      </c>
    </row>
    <row r="3281">
      <c r="A3281" s="7" t="str">
        <f>IFERROR(__xludf.DUMMYFUNCTION("""COMPUTED_VALUE"""),"5510-MAIN")</f>
        <v>5510-MAIN</v>
      </c>
      <c r="B3281" s="7" t="str">
        <f>IFERROR(__xludf.DUMMYFUNCTION("""COMPUTED_VALUE"""),"A subtle deception beyond lying: LLMs for strategic phrasing in legislation")</f>
        <v>A subtle deception beyond lying: LLMs for strategic phrasing in legislation</v>
      </c>
      <c r="C3281" s="7" t="str">
        <f>IFERROR(__xludf.DUMMYFUNCTION("""COMPUTED_VALUE"""),"We explore the ability of large language models (LLMs) to engage in subtle deception through strategically phrasing and intentionally manipulating information. This harmful behavior can be hard to detect, unlike blatant lying or unintentional hallucinatio"&amp;"n. We build a simple testbed mimicking a legislative environment where a corporate \textit{lobbyist} module is proposing amendments to bills that benefit a specific company while evading identification of this benefactor. We use real-world legislative bil"&amp;"ls matched with potentially affected companies to ground these interactions. Our results show that LLM lobbyists can draft subtle phrasing to avoid such identification by strong LLM-based detectors. Further optimization of the phrasing using LLM-based re-"&amp;"planning and re-sampling increases deception rates by up to 40 percentage points.
Our human evaluations to verify the quality of deceptive generations and their retention of self-serving intent show significant coherence with our automated metrics and als"&amp;"o help in identifying certain strategies of deceptive phrasing.
This study highlights the risk of LLMs' capabilities for strategic phrasing through seemingly neutral language to attain self-serving goals. This calls for future research to uncover and prot"&amp;"ect against such subtle deception.")</f>
        <v>We explore the ability of large language models (LLMs) to engage in subtle deception through strategically phrasing and intentionally manipulating information. This harmful behavior can be hard to detect, unlike blatant lying or unintentional hallucination. We build a simple testbed mimicking a legislative environment where a corporate \textit{lobbyist} module is proposing amendments to bills that benefit a specific company while evading identification of this benefactor. We use real-world legislative bills matched with potentially affected companies to ground these interactions. Our results show that LLM lobbyists can draft subtle phrasing to avoid such identification by strong LLM-based detectors. Further optimization of the phrasing using LLM-based re-planning and re-sampling increases deception rates by up to 40 percentage points.
Our human evaluations to verify the quality of deceptive generations and their retention of self-serving intent show significant coherence with our automated metrics and also help in identifying certain strategies of deceptive phrasing.
This study highlights the risk of LLMs' capabilities for strategic phrasing through seemingly neutral language to attain self-serving goals. This calls for future research to uncover and protect against such subtle deception.</v>
      </c>
      <c r="D3281" s="7" t="str">
        <f>IFERROR(__xludf.DUMMYFUNCTION("""COMPUTED_VALUE"""),"Atharvan Dogra")</f>
        <v>Atharvan Dogra</v>
      </c>
      <c r="E3281" s="7" t="str">
        <f>IFERROR(__xludf.DUMMYFUNCTION("""COMPUTED_VALUE"""),"Yes")</f>
        <v>Yes</v>
      </c>
      <c r="F3281" s="7" t="str">
        <f>IFERROR(__xludf.DUMMYFUNCTION("""COMPUTED_VALUE"""),"IP-Poster")</f>
        <v>IP-Poster</v>
      </c>
      <c r="G3281" s="7" t="str">
        <f>IFERROR(__xludf.DUMMYFUNCTION("""COMPUTED_VALUE"""),"In-Person")</f>
        <v>In-Person</v>
      </c>
      <c r="H3281" s="7" t="str">
        <f>IFERROR(__xludf.DUMMYFUNCTION("""COMPUTED_VALUE"""),"Hall 4/5")</f>
        <v>Hall 4/5</v>
      </c>
      <c r="I3281" s="7" t="str">
        <f>IFERROR(__xludf.DUMMYFUNCTION("""COMPUTED_VALUE"""),"Session 2: IP-Posters ")</f>
        <v>Session 2: IP-Posters </v>
      </c>
      <c r="J3281" s="7" t="str">
        <f>IFERROR(__xludf.DUMMYFUNCTION("""COMPUTED_VALUE"""),"Poster Session 1")</f>
        <v>Poster Session 1</v>
      </c>
      <c r="K3281" s="7"/>
      <c r="L3281" s="8">
        <f>IFERROR(__xludf.DUMMYFUNCTION("""COMPUTED_VALUE"""),45866.0)</f>
        <v>45866</v>
      </c>
      <c r="M3281" s="7" t="str">
        <f>IFERROR(__xludf.DUMMYFUNCTION("""COMPUTED_VALUE"""),"11:00-12:30")</f>
        <v>11:00-12:30</v>
      </c>
      <c r="N3281" s="7"/>
    </row>
    <row r="3282">
      <c r="A3282" s="7" t="str">
        <f>IFERROR(__xludf.DUMMYFUNCTION("""COMPUTED_VALUE"""),"5515-MAIN")</f>
        <v>5515-MAIN</v>
      </c>
      <c r="B3282" s="7" t="str">
        <f>IFERROR(__xludf.DUMMYFUNCTION("""COMPUTED_VALUE"""),"AfroCS-xs: Creating a Compact, High-Quality, Human-Validated Code-Switched Dataset for African Languages")</f>
        <v>AfroCS-xs: Creating a Compact, High-Quality, Human-Validated Code-Switched Dataset for African Languages</v>
      </c>
      <c r="C3282" s="7" t="str">
        <f>IFERROR(__xludf.DUMMYFUNCTION("""COMPUTED_VALUE"""),"Code-switching is prevalent in multilingual communities but lacks adequate high-quality data for model development, especially for African languages. To address this, we present AfroCS-xs, a small human-validated synthetic code-switched dataset for four A"&amp;"frican languages (Afrikaans, Sesotho, Yoruba, isiZulu) and English within a specific domain—agriculture. Using large language models (LLMs), we generate code-switched sentences, including English translations, that are rigorously validated and corrected b"&amp;"y native speakers. As a downstream evaluation task, we use this dataset to fine-tune different instruction-tuned LLMs for code-switched translation and compare their performance against machine translation (MT) models. Our results demonstrate that LLMs co"&amp;"nsistently improve in translation accuracy when fine-tuned on the high-quality AfroCS-xs dataset, highlighting that substantial gains can still be made with a low volume of data. We also observe improvements on natural code-switched and out-of-domain (per"&amp;"sonal finance) test sets. Overall, regardless of data size and prior exposure to a language, LLMs benefit from higher quality training data when translating code-switched texts in under-represented languages.")</f>
        <v>Code-switching is prevalent in multilingual communities but lacks adequate high-quality data for model development, especially for African languages. To address this, we present AfroCS-xs, a small human-validated synthetic code-switched dataset for four African languages (Afrikaans, Sesotho, Yoruba, isiZulu) and English within a specific domain—agriculture. Using large language models (LLMs), we generate code-switched sentences, including English translations, that are rigorously validated and corrected by native speakers. As a downstream evaluation task, we use this dataset to fine-tune different instruction-tuned LLMs for code-switched translation and compare their performance against machine translation (MT) models. Our results demonstrate that LLMs consistently improve in translation accuracy when fine-tuned on the high-quality AfroCS-xs dataset, highlighting that substantial gains can still be made with a low volume of data. We also observe improvements on natural code-switched and out-of-domain (personal finance) test sets. Overall, regardless of data size and prior exposure to a language, LLMs benefit from higher quality training data when translating code-switched texts in under-represented languages.</v>
      </c>
      <c r="D3282" s="7" t="str">
        <f>IFERROR(__xludf.DUMMYFUNCTION("""COMPUTED_VALUE"""),"Kayode Olaleye")</f>
        <v>Kayode Olaleye</v>
      </c>
      <c r="E3282" s="7" t="str">
        <f>IFERROR(__xludf.DUMMYFUNCTION("""COMPUTED_VALUE"""),"Yes")</f>
        <v>Yes</v>
      </c>
      <c r="F3282" s="7" t="str">
        <f>IFERROR(__xludf.DUMMYFUNCTION("""COMPUTED_VALUE"""),"IP-Poster")</f>
        <v>IP-Poster</v>
      </c>
      <c r="G3282" s="7" t="str">
        <f>IFERROR(__xludf.DUMMYFUNCTION("""COMPUTED_VALUE"""),"In-Person")</f>
        <v>In-Person</v>
      </c>
      <c r="H3282" s="7" t="str">
        <f>IFERROR(__xludf.DUMMYFUNCTION("""COMPUTED_VALUE"""),"Hall 4/5")</f>
        <v>Hall 4/5</v>
      </c>
      <c r="I3282" s="7" t="str">
        <f>IFERROR(__xludf.DUMMYFUNCTION("""COMPUTED_VALUE"""),"Session 7: IP-Posters")</f>
        <v>Session 7: IP-Posters</v>
      </c>
      <c r="J3282" s="7" t="str">
        <f>IFERROR(__xludf.DUMMYFUNCTION("""COMPUTED_VALUE"""),"Poster Session 2")</f>
        <v>Poster Session 2</v>
      </c>
      <c r="K3282" s="7"/>
      <c r="L3282" s="8">
        <f>IFERROR(__xludf.DUMMYFUNCTION("""COMPUTED_VALUE"""),45867.0)</f>
        <v>45867</v>
      </c>
      <c r="M3282" s="7" t="str">
        <f>IFERROR(__xludf.DUMMYFUNCTION("""COMPUTED_VALUE"""),"10:30-12:00")</f>
        <v>10:30-12:00</v>
      </c>
      <c r="N3282" s="7"/>
    </row>
    <row r="3283">
      <c r="A3283" s="7" t="str">
        <f>IFERROR(__xludf.DUMMYFUNCTION("""COMPUTED_VALUE"""),"5518-MAIN")</f>
        <v>5518-MAIN</v>
      </c>
      <c r="B3283" s="7" t="str">
        <f>IFERROR(__xludf.DUMMYFUNCTION("""COMPUTED_VALUE"""),"Just Go Parallel: Improving the Multilingual Capabilities of Large Language Models")</f>
        <v>Just Go Parallel: Improving the Multilingual Capabilities of Large Language Models</v>
      </c>
      <c r="C3283" s="7" t="str">
        <f>IFERROR(__xludf.DUMMYFUNCTION("""COMPUTED_VALUE"""),"Large language models (LLMs) have demonstrated impressive translation capabilities even without being explicitly trained on parallel data. This remarkable property has led some to believe that parallel data is no longer necessary for building multilingual"&amp;" language models. While some attribute this to the emergent abilities of LLMs due to scale, recent work suggests that it is actually caused by incidental bilingual signals present in the training data. Various methods have been proposed to maximize the ut"&amp;"ility of parallel data to enhance the multilingual capabilities of multilingual encoder-based and encoder-decoder language models. However, some decoder-based LLMs opt to ignore parallel data instead. In this work, we conduct a systematic study on the imp"&amp;"act of adding parallel data on LLMs' multilingual capabilities, focusing specifically on translation and multilingual common-sense reasoning. Through controlled experiments, we demonstrate that parallel data can significantly improve LLMs' multilingual ca"&amp;"pabilities.")</f>
        <v>Large language models (LLMs) have demonstrated impressive translation capabilities even without being explicitly trained on parallel data. This remarkable property has led some to believe that parallel data is no longer necessary for building multilingual language models. While some attribute this to the emergent abilities of LLMs due to scale, recent work suggests that it is actually caused by incidental bilingual signals present in the training data. Various methods have been proposed to maximize the utility of parallel data to enhance the multilingual capabilities of multilingual encoder-based and encoder-decoder language models. However, some decoder-based LLMs opt to ignore parallel data instead. In this work, we conduct a systematic study on the impact of adding parallel data on LLMs' multilingual capabilities, focusing specifically on translation and multilingual common-sense reasoning. Through controlled experiments, we demonstrate that parallel data can significantly improve LLMs' multilingual capabilities.</v>
      </c>
      <c r="D3283" s="7" t="str">
        <f>IFERROR(__xludf.DUMMYFUNCTION("""COMPUTED_VALUE"""),"Muhammad Reza Qorib")</f>
        <v>Muhammad Reza Qorib</v>
      </c>
      <c r="E3283" s="7" t="str">
        <f>IFERROR(__xludf.DUMMYFUNCTION("""COMPUTED_VALUE"""),"Yes")</f>
        <v>Yes</v>
      </c>
      <c r="F3283" s="7" t="str">
        <f>IFERROR(__xludf.DUMMYFUNCTION("""COMPUTED_VALUE"""),"IP-Poster")</f>
        <v>IP-Poster</v>
      </c>
      <c r="G3283" s="7" t="str">
        <f>IFERROR(__xludf.DUMMYFUNCTION("""COMPUTED_VALUE"""),"In-Person")</f>
        <v>In-Person</v>
      </c>
      <c r="H3283" s="7" t="str">
        <f>IFERROR(__xludf.DUMMYFUNCTION("""COMPUTED_VALUE"""),"Hall 4/5")</f>
        <v>Hall 4/5</v>
      </c>
      <c r="I3283" s="7" t="str">
        <f>IFERROR(__xludf.DUMMYFUNCTION("""COMPUTED_VALUE"""),"Session 12: IP-Posters")</f>
        <v>Session 12: IP-Posters</v>
      </c>
      <c r="J3283" s="7" t="str">
        <f>IFERROR(__xludf.DUMMYFUNCTION("""COMPUTED_VALUE"""),"Poster Session 4")</f>
        <v>Poster Session 4</v>
      </c>
      <c r="K3283" s="7"/>
      <c r="L3283" s="8">
        <f>IFERROR(__xludf.DUMMYFUNCTION("""COMPUTED_VALUE"""),45868.0)</f>
        <v>45868</v>
      </c>
      <c r="M3283" s="7" t="str">
        <f>IFERROR(__xludf.DUMMYFUNCTION("""COMPUTED_VALUE"""),"11:00-12:30")</f>
        <v>11:00-12:30</v>
      </c>
      <c r="N3283" s="7"/>
    </row>
    <row r="3284">
      <c r="A3284" s="7" t="str">
        <f>IFERROR(__xludf.DUMMYFUNCTION("""COMPUTED_VALUE"""),"5532-MAIN")</f>
        <v>5532-MAIN</v>
      </c>
      <c r="B3284" s="7" t="str">
        <f>IFERROR(__xludf.DUMMYFUNCTION("""COMPUTED_VALUE"""),"Design Choices for Extending the Context Length of Visual Language Models")</f>
        <v>Design Choices for Extending the Context Length of Visual Language Models</v>
      </c>
      <c r="C3284" s="7" t="str">
        <f>IFERROR(__xludf.DUMMYFUNCTION("""COMPUTED_VALUE"""),"Visual Language Models (VLMs) demonstrate impressive capabilities in processing multimodal inputs, yet applications such as visual agents, which require handling multiple images and high-resolution videos, demand enhanced long-range modeling. Moreover, ex"&amp;"isting open-source VLMs lack systematic exploration into extending their context length, and commercial models often provide limited details. To tackle this, we aim to establish an effective solution that enhances long context performance of VLMs while pr"&amp;"eserving their capacities in short context scenarios. Towards this goal, we make the best design choice through extensive experiment settings from data curation to context window extending and utilizing: (1) we analyze data sources and length distribution"&amp;"s to construct ETVLM - a data recipe to balance the performance across scenarios; (2) we examine existing position extending methods, identify their limitations and propose M-RoPE++ as an enhanced approach; we also choose to solely instruction-tune the ba"&amp;"ckbone with mixed-source data; (3) we discuss how to better utilize extended context windows and propose hybrid-resolution training. Built on the Qwen-VL series model, we propose Giraffe, which is effectively extended to 128K lengths. Evaluated on extensi"&amp;"ve long context VLM benchmarks such as VideoMME and Viusal Haystacks, our Giraffe achieves state-of-the-art performance among similarly sized open-source long VLMs and is competitive with commercial model GPT-4V. We will open-source the code, data, and mo"&amp;"dels.")</f>
        <v>Visual Language Models (VLMs) demonstrate impressive capabilities in processing multimodal inputs, yet applications such as visual agents, which require handling multiple images and high-resolution videos, demand enhanced long-range modeling. Moreover, existing open-source VLMs lack systematic exploration into extending their context length, and commercial models often provide limited details. To tackle this, we aim to establish an effective solution that enhances long context performance of VLMs while preserving their capacities in short context scenarios. Towards this goal, we make the best design choice through extensive experiment settings from data curation to context window extending and utilizing: (1) we analyze data sources and length distributions to construct ETVLM - a data recipe to balance the performance across scenarios; (2) we examine existing position extending methods, identify their limitations and propose M-RoPE++ as an enhanced approach; we also choose to solely instruction-tune the backbone with mixed-source data; (3) we discuss how to better utilize extended context windows and propose hybrid-resolution training. Built on the Qwen-VL series model, we propose Giraffe, which is effectively extended to 128K lengths. Evaluated on extensive long context VLM benchmarks such as VideoMME and Viusal Haystacks, our Giraffe achieves state-of-the-art performance among similarly sized open-source long VLMs and is competitive with commercial model GPT-4V. We will open-source the code, data, and models.</v>
      </c>
      <c r="D3284" s="7" t="str">
        <f>IFERROR(__xludf.DUMMYFUNCTION("""COMPUTED_VALUE"""),"Mukai Li")</f>
        <v>Mukai Li</v>
      </c>
      <c r="E3284" s="7" t="str">
        <f>IFERROR(__xludf.DUMMYFUNCTION("""COMPUTED_VALUE"""),"Yes")</f>
        <v>Yes</v>
      </c>
      <c r="F3284" s="7" t="str">
        <f>IFERROR(__xludf.DUMMYFUNCTION("""COMPUTED_VALUE"""),"IP-Poster")</f>
        <v>IP-Poster</v>
      </c>
      <c r="G3284" s="7" t="str">
        <f>IFERROR(__xludf.DUMMYFUNCTION("""COMPUTED_VALUE"""),"In-Person")</f>
        <v>In-Person</v>
      </c>
      <c r="H3284" s="7" t="str">
        <f>IFERROR(__xludf.DUMMYFUNCTION("""COMPUTED_VALUE"""),"Hall 4/5")</f>
        <v>Hall 4/5</v>
      </c>
      <c r="I3284" s="7" t="str">
        <f>IFERROR(__xludf.DUMMYFUNCTION("""COMPUTED_VALUE"""),"Session 10: IP-Posters")</f>
        <v>Session 10: IP-Posters</v>
      </c>
      <c r="J3284" s="7" t="str">
        <f>IFERROR(__xludf.DUMMYFUNCTION("""COMPUTED_VALUE"""),"Poster Session 3")</f>
        <v>Poster Session 3</v>
      </c>
      <c r="K3284" s="7"/>
      <c r="L3284" s="8">
        <f>IFERROR(__xludf.DUMMYFUNCTION("""COMPUTED_VALUE"""),45867.0)</f>
        <v>45867</v>
      </c>
      <c r="M3284" s="7" t="str">
        <f>IFERROR(__xludf.DUMMYFUNCTION("""COMPUTED_VALUE"""),"16:00-17:30")</f>
        <v>16:00-17:30</v>
      </c>
      <c r="N3284" s="7"/>
    </row>
    <row r="3285">
      <c r="A3285" s="7" t="str">
        <f>IFERROR(__xludf.DUMMYFUNCTION("""COMPUTED_VALUE"""),"7-SRW")</f>
        <v>7-SRW</v>
      </c>
      <c r="B3285" s="7" t="str">
        <f>IFERROR(__xludf.DUMMYFUNCTION("""COMPUTED_VALUE"""),"Advancing African-Accented English Speech Recognition: Epistemic Uncertainty-Driven Data Selection for Generalizable ASR Models")</f>
        <v>Advancing African-Accented English Speech Recognition: Epistemic Uncertainty-Driven Data Selection for Generalizable ASR Models</v>
      </c>
      <c r="C3285" s="7" t="str">
        <f>IFERROR(__xludf.DUMMYFUNCTION("""COMPUTED_VALUE"""),"Accents play a pivotal role in shaping human communication, enhancing our ability to convey and comprehend messages with clarity and cultural nuance. While there has been significant progress in Automatic Speech Recognition (ASR), African-accented English"&amp;" ASR has been understudied due to a lack of training datasets, which are often expensive to create and demand colossal human labor. Combining several active learning paradigms and the core-set approach, we propose a new multi-round adaptation process that"&amp;" uses epistemic uncertainty to automate annotation, significantly reducing the associated costs and human labor. This novel method streamlines data annotation and strategically selects data samples that contribute most to model uncertainty, enhancing trai"&amp;"ning efficiency. We define a new U-WER metric to track model adaptation to hard accents. We evaluate our approach across several domains, datasets, and high-performing speech models. Our results show that our approach leads to a 27\% WER relative average "&amp;"improvement while requiring, on average, 45\% less data than established baselines. Our approach also improves out-of-distribution generalization for very low-resource accents, demonstrating its viability for building generalizable ASR models in the conte"&amp;"xt of accented African ASR. We open-source the code \href{}{here}.")</f>
        <v>Accents play a pivotal role in shaping human communication, enhancing our ability to convey and comprehend messages with clarity and cultural nuance. While there has been significant progress in Automatic Speech Recognition (ASR), African-accented English ASR has been understudied due to a lack of training datasets, which are often expensive to create and demand colossal human labor. Combining several active learning paradigms and the core-set approach, we propose a new multi-round adaptation process that uses epistemic uncertainty to automate annotation, significantly reducing the associated costs and human labor. This novel method streamlines data annotation and strategically selects data samples that contribute most to model uncertainty, enhancing training efficiency. We define a new U-WER metric to track model adaptation to hard accents. We evaluate our approach across several domains, datasets, and high-performing speech models. Our results show that our approach leads to a 27\% WER relative average improvement while requiring, on average, 45\% less data than established baselines. Our approach also improves out-of-distribution generalization for very low-resource accents, demonstrating its viability for building generalizable ASR models in the context of accented African ASR. We open-source the code \href{}{here}.</v>
      </c>
      <c r="D3285" s="7" t="str">
        <f>IFERROR(__xludf.DUMMYFUNCTION("""COMPUTED_VALUE"""),"Bonaventure F. P. Dossou")</f>
        <v>Bonaventure F. P. Dossou</v>
      </c>
      <c r="E3285" s="7" t="str">
        <f>IFERROR(__xludf.DUMMYFUNCTION("""COMPUTED_VALUE"""),"Yes")</f>
        <v>Yes</v>
      </c>
      <c r="F3285" s="7" t="str">
        <f>IFERROR(__xludf.DUMMYFUNCTION("""COMPUTED_VALUE"""),"Virtual/Gather")</f>
        <v>Virtual/Gather</v>
      </c>
      <c r="G3285" s="7" t="str">
        <f>IFERROR(__xludf.DUMMYFUNCTION("""COMPUTED_VALUE"""),"Virtual/Gather")</f>
        <v>Virtual/Gather</v>
      </c>
      <c r="H3285" s="7" t="str">
        <f>IFERROR(__xludf.DUMMYFUNCTION("""COMPUTED_VALUE"""),"Zoom")</f>
        <v>Zoom</v>
      </c>
      <c r="I3285" s="7" t="str">
        <f>IFERROR(__xludf.DUMMYFUNCTION("""COMPUTED_VALUE"""),"Session 7: V--Presentations ")</f>
        <v>Session 7: V--Presentations </v>
      </c>
      <c r="J3285" s="7" t="str">
        <f>IFERROR(__xludf.DUMMYFUNCTION("""COMPUTED_VALUE"""),"Student Research Workshop - Virtual Presentations 1")</f>
        <v>Student Research Workshop - Virtual Presentations 1</v>
      </c>
      <c r="K3285" s="7"/>
      <c r="L3285" s="8"/>
      <c r="M3285" s="7" t="str">
        <f>IFERROR(__xludf.DUMMYFUNCTION("""COMPUTED_VALUE"""),"10:30-12:00")</f>
        <v>10:30-12:00</v>
      </c>
      <c r="N3285" s="7">
        <f>IFERROR(__xludf.DUMMYFUNCTION("""COMPUTED_VALUE"""),1.0)</f>
        <v>1</v>
      </c>
    </row>
    <row r="3286">
      <c r="A3286" s="7" t="str">
        <f>IFERROR(__xludf.DUMMYFUNCTION("""COMPUTED_VALUE"""),"8-SRW")</f>
        <v>8-SRW</v>
      </c>
      <c r="B3286" s="7" t="str">
        <f>IFERROR(__xludf.DUMMYFUNCTION("""COMPUTED_VALUE"""),"Beyond the Gold Standard in Analytic Automated Essay Scoring")</f>
        <v>Beyond the Gold Standard in Analytic Automated Essay Scoring</v>
      </c>
      <c r="C3286" s="7" t="str">
        <f>IFERROR(__xludf.DUMMYFUNCTION("""COMPUTED_VALUE"""),"Originally developed to reduce the manual burden of grading standardised language tests, Automated Essay Scoring (AES) research has long focused on holistic scoring methods which offer minimal formative feedback in the classroom. With the increasing deman"&amp;"d for technological tools that support language acquisition, the field is turning to analytic AES (evaluating essays according to different linguistic traits). This approach holds promise for generating more detailed essay feedback, but relies on analytic"&amp;" scoring data that is both more cognitively demanding for humans to produce, and prone to bias. The dominant paradigm in AES is to aggregate disagreements between raters into a single gold-standard label, which fails to account for genuine examiner variab"&amp;"ility. In an attempt to make AES more representative and trustworthy, we propose to explore the sources of disagreements and lay out a novel AES system design that learns from individual raters instead of the gold standard labels.")</f>
        <v>Originally developed to reduce the manual burden of grading standardised language tests, Automated Essay Scoring (AES) research has long focused on holistic scoring methods which offer minimal formative feedback in the classroom. With the increasing demand for technological tools that support language acquisition, the field is turning to analytic AES (evaluating essays according to different linguistic traits). This approach holds promise for generating more detailed essay feedback, but relies on analytic scoring data that is both more cognitively demanding for humans to produce, and prone to bias. The dominant paradigm in AES is to aggregate disagreements between raters into a single gold-standard label, which fails to account for genuine examiner variability. In an attempt to make AES more representative and trustworthy, we propose to explore the sources of disagreements and lay out a novel AES system design that learns from individual raters instead of the gold standard labels.</v>
      </c>
      <c r="D3286" s="7" t="str">
        <f>IFERROR(__xludf.DUMMYFUNCTION("""COMPUTED_VALUE"""),"Gabrielle Gaudeau")</f>
        <v>Gabrielle Gaudeau</v>
      </c>
      <c r="E3286" s="7" t="str">
        <f>IFERROR(__xludf.DUMMYFUNCTION("""COMPUTED_VALUE"""),"Yes")</f>
        <v>Yes</v>
      </c>
      <c r="F3286" s="7" t="str">
        <f>IFERROR(__xludf.DUMMYFUNCTION("""COMPUTED_VALUE"""),"IP-Poster")</f>
        <v>IP-Poster</v>
      </c>
      <c r="G3286" s="7" t="str">
        <f>IFERROR(__xludf.DUMMYFUNCTION("""COMPUTED_VALUE"""),"In-person")</f>
        <v>In-person</v>
      </c>
      <c r="H3286" s="7" t="str">
        <f>IFERROR(__xludf.DUMMYFUNCTION("""COMPUTED_VALUE"""),"Hall 4/5")</f>
        <v>Hall 4/5</v>
      </c>
      <c r="I3286" s="7" t="str">
        <f>IFERROR(__xludf.DUMMYFUNCTION("""COMPUTED_VALUE"""),"Session 10: IP-Posters")</f>
        <v>Session 10: IP-Posters</v>
      </c>
      <c r="J3286" s="7" t="str">
        <f>IFERROR(__xludf.DUMMYFUNCTION("""COMPUTED_VALUE"""),"Student Research Workshop - In-Person Posters 2")</f>
        <v>Student Research Workshop - In-Person Posters 2</v>
      </c>
      <c r="K3286" s="7"/>
      <c r="L3286" s="8">
        <f>IFERROR(__xludf.DUMMYFUNCTION("""COMPUTED_VALUE"""),45867.0)</f>
        <v>45867</v>
      </c>
      <c r="M3286" s="7" t="str">
        <f>IFERROR(__xludf.DUMMYFUNCTION("""COMPUTED_VALUE"""),"16:00-17:30")</f>
        <v>16:00-17:30</v>
      </c>
      <c r="N3286" s="7"/>
    </row>
    <row r="3287">
      <c r="A3287" s="7" t="str">
        <f>IFERROR(__xludf.DUMMYFUNCTION("""COMPUTED_VALUE"""),"17-SRW")</f>
        <v>17-SRW</v>
      </c>
      <c r="B3287" s="7" t="str">
        <f>IFERROR(__xludf.DUMMYFUNCTION("""COMPUTED_VALUE"""),"Confidence and Stability of Global and Pairwise Scores in NLP Evaluation")</f>
        <v>Confidence and Stability of Global and Pairwise Scores in NLP Evaluation</v>
      </c>
      <c r="C3287" s="7" t="str">
        <f>IFERROR(__xludf.DUMMYFUNCTION("""COMPUTED_VALUE"""),"With the advent of highly capable instruction-tuned neural language models, benchmarking in natural language processing (NLP) is increasingly shifting towards pairwise comparison leaderboards, such as LMSYS Arena, from traditional global pointwise scores "&amp;"(e.g., GLUE, BIG-bench, SWE-bench). This paper empirically investigates the strengths and weaknesses of both global scores and pairwise comparisons to aid decision-making in selecting appropriate model evaluation strategies. Through computational experime"&amp;"nts on synthetic and real-world datasets using standard global metrics and the popular Bradley–Terry model for pairwise comparisons, we found that while global scores provide more reliable overall rankings, they can underestimate strong models with rare, "&amp;"significant errors or low confidence. Conversely, pairwise comparisons are particularly effective for identifying strong contenders among models with lower global scores, especially where quality metrics are hard to define (e.g., text generation), though "&amp;"they require more comparisons to converge if ties are frequent.")</f>
        <v>With the advent of highly capable instruction-tuned neural language models, benchmarking in natural language processing (NLP) is increasingly shifting towards pairwise comparison leaderboards, such as LMSYS Arena, from traditional global pointwise scores (e.g., GLUE, BIG-bench, SWE-bench). This paper empirically investigates the strengths and weaknesses of both global scores and pairwise comparisons to aid decision-making in selecting appropriate model evaluation strategies. Through computational experiments on synthetic and real-world datasets using standard global metrics and the popular Bradley–Terry model for pairwise comparisons, we found that while global scores provide more reliable overall rankings, they can underestimate strong models with rare, significant errors or low confidence. Conversely, pairwise comparisons are particularly effective for identifying strong contenders among models with lower global scores, especially where quality metrics are hard to define (e.g., text generation), though they require more comparisons to converge if ties are frequent.</v>
      </c>
      <c r="D3287" s="7" t="str">
        <f>IFERROR(__xludf.DUMMYFUNCTION("""COMPUTED_VALUE"""),"Georgii Levtsov")</f>
        <v>Georgii Levtsov</v>
      </c>
      <c r="E3287" s="7" t="str">
        <f>IFERROR(__xludf.DUMMYFUNCTION("""COMPUTED_VALUE"""),"Yes")</f>
        <v>Yes</v>
      </c>
      <c r="F3287" s="7" t="str">
        <f>IFERROR(__xludf.DUMMYFUNCTION("""COMPUTED_VALUE"""),"Virtual/Gather")</f>
        <v>Virtual/Gather</v>
      </c>
      <c r="G3287" s="7" t="str">
        <f>IFERROR(__xludf.DUMMYFUNCTION("""COMPUTED_VALUE"""),"Virtual/Gather")</f>
        <v>Virtual/Gather</v>
      </c>
      <c r="H3287" s="7" t="str">
        <f>IFERROR(__xludf.DUMMYFUNCTION("""COMPUTED_VALUE"""),"Zoom")</f>
        <v>Zoom</v>
      </c>
      <c r="I3287" s="7" t="str">
        <f>IFERROR(__xludf.DUMMYFUNCTION("""COMPUTED_VALUE"""),"Session 10: V-Presenations")</f>
        <v>Session 10: V-Presenations</v>
      </c>
      <c r="J3287" s="7" t="str">
        <f>IFERROR(__xludf.DUMMYFUNCTION("""COMPUTED_VALUE"""),"Student Research Workshop - Virtual Presentations 2")</f>
        <v>Student Research Workshop - Virtual Presentations 2</v>
      </c>
      <c r="K3287" s="7"/>
      <c r="L3287" s="8">
        <f>IFERROR(__xludf.DUMMYFUNCTION("""COMPUTED_VALUE"""),45867.0)</f>
        <v>45867</v>
      </c>
      <c r="M3287" s="7" t="str">
        <f>IFERROR(__xludf.DUMMYFUNCTION("""COMPUTED_VALUE"""),"16:00-17:30")</f>
        <v>16:00-17:30</v>
      </c>
      <c r="N3287" s="7">
        <f>IFERROR(__xludf.DUMMYFUNCTION("""COMPUTED_VALUE"""),15.0)</f>
        <v>15</v>
      </c>
    </row>
    <row r="3288">
      <c r="A3288" s="7" t="str">
        <f>IFERROR(__xludf.DUMMYFUNCTION("""COMPUTED_VALUE"""),"19-SRW")</f>
        <v>19-SRW</v>
      </c>
      <c r="B3288" s="7" t="str">
        <f>IFERROR(__xludf.DUMMYFUNCTION("""COMPUTED_VALUE"""),"Zero-shot prompt-based classification: topic labeling in times of foundation models in German Tweets")</f>
        <v>Zero-shot prompt-based classification: topic labeling in times of foundation models in German Tweets</v>
      </c>
      <c r="C3288" s="7" t="str">
        <f>IFERROR(__xludf.DUMMYFUNCTION("""COMPUTED_VALUE"""),"Filtering and annotating textual data are routine tasks in many areas, like social media or news analytics. Automating these tasks allows to scale the analyses wrt. speed and breadth of content covered and decreases the manual effort required. Due to tech"&amp;"nical advancements in Natural Language Processing, specifically the success of large foundation models, a new tool for automating such annotation processes by using a text-to-text interface given written guidelines without providing training samples has b"&amp;"ecome available. 
In this work, we assess these advancements \textit{in-the-wild} by empirically testing them in an annotation task on German Twitter data about social and political European crises. We compare the prompt-based results with our human anno"&amp;"tation and preceding classification approaches, including Naive Bayes and a BERT-based fine-tuning/domain adaptation pipeline. Our results show that the prompt-based approach – despite being limited by local computation resources during the model selectio"&amp;"n – is comparable with the fine-tuned BERT but without any annotated training data. Our findings emphasize the ongoing paradigm shift in the NLP landscape, i.e., the unification of downstream tasks and elimination of the need for pre-labeled training data"&amp;".")</f>
        <v>Filtering and annotating textual data are routine tasks in many areas, like social media or news analytics. Automating these tasks allows to scale the analyses wrt. speed and breadth of content covered and decreases the manual effort required. Due to technical advancements in Natural Language Processing, specifically the success of large foundation models, a new tool for automating such annotation processes by using a text-to-text interface given written guidelines without providing training samples has become available. 
In this work, we assess these advancements \textit{in-the-wild} by empirically testing them in an annotation task on German Twitter data about social and political European crises. We compare the prompt-based results with our human annotation and preceding classification approaches, including Naive Bayes and a BERT-based fine-tuning/domain adaptation pipeline. Our results show that the prompt-based approach – despite being limited by local computation resources during the model selection – is comparable with the fine-tuned BERT but without any annotated training data. Our findings emphasize the ongoing paradigm shift in the NLP landscape, i.e., the unification of downstream tasks and elimination of the need for pre-labeled training data.</v>
      </c>
      <c r="D3288" s="7" t="str">
        <f>IFERROR(__xludf.DUMMYFUNCTION("""COMPUTED_VALUE"""),"Simon Münker")</f>
        <v>Simon Münker</v>
      </c>
      <c r="E3288" s="7" t="str">
        <f>IFERROR(__xludf.DUMMYFUNCTION("""COMPUTED_VALUE"""),"Yes")</f>
        <v>Yes</v>
      </c>
      <c r="F3288" s="7" t="str">
        <f>IFERROR(__xludf.DUMMYFUNCTION("""COMPUTED_VALUE"""),"IP-Poster")</f>
        <v>IP-Poster</v>
      </c>
      <c r="G3288" s="7" t="str">
        <f>IFERROR(__xludf.DUMMYFUNCTION("""COMPUTED_VALUE"""),"In-person")</f>
        <v>In-person</v>
      </c>
      <c r="H3288" s="7" t="str">
        <f>IFERROR(__xludf.DUMMYFUNCTION("""COMPUTED_VALUE"""),"Hall 4/5")</f>
        <v>Hall 4/5</v>
      </c>
      <c r="I3288" s="7" t="str">
        <f>IFERROR(__xludf.DUMMYFUNCTION("""COMPUTED_VALUE"""),"Session 7: IP-Posters")</f>
        <v>Session 7: IP-Posters</v>
      </c>
      <c r="J3288" s="7" t="str">
        <f>IFERROR(__xludf.DUMMYFUNCTION("""COMPUTED_VALUE"""),"Student Research Workshop - In-Person Posters 1")</f>
        <v>Student Research Workshop - In-Person Posters 1</v>
      </c>
      <c r="K3288" s="7"/>
      <c r="L3288" s="8">
        <f>IFERROR(__xludf.DUMMYFUNCTION("""COMPUTED_VALUE"""),45867.0)</f>
        <v>45867</v>
      </c>
      <c r="M3288" s="7" t="str">
        <f>IFERROR(__xludf.DUMMYFUNCTION("""COMPUTED_VALUE"""),"10:30-12:00")</f>
        <v>10:30-12:00</v>
      </c>
      <c r="N3288" s="7"/>
    </row>
    <row r="3289">
      <c r="A3289" s="7" t="str">
        <f>IFERROR(__xludf.DUMMYFUNCTION("""COMPUTED_VALUE"""),"24-SRW")</f>
        <v>24-SRW</v>
      </c>
      <c r="B3289" s="7" t="str">
        <f>IFERROR(__xludf.DUMMYFUNCTION("""COMPUTED_VALUE"""),"Rethinking Full Finetuning from Pretraining Checkpoints in Active Learning for African Languages")</f>
        <v>Rethinking Full Finetuning from Pretraining Checkpoints in Active Learning for African Languages</v>
      </c>
      <c r="C3289" s="7" t="str">
        <f>IFERROR(__xludf.DUMMYFUNCTION("""COMPUTED_VALUE"""),"Active learning (AL) aims to reduce annotation effort by iteratively selecting the most informative samples for labeling. The dominant strategy in AL involves fully finetuning the model on all acquired data after each round, which is computationally expen"&amp;"sive in multilingual and low-resource settings. This paper investigates \textit{continual finetuning} (CF), an alternative update strategy where the model is updated only on newly acquired samples at each round. We evaluate CF against full finetuning (FA)"&amp;" across 28 African languages using MasakhaNEWS and SIB-200. Our analysis reveals three key findings. First, CF matches or outperforms FA for languages included in the model's pretraining, achieving up to 35\% reductions in GPU memory, FLOPs, and training "&amp;"time. Second, CF performs comparably even for languages not seen during pretraining when they are typologically similar to those that were. Third, CF's effectiveness depends critically on uncertainty-based acquisition; without it, performance deteriorates"&amp;" significantly. While FA remains preferable for some low-resource languages, the overall results establish CF as a robust, cost-efficient alternative for active learning in multilingual NLP. These findings motivate developing hybrid AL strategies that ada"&amp;"pt fine-tuning behavior based on pretraining coverage, language typology, and acquisition dynamics.")</f>
        <v>Active learning (AL) aims to reduce annotation effort by iteratively selecting the most informative samples for labeling. The dominant strategy in AL involves fully finetuning the model on all acquired data after each round, which is computationally expensive in multilingual and low-resource settings. This paper investigates \textit{continual finetuning} (CF), an alternative update strategy where the model is updated only on newly acquired samples at each round. We evaluate CF against full finetuning (FA) across 28 African languages using MasakhaNEWS and SIB-200. Our analysis reveals three key findings. First, CF matches or outperforms FA for languages included in the model's pretraining, achieving up to 35\% reductions in GPU memory, FLOPs, and training time. Second, CF performs comparably even for languages not seen during pretraining when they are typologically similar to those that were. Third, CF's effectiveness depends critically on uncertainty-based acquisition; without it, performance deteriorates significantly. While FA remains preferable for some low-resource languages, the overall results establish CF as a robust, cost-efficient alternative for active learning in multilingual NLP. These findings motivate developing hybrid AL strategies that adapt fine-tuning behavior based on pretraining coverage, language typology, and acquisition dynamics.</v>
      </c>
      <c r="D3289" s="7" t="str">
        <f>IFERROR(__xludf.DUMMYFUNCTION("""COMPUTED_VALUE"""),"Bonaventure F. P. Dossou")</f>
        <v>Bonaventure F. P. Dossou</v>
      </c>
      <c r="E3289" s="7" t="str">
        <f>IFERROR(__xludf.DUMMYFUNCTION("""COMPUTED_VALUE"""),"Yes")</f>
        <v>Yes</v>
      </c>
      <c r="F3289" s="7" t="str">
        <f>IFERROR(__xludf.DUMMYFUNCTION("""COMPUTED_VALUE"""),"Virtual/Gather")</f>
        <v>Virtual/Gather</v>
      </c>
      <c r="G3289" s="7" t="str">
        <f>IFERROR(__xludf.DUMMYFUNCTION("""COMPUTED_VALUE"""),"Virtual/Gather")</f>
        <v>Virtual/Gather</v>
      </c>
      <c r="H3289" s="7" t="str">
        <f>IFERROR(__xludf.DUMMYFUNCTION("""COMPUTED_VALUE"""),"Zoom")</f>
        <v>Zoom</v>
      </c>
      <c r="I3289" s="7" t="str">
        <f>IFERROR(__xludf.DUMMYFUNCTION("""COMPUTED_VALUE"""),"Session 7: V--Presentations ")</f>
        <v>Session 7: V--Presentations </v>
      </c>
      <c r="J3289" s="7" t="str">
        <f>IFERROR(__xludf.DUMMYFUNCTION("""COMPUTED_VALUE"""),"Student Research Workshop - Virtual Presentations 1")</f>
        <v>Student Research Workshop - Virtual Presentations 1</v>
      </c>
      <c r="K3289" s="7"/>
      <c r="L3289" s="8"/>
      <c r="M3289" s="7" t="str">
        <f>IFERROR(__xludf.DUMMYFUNCTION("""COMPUTED_VALUE"""),"10:30-12:00")</f>
        <v>10:30-12:00</v>
      </c>
      <c r="N3289" s="7">
        <f>IFERROR(__xludf.DUMMYFUNCTION("""COMPUTED_VALUE"""),2.0)</f>
        <v>2</v>
      </c>
    </row>
    <row r="3290">
      <c r="A3290" s="7" t="str">
        <f>IFERROR(__xludf.DUMMYFUNCTION("""COMPUTED_VALUE"""),"28-SRW")</f>
        <v>28-SRW</v>
      </c>
      <c r="B3290" s="7" t="str">
        <f>IFERROR(__xludf.DUMMYFUNCTION("""COMPUTED_VALUE"""),"HYPEROFA: Expanding LLM Vocabulary to New Languages via Hypernetwork-Based Embedding Initialization")</f>
        <v>HYPEROFA: Expanding LLM Vocabulary to New Languages via Hypernetwork-Based Embedding Initialization</v>
      </c>
      <c r="C3290" s="7" t="str">
        <f>IFERROR(__xludf.DUMMYFUNCTION("""COMPUTED_VALUE"""),"Many pre-trained language models (PLMs) exhibit suboptimal performance on mid- and low-resource languages, largely due to limited exposure to these languages during pre-training. A common strategy to address this is to introduce new tokens specific to the"&amp;" target languages, initialize their embeddings, and apply continual pre-training on target-language data. Among such methods, OFA (Liu et al., 2024a) proposes a similarity-based subword embedding initialization heuristic that is both effective and efficie"&amp;"nt. However, OFA restricts target-language token embeddings to be convex combinations of a fixed number of source-language embeddings, which may limit expressiveness. To overcome this limitation, we propose HYPEROFA, a hypernetwork-based approach for more"&amp;" adaptive token embedding initialization. The hypernetwork is trained to map from an external multilingual word vector space to the PLM’s token embedding space using source-language tokens. Once trained, it can generate flexible embeddings for target-lang"&amp;"uage tokens, serving as a good starting point for continual pretraining. Experiments demonstrate that HYPEROFA consistently outperforms random initialization baseline and matches or exceeds the performance of OFA in both continual pre-training convergence"&amp;" and downstream task performance. We make the code publicly available.")</f>
        <v>Many pre-trained language models (PLMs) exhibit suboptimal performance on mid- and low-resource languages, largely due to limited exposure to these languages during pre-training. A common strategy to address this is to introduce new tokens specific to the target languages, initialize their embeddings, and apply continual pre-training on target-language data. Among such methods, OFA (Liu et al., 2024a) proposes a similarity-based subword embedding initialization heuristic that is both effective and efficient. However, OFA restricts target-language token embeddings to be convex combinations of a fixed number of source-language embeddings, which may limit expressiveness. To overcome this limitation, we propose HYPEROFA, a hypernetwork-based approach for more adaptive token embedding initialization. The hypernetwork is trained to map from an external multilingual word vector space to the PLM’s token embedding space using source-language tokens. Once trained, it can generate flexible embeddings for target-language tokens, serving as a good starting point for continual pretraining. Experiments demonstrate that HYPEROFA consistently outperforms random initialization baseline and matches or exceeds the performance of OFA in both continual pre-training convergence and downstream task performance. We make the code publicly available.</v>
      </c>
      <c r="D3290" s="7" t="str">
        <f>IFERROR(__xludf.DUMMYFUNCTION("""COMPUTED_VALUE"""),"Enes Özeren")</f>
        <v>Enes Özeren</v>
      </c>
      <c r="E3290" s="7" t="str">
        <f>IFERROR(__xludf.DUMMYFUNCTION("""COMPUTED_VALUE"""),"Yes")</f>
        <v>Yes</v>
      </c>
      <c r="F3290" s="7" t="str">
        <f>IFERROR(__xludf.DUMMYFUNCTION("""COMPUTED_VALUE"""),"IP-Poster")</f>
        <v>IP-Poster</v>
      </c>
      <c r="G3290" s="7" t="str">
        <f>IFERROR(__xludf.DUMMYFUNCTION("""COMPUTED_VALUE"""),"In-person")</f>
        <v>In-person</v>
      </c>
      <c r="H3290" s="7" t="str">
        <f>IFERROR(__xludf.DUMMYFUNCTION("""COMPUTED_VALUE"""),"Hall 4/5")</f>
        <v>Hall 4/5</v>
      </c>
      <c r="I3290" s="7" t="str">
        <f>IFERROR(__xludf.DUMMYFUNCTION("""COMPUTED_VALUE"""),"Session 7: IP-Posters")</f>
        <v>Session 7: IP-Posters</v>
      </c>
      <c r="J3290" s="7" t="str">
        <f>IFERROR(__xludf.DUMMYFUNCTION("""COMPUTED_VALUE"""),"Student Research Workshop - In-Person Posters 1")</f>
        <v>Student Research Workshop - In-Person Posters 1</v>
      </c>
      <c r="K3290" s="7"/>
      <c r="L3290" s="8">
        <f>IFERROR(__xludf.DUMMYFUNCTION("""COMPUTED_VALUE"""),45867.0)</f>
        <v>45867</v>
      </c>
      <c r="M3290" s="7" t="str">
        <f>IFERROR(__xludf.DUMMYFUNCTION("""COMPUTED_VALUE"""),"10:30-12:00")</f>
        <v>10:30-12:00</v>
      </c>
      <c r="N3290" s="7"/>
    </row>
    <row r="3291">
      <c r="A3291" s="7" t="str">
        <f>IFERROR(__xludf.DUMMYFUNCTION("""COMPUTED_VALUE"""),"30-SRW")</f>
        <v>30-SRW</v>
      </c>
      <c r="B3291" s="7" t="str">
        <f>IFERROR(__xludf.DUMMYFUNCTION("""COMPUTED_VALUE"""),"SEPSIS: I Can Catch Your Lies -- A New Paradigm for Deception Detection")</f>
        <v>SEPSIS: I Can Catch Your Lies -- A New Paradigm for Deception Detection</v>
      </c>
      <c r="C3291" s="7" t="str">
        <f>IFERROR(__xludf.DUMMYFUNCTION("""COMPUTED_VALUE"""),"Deception is the intentional practice of twisting information. It is a nuanced societal practice deeply intertwined with human societal evolution, characterized by a multitude of facets. This research explores the problem of deception through the lens of "&amp;"psychology, employing a framework that categorizes deception into three forms: lies of omission, lies of commission, and lies of influence. The primary focus of this study is specifically on investigating only lies of omission. We propose a novel framewor"&amp;"k for deception detection leveraging NLP techniques. We curated an annotated dataset of 876,784 samples by amalgamating a popular large-scale fake news dataset and scraped news headlines from the Twitter handle of ""Times of India"", a well-known Indian n"&amp;"ews media house. Each sample has been labeled with four layers, namely: (i) the type of omission (speculation, bias, distortion, sounds factual, and opinion), (ii) colors of lies (black, white, grey, and red), and (iii) the intention of such lies (to infl"&amp;"uence, gain social prestige, etc) (iv) topic of lies (political, educational, religious, racial, and ethnicity). We present a novel multi-task learning [MTL] pipeline that leverages the dataless merging of fine-tuned language models to address the decepti"&amp;"on detection task mentioned earlier. Our proposed model achieved an impressive F1 score of 0.87, demonstrating strong performance across all layers including the type, color, intent, and topic aspects of deceptive content. Finally, our research aims to ex"&amp;"plore the relationship between the lies of omission and propaganda techniques. To accomplish this, we conducted an in-depth analysis, uncovering compelling findings. For instance, our analysis revealed a significant correlation between loaded language and"&amp;" opinion, shedding light on their interconnectedness. To encourage further research in this field, we will publicly release the SEPSIS dataset and models.")</f>
        <v>Deception is the intentional practice of twisting information. It is a nuanced societal practice deeply intertwined with human societal evolution, characterized by a multitude of facets. This research explores the problem of deception through the lens of psychology, employing a framework that categorizes deception into three forms: lies of omission, lies of commission, and lies of influence. The primary focus of this study is specifically on investigating only lies of omission. We propose a novel framework for deception detection leveraging NLP techniques. We curated an annotated dataset of 876,784 samples by amalgamating a popular large-scale fake news dataset and scraped news headlines from the Twitter handle of "Times of India", a well-known Indian news media house. Each sample has been labeled with four layers, namely: (i) the type of omission (speculation, bias, distortion, sounds factual, and opinion), (ii) colors of lies (black, white, grey, and red), and (iii) the intention of such lies (to influence, gain social prestige, etc) (iv) topic of lies (political, educational, religious, racial, and ethnicity). We present a novel multi-task learning [MTL] pipeline that leverages the dataless merging of fine-tuned language models to address the deception detection task mentioned earlier. Our proposed model achieved an impressive F1 score of 0.87, demonstrating strong performance across all layers including the type, color, intent, and topic aspects of deceptive content. Finally, our research aims to explore the relationship between the lies of omission and propaganda techniques. To accomplish this, we conducted an in-depth analysis, uncovering compelling findings. For instance, our analysis revealed a significant correlation between loaded language and opinion, shedding light on their interconnectedness. To encourage further research in this field, we will publicly release the SEPSIS dataset and models.</v>
      </c>
      <c r="D3291" s="7" t="str">
        <f>IFERROR(__xludf.DUMMYFUNCTION("""COMPUTED_VALUE"""),"Amitava Das")</f>
        <v>Amitava Das</v>
      </c>
      <c r="E3291" s="7" t="str">
        <f>IFERROR(__xludf.DUMMYFUNCTION("""COMPUTED_VALUE"""),"Yes")</f>
        <v>Yes</v>
      </c>
      <c r="F3291" s="7" t="str">
        <f>IFERROR(__xludf.DUMMYFUNCTION("""COMPUTED_VALUE"""),"IP-Poster")</f>
        <v>IP-Poster</v>
      </c>
      <c r="G3291" s="7" t="str">
        <f>IFERROR(__xludf.DUMMYFUNCTION("""COMPUTED_VALUE"""),"In-person")</f>
        <v>In-person</v>
      </c>
      <c r="H3291" s="7" t="str">
        <f>IFERROR(__xludf.DUMMYFUNCTION("""COMPUTED_VALUE"""),"Hall 4/5")</f>
        <v>Hall 4/5</v>
      </c>
      <c r="I3291" s="7" t="str">
        <f>IFERROR(__xludf.DUMMYFUNCTION("""COMPUTED_VALUE"""),"Session 7: IP-Posters")</f>
        <v>Session 7: IP-Posters</v>
      </c>
      <c r="J3291" s="7" t="str">
        <f>IFERROR(__xludf.DUMMYFUNCTION("""COMPUTED_VALUE"""),"Student Research Workshop - In-Person Posters 1")</f>
        <v>Student Research Workshop - In-Person Posters 1</v>
      </c>
      <c r="K3291" s="7"/>
      <c r="L3291" s="8">
        <f>IFERROR(__xludf.DUMMYFUNCTION("""COMPUTED_VALUE"""),45867.0)</f>
        <v>45867</v>
      </c>
      <c r="M3291" s="7" t="str">
        <f>IFERROR(__xludf.DUMMYFUNCTION("""COMPUTED_VALUE"""),"10:30-12:00")</f>
        <v>10:30-12:00</v>
      </c>
      <c r="N3291" s="7"/>
    </row>
    <row r="3292">
      <c r="A3292" s="7" t="str">
        <f>IFERROR(__xludf.DUMMYFUNCTION("""COMPUTED_VALUE"""),"33-SRW")</f>
        <v>33-SRW</v>
      </c>
      <c r="B3292" s="7" t="str">
        <f>IFERROR(__xludf.DUMMYFUNCTION("""COMPUTED_VALUE"""),"Can Multi-turn Self-judge Single Agent LMs with Retrieval Solve ICPC Problems?")</f>
        <v>Can Multi-turn Self-judge Single Agent LMs with Retrieval Solve ICPC Problems?</v>
      </c>
      <c r="C3292" s="7" t="str">
        <f>IFERROR(__xludf.DUMMYFUNCTION("""COMPUTED_VALUE"""),"Among the hardest tasks for humans are those found in competitive programming where problems require sophisticated algorithmic thinking, puzzle solving, and the creation of effective code. As a domain to assess language models (LMs), it has not received e"&amp;"nough attention, though. This study presents the ICPC benchmark, which consists of 1220 international collegiate programming contest (ICPC) tasks. Each problem includes official analysis, reference code, and sample and high-quality unit and hidden tests. "&amp;"We are able to develop and evaluate a variety of LM inference techniques for competitive programming with these resources. With zero-shot chain-of-thought prompting, we find that o1 only achieves a 19.1\% pass@1 solve rate. With our best inference techniq"&amp;"ue, which combines muti-turn self-judge with reflection and retrieval over episodic information, raises this to 42.2\%. Furthermore, we conduct a new human-in-the-loop investigation to gain a deeper understanding of the remaining difficulties. Surprisingl"&amp;"y, we discover that o1 can solve 17 out of 18 problems that were previously unsolvable by any model or technique with just a few specific instructions. A footstep toward LMs with grounded, imaginative, and algorithmic thinking is provided by our quantitat"&amp;"ive findings and qualitative research.")</f>
        <v>Among the hardest tasks for humans are those found in competitive programming where problems require sophisticated algorithmic thinking, puzzle solving, and the creation of effective code. As a domain to assess language models (LMs), it has not received enough attention, though. This study presents the ICPC benchmark, which consists of 1220 international collegiate programming contest (ICPC) tasks. Each problem includes official analysis, reference code, and sample and high-quality unit and hidden tests. We are able to develop and evaluate a variety of LM inference techniques for competitive programming with these resources. With zero-shot chain-of-thought prompting, we find that o1 only achieves a 19.1\% pass@1 solve rate. With our best inference technique, which combines muti-turn self-judge with reflection and retrieval over episodic information, raises this to 42.2\%. Furthermore, we conduct a new human-in-the-loop investigation to gain a deeper understanding of the remaining difficulties. Surprisingly, we discover that o1 can solve 17 out of 18 problems that were previously unsolvable by any model or technique with just a few specific instructions. A footstep toward LMs with grounded, imaginative, and algorithmic thinking is provided by our quantitative findings and qualitative research.</v>
      </c>
      <c r="D3292" s="7" t="str">
        <f>IFERROR(__xludf.DUMMYFUNCTION("""COMPUTED_VALUE"""),"Md Kishor Morol")</f>
        <v>Md Kishor Morol</v>
      </c>
      <c r="E3292" s="7" t="str">
        <f>IFERROR(__xludf.DUMMYFUNCTION("""COMPUTED_VALUE"""),"Yes")</f>
        <v>Yes</v>
      </c>
      <c r="F3292" s="7" t="str">
        <f>IFERROR(__xludf.DUMMYFUNCTION("""COMPUTED_VALUE"""),"Virtual/Gather")</f>
        <v>Virtual/Gather</v>
      </c>
      <c r="G3292" s="7" t="str">
        <f>IFERROR(__xludf.DUMMYFUNCTION("""COMPUTED_VALUE"""),"Virtual/Gather")</f>
        <v>Virtual/Gather</v>
      </c>
      <c r="H3292" s="7" t="str">
        <f>IFERROR(__xludf.DUMMYFUNCTION("""COMPUTED_VALUE"""),"Zoom")</f>
        <v>Zoom</v>
      </c>
      <c r="I3292" s="7" t="str">
        <f>IFERROR(__xludf.DUMMYFUNCTION("""COMPUTED_VALUE"""),"Session 10: V-Presenations")</f>
        <v>Session 10: V-Presenations</v>
      </c>
      <c r="J3292" s="7" t="str">
        <f>IFERROR(__xludf.DUMMYFUNCTION("""COMPUTED_VALUE"""),"Student Research Workshop - Virtual Presentations 2")</f>
        <v>Student Research Workshop - Virtual Presentations 2</v>
      </c>
      <c r="K3292" s="7"/>
      <c r="L3292" s="8">
        <f>IFERROR(__xludf.DUMMYFUNCTION("""COMPUTED_VALUE"""),45867.0)</f>
        <v>45867</v>
      </c>
      <c r="M3292" s="7" t="str">
        <f>IFERROR(__xludf.DUMMYFUNCTION("""COMPUTED_VALUE"""),"16:00-17:30")</f>
        <v>16:00-17:30</v>
      </c>
      <c r="N3292" s="7">
        <f>IFERROR(__xludf.DUMMYFUNCTION("""COMPUTED_VALUE"""),1.0)</f>
        <v>1</v>
      </c>
    </row>
    <row r="3293">
      <c r="A3293" s="7" t="str">
        <f>IFERROR(__xludf.DUMMYFUNCTION("""COMPUTED_VALUE"""),"36-SRW")</f>
        <v>36-SRW</v>
      </c>
      <c r="B3293" s="7" t="str">
        <f>IFERROR(__xludf.DUMMYFUNCTION("""COMPUTED_VALUE"""),"Do Androids Question Electric Sheep? A Multi-Agent Cognitive Simulation of Philosophical Reflection on Hybrid Table Reasoning")</f>
        <v>Do Androids Question Electric Sheep? A Multi-Agent Cognitive Simulation of Philosophical Reflection on Hybrid Table Reasoning</v>
      </c>
      <c r="C3293" s="7" t="str">
        <f>IFERROR(__xludf.DUMMYFUNCTION("""COMPUTED_VALUE"""),"While LLMs demonstrate remarkable reasoning capabilities and multi-agent applicability, their tendency to ""overthink"" and ""groupthink"" pose intriguing parallels to human cognitive limitations. Inspired by this observation, we conduct an exploratory si"&amp;"mulation to investigate whether LLMs are wise enough to be thinkers of philosophical reflection. We design two frameworks, Philosopher and Symposium, which simulate self- and group-reflection for multi-persona in hybrid table reasoning tasks. Through  exp"&amp;"eriments across four benchmarks, we discover that while introducing varied perspectives might help, LLMs tend to under-perform simpler end-to-end approaches. We reveal from close reading five emergent behaviors which strikingly resemble human cognitive cl"&amp;"osure-seeking behaviors, and identify a consistent pattern of ""overthinking threshold"" across all tasks, where collaborative reasoning often reaches a critical point of diminishing returns. This study sheds light on a fundamental challenge shared by bot"&amp;"h human and machine intelligence: the delicate balance between deliberation and decisiveness.")</f>
        <v>While LLMs demonstrate remarkable reasoning capabilities and multi-agent applicability, their tendency to "overthink" and "groupthink" pose intriguing parallels to human cognitive limitations. Inspired by this observation, we conduct an exploratory simulation to investigate whether LLMs are wise enough to be thinkers of philosophical reflection. We design two frameworks, Philosopher and Symposium, which simulate self- and group-reflection for multi-persona in hybrid table reasoning tasks. Through  experiments across four benchmarks, we discover that while introducing varied perspectives might help, LLMs tend to under-perform simpler end-to-end approaches. We reveal from close reading five emergent behaviors which strikingly resemble human cognitive closure-seeking behaviors, and identify a consistent pattern of "overthinking threshold" across all tasks, where collaborative reasoning often reaches a critical point of diminishing returns. This study sheds light on a fundamental challenge shared by both human and machine intelligence: the delicate balance between deliberation and decisiveness.</v>
      </c>
      <c r="D3293" s="7" t="str">
        <f>IFERROR(__xludf.DUMMYFUNCTION("""COMPUTED_VALUE"""),"Yiran Rex Ma")</f>
        <v>Yiran Rex Ma</v>
      </c>
      <c r="E3293" s="7" t="str">
        <f>IFERROR(__xludf.DUMMYFUNCTION("""COMPUTED_VALUE"""),"Yes")</f>
        <v>Yes</v>
      </c>
      <c r="F3293" s="7" t="str">
        <f>IFERROR(__xludf.DUMMYFUNCTION("""COMPUTED_VALUE"""),"Virtual/Gather")</f>
        <v>Virtual/Gather</v>
      </c>
      <c r="G3293" s="7" t="str">
        <f>IFERROR(__xludf.DUMMYFUNCTION("""COMPUTED_VALUE"""),"Virtual/Gather")</f>
        <v>Virtual/Gather</v>
      </c>
      <c r="H3293" s="7" t="str">
        <f>IFERROR(__xludf.DUMMYFUNCTION("""COMPUTED_VALUE"""),"Zoom")</f>
        <v>Zoom</v>
      </c>
      <c r="I3293" s="7" t="str">
        <f>IFERROR(__xludf.DUMMYFUNCTION("""COMPUTED_VALUE"""),"Session 10: V-Presenations")</f>
        <v>Session 10: V-Presenations</v>
      </c>
      <c r="J3293" s="7" t="str">
        <f>IFERROR(__xludf.DUMMYFUNCTION("""COMPUTED_VALUE"""),"Student Research Workshop - Virtual Presentations 2")</f>
        <v>Student Research Workshop - Virtual Presentations 2</v>
      </c>
      <c r="K3293" s="7"/>
      <c r="L3293" s="8">
        <f>IFERROR(__xludf.DUMMYFUNCTION("""COMPUTED_VALUE"""),45867.0)</f>
        <v>45867</v>
      </c>
      <c r="M3293" s="7" t="str">
        <f>IFERROR(__xludf.DUMMYFUNCTION("""COMPUTED_VALUE"""),"16:00-17:30")</f>
        <v>16:00-17:30</v>
      </c>
      <c r="N3293" s="7">
        <f>IFERROR(__xludf.DUMMYFUNCTION("""COMPUTED_VALUE"""),2.0)</f>
        <v>2</v>
      </c>
    </row>
    <row r="3294">
      <c r="A3294" s="7" t="str">
        <f>IFERROR(__xludf.DUMMYFUNCTION("""COMPUTED_VALUE"""),"37-SRW")</f>
        <v>37-SRW</v>
      </c>
      <c r="B3294" s="7" t="str">
        <f>IFERROR(__xludf.DUMMYFUNCTION("""COMPUTED_VALUE"""),"Grouped Sequency-arranged Rotation: Optimizing Rotation Transformation for Quantization for Free")</f>
        <v>Grouped Sequency-arranged Rotation: Optimizing Rotation Transformation for Quantization for Free</v>
      </c>
      <c r="C3294" s="7" t="str">
        <f>IFERROR(__xludf.DUMMYFUNCTION("""COMPUTED_VALUE"""),"Large Language Models (LLMs) face deployment challenges due to high computational costs, and while Post-Training Quantization (PTQ) offers a solution, existing rotation-based methods struggle at very low bit-widths like 2-bit. We introduce a novel, traini"&amp;"ng-free approach to construct an improved rotation matrix, addressing the limitations of current methods. The key contributions include leveraging the Walsh-Hadamard transform with sequency ordering, which clusters similar frequency components to reduce q"&amp;"uantization error compared to standard Hadamard matrices, significantly improving performance. Furthermore, we propose a Grouped Sequency-arranged Rotation (GSR) using block-diagonal matrices with smaller Walsh blocks, effectively isolating outlier impact"&amp;"s and achieving performance comparable to optimization-based methods without requiring any training. Our method demonstrates robust performance on reasoning tasks and Perplexity (PPL) score on WikiText-2. Our method also enhances results even when applied"&amp;" over existing learned rotation techniques.")</f>
        <v>Large Language Models (LLMs) face deployment challenges due to high computational costs, and while Post-Training Quantization (PTQ) offers a solution, existing rotation-based methods struggle at very low bit-widths like 2-bit. We introduce a novel, training-free approach to construct an improved rotation matrix, addressing the limitations of current methods. The key contributions include leveraging the Walsh-Hadamard transform with sequency ordering, which clusters similar frequency components to reduce quantization error compared to standard Hadamard matrices, significantly improving performance. Furthermore, we propose a Grouped Sequency-arranged Rotation (GSR) using block-diagonal matrices with smaller Walsh blocks, effectively isolating outlier impacts and achieving performance comparable to optimization-based methods without requiring any training. Our method demonstrates robust performance on reasoning tasks and Perplexity (PPL) score on WikiText-2. Our method also enhances results even when applied over existing learned rotation techniques.</v>
      </c>
      <c r="D3294" s="7" t="str">
        <f>IFERROR(__xludf.DUMMYFUNCTION("""COMPUTED_VALUE"""),"Woosang Lim")</f>
        <v>Woosang Lim</v>
      </c>
      <c r="E3294" s="7" t="str">
        <f>IFERROR(__xludf.DUMMYFUNCTION("""COMPUTED_VALUE"""),"Yes")</f>
        <v>Yes</v>
      </c>
      <c r="F3294" s="7" t="str">
        <f>IFERROR(__xludf.DUMMYFUNCTION("""COMPUTED_VALUE"""),"IP-Poster")</f>
        <v>IP-Poster</v>
      </c>
      <c r="G3294" s="7" t="str">
        <f>IFERROR(__xludf.DUMMYFUNCTION("""COMPUTED_VALUE"""),"In-person")</f>
        <v>In-person</v>
      </c>
      <c r="H3294" s="7" t="str">
        <f>IFERROR(__xludf.DUMMYFUNCTION("""COMPUTED_VALUE"""),"Hall 4/5")</f>
        <v>Hall 4/5</v>
      </c>
      <c r="I3294" s="7" t="str">
        <f>IFERROR(__xludf.DUMMYFUNCTION("""COMPUTED_VALUE"""),"Session 7: IP-Posters")</f>
        <v>Session 7: IP-Posters</v>
      </c>
      <c r="J3294" s="7" t="str">
        <f>IFERROR(__xludf.DUMMYFUNCTION("""COMPUTED_VALUE"""),"Student Research Workshop - In-Person Posters 1")</f>
        <v>Student Research Workshop - In-Person Posters 1</v>
      </c>
      <c r="K3294" s="7"/>
      <c r="L3294" s="8">
        <f>IFERROR(__xludf.DUMMYFUNCTION("""COMPUTED_VALUE"""),45867.0)</f>
        <v>45867</v>
      </c>
      <c r="M3294" s="7" t="str">
        <f>IFERROR(__xludf.DUMMYFUNCTION("""COMPUTED_VALUE"""),"10:30-12:00")</f>
        <v>10:30-12:00</v>
      </c>
      <c r="N3294" s="7"/>
    </row>
    <row r="3295">
      <c r="A3295" s="7" t="str">
        <f>IFERROR(__xludf.DUMMYFUNCTION("""COMPUTED_VALUE"""),"39-SRW")</f>
        <v>39-SRW</v>
      </c>
      <c r="B3295" s="7" t="str">
        <f>IFERROR(__xludf.DUMMYFUNCTION("""COMPUTED_VALUE"""),"A Reproduction Study: The Kernel PCA Interpretation of Self-Attention Fails Under Scrutiny")</f>
        <v>A Reproduction Study: The Kernel PCA Interpretation of Self-Attention Fails Under Scrutiny</v>
      </c>
      <c r="C3295" s="7" t="str">
        <f>IFERROR(__xludf.DUMMYFUNCTION("""COMPUTED_VALUE"""),"In this reproduction study, we revisit recent claims that self-attention implements kernel principal component analysis (KPCA) (Teo and Nguyen, 2024), positing that (i) value vectors $V$ capture the eigenvectors of the Gram matrix of the keys, and (ii) th"&amp;"at self-attention projects queries onto the principal component axes of the key matrix $K$ in a feature space. Our analysis reveals three critical inconsistencies: (1) No alignment exists between learned self-attention value vectors and what is proposed i"&amp;"n the KPCA perspective, with average similarity metrics (optimal cosine similarity $\leq 0.32$, linear CKA (Centered Kernel Alignment) $\leq 0.11$, kernel CKA $\leq 0.32$) indicating negligible correspondence; (2) Reported decreases in reconstruction loss"&amp;" $J_\text{proj}$, arguably justifying the claim that the self-attention
minimizes the projection error of KPCA, are misinterpreted, as the quantities involved differ by orders of magnitude ($\sim 10^3$);  (3) Gram matrix eigenvalue statistics, introduced "&amp;"to justify that $V$ captures the eigenvector of the gram matrix, are irreproducible without undocumented implementation-specific adjustments. Across 10 transformer architectures, we conclude that the KPCA interpretation of self-attention lacks empirical s"&amp;"upport.")</f>
        <v>In this reproduction study, we revisit recent claims that self-attention implements kernel principal component analysis (KPCA) (Teo and Nguyen, 2024), positing that (i) value vectors $V$ capture the eigenvectors of the Gram matrix of the keys, and (ii) that self-attention projects queries onto the principal component axes of the key matrix $K$ in a feature space. Our analysis reveals three critical inconsistencies: (1) No alignment exists between learned self-attention value vectors and what is proposed in the KPCA perspective, with average similarity metrics (optimal cosine similarity $\leq 0.32$, linear CKA (Centered Kernel Alignment) $\leq 0.11$, kernel CKA $\leq 0.32$) indicating negligible correspondence; (2) Reported decreases in reconstruction loss $J_\text{proj}$, arguably justifying the claim that the self-attention
minimizes the projection error of KPCA, are misinterpreted, as the quantities involved differ by orders of magnitude ($\sim 10^3$);  (3) Gram matrix eigenvalue statistics, introduced to justify that $V$ captures the eigenvector of the gram matrix, are irreproducible without undocumented implementation-specific adjustments. Across 10 transformer architectures, we conclude that the KPCA interpretation of self-attention lacks empirical support.</v>
      </c>
      <c r="D3295" s="7" t="str">
        <f>IFERROR(__xludf.DUMMYFUNCTION("""COMPUTED_VALUE"""),"Karahan Sarıtaş")</f>
        <v>Karahan Sarıtaş</v>
      </c>
      <c r="E3295" s="7" t="str">
        <f>IFERROR(__xludf.DUMMYFUNCTION("""COMPUTED_VALUE"""),"Yes")</f>
        <v>Yes</v>
      </c>
      <c r="F3295" s="7" t="str">
        <f>IFERROR(__xludf.DUMMYFUNCTION("""COMPUTED_VALUE"""),"Virtual/Gather")</f>
        <v>Virtual/Gather</v>
      </c>
      <c r="G3295" s="7" t="str">
        <f>IFERROR(__xludf.DUMMYFUNCTION("""COMPUTED_VALUE"""),"Virtual/Gather")</f>
        <v>Virtual/Gather</v>
      </c>
      <c r="H3295" s="7" t="str">
        <f>IFERROR(__xludf.DUMMYFUNCTION("""COMPUTED_VALUE"""),"Zoom")</f>
        <v>Zoom</v>
      </c>
      <c r="I3295" s="7" t="str">
        <f>IFERROR(__xludf.DUMMYFUNCTION("""COMPUTED_VALUE"""),"Session 7: V--Presentations ")</f>
        <v>Session 7: V--Presentations </v>
      </c>
      <c r="J3295" s="7" t="str">
        <f>IFERROR(__xludf.DUMMYFUNCTION("""COMPUTED_VALUE"""),"Student Research Workshop - Virtual Presentations 1")</f>
        <v>Student Research Workshop - Virtual Presentations 1</v>
      </c>
      <c r="K3295" s="7"/>
      <c r="L3295" s="8"/>
      <c r="M3295" s="7" t="str">
        <f>IFERROR(__xludf.DUMMYFUNCTION("""COMPUTED_VALUE"""),"10:30-12:00")</f>
        <v>10:30-12:00</v>
      </c>
      <c r="N3295" s="7">
        <f>IFERROR(__xludf.DUMMYFUNCTION("""COMPUTED_VALUE"""),3.0)</f>
        <v>3</v>
      </c>
    </row>
    <row r="3296">
      <c r="A3296" s="7" t="str">
        <f>IFERROR(__xludf.DUMMYFUNCTION("""COMPUTED_VALUE"""),"41-SRW")</f>
        <v>41-SRW</v>
      </c>
      <c r="B3296" s="7" t="str">
        <f>IFERROR(__xludf.DUMMYFUNCTION("""COMPUTED_VALUE"""),"Transforming Brainwaves into Language: EEG Microstates Meets Text Embedding Models for Dementia Detection")</f>
        <v>Transforming Brainwaves into Language: EEG Microstates Meets Text Embedding Models for Dementia Detection</v>
      </c>
      <c r="C3296" s="7" t="str">
        <f>IFERROR(__xludf.DUMMYFUNCTION("""COMPUTED_VALUE"""),"Early detection of dementia, particularly Alzheimer's Disease (AD), its most prevalent form, is critical for slowing disease progression and improving quality of life through timely intervention. This study proposes a novel, scalable, and channel-independ"&amp;"ent approach that leverages EEG microstates, which are symbolic, linguistics-like representations of brain activity. It is processed with advanced text embedding and time-series deep learning techniques. Developed on EEG data from 1001 participants across"&amp;" multiple countries, the proposed method achieves a high accuracy of 0.9431 in AD detection. The proposed approach enhances generalisability and facilitates deployment in diverse, resource-limited settings by removing the need for fixed EEG channel config"&amp;"urations and expensive modalities. Its compatibility with low-cost EEG devices eliminates the requirement for distinct models, thereby reducing implementation costs and enabling scalable, accessible AD detection in underserved communities.")</f>
        <v>Early detection of dementia, particularly Alzheimer's Disease (AD), its most prevalent form, is critical for slowing disease progression and improving quality of life through timely intervention. This study proposes a novel, scalable, and channel-independent approach that leverages EEG microstates, which are symbolic, linguistics-like representations of brain activity. It is processed with advanced text embedding and time-series deep learning techniques. Developed on EEG data from 1001 participants across multiple countries, the proposed method achieves a high accuracy of 0.9431 in AD detection. The proposed approach enhances generalisability and facilitates deployment in diverse, resource-limited settings by removing the need for fixed EEG channel configurations and expensive modalities. Its compatibility with low-cost EEG devices eliminates the requirement for distinct models, thereby reducing implementation costs and enabling scalable, accessible AD detection in underserved communities.</v>
      </c>
      <c r="D3296" s="7" t="str">
        <f>IFERROR(__xludf.DUMMYFUNCTION("""COMPUTED_VALUE"""),"Quoc Toan Nguyen")</f>
        <v>Quoc Toan Nguyen</v>
      </c>
      <c r="E3296" s="7" t="str">
        <f>IFERROR(__xludf.DUMMYFUNCTION("""COMPUTED_VALUE"""),"Yes")</f>
        <v>Yes</v>
      </c>
      <c r="F3296" s="7" t="str">
        <f>IFERROR(__xludf.DUMMYFUNCTION("""COMPUTED_VALUE"""),"Virtual/Gather")</f>
        <v>Virtual/Gather</v>
      </c>
      <c r="G3296" s="7" t="str">
        <f>IFERROR(__xludf.DUMMYFUNCTION("""COMPUTED_VALUE"""),"Virtual/Gather")</f>
        <v>Virtual/Gather</v>
      </c>
      <c r="H3296" s="7" t="str">
        <f>IFERROR(__xludf.DUMMYFUNCTION("""COMPUTED_VALUE"""),"Zoom")</f>
        <v>Zoom</v>
      </c>
      <c r="I3296" s="7" t="str">
        <f>IFERROR(__xludf.DUMMYFUNCTION("""COMPUTED_VALUE"""),"Session 7: V--Presentations ")</f>
        <v>Session 7: V--Presentations </v>
      </c>
      <c r="J3296" s="7" t="str">
        <f>IFERROR(__xludf.DUMMYFUNCTION("""COMPUTED_VALUE"""),"Student Research Workshop - Virtual Presentations 1")</f>
        <v>Student Research Workshop - Virtual Presentations 1</v>
      </c>
      <c r="K3296" s="7"/>
      <c r="L3296" s="8"/>
      <c r="M3296" s="7" t="str">
        <f>IFERROR(__xludf.DUMMYFUNCTION("""COMPUTED_VALUE"""),"10:30-12:00")</f>
        <v>10:30-12:00</v>
      </c>
      <c r="N3296" s="7">
        <f>IFERROR(__xludf.DUMMYFUNCTION("""COMPUTED_VALUE"""),4.0)</f>
        <v>4</v>
      </c>
    </row>
    <row r="3297">
      <c r="A3297" s="7" t="str">
        <f>IFERROR(__xludf.DUMMYFUNCTION("""COMPUTED_VALUE"""),"51-SRW")</f>
        <v>51-SRW</v>
      </c>
      <c r="B3297" s="7" t="str">
        <f>IFERROR(__xludf.DUMMYFUNCTION("""COMPUTED_VALUE"""),"Neuron-Level Language Tag Injection Improves Zero-Shot Translation Performance")</f>
        <v>Neuron-Level Language Tag Injection Improves Zero-Shot Translation Performance</v>
      </c>
      <c r="C3297" s="7" t="str">
        <f>IFERROR(__xludf.DUMMYFUNCTION("""COMPUTED_VALUE"""),"Language tagging, a method whereby source and target inputs are prefixed with a unique language token, has become the de facto standard for conditioning Multilingual Neural Machine Translation (MNMT) models on specific language directions. This conditioni"&amp;"ng can manifest effective zero-shot translation abilities in MT models at scale for many languages. Expanding on previous work, we propose a novel method of language tagging for MNMT, injection, in which the embedded representation of a language token is "&amp;"concatenated to the input of every linear layer. We explore a variety of different tagging methods, with and without injection, showing that injection improves zero-shot translation performance with up to a 2+ BLEU score point gain for certain language di"&amp;"rections in our dataset.")</f>
        <v>Language tagging, a method whereby source and target inputs are prefixed with a unique language token, has become the de facto standard for conditioning Multilingual Neural Machine Translation (MNMT) models on specific language directions. This conditioning can manifest effective zero-shot translation abilities in MT models at scale for many languages. Expanding on previous work, we propose a novel method of language tagging for MNMT, injection, in which the embedded representation of a language token is concatenated to the input of every linear layer. We explore a variety of different tagging methods, with and without injection, showing that injection improves zero-shot translation performance with up to a 2+ BLEU score point gain for certain language directions in our dataset.</v>
      </c>
      <c r="D3297" s="7" t="str">
        <f>IFERROR(__xludf.DUMMYFUNCTION("""COMPUTED_VALUE"""),"Jay Orten")</f>
        <v>Jay Orten</v>
      </c>
      <c r="E3297" s="7" t="str">
        <f>IFERROR(__xludf.DUMMYFUNCTION("""COMPUTED_VALUE"""),"Yes")</f>
        <v>Yes</v>
      </c>
      <c r="F3297" s="7" t="str">
        <f>IFERROR(__xludf.DUMMYFUNCTION("""COMPUTED_VALUE"""),"IP-Poster")</f>
        <v>IP-Poster</v>
      </c>
      <c r="G3297" s="7" t="str">
        <f>IFERROR(__xludf.DUMMYFUNCTION("""COMPUTED_VALUE"""),"In-person")</f>
        <v>In-person</v>
      </c>
      <c r="H3297" s="7" t="str">
        <f>IFERROR(__xludf.DUMMYFUNCTION("""COMPUTED_VALUE"""),"Hall 4/5")</f>
        <v>Hall 4/5</v>
      </c>
      <c r="I3297" s="7" t="str">
        <f>IFERROR(__xludf.DUMMYFUNCTION("""COMPUTED_VALUE"""),"Session 7: IP-Posters")</f>
        <v>Session 7: IP-Posters</v>
      </c>
      <c r="J3297" s="7" t="str">
        <f>IFERROR(__xludf.DUMMYFUNCTION("""COMPUTED_VALUE"""),"Student Research Workshop - In-Person Posters 1")</f>
        <v>Student Research Workshop - In-Person Posters 1</v>
      </c>
      <c r="K3297" s="7"/>
      <c r="L3297" s="8">
        <f>IFERROR(__xludf.DUMMYFUNCTION("""COMPUTED_VALUE"""),45867.0)</f>
        <v>45867</v>
      </c>
      <c r="M3297" s="7" t="str">
        <f>IFERROR(__xludf.DUMMYFUNCTION("""COMPUTED_VALUE"""),"10:30-12:00")</f>
        <v>10:30-12:00</v>
      </c>
      <c r="N3297" s="7"/>
    </row>
    <row r="3298">
      <c r="A3298" s="7" t="str">
        <f>IFERROR(__xludf.DUMMYFUNCTION("""COMPUTED_VALUE"""),"53-SRW")</f>
        <v>53-SRW</v>
      </c>
      <c r="B3298" s="7" t="str">
        <f>IFERROR(__xludf.DUMMYFUNCTION("""COMPUTED_VALUE"""),"Voices of Dissent: A Multimodal Analysis of Protest Songs through Lyrics and Audio")</f>
        <v>Voices of Dissent: A Multimodal Analysis of Protest Songs through Lyrics and Audio</v>
      </c>
      <c r="C3298" s="7" t="str">
        <f>IFERROR(__xludf.DUMMYFUNCTION("""COMPUTED_VALUE"""),"Music has long served as a vehicle for political expression, with protest songs playing a central role in articulating dissent and mobilizing collective action. Yet, despite their cultural significance, the linguistic and acoustic signatures that define p"&amp;"rotest music remain understudied. We present a multimodal computational analysis of protest and non-protest songs spanning multiple decades. Using NLP and audio analysis, we identify the linguistic and musical features that differentiate protest songs. In"&amp;"stead of focusing on classification performance, we treat classification as a diagnostic tool to investigate these features and reveal broader patterns. Protest songs are not just politically charged they are acoustically and linguistically distinct, and "&amp;"we quantify how.")</f>
        <v>Music has long served as a vehicle for political expression, with protest songs playing a central role in articulating dissent and mobilizing collective action. Yet, despite their cultural significance, the linguistic and acoustic signatures that define protest music remain understudied. We present a multimodal computational analysis of protest and non-protest songs spanning multiple decades. Using NLP and audio analysis, we identify the linguistic and musical features that differentiate protest songs. Instead of focusing on classification performance, we treat classification as a diagnostic tool to investigate these features and reveal broader patterns. Protest songs are not just politically charged they are acoustically and linguistically distinct, and we quantify how.</v>
      </c>
      <c r="D3298" s="7" t="str">
        <f>IFERROR(__xludf.DUMMYFUNCTION("""COMPUTED_VALUE"""),"Utsav Shekhar")</f>
        <v>Utsav Shekhar</v>
      </c>
      <c r="E3298" s="7" t="str">
        <f>IFERROR(__xludf.DUMMYFUNCTION("""COMPUTED_VALUE"""),"Yes")</f>
        <v>Yes</v>
      </c>
      <c r="F3298" s="7" t="str">
        <f>IFERROR(__xludf.DUMMYFUNCTION("""COMPUTED_VALUE"""),"Virtual/Gather")</f>
        <v>Virtual/Gather</v>
      </c>
      <c r="G3298" s="7" t="str">
        <f>IFERROR(__xludf.DUMMYFUNCTION("""COMPUTED_VALUE"""),"Virtual/Gather")</f>
        <v>Virtual/Gather</v>
      </c>
      <c r="H3298" s="7" t="str">
        <f>IFERROR(__xludf.DUMMYFUNCTION("""COMPUTED_VALUE"""),"Zoom")</f>
        <v>Zoom</v>
      </c>
      <c r="I3298" s="7" t="str">
        <f>IFERROR(__xludf.DUMMYFUNCTION("""COMPUTED_VALUE"""),"Session 7: V--Presentations ")</f>
        <v>Session 7: V--Presentations </v>
      </c>
      <c r="J3298" s="7" t="str">
        <f>IFERROR(__xludf.DUMMYFUNCTION("""COMPUTED_VALUE"""),"Student Research Workshop - Virtual Presentations 1")</f>
        <v>Student Research Workshop - Virtual Presentations 1</v>
      </c>
      <c r="K3298" s="7"/>
      <c r="L3298" s="8"/>
      <c r="M3298" s="7" t="str">
        <f>IFERROR(__xludf.DUMMYFUNCTION("""COMPUTED_VALUE"""),"10:30-12:00")</f>
        <v>10:30-12:00</v>
      </c>
      <c r="N3298" s="7">
        <f>IFERROR(__xludf.DUMMYFUNCTION("""COMPUTED_VALUE"""),5.0)</f>
        <v>5</v>
      </c>
    </row>
    <row r="3299">
      <c r="A3299" s="7" t="str">
        <f>IFERROR(__xludf.DUMMYFUNCTION("""COMPUTED_VALUE"""),"56-SRW")</f>
        <v>56-SRW</v>
      </c>
      <c r="B3299" s="7" t="str">
        <f>IFERROR(__xludf.DUMMYFUNCTION("""COMPUTED_VALUE"""),"Your Pretrained Model Tells the Difficulty Itself: A Self-Adaptive Curriculum Learning Paradigm for Natural Language Understanding")</f>
        <v>Your Pretrained Model Tells the Difficulty Itself: A Self-Adaptive Curriculum Learning Paradigm for Natural Language Understanding</v>
      </c>
      <c r="C3299" s="7" t="str">
        <f>IFERROR(__xludf.DUMMYFUNCTION("""COMPUTED_VALUE"""),"Curriculum learning is a widely adopted training strategy in natural language processing (NLP), where models are exposed to examples organized by increasing difficulty to enhance learning efficiency and performance. 
However, most existing approaches rely"&amp;" on manually defined difficulty metrics -- such as text length -- which may not accurately reflect the model’s own perspective. 
To overcome this limitation, we present a self-adaptive curriculum learning paradigm that prioritizes fine-tuning examples bas"&amp;"ed on difficulty scores predicted by pre-trained language models (PLMs) themselves. 
Building on these scores, we explore various training strategies that differ in the ordering of examples for the fine-tuning: from easy-to-hard, hard-to-easy, to mixed sa"&amp;"mpling. 
We evaluate our method on four natural language understanding (NLU) datasets covering both binary and multi-class classification tasks.
Experimental results show that our approach leads to faster convergence and improved performance compared to s"&amp;"tandard random sampling.")</f>
        <v>Curriculum learning is a widely adopted training strategy in natural language processing (NLP), where models are exposed to examples organized by increasing difficulty to enhance learning efficiency and performance. 
However, most existing approaches rely on manually defined difficulty metrics -- such as text length -- which may not accurately reflect the model’s own perspective. 
To overcome this limitation, we present a self-adaptive curriculum learning paradigm that prioritizes fine-tuning examples based on difficulty scores predicted by pre-trained language models (PLMs) themselves. 
Building on these scores, we explore various training strategies that differ in the ordering of examples for the fine-tuning: from easy-to-hard, hard-to-easy, to mixed sampling. 
We evaluate our method on four natural language understanding (NLU) datasets covering both binary and multi-class classification tasks.
Experimental results show that our approach leads to faster convergence and improved performance compared to standard random sampling.</v>
      </c>
      <c r="D3299" s="7" t="str">
        <f>IFERROR(__xludf.DUMMYFUNCTION("""COMPUTED_VALUE"""),"Qi Feng")</f>
        <v>Qi Feng</v>
      </c>
      <c r="E3299" s="7" t="str">
        <f>IFERROR(__xludf.DUMMYFUNCTION("""COMPUTED_VALUE"""),"Yes")</f>
        <v>Yes</v>
      </c>
      <c r="F3299" s="7" t="str">
        <f>IFERROR(__xludf.DUMMYFUNCTION("""COMPUTED_VALUE"""),"IP-Poster")</f>
        <v>IP-Poster</v>
      </c>
      <c r="G3299" s="7" t="str">
        <f>IFERROR(__xludf.DUMMYFUNCTION("""COMPUTED_VALUE"""),"In-person")</f>
        <v>In-person</v>
      </c>
      <c r="H3299" s="7" t="str">
        <f>IFERROR(__xludf.DUMMYFUNCTION("""COMPUTED_VALUE"""),"Hall 4/5")</f>
        <v>Hall 4/5</v>
      </c>
      <c r="I3299" s="7" t="str">
        <f>IFERROR(__xludf.DUMMYFUNCTION("""COMPUTED_VALUE"""),"Session 7: IP-Posters")</f>
        <v>Session 7: IP-Posters</v>
      </c>
      <c r="J3299" s="7" t="str">
        <f>IFERROR(__xludf.DUMMYFUNCTION("""COMPUTED_VALUE"""),"Student Research Workshop - In-Person Posters 1")</f>
        <v>Student Research Workshop - In-Person Posters 1</v>
      </c>
      <c r="K3299" s="7"/>
      <c r="L3299" s="8">
        <f>IFERROR(__xludf.DUMMYFUNCTION("""COMPUTED_VALUE"""),45867.0)</f>
        <v>45867</v>
      </c>
      <c r="M3299" s="7" t="str">
        <f>IFERROR(__xludf.DUMMYFUNCTION("""COMPUTED_VALUE"""),"10:30-12:00")</f>
        <v>10:30-12:00</v>
      </c>
      <c r="N3299" s="7"/>
    </row>
    <row r="3300">
      <c r="A3300" s="7" t="str">
        <f>IFERROR(__xludf.DUMMYFUNCTION("""COMPUTED_VALUE"""),"60-SRW")</f>
        <v>60-SRW</v>
      </c>
      <c r="B3300" s="7" t="str">
        <f>IFERROR(__xludf.DUMMYFUNCTION("""COMPUTED_VALUE"""),"CausalGraphBench: a Benchmark for Evaluating Language Models capabilities of Causal Graph discovery")</f>
        <v>CausalGraphBench: a Benchmark for Evaluating Language Models capabilities of Causal Graph discovery</v>
      </c>
      <c r="C3300" s="7" t="str">
        <f>IFERROR(__xludf.DUMMYFUNCTION("""COMPUTED_VALUE"""),"This paper introduces CausalGraphBench, a benchmark designed to evaluate the ability of large language models (LLMs) to construct Causal Graphs (CGs), a critical component of reasoning models like Bayesian Networks. The benchmark comprises 35 CGs sourced "&amp;"from publicly available repositories and academic papers, each enriched with detailed metadata to facilitate systematic and consistent evaluation. We explore various LLM-driven methods for CG discovery, analyzing their performance across different graph s"&amp;"izes and complexity levels. Additionally, we examine the effects of data contamination on the quality of the generated CGs.
Our findings reveal that methods relying on approaches with a limited number of queries to LLM, particularly those leveraging the "&amp;"full graph context, consistently outperform query-intensive and exhaustive approaches, which tend to overemphasize local relationships. Across all methods, performance declines as graph size increases, emphasizing scalability as a key challenge.")</f>
        <v>This paper introduces CausalGraphBench, a benchmark designed to evaluate the ability of large language models (LLMs) to construct Causal Graphs (CGs), a critical component of reasoning models like Bayesian Networks. The benchmark comprises 35 CGs sourced from publicly available repositories and academic papers, each enriched with detailed metadata to facilitate systematic and consistent evaluation. We explore various LLM-driven methods for CG discovery, analyzing their performance across different graph sizes and complexity levels. Additionally, we examine the effects of data contamination on the quality of the generated CGs.
Our findings reveal that methods relying on approaches with a limited number of queries to LLM, particularly those leveraging the full graph context, consistently outperform query-intensive and exhaustive approaches, which tend to overemphasize local relationships. Across all methods, performance declines as graph size increases, emphasizing scalability as a key challenge.</v>
      </c>
      <c r="D3300" s="7" t="str">
        <f>IFERROR(__xludf.DUMMYFUNCTION("""COMPUTED_VALUE"""),"Nikolay Babakov")</f>
        <v>Nikolay Babakov</v>
      </c>
      <c r="E3300" s="7" t="str">
        <f>IFERROR(__xludf.DUMMYFUNCTION("""COMPUTED_VALUE"""),"Yes")</f>
        <v>Yes</v>
      </c>
      <c r="F3300" s="7" t="str">
        <f>IFERROR(__xludf.DUMMYFUNCTION("""COMPUTED_VALUE"""),"Virtual/Gather")</f>
        <v>Virtual/Gather</v>
      </c>
      <c r="G3300" s="7" t="str">
        <f>IFERROR(__xludf.DUMMYFUNCTION("""COMPUTED_VALUE"""),"Virtual/Gather")</f>
        <v>Virtual/Gather</v>
      </c>
      <c r="H3300" s="7" t="str">
        <f>IFERROR(__xludf.DUMMYFUNCTION("""COMPUTED_VALUE"""),"Zoom")</f>
        <v>Zoom</v>
      </c>
      <c r="I3300" s="7" t="str">
        <f>IFERROR(__xludf.DUMMYFUNCTION("""COMPUTED_VALUE"""),"Session 7: V--Presentations ")</f>
        <v>Session 7: V--Presentations </v>
      </c>
      <c r="J3300" s="7" t="str">
        <f>IFERROR(__xludf.DUMMYFUNCTION("""COMPUTED_VALUE"""),"Student Research Workshop - Virtual Presentations 1")</f>
        <v>Student Research Workshop - Virtual Presentations 1</v>
      </c>
      <c r="K3300" s="7"/>
      <c r="L3300" s="8"/>
      <c r="M3300" s="7" t="str">
        <f>IFERROR(__xludf.DUMMYFUNCTION("""COMPUTED_VALUE"""),"10:30-12:00")</f>
        <v>10:30-12:00</v>
      </c>
      <c r="N3300" s="7">
        <f>IFERROR(__xludf.DUMMYFUNCTION("""COMPUTED_VALUE"""),6.0)</f>
        <v>6</v>
      </c>
    </row>
    <row r="3301">
      <c r="A3301" s="7" t="str">
        <f>IFERROR(__xludf.DUMMYFUNCTION("""COMPUTED_VALUE"""),"63-SRW")</f>
        <v>63-SRW</v>
      </c>
      <c r="B3301" s="7" t="str">
        <f>IFERROR(__xludf.DUMMYFUNCTION("""COMPUTED_VALUE"""),"Reasoning for Translation: Comparative Analysis of Chain-of-Thought and Tree-of-Thought Prompting for LLM Translation")</f>
        <v>Reasoning for Translation: Comparative Analysis of Chain-of-Thought and Tree-of-Thought Prompting for LLM Translation</v>
      </c>
      <c r="C3301" s="7" t="str">
        <f>IFERROR(__xludf.DUMMYFUNCTION("""COMPUTED_VALUE"""),"As Large Language Models (LLMs) continue to advance in capability, prompt engineering has emerged as a crucial method for optimizing their performance on specialized tasks. While prompting strategies like Zero-shot, Few-shot, Chain-of-Thought, and Tree-of"&amp;"-Thought have demonstrated significant improvements in reasoning tasks, their application to machine translation has received comparatively less attention. This paper systematically evaluates these prompting techniques across diverse language pairs and do"&amp;"mains, measuring their effect on translation quality. Our findings reveal substantial performance variations between prompting methods, with certain strategies offering consistent improvements for specific language directions and complexity levels. These "&amp;"results provide valuable insights for developing more effective LLM-based translation systems without requiring model fine-tuning and complement existing works in the field.")</f>
        <v>As Large Language Models (LLMs) continue to advance in capability, prompt engineering has emerged as a crucial method for optimizing their performance on specialized tasks. While prompting strategies like Zero-shot, Few-shot, Chain-of-Thought, and Tree-of-Thought have demonstrated significant improvements in reasoning tasks, their application to machine translation has received comparatively less attention. This paper systematically evaluates these prompting techniques across diverse language pairs and domains, measuring their effect on translation quality. Our findings reveal substantial performance variations between prompting methods, with certain strategies offering consistent improvements for specific language directions and complexity levels. These results provide valuable insights for developing more effective LLM-based translation systems without requiring model fine-tuning and complement existing works in the field.</v>
      </c>
      <c r="D3301" s="7" t="str">
        <f>IFERROR(__xludf.DUMMYFUNCTION("""COMPUTED_VALUE"""),"Lam Nguyen")</f>
        <v>Lam Nguyen</v>
      </c>
      <c r="E3301" s="7" t="str">
        <f>IFERROR(__xludf.DUMMYFUNCTION("""COMPUTED_VALUE"""),"Yes")</f>
        <v>Yes</v>
      </c>
      <c r="F3301" s="7" t="str">
        <f>IFERROR(__xludf.DUMMYFUNCTION("""COMPUTED_VALUE"""),"IP-Oral")</f>
        <v>IP-Oral</v>
      </c>
      <c r="G3301" s="7" t="str">
        <f>IFERROR(__xludf.DUMMYFUNCTION("""COMPUTED_VALUE"""),"In-Person")</f>
        <v>In-Person</v>
      </c>
      <c r="H3301" s="7" t="str">
        <f>IFERROR(__xludf.DUMMYFUNCTION("""COMPUTED_VALUE"""),"Hall N.2")</f>
        <v>Hall N.2</v>
      </c>
      <c r="I3301" s="7" t="str">
        <f>IFERROR(__xludf.DUMMYFUNCTION("""COMPUTED_VALUE"""),"Session 3: IP-Orals")</f>
        <v>Session 3: IP-Orals</v>
      </c>
      <c r="J3301" s="7" t="str">
        <f>IFERROR(__xludf.DUMMYFUNCTION("""COMPUTED_VALUE"""),"Student Research Workshop")</f>
        <v>Student Research Workshop</v>
      </c>
      <c r="K3301" s="7"/>
      <c r="L3301" s="8">
        <f>IFERROR(__xludf.DUMMYFUNCTION("""COMPUTED_VALUE"""),45866.0)</f>
        <v>45866</v>
      </c>
      <c r="M3301" s="7" t="str">
        <f>IFERROR(__xludf.DUMMYFUNCTION("""COMPUTED_VALUE"""),"14:00-15:30")</f>
        <v>14:00-15:30</v>
      </c>
      <c r="N3301" s="7">
        <f>IFERROR(__xludf.DUMMYFUNCTION("""COMPUTED_VALUE"""),7.0)</f>
        <v>7</v>
      </c>
    </row>
    <row r="3302">
      <c r="A3302" s="7" t="str">
        <f>IFERROR(__xludf.DUMMYFUNCTION("""COMPUTED_VALUE"""),"64-SRW")</f>
        <v>64-SRW</v>
      </c>
      <c r="B3302" s="7" t="str">
        <f>IFERROR(__xludf.DUMMYFUNCTION("""COMPUTED_VALUE"""),"iPrOp: Interactive Prompt Optimization for Large Language Models with a Human in the Loop")</f>
        <v>iPrOp: Interactive Prompt Optimization for Large Language Models with a Human in the Loop</v>
      </c>
      <c r="C3302" s="7" t="str">
        <f>IFERROR(__xludf.DUMMYFUNCTION("""COMPUTED_VALUE"""),"Prompt engineering has made significant contributions to the era of large language models, yet its effectiveness depends on the skills of a prompt author. This paper introduces $\textit{iPrOp}$, a novel interactive prompt optimization approach, to bridge "&amp;"manual prompt engineering and automatic prompt optimization while offering users the flexibility to assess evolving prompts. We aim to provide users with task-specific guidance to enhance human engagement in the optimization process, which is structured t"&amp;"hrough prompt variations, informative instances, predictions generated by large language models along with their corresponding explanations, and relevant performance metrics. This approach empowers users to choose and further refine the prompts based on t"&amp;"heir individual preferences and needs. It can not only assist non-technical domain experts in generating optimal prompts tailored to their specific tasks or domains, but also enable to study the intrinsic parameters that influence the performance of promp"&amp;"t optimization. The evaluation shows that our approach has the capability to generate improved prompts, leading to enhanced task performance.")</f>
        <v>Prompt engineering has made significant contributions to the era of large language models, yet its effectiveness depends on the skills of a prompt author. This paper introduces $\textit{iPrOp}$, a novel interactive prompt optimization approach, to bridge manual prompt engineering and automatic prompt optimization while offering users the flexibility to assess evolving prompts. We aim to provide users with task-specific guidance to enhance human engagement in the optimization process, which is structured through prompt variations, informative instances, predictions generated by large language models along with their corresponding explanations, and relevant performance metrics. This approach empowers users to choose and further refine the prompts based on their individual preferences and needs. It can not only assist non-technical domain experts in generating optimal prompts tailored to their specific tasks or domains, but also enable to study the intrinsic parameters that influence the performance of prompt optimization. The evaluation shows that our approach has the capability to generate improved prompts, leading to enhanced task performance.</v>
      </c>
      <c r="D3302" s="7" t="str">
        <f>IFERROR(__xludf.DUMMYFUNCTION("""COMPUTED_VALUE"""),"Jiahui Li")</f>
        <v>Jiahui Li</v>
      </c>
      <c r="E3302" s="7" t="str">
        <f>IFERROR(__xludf.DUMMYFUNCTION("""COMPUTED_VALUE"""),"Yes")</f>
        <v>Yes</v>
      </c>
      <c r="F3302" s="7" t="str">
        <f>IFERROR(__xludf.DUMMYFUNCTION("""COMPUTED_VALUE"""),"IP-Poster")</f>
        <v>IP-Poster</v>
      </c>
      <c r="G3302" s="7" t="str">
        <f>IFERROR(__xludf.DUMMYFUNCTION("""COMPUTED_VALUE"""),"In-person")</f>
        <v>In-person</v>
      </c>
      <c r="H3302" s="7" t="str">
        <f>IFERROR(__xludf.DUMMYFUNCTION("""COMPUTED_VALUE"""),"Hall 4/5")</f>
        <v>Hall 4/5</v>
      </c>
      <c r="I3302" s="7" t="str">
        <f>IFERROR(__xludf.DUMMYFUNCTION("""COMPUTED_VALUE"""),"Session 7: IP-Posters")</f>
        <v>Session 7: IP-Posters</v>
      </c>
      <c r="J3302" s="7" t="str">
        <f>IFERROR(__xludf.DUMMYFUNCTION("""COMPUTED_VALUE"""),"Student Research Workshop - In-Person Posters 1")</f>
        <v>Student Research Workshop - In-Person Posters 1</v>
      </c>
      <c r="K3302" s="7"/>
      <c r="L3302" s="8">
        <f>IFERROR(__xludf.DUMMYFUNCTION("""COMPUTED_VALUE"""),45867.0)</f>
        <v>45867</v>
      </c>
      <c r="M3302" s="7" t="str">
        <f>IFERROR(__xludf.DUMMYFUNCTION("""COMPUTED_VALUE"""),"10:30-12:00")</f>
        <v>10:30-12:00</v>
      </c>
      <c r="N3302" s="7"/>
    </row>
    <row r="3303">
      <c r="A3303" s="7" t="str">
        <f>IFERROR(__xludf.DUMMYFUNCTION("""COMPUTED_VALUE"""),"65-SRW")</f>
        <v>65-SRW</v>
      </c>
      <c r="B3303" s="7" t="str">
        <f>IFERROR(__xludf.DUMMYFUNCTION("""COMPUTED_VALUE"""),"Evaluating Structured Output Robustness of Small Language Models for Open Attribute-Value Extraction from Clinical Notes")</f>
        <v>Evaluating Structured Output Robustness of Small Language Models for Open Attribute-Value Extraction from Clinical Notes</v>
      </c>
      <c r="C3303" s="7" t="str">
        <f>IFERROR(__xludf.DUMMYFUNCTION("""COMPUTED_VALUE"""),"We evaluate the parseability of structured outputs generated by small language models for open attribute-value extraction from clinical notes. Across JSON, YAML, and XML, JSON consistently yields the highest parseability. Targeted prompts and larger model"&amp;"s improve structural validity, while longer documents reduce it. Error analysis reveals common failure patterns. Our findings highlight how model size, prompt specificity, document type, and output format interact to affect structural reliability.")</f>
        <v>We evaluate the parseability of structured outputs generated by small language models for open attribute-value extraction from clinical notes. Across JSON, YAML, and XML, JSON consistently yields the highest parseability. Targeted prompts and larger models improve structural validity, while longer documents reduce it. Error analysis reveals common failure patterns. Our findings highlight how model size, prompt specificity, document type, and output format interact to affect structural reliability.</v>
      </c>
      <c r="D3303" s="7" t="str">
        <f>IFERROR(__xludf.DUMMYFUNCTION("""COMPUTED_VALUE"""),"Nikita Neveditsin")</f>
        <v>Nikita Neveditsin</v>
      </c>
      <c r="E3303" s="7" t="str">
        <f>IFERROR(__xludf.DUMMYFUNCTION("""COMPUTED_VALUE"""),"Yes")</f>
        <v>Yes</v>
      </c>
      <c r="F3303" s="7" t="str">
        <f>IFERROR(__xludf.DUMMYFUNCTION("""COMPUTED_VALUE"""),"Virtual/Gather")</f>
        <v>Virtual/Gather</v>
      </c>
      <c r="G3303" s="7" t="str">
        <f>IFERROR(__xludf.DUMMYFUNCTION("""COMPUTED_VALUE"""),"Virtual/Gather")</f>
        <v>Virtual/Gather</v>
      </c>
      <c r="H3303" s="7" t="str">
        <f>IFERROR(__xludf.DUMMYFUNCTION("""COMPUTED_VALUE"""),"Zoom")</f>
        <v>Zoom</v>
      </c>
      <c r="I3303" s="7" t="str">
        <f>IFERROR(__xludf.DUMMYFUNCTION("""COMPUTED_VALUE"""),"Session 10: V-Presenations")</f>
        <v>Session 10: V-Presenations</v>
      </c>
      <c r="J3303" s="7" t="str">
        <f>IFERROR(__xludf.DUMMYFUNCTION("""COMPUTED_VALUE"""),"Student Research Workshop - Virtual Presentations 2")</f>
        <v>Student Research Workshop - Virtual Presentations 2</v>
      </c>
      <c r="K3303" s="7"/>
      <c r="L3303" s="8">
        <f>IFERROR(__xludf.DUMMYFUNCTION("""COMPUTED_VALUE"""),45867.0)</f>
        <v>45867</v>
      </c>
      <c r="M3303" s="7" t="str">
        <f>IFERROR(__xludf.DUMMYFUNCTION("""COMPUTED_VALUE"""),"16:00-17:30")</f>
        <v>16:00-17:30</v>
      </c>
      <c r="N3303" s="7">
        <f>IFERROR(__xludf.DUMMYFUNCTION("""COMPUTED_VALUE"""),3.0)</f>
        <v>3</v>
      </c>
    </row>
    <row r="3304">
      <c r="A3304" s="7" t="str">
        <f>IFERROR(__xludf.DUMMYFUNCTION("""COMPUTED_VALUE"""),"67-SRW")</f>
        <v>67-SRW</v>
      </c>
      <c r="B3304" s="7" t="str">
        <f>IFERROR(__xludf.DUMMYFUNCTION("""COMPUTED_VALUE"""),"Bias Amplification: Large Language Models as Increasingly Biased Media")</f>
        <v>Bias Amplification: Large Language Models as Increasingly Biased Media</v>
      </c>
      <c r="C3304" s="7" t="str">
        <f>IFERROR(__xludf.DUMMYFUNCTION("""COMPUTED_VALUE"""),"Model collapse—a phenomenon characterized by performance degradation due to iterative training on synthetic data—has been widely studied. However, its implications for bias amplification, the progressive intensification of pre-existing societal biases in "&amp;"Large Language Models (LLMs), remain significantly underexplored, despite the growing influence of LLMs in shaping online discourse. In this paper, we introduce a open, generational, and long-context benchmark specifically designed to measure political bi"&amp;"as amplification in LLMs, leveraging sentence continuation tasks derived from a comprehensive dataset of U.S. political news. Our empirical study using GPT-2 reveals consistent and substantial political bias intensification (e.g., right-leaning amplificat"&amp;"ion) over iterative synthetic training cycles. We evaluate three mitigation strategies—Overfitting, Preservation, and Accumulation—and demonstrate that bias amplification persists independently of model collapse, even when the latter is effectively contro"&amp;"lled. Furthermore, we propose a mechanistic analysis approach that identifies neurons correlated with specific phenomena during inference through regression and statistical tests. This analysis uncovers largely distinct neuron populations driving bias amp"&amp;"lification and model collapse, underscoring fundamentally different underlying mechanisms. Finally, we supplement our empirical findings with theoretical intuition that explains the separate origins of these phenomena, guiding targeted strategies for bias"&amp;" mitigation.")</f>
        <v>Model collapse—a phenomenon characterized by performance degradation due to iterative training on synthetic data—has been widely studied. However, its implications for bias amplification, the progressive intensification of pre-existing societal biases in Large Language Models (LLMs), remain significantly underexplored, despite the growing influence of LLMs in shaping online discourse. In this paper, we introduce a open, generational, and long-context benchmark specifically designed to measure political bias amplification in LLMs, leveraging sentence continuation tasks derived from a comprehensive dataset of U.S. political news. Our empirical study using GPT-2 reveals consistent and substantial political bias intensification (e.g., right-leaning amplification) over iterative synthetic training cycles. We evaluate three mitigation strategies—Overfitting, Preservation, and Accumulation—and demonstrate that bias amplification persists independently of model collapse, even when the latter is effectively controlled. Furthermore, we propose a mechanistic analysis approach that identifies neurons correlated with specific phenomena during inference through regression and statistical tests. This analysis uncovers largely distinct neuron populations driving bias amplification and model collapse, underscoring fundamentally different underlying mechanisms. Finally, we supplement our empirical findings with theoretical intuition that explains the separate origins of these phenomena, guiding targeted strategies for bias mitigation.</v>
      </c>
      <c r="D3304" s="7" t="str">
        <f>IFERROR(__xludf.DUMMYFUNCTION("""COMPUTED_VALUE"""),"Zekun Wu")</f>
        <v>Zekun Wu</v>
      </c>
      <c r="E3304" s="7" t="str">
        <f>IFERROR(__xludf.DUMMYFUNCTION("""COMPUTED_VALUE"""),"Yes")</f>
        <v>Yes</v>
      </c>
      <c r="F3304" s="7" t="str">
        <f>IFERROR(__xludf.DUMMYFUNCTION("""COMPUTED_VALUE"""),"IP-Poster")</f>
        <v>IP-Poster</v>
      </c>
      <c r="G3304" s="7" t="str">
        <f>IFERROR(__xludf.DUMMYFUNCTION("""COMPUTED_VALUE"""),"In-person")</f>
        <v>In-person</v>
      </c>
      <c r="H3304" s="7" t="str">
        <f>IFERROR(__xludf.DUMMYFUNCTION("""COMPUTED_VALUE"""),"Hall 4/5")</f>
        <v>Hall 4/5</v>
      </c>
      <c r="I3304" s="7" t="str">
        <f>IFERROR(__xludf.DUMMYFUNCTION("""COMPUTED_VALUE"""),"Session 7: IP-Posters")</f>
        <v>Session 7: IP-Posters</v>
      </c>
      <c r="J3304" s="7" t="str">
        <f>IFERROR(__xludf.DUMMYFUNCTION("""COMPUTED_VALUE"""),"Student Research Workshop - In-Person Posters 1")</f>
        <v>Student Research Workshop - In-Person Posters 1</v>
      </c>
      <c r="K3304" s="7"/>
      <c r="L3304" s="8">
        <f>IFERROR(__xludf.DUMMYFUNCTION("""COMPUTED_VALUE"""),45867.0)</f>
        <v>45867</v>
      </c>
      <c r="M3304" s="7" t="str">
        <f>IFERROR(__xludf.DUMMYFUNCTION("""COMPUTED_VALUE"""),"10:30-12:00")</f>
        <v>10:30-12:00</v>
      </c>
      <c r="N3304" s="7"/>
    </row>
    <row r="3305">
      <c r="A3305" s="7" t="str">
        <f>IFERROR(__xludf.DUMMYFUNCTION("""COMPUTED_VALUE"""),"69-SRW")</f>
        <v>69-SRW</v>
      </c>
      <c r="B3305" s="7" t="str">
        <f>IFERROR(__xludf.DUMMYFUNCTION("""COMPUTED_VALUE"""),"FaithfulSAE: Towards Capturing Faithful Features with Sparse Autoencoders without External Datasets Dependency")</f>
        <v>FaithfulSAE: Towards Capturing Faithful Features with Sparse Autoencoders without External Datasets Dependency</v>
      </c>
      <c r="C3305" s="7" t="str">
        <f>IFERROR(__xludf.DUMMYFUNCTION("""COMPUTED_VALUE"""),"Sparse Autoencoders (SAEs) have emerged as a promising solution for decomposing large language model representations into interpretable features. However, Paulo &amp; Belrose (2025) have highlighted instability across different initialization seeds, and Heap "&amp;"et al. (2025) have pointed out that SAEs may not capture model-internal features. These problems likely stem from training SAEs on external datasets—either collected from the Web or generated by another model—which may contain out-of-distribution (OOD) da"&amp;"ta beyond the model’s generalisation capabilities. This can result in hallucinated SAE features, which we term ”Fake Features”, that misrepresent the model’s internal activations. To address these issues, we propose FaithfulSAE, a method that trains SAEs "&amp;"on the model’s own synthetic dataset. Using FaithfulSAEs, we demonstrate that training SAEs on less-OOD instruction datasets results in SAEs being more stable across seeds. Notably, FaithfulSAEs outperform SAEs trained on webbased datasets in the SAE prob"&amp;"ing task and exhibit a lower Fake Feature Ratio in 5 out of 7 models. Overall, our approach eliminates the dependency on external datasets, advancing interpretability by better capturing model-internal features while highlighting the often neglected impor"&amp;"tance of SAE training datasets.")</f>
        <v>Sparse Autoencoders (SAEs) have emerged as a promising solution for decomposing large language model representations into interpretable features. However, Paulo &amp; Belrose (2025) have highlighted instability across different initialization seeds, and Heap et al. (2025) have pointed out that SAEs may not capture model-internal features. These problems likely stem from training SAEs on external datasets—either collected from the Web or generated by another model—which may contain out-of-distribution (OOD) data beyond the model’s generalisation capabilities. This can result in hallucinated SAE features, which we term ”Fake Features”, that misrepresent the model’s internal activations. To address these issues, we propose FaithfulSAE, a method that trains SAEs on the model’s own synthetic dataset. Using FaithfulSAEs, we demonstrate that training SAEs on less-OOD instruction datasets results in SAEs being more stable across seeds. Notably, FaithfulSAEs outperform SAEs trained on webbased datasets in the SAE probing task and exhibit a lower Fake Feature Ratio in 5 out of 7 models. Overall, our approach eliminates the dependency on external datasets, advancing interpretability by better capturing model-internal features while highlighting the often neglected importance of SAE training datasets.</v>
      </c>
      <c r="D3305" s="7" t="str">
        <f>IFERROR(__xludf.DUMMYFUNCTION("""COMPUTED_VALUE"""),"Seonglae Cho")</f>
        <v>Seonglae Cho</v>
      </c>
      <c r="E3305" s="7" t="str">
        <f>IFERROR(__xludf.DUMMYFUNCTION("""COMPUTED_VALUE"""),"Yes")</f>
        <v>Yes</v>
      </c>
      <c r="F3305" s="7" t="str">
        <f>IFERROR(__xludf.DUMMYFUNCTION("""COMPUTED_VALUE"""),"IP-Poster")</f>
        <v>IP-Poster</v>
      </c>
      <c r="G3305" s="7" t="str">
        <f>IFERROR(__xludf.DUMMYFUNCTION("""COMPUTED_VALUE"""),"In-person")</f>
        <v>In-person</v>
      </c>
      <c r="H3305" s="7" t="str">
        <f>IFERROR(__xludf.DUMMYFUNCTION("""COMPUTED_VALUE"""),"Hall 4/5")</f>
        <v>Hall 4/5</v>
      </c>
      <c r="I3305" s="7" t="str">
        <f>IFERROR(__xludf.DUMMYFUNCTION("""COMPUTED_VALUE"""),"Session 7: IP-Posters")</f>
        <v>Session 7: IP-Posters</v>
      </c>
      <c r="J3305" s="7" t="str">
        <f>IFERROR(__xludf.DUMMYFUNCTION("""COMPUTED_VALUE"""),"Student Research Workshop - In-Person Posters 1")</f>
        <v>Student Research Workshop - In-Person Posters 1</v>
      </c>
      <c r="K3305" s="7"/>
      <c r="L3305" s="8">
        <f>IFERROR(__xludf.DUMMYFUNCTION("""COMPUTED_VALUE"""),45867.0)</f>
        <v>45867</v>
      </c>
      <c r="M3305" s="7" t="str">
        <f>IFERROR(__xludf.DUMMYFUNCTION("""COMPUTED_VALUE"""),"10:30-12:00")</f>
        <v>10:30-12:00</v>
      </c>
      <c r="N3305" s="7"/>
    </row>
    <row r="3306">
      <c r="A3306" s="7" t="str">
        <f>IFERROR(__xludf.DUMMYFUNCTION("""COMPUTED_VALUE"""),"70-SRW")</f>
        <v>70-SRW</v>
      </c>
      <c r="B3306" s="7" t="str">
        <f>IFERROR(__xludf.DUMMYFUNCTION("""COMPUTED_VALUE"""),"LayerNorm vs RMSNorm: A Geometric Perspective and the Case Against Mean Subtraction")</f>
        <v>LayerNorm vs RMSNorm: A Geometric Perspective and the Case Against Mean Subtraction</v>
      </c>
      <c r="C3306" s="7" t="str">
        <f>IFERROR(__xludf.DUMMYFUNCTION("""COMPUTED_VALUE"""),"This paper presents a novel geometric interpretation of LayerNorm and explores how LayerNorm influences the norm and orientation of hidden vectors in the representation space. We show that the definition of LayerNorm is innately linked to the uniform vect"&amp;"or, defined as $\boldsymbol{1} = [1, 1, 1, 1, \cdots, 1]^T \in \mathbb{R}^d$. We then show that the standardization step in LayerNorm can be understood in three simple steps: (i) remove the component of a vector along the uniform vector, (ii) normalize th"&amp;"e remaining vector, and (iii) scale the resultant vector by $\sqrt{d}$, where $d$ is the dimensionality of the representation space. Finally, we compare the hidden representations of LayerNorm-based LLMs with models trained using RMSNorm and show that all"&amp;" LLMs naturally operate orthogonal to the uniform vector both during training and inference, that is, on average they do not have a component along the uniform vector during training or inference. This presents the first mechanistic evidence that removing"&amp;" the component along the uniform vector in LayerNorm is a redundant step. These results advocate for using RMSNorm over LayerNorm which is also more computationally efficient.")</f>
        <v>This paper presents a novel geometric interpretation of LayerNorm and explores how LayerNorm influences the norm and orientation of hidden vectors in the representation space. We show that the definition of LayerNorm is innately linked to the uniform vector, defined as $\boldsymbol{1} = [1, 1, 1, 1, \cdots, 1]^T \in \mathbb{R}^d$. We then show that the standardization step in LayerNorm can be understood in three simple steps: (i) remove the component of a vector along the uniform vector, (ii) normalize the remaining vector, and (iii) scale the resultant vector by $\sqrt{d}$, where $d$ is the dimensionality of the representation space. Finally, we compare the hidden representations of LayerNorm-based LLMs with models trained using RMSNorm and show that all LLMs naturally operate orthogonal to the uniform vector both during training and inference, that is, on average they do not have a component along the uniform vector during training or inference. This presents the first mechanistic evidence that removing the component along the uniform vector in LayerNorm is a redundant step. These results advocate for using RMSNorm over LayerNorm which is also more computationally efficient.</v>
      </c>
      <c r="D3306" s="7" t="str">
        <f>IFERROR(__xludf.DUMMYFUNCTION("""COMPUTED_VALUE"""),"Akshat Gupta")</f>
        <v>Akshat Gupta</v>
      </c>
      <c r="E3306" s="7" t="str">
        <f>IFERROR(__xludf.DUMMYFUNCTION("""COMPUTED_VALUE"""),"Yes")</f>
        <v>Yes</v>
      </c>
      <c r="F3306" s="7" t="str">
        <f>IFERROR(__xludf.DUMMYFUNCTION("""COMPUTED_VALUE"""),"Virtual/Gather")</f>
        <v>Virtual/Gather</v>
      </c>
      <c r="G3306" s="7" t="str">
        <f>IFERROR(__xludf.DUMMYFUNCTION("""COMPUTED_VALUE"""),"Virtual/Gather")</f>
        <v>Virtual/Gather</v>
      </c>
      <c r="H3306" s="7" t="str">
        <f>IFERROR(__xludf.DUMMYFUNCTION("""COMPUTED_VALUE"""),"Zoom")</f>
        <v>Zoom</v>
      </c>
      <c r="I3306" s="7" t="str">
        <f>IFERROR(__xludf.DUMMYFUNCTION("""COMPUTED_VALUE"""),"Session 7: V--Presentations ")</f>
        <v>Session 7: V--Presentations </v>
      </c>
      <c r="J3306" s="7" t="str">
        <f>IFERROR(__xludf.DUMMYFUNCTION("""COMPUTED_VALUE"""),"Student Research Workshop - Virtual Presentations 1")</f>
        <v>Student Research Workshop - Virtual Presentations 1</v>
      </c>
      <c r="K3306" s="7"/>
      <c r="L3306" s="8"/>
      <c r="M3306" s="7" t="str">
        <f>IFERROR(__xludf.DUMMYFUNCTION("""COMPUTED_VALUE"""),"10:30-12:00")</f>
        <v>10:30-12:00</v>
      </c>
      <c r="N3306" s="7">
        <f>IFERROR(__xludf.DUMMYFUNCTION("""COMPUTED_VALUE"""),7.0)</f>
        <v>7</v>
      </c>
    </row>
    <row r="3307">
      <c r="A3307" s="7" t="str">
        <f>IFERROR(__xludf.DUMMYFUNCTION("""COMPUTED_VALUE"""),"73-SRW")</f>
        <v>73-SRW</v>
      </c>
      <c r="B3307" s="7" t="str">
        <f>IFERROR(__xludf.DUMMYFUNCTION("""COMPUTED_VALUE"""),"Translating Movie Subtitles by Large Language Models using Movie-meta Information")</f>
        <v>Translating Movie Subtitles by Large Language Models using Movie-meta Information</v>
      </c>
      <c r="C3307" s="7" t="str">
        <f>IFERROR(__xludf.DUMMYFUNCTION("""COMPUTED_VALUE"""),"Large language models (LLMs) have advanced natural language processing by understanding, generating, and manipulating texts.
Although recent studies have shown that prompt engineering can reduce computational effort and potentially improve translation qua"&amp;"lity, prompt designs specific to different domains remain challenging. Besides, movie subtitle translation is particularly challenging and understudied, as it involves handling colloquial language, preserving cultural nuances, and requires contextual info"&amp;"rmation such as the movie's theme and storyline to ensure accurate meaning. This study aims to fill this gap by focusing on the translation of movie subtitles through the use of prompting strategies that incorporate the movie's meta-information, e.g., mov"&amp;"ie title, summary, and genre. We build a multilingual dataset which aligns the OpenSubtitles dataset with their corresponding Wikipedia articles and investigate different prompts and their effect on translation performance. Our experiments with GPT-3.5, G"&amp;"PT-4o, and LLaMA-3 models have shown that the presence of meta-information improves translation accuracy. These findings further emphasize the importance of designing appropriate prompts and highlight the potential of LLMs to enhance subtitle translation "&amp;"quality.")</f>
        <v>Large language models (LLMs) have advanced natural language processing by understanding, generating, and manipulating texts.
Although recent studies have shown that prompt engineering can reduce computational effort and potentially improve translation quality, prompt designs specific to different domains remain challenging. Besides, movie subtitle translation is particularly challenging and understudied, as it involves handling colloquial language, preserving cultural nuances, and requires contextual information such as the movie's theme and storyline to ensure accurate meaning. This study aims to fill this gap by focusing on the translation of movie subtitles through the use of prompting strategies that incorporate the movie's meta-information, e.g., movie title, summary, and genre. We build a multilingual dataset which aligns the OpenSubtitles dataset with their corresponding Wikipedia articles and investigate different prompts and their effect on translation performance. Our experiments with GPT-3.5, GPT-4o, and LLaMA-3 models have shown that the presence of meta-information improves translation accuracy. These findings further emphasize the importance of designing appropriate prompts and highlight the potential of LLMs to enhance subtitle translation quality.</v>
      </c>
      <c r="D3307" s="7" t="str">
        <f>IFERROR(__xludf.DUMMYFUNCTION("""COMPUTED_VALUE"""),"Ashmari Pramodya")</f>
        <v>Ashmari Pramodya</v>
      </c>
      <c r="E3307" s="7" t="str">
        <f>IFERROR(__xludf.DUMMYFUNCTION("""COMPUTED_VALUE"""),"Yes")</f>
        <v>Yes</v>
      </c>
      <c r="F3307" s="7" t="str">
        <f>IFERROR(__xludf.DUMMYFUNCTION("""COMPUTED_VALUE"""),"IP-Poster")</f>
        <v>IP-Poster</v>
      </c>
      <c r="G3307" s="7" t="str">
        <f>IFERROR(__xludf.DUMMYFUNCTION("""COMPUTED_VALUE"""),"In-person")</f>
        <v>In-person</v>
      </c>
      <c r="H3307" s="7" t="str">
        <f>IFERROR(__xludf.DUMMYFUNCTION("""COMPUTED_VALUE"""),"Hall 4/5")</f>
        <v>Hall 4/5</v>
      </c>
      <c r="I3307" s="7" t="str">
        <f>IFERROR(__xludf.DUMMYFUNCTION("""COMPUTED_VALUE"""),"Session 7: IP-Posters")</f>
        <v>Session 7: IP-Posters</v>
      </c>
      <c r="J3307" s="7" t="str">
        <f>IFERROR(__xludf.DUMMYFUNCTION("""COMPUTED_VALUE"""),"Student Research Workshop - In-Person Posters 1")</f>
        <v>Student Research Workshop - In-Person Posters 1</v>
      </c>
      <c r="K3307" s="7"/>
      <c r="L3307" s="8">
        <f>IFERROR(__xludf.DUMMYFUNCTION("""COMPUTED_VALUE"""),45867.0)</f>
        <v>45867</v>
      </c>
      <c r="M3307" s="7" t="str">
        <f>IFERROR(__xludf.DUMMYFUNCTION("""COMPUTED_VALUE"""),"10:30-12:00")</f>
        <v>10:30-12:00</v>
      </c>
      <c r="N3307" s="7"/>
    </row>
    <row r="3308">
      <c r="A3308" s="7" t="str">
        <f>IFERROR(__xludf.DUMMYFUNCTION("""COMPUTED_VALUE"""),"74-SRW")</f>
        <v>74-SRW</v>
      </c>
      <c r="B3308" s="7" t="str">
        <f>IFERROR(__xludf.DUMMYFUNCTION("""COMPUTED_VALUE"""),"Pun2Pun: Benchmarking LLMs on Textual-Visual Chinese-English Pun Translation via Pragmatics Model and Linguistic Reasoning")</f>
        <v>Pun2Pun: Benchmarking LLMs on Textual-Visual Chinese-English Pun Translation via Pragmatics Model and Linguistic Reasoning</v>
      </c>
      <c r="C3308" s="7" t="str">
        <f>IFERROR(__xludf.DUMMYFUNCTION("""COMPUTED_VALUE"""),"Puns, as a unique form of linguistic creativity, present significant challenges in cross-lingual translation, particularly between linguistically distant languages like Chinese and English, where it’s often considered a “mission impossible”. We introduce "&amp;"Pun2Pun, a novel benchmark for quantitatively evaluating pun translation between Chinese and English while preserving both linguistic mechanisms and humorous effects. We propose the adaptation of Constant-Variable Optimization (CVO) Model for translation "&amp;"strategy and concomitant Overlap (Ovl) metric for translation quality assessment. Our approach provides a robust quantitative evaluation framework to assess models’ complex linguistic and cultural reasoning capabilities in pun translation. Through extensi"&amp;"ve experiments on both textual and visual puns, we demonstrate that our translation strategy model significantly improves performance, particularly for better-performing models. Our findings reveal exciting potentials and current limitations of LLMs in pr"&amp;"eserving sophisticated humor across linguistic and cultural boundaries.")</f>
        <v>Puns, as a unique form of linguistic creativity, present significant challenges in cross-lingual translation, particularly between linguistically distant languages like Chinese and English, where it’s often considered a “mission impossible”. We introduce Pun2Pun, a novel benchmark for quantitatively evaluating pun translation between Chinese and English while preserving both linguistic mechanisms and humorous effects. We propose the adaptation of Constant-Variable Optimization (CVO) Model for translation strategy and concomitant Overlap (Ovl) metric for translation quality assessment. Our approach provides a robust quantitative evaluation framework to assess models’ complex linguistic and cultural reasoning capabilities in pun translation. Through extensive experiments on both textual and visual puns, we demonstrate that our translation strategy model significantly improves performance, particularly for better-performing models. Our findings reveal exciting potentials and current limitations of LLMs in preserving sophisticated humor across linguistic and cultural boundaries.</v>
      </c>
      <c r="D3308" s="7" t="str">
        <f>IFERROR(__xludf.DUMMYFUNCTION("""COMPUTED_VALUE"""),"Yiran Rex Ma")</f>
        <v>Yiran Rex Ma</v>
      </c>
      <c r="E3308" s="7" t="str">
        <f>IFERROR(__xludf.DUMMYFUNCTION("""COMPUTED_VALUE"""),"Yes")</f>
        <v>Yes</v>
      </c>
      <c r="F3308" s="7" t="str">
        <f>IFERROR(__xludf.DUMMYFUNCTION("""COMPUTED_VALUE"""),"Virtual/Gather")</f>
        <v>Virtual/Gather</v>
      </c>
      <c r="G3308" s="7" t="str">
        <f>IFERROR(__xludf.DUMMYFUNCTION("""COMPUTED_VALUE"""),"Virtual/Gather")</f>
        <v>Virtual/Gather</v>
      </c>
      <c r="H3308" s="7" t="str">
        <f>IFERROR(__xludf.DUMMYFUNCTION("""COMPUTED_VALUE"""),"Zoom")</f>
        <v>Zoom</v>
      </c>
      <c r="I3308" s="7" t="str">
        <f>IFERROR(__xludf.DUMMYFUNCTION("""COMPUTED_VALUE"""),"Session 10: V-Presenations")</f>
        <v>Session 10: V-Presenations</v>
      </c>
      <c r="J3308" s="7" t="str">
        <f>IFERROR(__xludf.DUMMYFUNCTION("""COMPUTED_VALUE"""),"Student Research Workshop - Virtual Presentations 2")</f>
        <v>Student Research Workshop - Virtual Presentations 2</v>
      </c>
      <c r="K3308" s="7"/>
      <c r="L3308" s="8">
        <f>IFERROR(__xludf.DUMMYFUNCTION("""COMPUTED_VALUE"""),45867.0)</f>
        <v>45867</v>
      </c>
      <c r="M3308" s="7" t="str">
        <f>IFERROR(__xludf.DUMMYFUNCTION("""COMPUTED_VALUE"""),"16:00-17:30")</f>
        <v>16:00-17:30</v>
      </c>
      <c r="N3308" s="7">
        <f>IFERROR(__xludf.DUMMYFUNCTION("""COMPUTED_VALUE"""),4.0)</f>
        <v>4</v>
      </c>
    </row>
    <row r="3309">
      <c r="A3309" s="7" t="str">
        <f>IFERROR(__xludf.DUMMYFUNCTION("""COMPUTED_VALUE"""),"85-SRW")</f>
        <v>85-SRW</v>
      </c>
      <c r="B3309" s="7" t="str">
        <f>IFERROR(__xludf.DUMMYFUNCTION("""COMPUTED_VALUE"""),"Small Models, Big Impact: Efficient Corpus and Graph-Based Adaptation of Small Multilingual Language Models for Low-Resource Languages")</f>
        <v>Small Models, Big Impact: Efficient Corpus and Graph-Based Adaptation of Small Multilingual Language Models for Low-Resource Languages</v>
      </c>
      <c r="C3309" s="7" t="str">
        <f>IFERROR(__xludf.DUMMYFUNCTION("""COMPUTED_VALUE"""),"Low-resource languages (LRLs) face significant challenges in natural language processing (NLP) due to limited data. While current state-of-the-art large language models (LLMs) still struggle with LRLs, smaller multilingual models (mLMs) such as mBERT and "&amp;"XLM-R offer greater promise due to a better fit of their capacity to low training data sizes. This study systematically investigates parameter-efficient adapter-based methods for adapting mLMs to LRLs, evaluating three architectures: Sequential Bottleneck"&amp;", Invertible Bottleneck, and Low-Rank Adaptation. Using unstructured text from GlotCC and structured knowledge from ConceptNet, we show that small adaptation datasets (e.g., up to 1 GB of free-text or a few MB of knowledge graph data) yield gains in intri"&amp;"nsic (masked language modeling) and extrinsic tasks (topic classification, sentiment analysis, and named entity recognition). We find that Sequential Bottleneck adapters excel in language modeling, while Invertible Bottleneck adapters slightly outperform "&amp;"other methods on downstream tasks due to better embedding alignment and larger parameter counts. Adapter-based methods match or outperform full fine-tuning while using far fewer parameters, and smaller mLMs prove more effective for LRLs than massive LLMs "&amp;"like LLaMA-3, GPT-4, and DeepSeek-R1-based distilled models. While adaptation improves performance, pre-training data size remains the dominant factor, especially for languages with extensive pre-training coverage.")</f>
        <v>Low-resource languages (LRLs) face significant challenges in natural language processing (NLP) due to limited data. While current state-of-the-art large language models (LLMs) still struggle with LRLs, smaller multilingual models (mLMs) such as mBERT and XLM-R offer greater promise due to a better fit of their capacity to low training data sizes. This study systematically investigates parameter-efficient adapter-based methods for adapting mLMs to LRLs, evaluating three architectures: Sequential Bottleneck, Invertible Bottleneck, and Low-Rank Adaptation. Using unstructured text from GlotCC and structured knowledge from ConceptNet, we show that small adaptation datasets (e.g., up to 1 GB of free-text or a few MB of knowledge graph data) yield gains in intrinsic (masked language modeling) and extrinsic tasks (topic classification, sentiment analysis, and named entity recognition). We find that Sequential Bottleneck adapters excel in language modeling, while Invertible Bottleneck adapters slightly outperform other methods on downstream tasks due to better embedding alignment and larger parameter counts. Adapter-based methods match or outperform full fine-tuning while using far fewer parameters, and smaller mLMs prove more effective for LRLs than massive LLMs like LLaMA-3, GPT-4, and DeepSeek-R1-based distilled models. While adaptation improves performance, pre-training data size remains the dominant factor, especially for languages with extensive pre-training coverage.</v>
      </c>
      <c r="D3309" s="7" t="str">
        <f>IFERROR(__xludf.DUMMYFUNCTION("""COMPUTED_VALUE"""),"Daniil Gurgurov")</f>
        <v>Daniil Gurgurov</v>
      </c>
      <c r="E3309" s="7" t="str">
        <f>IFERROR(__xludf.DUMMYFUNCTION("""COMPUTED_VALUE"""),"Yes")</f>
        <v>Yes</v>
      </c>
      <c r="F3309" s="7" t="str">
        <f>IFERROR(__xludf.DUMMYFUNCTION("""COMPUTED_VALUE"""),"IP-Poster")</f>
        <v>IP-Poster</v>
      </c>
      <c r="G3309" s="7" t="str">
        <f>IFERROR(__xludf.DUMMYFUNCTION("""COMPUTED_VALUE"""),"In-person")</f>
        <v>In-person</v>
      </c>
      <c r="H3309" s="7" t="str">
        <f>IFERROR(__xludf.DUMMYFUNCTION("""COMPUTED_VALUE"""),"Hall 4/5")</f>
        <v>Hall 4/5</v>
      </c>
      <c r="I3309" s="7" t="str">
        <f>IFERROR(__xludf.DUMMYFUNCTION("""COMPUTED_VALUE"""),"Session 7: IP-Posters")</f>
        <v>Session 7: IP-Posters</v>
      </c>
      <c r="J3309" s="7" t="str">
        <f>IFERROR(__xludf.DUMMYFUNCTION("""COMPUTED_VALUE"""),"Student Research Workshop - In-Person Posters 1")</f>
        <v>Student Research Workshop - In-Person Posters 1</v>
      </c>
      <c r="K3309" s="7"/>
      <c r="L3309" s="8">
        <f>IFERROR(__xludf.DUMMYFUNCTION("""COMPUTED_VALUE"""),45867.0)</f>
        <v>45867</v>
      </c>
      <c r="M3309" s="7" t="str">
        <f>IFERROR(__xludf.DUMMYFUNCTION("""COMPUTED_VALUE"""),"10:30-12:00")</f>
        <v>10:30-12:00</v>
      </c>
      <c r="N3309" s="7"/>
    </row>
    <row r="3310">
      <c r="A3310" s="7" t="str">
        <f>IFERROR(__xludf.DUMMYFUNCTION("""COMPUTED_VALUE"""),"86-SRW")</f>
        <v>86-SRW</v>
      </c>
      <c r="B3310" s="7" t="str">
        <f>IFERROR(__xludf.DUMMYFUNCTION("""COMPUTED_VALUE"""),"Exploring the Effect of Nominal Compound Structure in Scientific Texts on Reading Times of Experts and Novices")</f>
        <v>Exploring the Effect of Nominal Compound Structure in Scientific Texts on Reading Times of Experts and Novices</v>
      </c>
      <c r="C3310" s="7" t="str">
        <f>IFERROR(__xludf.DUMMYFUNCTION("""COMPUTED_VALUE"""),"We explore how different types of nominal compound complexity in scientific writing, in particular different types of compound structure, affect the reading times of experts and novices. We consider both in-domain and out-of-domain reading and use PoTeC ("&amp;"Jakobi et al. 2024), a corpus containing eye-tracking data of German native speakers reading passages from scientific textbooks. Our results suggest that some compound types are associated with longer reading times and that experts may not only have an ad"&amp;"vantage while reading in-domain texts, but also while reading out-of-domain.")</f>
        <v>We explore how different types of nominal compound complexity in scientific writing, in particular different types of compound structure, affect the reading times of experts and novices. We consider both in-domain and out-of-domain reading and use PoTeC (Jakobi et al. 2024), a corpus containing eye-tracking data of German native speakers reading passages from scientific textbooks. Our results suggest that some compound types are associated with longer reading times and that experts may not only have an advantage while reading in-domain texts, but also while reading out-of-domain.</v>
      </c>
      <c r="D3310" s="7" t="str">
        <f>IFERROR(__xludf.DUMMYFUNCTION("""COMPUTED_VALUE"""),"Isabell Landwehr")</f>
        <v>Isabell Landwehr</v>
      </c>
      <c r="E3310" s="7" t="str">
        <f>IFERROR(__xludf.DUMMYFUNCTION("""COMPUTED_VALUE"""),"Yes")</f>
        <v>Yes</v>
      </c>
      <c r="F3310" s="7" t="str">
        <f>IFERROR(__xludf.DUMMYFUNCTION("""COMPUTED_VALUE"""),"IP-Poster")</f>
        <v>IP-Poster</v>
      </c>
      <c r="G3310" s="7" t="str">
        <f>IFERROR(__xludf.DUMMYFUNCTION("""COMPUTED_VALUE"""),"In-person")</f>
        <v>In-person</v>
      </c>
      <c r="H3310" s="7" t="str">
        <f>IFERROR(__xludf.DUMMYFUNCTION("""COMPUTED_VALUE"""),"Hall 4/5")</f>
        <v>Hall 4/5</v>
      </c>
      <c r="I3310" s="7" t="str">
        <f>IFERROR(__xludf.DUMMYFUNCTION("""COMPUTED_VALUE"""),"Session 7: IP-Posters")</f>
        <v>Session 7: IP-Posters</v>
      </c>
      <c r="J3310" s="7" t="str">
        <f>IFERROR(__xludf.DUMMYFUNCTION("""COMPUTED_VALUE"""),"Student Research Workshop - In-Person Posters 1")</f>
        <v>Student Research Workshop - In-Person Posters 1</v>
      </c>
      <c r="K3310" s="7"/>
      <c r="L3310" s="8">
        <f>IFERROR(__xludf.DUMMYFUNCTION("""COMPUTED_VALUE"""),45867.0)</f>
        <v>45867</v>
      </c>
      <c r="M3310" s="7" t="str">
        <f>IFERROR(__xludf.DUMMYFUNCTION("""COMPUTED_VALUE"""),"10:30-12:00")</f>
        <v>10:30-12:00</v>
      </c>
      <c r="N3310" s="7"/>
    </row>
    <row r="3311">
      <c r="A3311" s="7" t="str">
        <f>IFERROR(__xludf.DUMMYFUNCTION("""COMPUTED_VALUE"""),"87-SRW")</f>
        <v>87-SRW</v>
      </c>
      <c r="B3311" s="7" t="str">
        <f>IFERROR(__xludf.DUMMYFUNCTION("""COMPUTED_VALUE"""),"Insights into Alignment: Evaluating DPO and its Variants Across Multiple Tasks")</f>
        <v>Insights into Alignment: Evaluating DPO and its Variants Across Multiple Tasks</v>
      </c>
      <c r="C3311" s="7" t="str">
        <f>IFERROR(__xludf.DUMMYFUNCTION("""COMPUTED_VALUE"""),"This study evaluates Direct Preference Optimization (DPO) and its variants for aligning Large Language Models (LLMs) with human preferences, testing three configurations: (1) with Supervised Fine-Tuning (SFT), (2) without SFT, and (3) without SFT but usin"&amp;"g an instruction-tuned model. We further investigate how training set size influences model performance. Our evaluation spans 13 benchmarks—covering dialogue, reasoning, mathematical problem-solving, question answering, truthfulness, MT-Bench, Big Bench, "&amp;"and the Open LLM Leaderboard. We find that: (1) alignment methods often achieve near-optimal performance even with smaller subsets of training data; (2) although they offer limited improvements on complex reasoning tasks, they enhance mathematical problem"&amp;"-solving; and (3) using an instruction-tuned model improves truthfulness. These insights highlight the conditions under which alignment methods excel, as well as their limitations.")</f>
        <v>This study evaluates Direct Preference Optimization (DPO) and its variants for aligning Large Language Models (LLMs) with human preferences, testing three configurations: (1) with Supervised Fine-Tuning (SFT), (2) without SFT, and (3) without SFT but using an instruction-tuned model. We further investigate how training set size influences model performance. Our evaluation spans 13 benchmarks—covering dialogue, reasoning, mathematical problem-solving, question answering, truthfulness, MT-Bench, Big Bench, and the Open LLM Leaderboard. We find that: (1) alignment methods often achieve near-optimal performance even with smaller subsets of training data; (2) although they offer limited improvements on complex reasoning tasks, they enhance mathematical problem-solving; and (3) using an instruction-tuned model improves truthfulness. These insights highlight the conditions under which alignment methods excel, as well as their limitations.</v>
      </c>
      <c r="D3311" s="7" t="str">
        <f>IFERROR(__xludf.DUMMYFUNCTION("""COMPUTED_VALUE"""),"Seyyedamirhossein Saeidi")</f>
        <v>Seyyedamirhossein Saeidi</v>
      </c>
      <c r="E3311" s="7" t="str">
        <f>IFERROR(__xludf.DUMMYFUNCTION("""COMPUTED_VALUE"""),"Yes")</f>
        <v>Yes</v>
      </c>
      <c r="F3311" s="7" t="str">
        <f>IFERROR(__xludf.DUMMYFUNCTION("""COMPUTED_VALUE"""),"Virtual/Gather")</f>
        <v>Virtual/Gather</v>
      </c>
      <c r="G3311" s="7" t="str">
        <f>IFERROR(__xludf.DUMMYFUNCTION("""COMPUTED_VALUE"""),"Virtual/Gather")</f>
        <v>Virtual/Gather</v>
      </c>
      <c r="H3311" s="7" t="str">
        <f>IFERROR(__xludf.DUMMYFUNCTION("""COMPUTED_VALUE"""),"Zoom")</f>
        <v>Zoom</v>
      </c>
      <c r="I3311" s="7" t="str">
        <f>IFERROR(__xludf.DUMMYFUNCTION("""COMPUTED_VALUE"""),"Session 10: V-Presenations")</f>
        <v>Session 10: V-Presenations</v>
      </c>
      <c r="J3311" s="7" t="str">
        <f>IFERROR(__xludf.DUMMYFUNCTION("""COMPUTED_VALUE"""),"Student Research Workshop - Virtual Presentations 2")</f>
        <v>Student Research Workshop - Virtual Presentations 2</v>
      </c>
      <c r="K3311" s="7"/>
      <c r="L3311" s="8">
        <f>IFERROR(__xludf.DUMMYFUNCTION("""COMPUTED_VALUE"""),45867.0)</f>
        <v>45867</v>
      </c>
      <c r="M3311" s="7" t="str">
        <f>IFERROR(__xludf.DUMMYFUNCTION("""COMPUTED_VALUE"""),"16:00-17:30")</f>
        <v>16:00-17:30</v>
      </c>
      <c r="N3311" s="7">
        <f>IFERROR(__xludf.DUMMYFUNCTION("""COMPUTED_VALUE"""),5.0)</f>
        <v>5</v>
      </c>
    </row>
    <row r="3312">
      <c r="A3312" s="7" t="str">
        <f>IFERROR(__xludf.DUMMYFUNCTION("""COMPUTED_VALUE"""),"88-SRW")</f>
        <v>88-SRW</v>
      </c>
      <c r="B3312" s="7" t="str">
        <f>IFERROR(__xludf.DUMMYFUNCTION("""COMPUTED_VALUE"""),"From Ambiguity to Accuracy: The Transformative Effect of Coreference Resolution on RAG systems")</f>
        <v>From Ambiguity to Accuracy: The Transformative Effect of Coreference Resolution on RAG systems</v>
      </c>
      <c r="C3312" s="7" t="str">
        <f>IFERROR(__xludf.DUMMYFUNCTION("""COMPUTED_VALUE"""),"Retrieval-Augmented Generation (RAG) has emerged as a crucial framework in natural language processing (NLP), improving factual consistency and reducing hallucinations by integrating external document retrieval with large language models (LLMs). However, "&amp;"the effectiveness of RAG is often hindered by coreferential complexity in retrieved documents, which can introduce ambiguity and interfere with in-context learning. In this study, we systematically investigate how entity coreference affects both document "&amp;"retrieval and generative performance in RAG-based systems, focusing on retrieval relevance, contextual understanding, and overall response quality. We demonstrate that coreference resolution enhances retrieval effectiveness and improves question-answering"&amp;" (QA) performance. Through comparative analysis of different pooling strategies in retrieval tasks, we find that mean pooling demonstrates superior context capturing ability after applying coreference resolution. In QA tasks, we discover that smaller mode"&amp;"ls show greater improvement from the disambiguation process, likely due to their limited inherent capacity for handling referential ambiguity. With these findings, this study aims to provide a deeper understanding of the challenges posed by coreferential "&amp;"complexity in RAG, offering guidance for improving retrieval and generation in knowledge-intensive AI applications.")</f>
        <v>Retrieval-Augmented Generation (RAG) has emerged as a crucial framework in natural language processing (NLP), improving factual consistency and reducing hallucinations by integrating external document retrieval with large language models (LLMs). However, the effectiveness of RAG is often hindered by coreferential complexity in retrieved documents, which can introduce ambiguity and interfere with in-context learning. In this study, we systematically investigate how entity coreference affects both document retrieval and generative performance in RAG-based systems, focusing on retrieval relevance, contextual understanding, and overall response quality. We demonstrate that coreference resolution enhances retrieval effectiveness and improves question-answering (QA) performance. Through comparative analysis of different pooling strategies in retrieval tasks, we find that mean pooling demonstrates superior context capturing ability after applying coreference resolution. In QA tasks, we discover that smaller models show greater improvement from the disambiguation process, likely due to their limited inherent capacity for handling referential ambiguity. With these findings, this study aims to provide a deeper understanding of the challenges posed by coreferential complexity in RAG, offering guidance for improving retrieval and generation in knowledge-intensive AI applications.</v>
      </c>
      <c r="D3312" s="7" t="str">
        <f>IFERROR(__xludf.DUMMYFUNCTION("""COMPUTED_VALUE"""),"Youngjoon Jang")</f>
        <v>Youngjoon Jang</v>
      </c>
      <c r="E3312" s="7" t="str">
        <f>IFERROR(__xludf.DUMMYFUNCTION("""COMPUTED_VALUE"""),"Yes")</f>
        <v>Yes</v>
      </c>
      <c r="F3312" s="7" t="str">
        <f>IFERROR(__xludf.DUMMYFUNCTION("""COMPUTED_VALUE"""),"IP-Poster")</f>
        <v>IP-Poster</v>
      </c>
      <c r="G3312" s="7" t="str">
        <f>IFERROR(__xludf.DUMMYFUNCTION("""COMPUTED_VALUE"""),"In-person")</f>
        <v>In-person</v>
      </c>
      <c r="H3312" s="7" t="str">
        <f>IFERROR(__xludf.DUMMYFUNCTION("""COMPUTED_VALUE"""),"Hall 4/5")</f>
        <v>Hall 4/5</v>
      </c>
      <c r="I3312" s="7" t="str">
        <f>IFERROR(__xludf.DUMMYFUNCTION("""COMPUTED_VALUE"""),"Session 7: IP-Posters")</f>
        <v>Session 7: IP-Posters</v>
      </c>
      <c r="J3312" s="7" t="str">
        <f>IFERROR(__xludf.DUMMYFUNCTION("""COMPUTED_VALUE"""),"Student Research Workshop - In-Person Posters 1")</f>
        <v>Student Research Workshop - In-Person Posters 1</v>
      </c>
      <c r="K3312" s="7"/>
      <c r="L3312" s="8">
        <f>IFERROR(__xludf.DUMMYFUNCTION("""COMPUTED_VALUE"""),45867.0)</f>
        <v>45867</v>
      </c>
      <c r="M3312" s="7" t="str">
        <f>IFERROR(__xludf.DUMMYFUNCTION("""COMPUTED_VALUE"""),"10:30-12:00")</f>
        <v>10:30-12:00</v>
      </c>
      <c r="N3312" s="7"/>
    </row>
    <row r="3313">
      <c r="A3313" s="7" t="str">
        <f>IFERROR(__xludf.DUMMYFUNCTION("""COMPUTED_VALUE"""),"89-SRW")</f>
        <v>89-SRW</v>
      </c>
      <c r="B3313" s="7" t="str">
        <f>IFERROR(__xludf.DUMMYFUNCTION("""COMPUTED_VALUE"""),"Quantifying the Influence of Irrelevant Contexts on Political Opinions Produced by LLMs")</f>
        <v>Quantifying the Influence of Irrelevant Contexts on Political Opinions Produced by LLMs</v>
      </c>
      <c r="C3313" s="7" t="str">
        <f>IFERROR(__xludf.DUMMYFUNCTION("""COMPUTED_VALUE"""),"Several recent works have examined the generations produced by large language models (LLMs) on subjective topics such as political opinions and attitudinal questionnaires. There is growing interest in controlling these outputs to align with specific users"&amp;" or perspectives using model steering techniques. However, several studies have highlighted unintended and unexpected steering effects, where minor changes in the prompt or irrelevant contextual cues influence model-generated opinions.
This work empirica"&amp;"lly tests how irrelevant information can systematically bias model opinions in specific directions. Using the Political Compass Test questionnaire, we conduct a detailed statistical analysis to quantify these shifts using the opinions generated by LLMs in"&amp;" an open-generation setting. The results demonstrate that even seemingly unrelated contexts consistently alter model responses in predictable ways, further highlighting challenges in ensuring the robustness and reliability of LLMs when generating opinions"&amp;" on subjective topics.")</f>
        <v>Several recent works have examined the generations produced by large language models (LLMs) on subjective topics such as political opinions and attitudinal questionnaires. There is growing interest in controlling these outputs to align with specific users or perspectives using model steering techniques. However, several studies have highlighted unintended and unexpected steering effects, where minor changes in the prompt or irrelevant contextual cues influence model-generated opinions.
This work empirically tests how irrelevant information can systematically bias model opinions in specific directions. Using the Political Compass Test questionnaire, we conduct a detailed statistical analysis to quantify these shifts using the opinions generated by LLMs in an open-generation setting. The results demonstrate that even seemingly unrelated contexts consistently alter model responses in predictable ways, further highlighting challenges in ensuring the robustness and reliability of LLMs when generating opinions on subjective topics.</v>
      </c>
      <c r="D3313" s="7" t="str">
        <f>IFERROR(__xludf.DUMMYFUNCTION("""COMPUTED_VALUE"""),"Samuele D'Avenia")</f>
        <v>Samuele D'Avenia</v>
      </c>
      <c r="E3313" s="7" t="str">
        <f>IFERROR(__xludf.DUMMYFUNCTION("""COMPUTED_VALUE"""),"Yes")</f>
        <v>Yes</v>
      </c>
      <c r="F3313" s="7" t="str">
        <f>IFERROR(__xludf.DUMMYFUNCTION("""COMPUTED_VALUE"""),"IP-Poster")</f>
        <v>IP-Poster</v>
      </c>
      <c r="G3313" s="7" t="str">
        <f>IFERROR(__xludf.DUMMYFUNCTION("""COMPUTED_VALUE"""),"In-person")</f>
        <v>In-person</v>
      </c>
      <c r="H3313" s="7" t="str">
        <f>IFERROR(__xludf.DUMMYFUNCTION("""COMPUTED_VALUE"""),"Hall 4/5")</f>
        <v>Hall 4/5</v>
      </c>
      <c r="I3313" s="7" t="str">
        <f>IFERROR(__xludf.DUMMYFUNCTION("""COMPUTED_VALUE"""),"Session 7: IP-Posters")</f>
        <v>Session 7: IP-Posters</v>
      </c>
      <c r="J3313" s="7" t="str">
        <f>IFERROR(__xludf.DUMMYFUNCTION("""COMPUTED_VALUE"""),"Student Research Workshop - In-Person Posters 1")</f>
        <v>Student Research Workshop - In-Person Posters 1</v>
      </c>
      <c r="K3313" s="7"/>
      <c r="L3313" s="8">
        <f>IFERROR(__xludf.DUMMYFUNCTION("""COMPUTED_VALUE"""),45867.0)</f>
        <v>45867</v>
      </c>
      <c r="M3313" s="7" t="str">
        <f>IFERROR(__xludf.DUMMYFUNCTION("""COMPUTED_VALUE"""),"10:30-12:00")</f>
        <v>10:30-12:00</v>
      </c>
      <c r="N3313" s="7"/>
    </row>
    <row r="3314">
      <c r="A3314" s="7" t="str">
        <f>IFERROR(__xludf.DUMMYFUNCTION("""COMPUTED_VALUE"""),"93-SRW")</f>
        <v>93-SRW</v>
      </c>
      <c r="B3314" s="7" t="str">
        <f>IFERROR(__xludf.DUMMYFUNCTION("""COMPUTED_VALUE"""),"Making Sense of Korean Sentences: A Comprehensive Evaluation of LLMs through KoSEnd Dataset")</f>
        <v>Making Sense of Korean Sentences: A Comprehensive Evaluation of LLMs through KoSEnd Dataset</v>
      </c>
      <c r="C3314" s="7" t="str">
        <f>IFERROR(__xludf.DUMMYFUNCTION("""COMPUTED_VALUE"""),"Although LLMs have made significant progress in handling various languages, there are still concerns about their effectiveness with low-resource agglutinative languages compared to languages such as English. In this study, we focused on Korean, a language"&amp;" known for its complex sentence endings, and evaluated LLMs on this challenging aspect. We introduce the Korean Sentence Endings (KoSEnd) dataset, which includes 3,000 sentences and 45,000 sentence ending labels. These were collected from diverse sources "&amp;"to cover a wide range of contexts. We evaluated 11 models to assess their understanding of Korean sentence endings, analyzing them based on parameter count and prediction consistency. Notably, we observed that informing models about the possibility of mis"&amp;"sing sentence endings led to improved performance, demonstrating the influence of explicitly considering certain linguistic features.")</f>
        <v>Although LLMs have made significant progress in handling various languages, there are still concerns about their effectiveness with low-resource agglutinative languages compared to languages such as English. In this study, we focused on Korean, a language known for its complex sentence endings, and evaluated LLMs on this challenging aspect. We introduce the Korean Sentence Endings (KoSEnd) dataset, which includes 3,000 sentences and 45,000 sentence ending labels. These were collected from diverse sources to cover a wide range of contexts. We evaluated 11 models to assess their understanding of Korean sentence endings, analyzing them based on parameter count and prediction consistency. Notably, we observed that informing models about the possibility of missing sentence endings led to improved performance, demonstrating the influence of explicitly considering certain linguistic features.</v>
      </c>
      <c r="D3314" s="7" t="str">
        <f>IFERROR(__xludf.DUMMYFUNCTION("""COMPUTED_VALUE"""),"Jungmin Yun")</f>
        <v>Jungmin Yun</v>
      </c>
      <c r="E3314" s="7" t="str">
        <f>IFERROR(__xludf.DUMMYFUNCTION("""COMPUTED_VALUE"""),"Yes")</f>
        <v>Yes</v>
      </c>
      <c r="F3314" s="7" t="str">
        <f>IFERROR(__xludf.DUMMYFUNCTION("""COMPUTED_VALUE"""),"IP-Poster")</f>
        <v>IP-Poster</v>
      </c>
      <c r="G3314" s="7" t="str">
        <f>IFERROR(__xludf.DUMMYFUNCTION("""COMPUTED_VALUE"""),"In-person")</f>
        <v>In-person</v>
      </c>
      <c r="H3314" s="7" t="str">
        <f>IFERROR(__xludf.DUMMYFUNCTION("""COMPUTED_VALUE"""),"Hall 4/5")</f>
        <v>Hall 4/5</v>
      </c>
      <c r="I3314" s="7" t="str">
        <f>IFERROR(__xludf.DUMMYFUNCTION("""COMPUTED_VALUE"""),"Session 7: IP-Posters")</f>
        <v>Session 7: IP-Posters</v>
      </c>
      <c r="J3314" s="7" t="str">
        <f>IFERROR(__xludf.DUMMYFUNCTION("""COMPUTED_VALUE"""),"Student Research Workshop - In-Person Posters 1")</f>
        <v>Student Research Workshop - In-Person Posters 1</v>
      </c>
      <c r="K3314" s="7"/>
      <c r="L3314" s="8">
        <f>IFERROR(__xludf.DUMMYFUNCTION("""COMPUTED_VALUE"""),45867.0)</f>
        <v>45867</v>
      </c>
      <c r="M3314" s="7" t="str">
        <f>IFERROR(__xludf.DUMMYFUNCTION("""COMPUTED_VALUE"""),"10:30-12:00")</f>
        <v>10:30-12:00</v>
      </c>
      <c r="N3314" s="7"/>
    </row>
    <row r="3315">
      <c r="A3315" s="7" t="str">
        <f>IFERROR(__xludf.DUMMYFUNCTION("""COMPUTED_VALUE"""),"96-SRW")</f>
        <v>96-SRW</v>
      </c>
      <c r="B3315" s="7" t="str">
        <f>IFERROR(__xludf.DUMMYFUNCTION("""COMPUTED_VALUE"""),"Towards Multi-Perspective NLP Systems: A Thesis Proposal")</f>
        <v>Towards Multi-Perspective NLP Systems: A Thesis Proposal</v>
      </c>
      <c r="C3315" s="7" t="str">
        <f>IFERROR(__xludf.DUMMYFUNCTION("""COMPUTED_VALUE"""),"In the field of Natural Language Processing (NLP), a common approach for resolving human disagreement involves establishing a consensus among multiple annotators. However, previous research shows that overlooking individual opinions can result in the marg"&amp;"inalization of minority perspectives, particularly in subjective tasks, where annotators may systematically disagree due to their personal preferences. Emerging \textit{Multi-Perspective} approaches challenge traditional methodologies that treat disagreem"&amp;"ent as mere noise, instead recognizing it as a valuable source of knowledge shaped by annotators' diverse backgrounds, life experiences, and values.
This thesis proposal aims to (1) identify the challenges of designing disaggregated datasets i.e., preserv"&amp;"ing individual labels in human-annotated datasets for subjective tasks (2) propose solutions for developing Perspective-Aware by design systems and (3) explore the correlation between human disagreement and model uncertainty leveraging eXplainable AI tech"&amp;"niques (XAI).
Our long-term goal is to create a framework adaptable to various subjective NLP tasks to promote the development of more responsible and inclusive models.")</f>
        <v>In the field of Natural Language Processing (NLP), a common approach for resolving human disagreement involves establishing a consensus among multiple annotators. However, previous research shows that overlooking individual opinions can result in the marginalization of minority perspectives, particularly in subjective tasks, where annotators may systematically disagree due to their personal preferences. Emerging \textit{Multi-Perspective} approaches challenge traditional methodologies that treat disagreement as mere noise, instead recognizing it as a valuable source of knowledge shaped by annotators' diverse backgrounds, life experiences, and values.
This thesis proposal aims to (1) identify the challenges of designing disaggregated datasets i.e., preserving individual labels in human-annotated datasets for subjective tasks (2) propose solutions for developing Perspective-Aware by design systems and (3) explore the correlation between human disagreement and model uncertainty leveraging eXplainable AI techniques (XAI).
Our long-term goal is to create a framework adaptable to various subjective NLP tasks to promote the development of more responsible and inclusive models.</v>
      </c>
      <c r="D3315" s="7" t="str">
        <f>IFERROR(__xludf.DUMMYFUNCTION("""COMPUTED_VALUE"""),"Benedetta Muscato ")</f>
        <v>Benedetta Muscato </v>
      </c>
      <c r="E3315" s="7" t="str">
        <f>IFERROR(__xludf.DUMMYFUNCTION("""COMPUTED_VALUE"""),"Yes")</f>
        <v>Yes</v>
      </c>
      <c r="F3315" s="7" t="str">
        <f>IFERROR(__xludf.DUMMYFUNCTION("""COMPUTED_VALUE"""),"IP-Oral")</f>
        <v>IP-Oral</v>
      </c>
      <c r="G3315" s="7" t="str">
        <f>IFERROR(__xludf.DUMMYFUNCTION("""COMPUTED_VALUE"""),"In-Person")</f>
        <v>In-Person</v>
      </c>
      <c r="H3315" s="7" t="str">
        <f>IFERROR(__xludf.DUMMYFUNCTION("""COMPUTED_VALUE"""),"Hall N.2")</f>
        <v>Hall N.2</v>
      </c>
      <c r="I3315" s="7" t="str">
        <f>IFERROR(__xludf.DUMMYFUNCTION("""COMPUTED_VALUE"""),"Session 3: IP-Orals")</f>
        <v>Session 3: IP-Orals</v>
      </c>
      <c r="J3315" s="7" t="str">
        <f>IFERROR(__xludf.DUMMYFUNCTION("""COMPUTED_VALUE"""),"Student Research Workshop")</f>
        <v>Student Research Workshop</v>
      </c>
      <c r="K3315" s="7"/>
      <c r="L3315" s="8">
        <f>IFERROR(__xludf.DUMMYFUNCTION("""COMPUTED_VALUE"""),45866.0)</f>
        <v>45866</v>
      </c>
      <c r="M3315" s="7" t="str">
        <f>IFERROR(__xludf.DUMMYFUNCTION("""COMPUTED_VALUE"""),"14:00-15:30")</f>
        <v>14:00-15:30</v>
      </c>
      <c r="N3315" s="7">
        <f>IFERROR(__xludf.DUMMYFUNCTION("""COMPUTED_VALUE"""),1.0)</f>
        <v>1</v>
      </c>
    </row>
    <row r="3316">
      <c r="A3316" s="7" t="str">
        <f>IFERROR(__xludf.DUMMYFUNCTION("""COMPUTED_VALUE"""),"97-SRW")</f>
        <v>97-SRW</v>
      </c>
      <c r="B3316" s="7" t="str">
        <f>IFERROR(__xludf.DUMMYFUNCTION("""COMPUTED_VALUE"""),"Enhancing Software Requirements Engineering with Language Models and Prompting Techniques: Insights from the Current Research and Future Directions")</f>
        <v>Enhancing Software Requirements Engineering with Language Models and Prompting Techniques: Insights from the Current Research and Future Directions</v>
      </c>
      <c r="C3316" s="7" t="str">
        <f>IFERROR(__xludf.DUMMYFUNCTION("""COMPUTED_VALUE"""),"Large Language Models (LLMs) offer transformative potential for Software Requirements Engineering (SRE), yet critical challenges, including domain ignorance, hallucinations, and high computational costs, hinder their adoption. This paper proposes a concep"&amp;"tual framework that integrates Small Language Models (SLMs) and Knowledge-Augmented LMs (KALMs) with LangChain to address these limitations systematically. Our approach combines: (1) SLMs for efficient, locally deployable requirements processing, (2) KALM"&amp;"s enhanced with Retrieval-Augmented Generation (RAG) to mitigate domain-specific gaps, and (3) LangChain for structured, secure workflow orchestration. We identify and categorize six technical challenges and two research gaps through a systematic review o"&amp;"f LLM applications in SRE. To guide practitioners, we distill evidence-based prompt engineering guidelines (Context, Language, Examples, Keywords) and propose prompting strategies (e.g., Chain-of-Verification) to improve output reliability. The paper esta"&amp;"blishes a theoretical foundation for scalable, trustworthy AI-assisted SRE and outlines future directions, including domain-specific prompt templates and hybrid validation pipelines.")</f>
        <v>Large Language Models (LLMs) offer transformative potential for Software Requirements Engineering (SRE), yet critical challenges, including domain ignorance, hallucinations, and high computational costs, hinder their adoption. This paper proposes a conceptual framework that integrates Small Language Models (SLMs) and Knowledge-Augmented LMs (KALMs) with LangChain to address these limitations systematically. Our approach combines: (1) SLMs for efficient, locally deployable requirements processing, (2) KALMs enhanced with Retrieval-Augmented Generation (RAG) to mitigate domain-specific gaps, and (3) LangChain for structured, secure workflow orchestration. We identify and categorize six technical challenges and two research gaps through a systematic review of LLM applications in SRE. To guide practitioners, we distill evidence-based prompt engineering guidelines (Context, Language, Examples, Keywords) and propose prompting strategies (e.g., Chain-of-Verification) to improve output reliability. The paper establishes a theoretical foundation for scalable, trustworthy AI-assisted SRE and outlines future directions, including domain-specific prompt templates and hybrid validation pipelines.</v>
      </c>
      <c r="D3316" s="7" t="str">
        <f>IFERROR(__xludf.DUMMYFUNCTION("""COMPUTED_VALUE"""),"Moemen Ebrahim")</f>
        <v>Moemen Ebrahim</v>
      </c>
      <c r="E3316" s="7" t="str">
        <f>IFERROR(__xludf.DUMMYFUNCTION("""COMPUTED_VALUE"""),"Yes")</f>
        <v>Yes</v>
      </c>
      <c r="F3316" s="7" t="str">
        <f>IFERROR(__xludf.DUMMYFUNCTION("""COMPUTED_VALUE"""),"IP-Poster")</f>
        <v>IP-Poster</v>
      </c>
      <c r="G3316" s="7" t="str">
        <f>IFERROR(__xludf.DUMMYFUNCTION("""COMPUTED_VALUE"""),"In-person")</f>
        <v>In-person</v>
      </c>
      <c r="H3316" s="7" t="str">
        <f>IFERROR(__xludf.DUMMYFUNCTION("""COMPUTED_VALUE"""),"Hall 4/5")</f>
        <v>Hall 4/5</v>
      </c>
      <c r="I3316" s="7" t="str">
        <f>IFERROR(__xludf.DUMMYFUNCTION("""COMPUTED_VALUE"""),"Session 7: V--Presentations ")</f>
        <v>Session 7: V--Presentations </v>
      </c>
      <c r="J3316" s="7" t="str">
        <f>IFERROR(__xludf.DUMMYFUNCTION("""COMPUTED_VALUE"""),"Student Research Workshop - Virtual Presentations 1")</f>
        <v>Student Research Workshop - Virtual Presentations 1</v>
      </c>
      <c r="K3316" s="7"/>
      <c r="L3316" s="8"/>
      <c r="M3316" s="7" t="str">
        <f>IFERROR(__xludf.DUMMYFUNCTION("""COMPUTED_VALUE"""),"10:30-12:00")</f>
        <v>10:30-12:00</v>
      </c>
      <c r="N3316" s="7">
        <f>IFERROR(__xludf.DUMMYFUNCTION("""COMPUTED_VALUE"""),8.0)</f>
        <v>8</v>
      </c>
    </row>
    <row r="3317">
      <c r="A3317" s="7" t="str">
        <f>IFERROR(__xludf.DUMMYFUNCTION("""COMPUTED_VALUE"""),"102-SRW")</f>
        <v>102-SRW</v>
      </c>
      <c r="B3317" s="7" t="str">
        <f>IFERROR(__xludf.DUMMYFUNCTION("""COMPUTED_VALUE"""),"Question Decomposition for Retrieval-Augmented Generation")</f>
        <v>Question Decomposition for Retrieval-Augmented Generation</v>
      </c>
      <c r="C3317" s="7" t="str">
        <f>IFERROR(__xludf.DUMMYFUNCTION("""COMPUTED_VALUE"""),"Grounding large language models (LLMs) in verifiable external sources is a well-established strategy for generating reliable answers. Retrieval-augmented generation (RAG) is one such approach, particularly effective for tasks like question answering: it r"&amp;"etrieves passages that are semantically related to the question and then conditions the model on this evidence. However, multi-hop questions, such as \textit{``Which company among NVIDIA, Apple, and Google made the biggest profit in 2023?,''} challenge RA"&amp;"G because relevant facts are often distributed across multiple documents rather than co-occurring in one source, making it difficult for standard RAG to retrieve sufficient information. To address this, we propose a RAG pipeline that incorporates question"&amp;" decomposition: (i) an LLM decomposes the original query into sub-questions, (ii) passages are retrieved for each sub-question, and (iii) the merged candidate pool is reranked to improve the coverage and precision of the retrieved evidence. We show that q"&amp;"uestion decomposition effectively assembles complementary documents, while reranking reduces noise and promotes the most relevant passages before answer generation. We evaluate our approach on the MultiHop-RAG and HotpotQA, showing gains in retrieval ($MR"&amp;"R@10: +36.7\%$) and answer accuracy ($F1: +11.6\%$) over standard RAG baselines. The pipeline is a practical, drop-in enhancement requiring no task-specific training or specialized indexing.")</f>
        <v>Grounding large language models (LLMs) in verifiable external sources is a well-established strategy for generating reliable answers. Retrieval-augmented generation (RAG) is one such approach, particularly effective for tasks like question answering: it retrieves passages that are semantically related to the question and then conditions the model on this evidence. However, multi-hop questions, such as \textit{``Which company among NVIDIA, Apple, and Google made the biggest profit in 2023?,''} challenge RAG because relevant facts are often distributed across multiple documents rather than co-occurring in one source, making it difficult for standard RAG to retrieve sufficient information. To address this, we propose a RAG pipeline that incorporates question decomposition: (i) an LLM decomposes the original query into sub-questions, (ii) passages are retrieved for each sub-question, and (iii) the merged candidate pool is reranked to improve the coverage and precision of the retrieved evidence. We show that question decomposition effectively assembles complementary documents, while reranking reduces noise and promotes the most relevant passages before answer generation. We evaluate our approach on the MultiHop-RAG and HotpotQA, showing gains in retrieval ($MRR@10: +36.7\%$) and answer accuracy ($F1: +11.6\%$) over standard RAG baselines. The pipeline is a practical, drop-in enhancement requiring no task-specific training or specialized indexing.</v>
      </c>
      <c r="D3317" s="7" t="str">
        <f>IFERROR(__xludf.DUMMYFUNCTION("""COMPUTED_VALUE"""),"Paul Ammann")</f>
        <v>Paul Ammann</v>
      </c>
      <c r="E3317" s="7" t="str">
        <f>IFERROR(__xludf.DUMMYFUNCTION("""COMPUTED_VALUE"""),"Yes")</f>
        <v>Yes</v>
      </c>
      <c r="F3317" s="7" t="str">
        <f>IFERROR(__xludf.DUMMYFUNCTION("""COMPUTED_VALUE"""),"IP-Poster")</f>
        <v>IP-Poster</v>
      </c>
      <c r="G3317" s="7" t="str">
        <f>IFERROR(__xludf.DUMMYFUNCTION("""COMPUTED_VALUE"""),"In-person")</f>
        <v>In-person</v>
      </c>
      <c r="H3317" s="7" t="str">
        <f>IFERROR(__xludf.DUMMYFUNCTION("""COMPUTED_VALUE"""),"Hall 4/5")</f>
        <v>Hall 4/5</v>
      </c>
      <c r="I3317" s="7" t="str">
        <f>IFERROR(__xludf.DUMMYFUNCTION("""COMPUTED_VALUE"""),"Session 7: IP-Posters")</f>
        <v>Session 7: IP-Posters</v>
      </c>
      <c r="J3317" s="7" t="str">
        <f>IFERROR(__xludf.DUMMYFUNCTION("""COMPUTED_VALUE"""),"Student Research Workshop - In-Person Posters 1")</f>
        <v>Student Research Workshop - In-Person Posters 1</v>
      </c>
      <c r="K3317" s="7"/>
      <c r="L3317" s="8">
        <f>IFERROR(__xludf.DUMMYFUNCTION("""COMPUTED_VALUE"""),45867.0)</f>
        <v>45867</v>
      </c>
      <c r="M3317" s="7" t="str">
        <f>IFERROR(__xludf.DUMMYFUNCTION("""COMPUTED_VALUE"""),"10:30-12:00")</f>
        <v>10:30-12:00</v>
      </c>
      <c r="N3317" s="7"/>
    </row>
    <row r="3318">
      <c r="A3318" s="7" t="str">
        <f>IFERROR(__xludf.DUMMYFUNCTION("""COMPUTED_VALUE"""),"107-SRW")</f>
        <v>107-SRW</v>
      </c>
      <c r="B3318" s="7" t="str">
        <f>IFERROR(__xludf.DUMMYFUNCTION("""COMPUTED_VALUE"""),"Neural Machine Translation for Agglutinative Languages via Data Rejuvenation")</f>
        <v>Neural Machine Translation for Agglutinative Languages via Data Rejuvenation</v>
      </c>
      <c r="C3318" s="7" t="str">
        <f>IFERROR(__xludf.DUMMYFUNCTION("""COMPUTED_VALUE"""),"In Recent years, advances in Neural Machine Translation (NMT) heavily rely on large-scale parallel corpora. Within the context of China's Belt and Road Initiative, there is increasing demand for improving translation quality from agglutinative languages ("&amp;"e.g., Mongolian, Arabic) to Chinese. However, the translation scenarios for agglutinative languages (which form words by concatenating morphemes with clear boundaries) face significant challenges including data sparsity, quality imbalance, and inactive sa"&amp;"mple proliferation due to their morphological complexity and syntactic flexibility. This study presents a systematic analysis of data distribution characteristics in agglutinative languages and proposes a dual-module framework combining fine-grained inact"&amp;"ive sample identification with target-side rejuvenation. Our framework first establishes a multi-dimensional evaluation system to accurately identify samples exhibiting low-frequency morphological interference or long-range word order mismatches. Subseque"&amp;"ntly, the target-side rejuvenation mechanism generates diversified noise-resistant translations through iterative optimization of sample contribution weights. Experimental results on four low-resource agglutinative language tasks demonstrate significant p"&amp;"erformance improvements (BLEU +2.1--3.4) across mainstream NMT architectures. Architecture-agnostic validation further confirms the framework's generalizability.")</f>
        <v>In Recent years, advances in Neural Machine Translation (NMT) heavily rely on large-scale parallel corpora. Within the context of China's Belt and Road Initiative, there is increasing demand for improving translation quality from agglutinative languages (e.g., Mongolian, Arabic) to Chinese. However, the translation scenarios for agglutinative languages (which form words by concatenating morphemes with clear boundaries) face significant challenges including data sparsity, quality imbalance, and inactive sample proliferation due to their morphological complexity and syntactic flexibility. This study presents a systematic analysis of data distribution characteristics in agglutinative languages and proposes a dual-module framework combining fine-grained inactive sample identification with target-side rejuvenation. Our framework first establishes a multi-dimensional evaluation system to accurately identify samples exhibiting low-frequency morphological interference or long-range word order mismatches. Subsequently, the target-side rejuvenation mechanism generates diversified noise-resistant translations through iterative optimization of sample contribution weights. Experimental results on four low-resource agglutinative language tasks demonstrate significant performance improvements (BLEU +2.1--3.4) across mainstream NMT architectures. Architecture-agnostic validation further confirms the framework's generalizability.</v>
      </c>
      <c r="D3318" s="7" t="str">
        <f>IFERROR(__xludf.DUMMYFUNCTION("""COMPUTED_VALUE"""),"Chen Zhao")</f>
        <v>Chen Zhao</v>
      </c>
      <c r="E3318" s="7" t="str">
        <f>IFERROR(__xludf.DUMMYFUNCTION("""COMPUTED_VALUE"""),"Yes")</f>
        <v>Yes</v>
      </c>
      <c r="F3318" s="7" t="str">
        <f>IFERROR(__xludf.DUMMYFUNCTION("""COMPUTED_VALUE"""),"Virtual/Gather")</f>
        <v>Virtual/Gather</v>
      </c>
      <c r="G3318" s="7" t="str">
        <f>IFERROR(__xludf.DUMMYFUNCTION("""COMPUTED_VALUE"""),"Virtual/Gather")</f>
        <v>Virtual/Gather</v>
      </c>
      <c r="H3318" s="7" t="str">
        <f>IFERROR(__xludf.DUMMYFUNCTION("""COMPUTED_VALUE"""),"Zoom")</f>
        <v>Zoom</v>
      </c>
      <c r="I3318" s="7" t="str">
        <f>IFERROR(__xludf.DUMMYFUNCTION("""COMPUTED_VALUE"""),"Session 7: V--Presentations ")</f>
        <v>Session 7: V--Presentations </v>
      </c>
      <c r="J3318" s="7" t="str">
        <f>IFERROR(__xludf.DUMMYFUNCTION("""COMPUTED_VALUE"""),"Student Research Workshop - Virtual Presentations 1")</f>
        <v>Student Research Workshop - Virtual Presentations 1</v>
      </c>
      <c r="K3318" s="7"/>
      <c r="L3318" s="8"/>
      <c r="M3318" s="7" t="str">
        <f>IFERROR(__xludf.DUMMYFUNCTION("""COMPUTED_VALUE"""),"10:30-12:00")</f>
        <v>10:30-12:00</v>
      </c>
      <c r="N3318" s="7">
        <f>IFERROR(__xludf.DUMMYFUNCTION("""COMPUTED_VALUE"""),9.0)</f>
        <v>9</v>
      </c>
    </row>
    <row r="3319">
      <c r="A3319" s="7" t="str">
        <f>IFERROR(__xludf.DUMMYFUNCTION("""COMPUTED_VALUE"""),"108-SRW")</f>
        <v>108-SRW</v>
      </c>
      <c r="B3319" s="7" t="str">
        <f>IFERROR(__xludf.DUMMYFUNCTION("""COMPUTED_VALUE"""),"StRuCom: A Novel Dataset of Structured Code Comments in Russian")</f>
        <v>StRuCom: A Novel Dataset of Structured Code Comments in Russian</v>
      </c>
      <c r="C3319" s="7" t="str">
        <f>IFERROR(__xludf.DUMMYFUNCTION("""COMPUTED_VALUE"""),"Structured code comments in docstring format are essential for code comprehension and maintenance, but existing machine learning models for their generation perform poorly for Russian compared to English. To bridge this gap, we present StRuCom — the first"&amp;" large-scale dataset (153K examples) specifically designed for Russian code documentation. Unlike machine-translated English datasets that distort terminology (e.g., technical loanwords vs. literal translations) and docstring structures, StRuCom combines "&amp;"human-written comments from Russian GitHub repositories with synthetically generated ones, ensuring compliance with Python, Java, JavaScript, C#, and Go standards through automated validation. Fine-tuning Qwen2.5-Coder models (0.5B-7B) on StRuCom shows st"&amp;"atistically significant improvements of chrf++ and BERTScore over baseline models.")</f>
        <v>Structured code comments in docstring format are essential for code comprehension and maintenance, but existing machine learning models for their generation perform poorly for Russian compared to English. To bridge this gap, we present StRuCom — the first large-scale dataset (153K examples) specifically designed for Russian code documentation. Unlike machine-translated English datasets that distort terminology (e.g., technical loanwords vs. literal translations) and docstring structures, StRuCom combines human-written comments from Russian GitHub repositories with synthetically generated ones, ensuring compliance with Python, Java, JavaScript, C#, and Go standards through automated validation. Fine-tuning Qwen2.5-Coder models (0.5B-7B) on StRuCom shows statistically significant improvements of chrf++ and BERTScore over baseline models.</v>
      </c>
      <c r="D3319" s="7" t="str">
        <f>IFERROR(__xludf.DUMMYFUNCTION("""COMPUTED_VALUE"""),"Maria Dziuba")</f>
        <v>Maria Dziuba</v>
      </c>
      <c r="E3319" s="7" t="str">
        <f>IFERROR(__xludf.DUMMYFUNCTION("""COMPUTED_VALUE"""),"Yes")</f>
        <v>Yes</v>
      </c>
      <c r="F3319" s="7" t="str">
        <f>IFERROR(__xludf.DUMMYFUNCTION("""COMPUTED_VALUE"""),"Virtual/Gather")</f>
        <v>Virtual/Gather</v>
      </c>
      <c r="G3319" s="7" t="str">
        <f>IFERROR(__xludf.DUMMYFUNCTION("""COMPUTED_VALUE"""),"Virtual/Gather")</f>
        <v>Virtual/Gather</v>
      </c>
      <c r="H3319" s="7" t="str">
        <f>IFERROR(__xludf.DUMMYFUNCTION("""COMPUTED_VALUE"""),"Zoom")</f>
        <v>Zoom</v>
      </c>
      <c r="I3319" s="7" t="str">
        <f>IFERROR(__xludf.DUMMYFUNCTION("""COMPUTED_VALUE"""),"Session 7: V--Presentations ")</f>
        <v>Session 7: V--Presentations </v>
      </c>
      <c r="J3319" s="7" t="str">
        <f>IFERROR(__xludf.DUMMYFUNCTION("""COMPUTED_VALUE"""),"Student Research Workshop - Virtual Presentations 1")</f>
        <v>Student Research Workshop - Virtual Presentations 1</v>
      </c>
      <c r="K3319" s="7"/>
      <c r="L3319" s="8"/>
      <c r="M3319" s="7" t="str">
        <f>IFERROR(__xludf.DUMMYFUNCTION("""COMPUTED_VALUE"""),"10:30-12:00")</f>
        <v>10:30-12:00</v>
      </c>
      <c r="N3319" s="7">
        <f>IFERROR(__xludf.DUMMYFUNCTION("""COMPUTED_VALUE"""),10.0)</f>
        <v>10</v>
      </c>
    </row>
    <row r="3320">
      <c r="A3320" s="7" t="str">
        <f>IFERROR(__xludf.DUMMYFUNCTION("""COMPUTED_VALUE"""),"110-SRW")</f>
        <v>110-SRW</v>
      </c>
      <c r="B3320" s="7" t="str">
        <f>IFERROR(__xludf.DUMMYFUNCTION("""COMPUTED_VALUE"""),"A Semantic Uncertainty Sampling Strategy for Back-Translation in Low-Resources Neural Machine Translation")</f>
        <v>A Semantic Uncertainty Sampling Strategy for Back-Translation in Low-Resources Neural Machine Translation</v>
      </c>
      <c r="C3320" s="7" t="str">
        <f>IFERROR(__xludf.DUMMYFUNCTION("""COMPUTED_VALUE"""),"Back-translation has been proven effective in enhancing the performance of Neural Machine Translation (NMT), with its core mechanism relying on synthesizing parallel corpora to strengthen model training. However, while traditional back-translation methods"&amp;" alleviate the data scarcity in low-resource machine translation, their dependence on random sampling strategies ignores the semantic quality of monolingual data. This results in the contamination of model training through the inclusion of substantial low"&amp;"-quality samples in the generated corpora. To mitigate noise interference, additional training iterations or model scaling are required, significantly increasing computational costs. To address this challenge, this study proposes a Semantic Uncertainty Sa"&amp;"mpling strategy, which prioritizes sentences with higher semantic uncertainty as training samples by computationally evaluating the complexity of unannotated monolingual data. Experiments were conducted on three typical low-resource agglutinative language"&amp;" pairs: Mongolian-Chinese, Uyghur-Chinese, and Korean-Chinese. Results demonstrate an average BLEU score improvement of +1.7 on test sets across all three translation tasks, confirming the method’s effectiveness in enhancing translation accuracy and fluen"&amp;"cy. This approach provides a novel pathway for the efficient utilization of unannotated data in low-resource language scenarios.")</f>
        <v>Back-translation has been proven effective in enhancing the performance of Neural Machine Translation (NMT), with its core mechanism relying on synthesizing parallel corpora to strengthen model training. However, while traditional back-translation methods alleviate the data scarcity in low-resource machine translation, their dependence on random sampling strategies ignores the semantic quality of monolingual data. This results in the contamination of model training through the inclusion of substantial low-quality samples in the generated corpora. To mitigate noise interference, additional training iterations or model scaling are required, significantly increasing computational costs. To address this challenge, this study proposes a Semantic Uncertainty Sampling strategy, which prioritizes sentences with higher semantic uncertainty as training samples by computationally evaluating the complexity of unannotated monolingual data. Experiments were conducted on three typical low-resource agglutinative language pairs: Mongolian-Chinese, Uyghur-Chinese, and Korean-Chinese. Results demonstrate an average BLEU score improvement of +1.7 on test sets across all three translation tasks, confirming the method’s effectiveness in enhancing translation accuracy and fluency. This approach provides a novel pathway for the efficient utilization of unannotated data in low-resource language scenarios.</v>
      </c>
      <c r="D3320" s="7" t="str">
        <f>IFERROR(__xludf.DUMMYFUNCTION("""COMPUTED_VALUE"""),"Yepai Jia")</f>
        <v>Yepai Jia</v>
      </c>
      <c r="E3320" s="7" t="str">
        <f>IFERROR(__xludf.DUMMYFUNCTION("""COMPUTED_VALUE"""),"Yes")</f>
        <v>Yes</v>
      </c>
      <c r="F3320" s="7" t="str">
        <f>IFERROR(__xludf.DUMMYFUNCTION("""COMPUTED_VALUE"""),"Virtual/Gather")</f>
        <v>Virtual/Gather</v>
      </c>
      <c r="G3320" s="7" t="str">
        <f>IFERROR(__xludf.DUMMYFUNCTION("""COMPUTED_VALUE"""),"Virtual/Gather")</f>
        <v>Virtual/Gather</v>
      </c>
      <c r="H3320" s="7" t="str">
        <f>IFERROR(__xludf.DUMMYFUNCTION("""COMPUTED_VALUE"""),"Zoom")</f>
        <v>Zoom</v>
      </c>
      <c r="I3320" s="7" t="str">
        <f>IFERROR(__xludf.DUMMYFUNCTION("""COMPUTED_VALUE"""),"Session 7: V--Presentations ")</f>
        <v>Session 7: V--Presentations </v>
      </c>
      <c r="J3320" s="7" t="str">
        <f>IFERROR(__xludf.DUMMYFUNCTION("""COMPUTED_VALUE"""),"Student Research Workshop - Virtual Presentations 1")</f>
        <v>Student Research Workshop - Virtual Presentations 1</v>
      </c>
      <c r="K3320" s="7"/>
      <c r="L3320" s="8"/>
      <c r="M3320" s="7" t="str">
        <f>IFERROR(__xludf.DUMMYFUNCTION("""COMPUTED_VALUE"""),"10:30-12:00")</f>
        <v>10:30-12:00</v>
      </c>
      <c r="N3320" s="7">
        <f>IFERROR(__xludf.DUMMYFUNCTION("""COMPUTED_VALUE"""),11.0)</f>
        <v>11</v>
      </c>
    </row>
    <row r="3321">
      <c r="A3321" s="7" t="str">
        <f>IFERROR(__xludf.DUMMYFUNCTION("""COMPUTED_VALUE"""),"112-SRW")</f>
        <v>112-SRW</v>
      </c>
      <c r="B3321" s="7" t="str">
        <f>IFERROR(__xludf.DUMMYFUNCTION("""COMPUTED_VALUE"""),"Spanish Dialect Classification: A Comparative Study of Linguistically Tailored Features, Unigrams and BERT Embeddings")</f>
        <v>Spanish Dialect Classification: A Comparative Study of Linguistically Tailored Features, Unigrams and BERT Embeddings</v>
      </c>
      <c r="C3321" s="7" t="str">
        <f>IFERROR(__xludf.DUMMYFUNCTION("""COMPUTED_VALUE"""),"The task of automatic dialect classification is typically tackled using traditional machine-learning models with bag-of-words unigram features. We explore two alternative methods for distinguishing dialects across 20 Spanish-speaking countries:
(i) Suppor"&amp;"t vector machine and decision tree models were trained on dialectal features tailored to the Spanish dialects, combined with standard unigrams. 
(ii) A pre-trained BERT model was fine-tuned on the task.
Results show that the  tailored features generally d"&amp;"id not have a positive impact on traditional model performance, but provide a salient way of representing dialects in a content-agnostic manner. The BERT model wins over traditional models but with only a tiny margin, while sacrificing explainability and "&amp;"interpretability.")</f>
        <v>The task of automatic dialect classification is typically tackled using traditional machine-learning models with bag-of-words unigram features. We explore two alternative methods for distinguishing dialects across 20 Spanish-speaking countries:
(i) Support vector machine and decision tree models were trained on dialectal features tailored to the Spanish dialects, combined with standard unigrams. 
(ii) A pre-trained BERT model was fine-tuned on the task.
Results show that the  tailored features generally did not have a positive impact on traditional model performance, but provide a salient way of representing dialects in a content-agnostic manner. The BERT model wins over traditional models but with only a tiny margin, while sacrificing explainability and interpretability.</v>
      </c>
      <c r="D3321" s="7" t="str">
        <f>IFERROR(__xludf.DUMMYFUNCTION("""COMPUTED_VALUE"""),"Laura Zeidler")</f>
        <v>Laura Zeidler</v>
      </c>
      <c r="E3321" s="7" t="str">
        <f>IFERROR(__xludf.DUMMYFUNCTION("""COMPUTED_VALUE"""),"Yes")</f>
        <v>Yes</v>
      </c>
      <c r="F3321" s="7" t="str">
        <f>IFERROR(__xludf.DUMMYFUNCTION("""COMPUTED_VALUE"""),"IP-Poster")</f>
        <v>IP-Poster</v>
      </c>
      <c r="G3321" s="7" t="str">
        <f>IFERROR(__xludf.DUMMYFUNCTION("""COMPUTED_VALUE"""),"In-person")</f>
        <v>In-person</v>
      </c>
      <c r="H3321" s="7" t="str">
        <f>IFERROR(__xludf.DUMMYFUNCTION("""COMPUTED_VALUE"""),"Hall 4/5")</f>
        <v>Hall 4/5</v>
      </c>
      <c r="I3321" s="7" t="str">
        <f>IFERROR(__xludf.DUMMYFUNCTION("""COMPUTED_VALUE"""),"Session 7: IP-Posters")</f>
        <v>Session 7: IP-Posters</v>
      </c>
      <c r="J3321" s="7" t="str">
        <f>IFERROR(__xludf.DUMMYFUNCTION("""COMPUTED_VALUE"""),"Student Research Workshop - In-Person Posters 1")</f>
        <v>Student Research Workshop - In-Person Posters 1</v>
      </c>
      <c r="K3321" s="7"/>
      <c r="L3321" s="8">
        <f>IFERROR(__xludf.DUMMYFUNCTION("""COMPUTED_VALUE"""),45867.0)</f>
        <v>45867</v>
      </c>
      <c r="M3321" s="7" t="str">
        <f>IFERROR(__xludf.DUMMYFUNCTION("""COMPUTED_VALUE"""),"10:30-12:00")</f>
        <v>10:30-12:00</v>
      </c>
      <c r="N3321" s="7"/>
    </row>
    <row r="3322">
      <c r="A3322" s="7" t="str">
        <f>IFERROR(__xludf.DUMMYFUNCTION("""COMPUTED_VALUE"""),"114-SRW")</f>
        <v>114-SRW</v>
      </c>
      <c r="B3322" s="7" t="str">
        <f>IFERROR(__xludf.DUMMYFUNCTION("""COMPUTED_VALUE"""),"SequentialBreak: Large Language Models Can be Fooled by Embedding Jailbreak Prompts into Sequential Prompt Chains")</f>
        <v>SequentialBreak: Large Language Models Can be Fooled by Embedding Jailbreak Prompts into Sequential Prompt Chains</v>
      </c>
      <c r="C3322" s="7" t="str">
        <f>IFERROR(__xludf.DUMMYFUNCTION("""COMPUTED_VALUE"""),"As the use of Large Language Models (LLMs) expands, so do concerns about their vulnerability to jailbreak attacks. We introduce SequentialBreak, a novel single-query jailbreak technique that arranges multiple benign prompts in sequence with a hidden malic"&amp;"ious instruction among them to bypass safety mechanisms. Sequential prompt chains in a single query can lead LLMs to focus on certain prompts while ignoring others. By embedding a malicious prompt within a prompt chain, we show that LLMs tend to ignore th"&amp;"e harmful context and respond to all prompts including the harmful one. We demonstrate the effectiveness of our attack across diverse scenarios—including Q\&amp;A systems, dialogue completion tasks, and levelwise gaming scenario—highlighting its adaptability "&amp;"to varied prompt structures. The variability of prompt structures shows that SequentialBreak is adaptable to formats beyond those discussed here. Experiments show that SequentialBreak only uses a single query to significantly outperform existing baselines"&amp;" on both open-source and closed-source models. These findings underline the urgent need for more robust defenses against prompt-based attacks. The Results and website are available on https://anonymous.4open.science/r/JailBreakAttack-4F3B/.")</f>
        <v>As the use of Large Language Models (LLMs) expands, so do concerns about their vulnerability to jailbreak attacks. We introduce SequentialBreak, a novel single-query jailbreak technique that arranges multiple benign prompts in sequence with a hidden malicious instruction among them to bypass safety mechanisms. Sequential prompt chains in a single query can lead LLMs to focus on certain prompts while ignoring others. By embedding a malicious prompt within a prompt chain, we show that LLMs tend to ignore the harmful context and respond to all prompts including the harmful one. We demonstrate the effectiveness of our attack across diverse scenarios—including Q\&amp;A systems, dialogue completion tasks, and levelwise gaming scenario—highlighting its adaptability to varied prompt structures. The variability of prompt structures shows that SequentialBreak is adaptable to formats beyond those discussed here. Experiments show that SequentialBreak only uses a single query to significantly outperform existing baselines on both open-source and closed-source models. These findings underline the urgent need for more robust defenses against prompt-based attacks. The Results and website are available on https://anonymous.4open.science/r/JailBreakAttack-4F3B/.</v>
      </c>
      <c r="D3322" s="7" t="str">
        <f>IFERROR(__xludf.DUMMYFUNCTION("""COMPUTED_VALUE"""),"Rakib Ahsan")</f>
        <v>Rakib Ahsan</v>
      </c>
      <c r="E3322" s="7" t="str">
        <f>IFERROR(__xludf.DUMMYFUNCTION("""COMPUTED_VALUE"""),"Yes")</f>
        <v>Yes</v>
      </c>
      <c r="F3322" s="7" t="str">
        <f>IFERROR(__xludf.DUMMYFUNCTION("""COMPUTED_VALUE"""),"Virtual/Gather")</f>
        <v>Virtual/Gather</v>
      </c>
      <c r="G3322" s="7" t="str">
        <f>IFERROR(__xludf.DUMMYFUNCTION("""COMPUTED_VALUE"""),"Virtual/Gather")</f>
        <v>Virtual/Gather</v>
      </c>
      <c r="H3322" s="7" t="str">
        <f>IFERROR(__xludf.DUMMYFUNCTION("""COMPUTED_VALUE"""),"Zoom")</f>
        <v>Zoom</v>
      </c>
      <c r="I3322" s="7" t="str">
        <f>IFERROR(__xludf.DUMMYFUNCTION("""COMPUTED_VALUE"""),"Session 10: V-Presenations")</f>
        <v>Session 10: V-Presenations</v>
      </c>
      <c r="J3322" s="7" t="str">
        <f>IFERROR(__xludf.DUMMYFUNCTION("""COMPUTED_VALUE"""),"Student Research Workshop - Virtual Presentations 2")</f>
        <v>Student Research Workshop - Virtual Presentations 2</v>
      </c>
      <c r="K3322" s="7"/>
      <c r="L3322" s="8">
        <f>IFERROR(__xludf.DUMMYFUNCTION("""COMPUTED_VALUE"""),45867.0)</f>
        <v>45867</v>
      </c>
      <c r="M3322" s="7" t="str">
        <f>IFERROR(__xludf.DUMMYFUNCTION("""COMPUTED_VALUE"""),"16:00-17:30")</f>
        <v>16:00-17:30</v>
      </c>
      <c r="N3322" s="7">
        <f>IFERROR(__xludf.DUMMYFUNCTION("""COMPUTED_VALUE"""),6.0)</f>
        <v>6</v>
      </c>
    </row>
    <row r="3323">
      <c r="A3323" s="7" t="str">
        <f>IFERROR(__xludf.DUMMYFUNCTION("""COMPUTED_VALUE"""),"119-SRW")</f>
        <v>119-SRW</v>
      </c>
      <c r="B3323" s="7" t="str">
        <f>IFERROR(__xludf.DUMMYFUNCTION("""COMPUTED_VALUE"""),"A Dual-Layered Evaluation of Geopolitical and Cultural Bias in LLMs")</f>
        <v>A Dual-Layered Evaluation of Geopolitical and Cultural Bias in LLMs</v>
      </c>
      <c r="C3323" s="7" t="str">
        <f>IFERROR(__xludf.DUMMYFUNCTION("""COMPUTED_VALUE"""),"As large language models (LLMs) are increasingly deployed across diverse linguistic and cultural contexts, understanding their behavior in both factual and disputable scenarios is essential—especially when their outputs may shape public opinion or reinfor"&amp;"ce dominant narratives. This study investigates two types of bias in LLMs: model bias (bias stemming from model training) and inference bias (bias induced by the language of the query), through a two-phase evaluation. 
The first phase evaluates LLMs on fa"&amp;"ctual questions where a single verifiable answer exists, assessing whether models maintain consistency across different query languages. The second phase expands the scope by probing geopolitically sensitive disputes, where responses may reflect culturall"&amp;"y embedded or ideologically aligned perspectives. We construct a manually curated dataset spanning both factual and disputable QA, across four languages and question types. Our findings show that while Phase 1 reveals primarily language-induced alignment,"&amp;" Phase 2 reveals entangled effects of both language and model training. This study offers a structured framework for evaluating LLM behavior across neutral and sensitive topics, providing insights for future LLM deployment and culturally-aware evaluation "&amp;"practices in multilingual contexts.")</f>
        <v>As large language models (LLMs) are increasingly deployed across diverse linguistic and cultural contexts, understanding their behavior in both factual and disputable scenarios is essential—especially when their outputs may shape public opinion or reinforce dominant narratives. This study investigates two types of bias in LLMs: model bias (bias stemming from model training) and inference bias (bias induced by the language of the query), through a two-phase evaluation. 
The first phase evaluates LLMs on factual questions where a single verifiable answer exists, assessing whether models maintain consistency across different query languages. The second phase expands the scope by probing geopolitically sensitive disputes, where responses may reflect culturally embedded or ideologically aligned perspectives. We construct a manually curated dataset spanning both factual and disputable QA, across four languages and question types. Our findings show that while Phase 1 reveals primarily language-induced alignment, Phase 2 reveals entangled effects of both language and model training. This study offers a structured framework for evaluating LLM behavior across neutral and sensitive topics, providing insights for future LLM deployment and culturally-aware evaluation practices in multilingual contexts.</v>
      </c>
      <c r="D3323" s="7" t="str">
        <f>IFERROR(__xludf.DUMMYFUNCTION("""COMPUTED_VALUE"""),"Sean Kim")</f>
        <v>Sean Kim</v>
      </c>
      <c r="E3323" s="7" t="str">
        <f>IFERROR(__xludf.DUMMYFUNCTION("""COMPUTED_VALUE"""),"Yes")</f>
        <v>Yes</v>
      </c>
      <c r="F3323" s="7" t="str">
        <f>IFERROR(__xludf.DUMMYFUNCTION("""COMPUTED_VALUE"""),"Virtual/Gather")</f>
        <v>Virtual/Gather</v>
      </c>
      <c r="G3323" s="7" t="str">
        <f>IFERROR(__xludf.DUMMYFUNCTION("""COMPUTED_VALUE"""),"Virtual/Gather")</f>
        <v>Virtual/Gather</v>
      </c>
      <c r="H3323" s="7" t="str">
        <f>IFERROR(__xludf.DUMMYFUNCTION("""COMPUTED_VALUE"""),"Zoom")</f>
        <v>Zoom</v>
      </c>
      <c r="I3323" s="7" t="str">
        <f>IFERROR(__xludf.DUMMYFUNCTION("""COMPUTED_VALUE"""),"Session 10: V-Presenations")</f>
        <v>Session 10: V-Presenations</v>
      </c>
      <c r="J3323" s="7" t="str">
        <f>IFERROR(__xludf.DUMMYFUNCTION("""COMPUTED_VALUE"""),"Student Research Workshop - Virtual Presentations 2")</f>
        <v>Student Research Workshop - Virtual Presentations 2</v>
      </c>
      <c r="K3323" s="7"/>
      <c r="L3323" s="8">
        <f>IFERROR(__xludf.DUMMYFUNCTION("""COMPUTED_VALUE"""),45867.0)</f>
        <v>45867</v>
      </c>
      <c r="M3323" s="7" t="str">
        <f>IFERROR(__xludf.DUMMYFUNCTION("""COMPUTED_VALUE"""),"16:00-17:30")</f>
        <v>16:00-17:30</v>
      </c>
      <c r="N3323" s="7">
        <f>IFERROR(__xludf.DUMMYFUNCTION("""COMPUTED_VALUE"""),7.0)</f>
        <v>7</v>
      </c>
    </row>
    <row r="3324">
      <c r="A3324" s="7" t="str">
        <f>IFERROR(__xludf.DUMMYFUNCTION("""COMPUTED_VALUE"""),"132-SRW")</f>
        <v>132-SRW</v>
      </c>
      <c r="B3324" s="7" t="str">
        <f>IFERROR(__xludf.DUMMYFUNCTION("""COMPUTED_VALUE"""),"MA-COIR: Leveraging Semantic Search Index and Generative Models for Ontology-Driven Biomedical Concept Recognition")</f>
        <v>MA-COIR: Leveraging Semantic Search Index and Generative Models for Ontology-Driven Biomedical Concept Recognition</v>
      </c>
      <c r="C3324" s="7" t="str">
        <f>IFERROR(__xludf.DUMMYFUNCTION("""COMPUTED_VALUE"""),"Recognizing biomedical concepts in the text is vital for ontology refinement, knowledge graph construction, and concept relationship discovery. However, traditional concept recognition methods, relying on explicit mention identification, often fail to cap"&amp;"ture complex concepts not explicitly stated in the text. To overcome this limitation, we introduce MA-COIR, a framework that reformulates concept recognition as an indexing-recognition task. By assigning semantic search indexes (ssIDs) to concepts, MA-COI"&amp;"R resolves ambiguities in ontology entries and enhances recognition efficiency. Using a pretrained BART-based model fine-tuned on small datasets, our approach reduces computational requirements to facilitate adoption by domain experts. Furthermore, we inc"&amp;"orporate large language model (LLM)-generated queries and synthetic data to improve recognition in low-resource settings. Experimental results on three scenarios (CDR, HPO, and HOIP) highlight the effectiveness of MA-COIR in recognizing both explicit and "&amp;"implicit concepts without the need for mention-level annotations during inference, advancing ontology-driven concept recognition in biomedical domain applications. Our code and constructed data are available at https://github.com/sl-633/macoir-master.")</f>
        <v>Recognizing biomedical concepts in the text is vital for ontology refinement, knowledge graph construction, and concept relationship discovery. However, traditional concept recognition methods, relying on explicit mention identification, often fail to capture complex concepts not explicitly stated in the text. To overcome this limitation, we introduce MA-COIR, a framework that reformulates concept recognition as an indexing-recognition task. By assigning semantic search indexes (ssIDs) to concepts, MA-COIR resolves ambiguities in ontology entries and enhances recognition efficiency. Using a pretrained BART-based model fine-tuned on small datasets, our approach reduces computational requirements to facilitate adoption by domain experts. Furthermore, we incorporate large language model (LLM)-generated queries and synthetic data to improve recognition in low-resource settings. Experimental results on three scenarios (CDR, HPO, and HOIP) highlight the effectiveness of MA-COIR in recognizing both explicit and implicit concepts without the need for mention-level annotations during inference, advancing ontology-driven concept recognition in biomedical domain applications. Our code and constructed data are available at https://github.com/sl-633/macoir-master.</v>
      </c>
      <c r="D3324" s="7" t="str">
        <f>IFERROR(__xludf.DUMMYFUNCTION("""COMPUTED_VALUE"""),"Shanshan Liu")</f>
        <v>Shanshan Liu</v>
      </c>
      <c r="E3324" s="7" t="str">
        <f>IFERROR(__xludf.DUMMYFUNCTION("""COMPUTED_VALUE"""),"Yes")</f>
        <v>Yes</v>
      </c>
      <c r="F3324" s="7" t="str">
        <f>IFERROR(__xludf.DUMMYFUNCTION("""COMPUTED_VALUE"""),"IP-Poster")</f>
        <v>IP-Poster</v>
      </c>
      <c r="G3324" s="7" t="str">
        <f>IFERROR(__xludf.DUMMYFUNCTION("""COMPUTED_VALUE"""),"In-person")</f>
        <v>In-person</v>
      </c>
      <c r="H3324" s="7" t="str">
        <f>IFERROR(__xludf.DUMMYFUNCTION("""COMPUTED_VALUE"""),"Hall 4/5")</f>
        <v>Hall 4/5</v>
      </c>
      <c r="I3324" s="7" t="str">
        <f>IFERROR(__xludf.DUMMYFUNCTION("""COMPUTED_VALUE"""),"Session 7: IP-Posters")</f>
        <v>Session 7: IP-Posters</v>
      </c>
      <c r="J3324" s="7" t="str">
        <f>IFERROR(__xludf.DUMMYFUNCTION("""COMPUTED_VALUE"""),"Student Research Workshop - In-Person Posters 1")</f>
        <v>Student Research Workshop - In-Person Posters 1</v>
      </c>
      <c r="K3324" s="7"/>
      <c r="L3324" s="8">
        <f>IFERROR(__xludf.DUMMYFUNCTION("""COMPUTED_VALUE"""),45867.0)</f>
        <v>45867</v>
      </c>
      <c r="M3324" s="7" t="str">
        <f>IFERROR(__xludf.DUMMYFUNCTION("""COMPUTED_VALUE"""),"10:30-12:00")</f>
        <v>10:30-12:00</v>
      </c>
      <c r="N3324" s="7"/>
    </row>
    <row r="3325">
      <c r="A3325" s="7" t="str">
        <f>IFERROR(__xludf.DUMMYFUNCTION("""COMPUTED_VALUE"""),"140-SRW")</f>
        <v>140-SRW</v>
      </c>
      <c r="B3325" s="7" t="str">
        <f>IFERROR(__xludf.DUMMYFUNCTION("""COMPUTED_VALUE"""),"LibVulnWatch: A Deep Assessment Agent System and Leaderboard for Uncovering Hidden Vulnerabilities in Open-Source AI Libraries")</f>
        <v>LibVulnWatch: A Deep Assessment Agent System and Leaderboard for Uncovering Hidden Vulnerabilities in Open-Source AI Libraries</v>
      </c>
      <c r="C3325" s="7" t="str">
        <f>IFERROR(__xludf.DUMMYFUNCTION("""COMPUTED_VALUE"""),"Open-source AI libraries are foundational to modern AI systems, yet they present significant, underexamined risks spanning security, licensing, maintenance, supply chain integrity, and regulatory compliance. We introduce LibVulnWatch, a system that levera"&amp;"ges recent advances in large language models and agentic workflows to perform deep, evidence-based evaluations of these libraries. Built on a graph-based orchestration of specialized agents, the framework extracts, verifies, and quantifies risk using info"&amp;"rmation from repositories, documentation, and vulnerability databases. LibVulnWatch produces reproducible, governance-aligned scores across five critical domains, publishing results to a public leaderboard for ongoing ecosystem monitoring. Applied to 20 w"&amp;"idely used libraries—including ML frameworks, LLM inference engines, and agent orchestration tools—our approach covers up to 88\% of OpenSSF Scorecard checks while surfacing up to 19 additional risks per library, such as critical RCE vulnerabilities, miss"&amp;"ing SBOMs, and regulatory gaps. By integrating advanced language technologies with the practical demands of software risk assessment, this work demonstrates a scalable, transparent mechanism for continuous supply chain evaluation and informed library sele"&amp;"ction.")</f>
        <v>Open-source AI libraries are foundational to modern AI systems, yet they present significant, underexamined risks spanning security, licensing, maintenance, supply chain integrity, and regulatory compliance. We introduce LibVulnWatch, a system that leverages recent advances in large language models and agentic workflows to perform deep, evidence-based evaluations of these libraries. Built on a graph-based orchestration of specialized agents, the framework extracts, verifies, and quantifies risk using information from repositories, documentation, and vulnerability databases. LibVulnWatch produces reproducible, governance-aligned scores across five critical domains, publishing results to a public leaderboard for ongoing ecosystem monitoring. Applied to 20 widely used libraries—including ML frameworks, LLM inference engines, and agent orchestration tools—our approach covers up to 88\% of OpenSSF Scorecard checks while surfacing up to 19 additional risks per library, such as critical RCE vulnerabilities, missing SBOMs, and regulatory gaps. By integrating advanced language technologies with the practical demands of software risk assessment, this work demonstrates a scalable, transparent mechanism for continuous supply chain evaluation and informed library selection.</v>
      </c>
      <c r="D3325" s="7" t="str">
        <f>IFERROR(__xludf.DUMMYFUNCTION("""COMPUTED_VALUE"""),"Zekun Wu")</f>
        <v>Zekun Wu</v>
      </c>
      <c r="E3325" s="7" t="str">
        <f>IFERROR(__xludf.DUMMYFUNCTION("""COMPUTED_VALUE"""),"Yes")</f>
        <v>Yes</v>
      </c>
      <c r="F3325" s="7" t="str">
        <f>IFERROR(__xludf.DUMMYFUNCTION("""COMPUTED_VALUE"""),"IP-Poster")</f>
        <v>IP-Poster</v>
      </c>
      <c r="G3325" s="7" t="str">
        <f>IFERROR(__xludf.DUMMYFUNCTION("""COMPUTED_VALUE"""),"In-person")</f>
        <v>In-person</v>
      </c>
      <c r="H3325" s="7" t="str">
        <f>IFERROR(__xludf.DUMMYFUNCTION("""COMPUTED_VALUE"""),"Hall 4/5")</f>
        <v>Hall 4/5</v>
      </c>
      <c r="I3325" s="7" t="str">
        <f>IFERROR(__xludf.DUMMYFUNCTION("""COMPUTED_VALUE"""),"Session 7: IP-Posters")</f>
        <v>Session 7: IP-Posters</v>
      </c>
      <c r="J3325" s="7" t="str">
        <f>IFERROR(__xludf.DUMMYFUNCTION("""COMPUTED_VALUE"""),"Student Research Workshop - In-Person Posters 1")</f>
        <v>Student Research Workshop - In-Person Posters 1</v>
      </c>
      <c r="K3325" s="7"/>
      <c r="L3325" s="8">
        <f>IFERROR(__xludf.DUMMYFUNCTION("""COMPUTED_VALUE"""),45867.0)</f>
        <v>45867</v>
      </c>
      <c r="M3325" s="7" t="str">
        <f>IFERROR(__xludf.DUMMYFUNCTION("""COMPUTED_VALUE"""),"10:30-12:00")</f>
        <v>10:30-12:00</v>
      </c>
      <c r="N3325" s="7"/>
    </row>
    <row r="3326">
      <c r="A3326" s="7" t="str">
        <f>IFERROR(__xludf.DUMMYFUNCTION("""COMPUTED_VALUE"""),"143-SRW")</f>
        <v>143-SRW</v>
      </c>
      <c r="B3326" s="7" t="str">
        <f>IFERROR(__xludf.DUMMYFUNCTION("""COMPUTED_VALUE"""),"Interactive Text Games: Lookahead Is All You Need!")</f>
        <v>Interactive Text Games: Lookahead Is All You Need!</v>
      </c>
      <c r="C3326" s="7" t="str">
        <f>IFERROR(__xludf.DUMMYFUNCTION("""COMPUTED_VALUE"""),"The cross-modal grounding of LLMs has recently garnered significant attention, while grounding them in textual interactions has been less explored. As the first of its kind, the GLAM framework utilises LLMs as agents in interactive text-based games to inv"&amp;"estigate their grounding capabilities. However, it faces the challenge of low computational efficiency, which hinders further experiments. This paper proposes the use of Lookahead models for action selection, demonstrating through empirical results that t"&amp;"he approach can substantially improve training speed, achieving performance gains relative to the size of the action space.")</f>
        <v>The cross-modal grounding of LLMs has recently garnered significant attention, while grounding them in textual interactions has been less explored. As the first of its kind, the GLAM framework utilises LLMs as agents in interactive text-based games to investigate their grounding capabilities. However, it faces the challenge of low computational efficiency, which hinders further experiments. This paper proposes the use of Lookahead models for action selection, demonstrating through empirical results that the approach can substantially improve training speed, achieving performance gains relative to the size of the action space.</v>
      </c>
      <c r="D3326" s="7" t="str">
        <f>IFERROR(__xludf.DUMMYFUNCTION("""COMPUTED_VALUE"""),"Hosein Rezaei")</f>
        <v>Hosein Rezaei</v>
      </c>
      <c r="E3326" s="7" t="str">
        <f>IFERROR(__xludf.DUMMYFUNCTION("""COMPUTED_VALUE"""),"Yes")</f>
        <v>Yes</v>
      </c>
      <c r="F3326" s="7" t="str">
        <f>IFERROR(__xludf.DUMMYFUNCTION("""COMPUTED_VALUE"""),"IP-Poster")</f>
        <v>IP-Poster</v>
      </c>
      <c r="G3326" s="7" t="str">
        <f>IFERROR(__xludf.DUMMYFUNCTION("""COMPUTED_VALUE"""),"In-person")</f>
        <v>In-person</v>
      </c>
      <c r="H3326" s="7" t="str">
        <f>IFERROR(__xludf.DUMMYFUNCTION("""COMPUTED_VALUE"""),"Hall 4/5")</f>
        <v>Hall 4/5</v>
      </c>
      <c r="I3326" s="7" t="str">
        <f>IFERROR(__xludf.DUMMYFUNCTION("""COMPUTED_VALUE"""),"Session 7: IP-Posters")</f>
        <v>Session 7: IP-Posters</v>
      </c>
      <c r="J3326" s="7" t="str">
        <f>IFERROR(__xludf.DUMMYFUNCTION("""COMPUTED_VALUE"""),"Student Research Workshop - In-Person Posters 1")</f>
        <v>Student Research Workshop - In-Person Posters 1</v>
      </c>
      <c r="K3326" s="7"/>
      <c r="L3326" s="8">
        <f>IFERROR(__xludf.DUMMYFUNCTION("""COMPUTED_VALUE"""),45867.0)</f>
        <v>45867</v>
      </c>
      <c r="M3326" s="7" t="str">
        <f>IFERROR(__xludf.DUMMYFUNCTION("""COMPUTED_VALUE"""),"10:30-12:00")</f>
        <v>10:30-12:00</v>
      </c>
      <c r="N3326" s="7"/>
    </row>
    <row r="3327">
      <c r="A3327" s="7" t="str">
        <f>IFERROR(__xludf.DUMMYFUNCTION("""COMPUTED_VALUE"""),"145-SRW")</f>
        <v>145-SRW</v>
      </c>
      <c r="B3327" s="7" t="str">
        <f>IFERROR(__xludf.DUMMYFUNCTION("""COMPUTED_VALUE"""),"Evaluating Credibility and Political Bias in LLMs for News Outlets in Bangladesh")</f>
        <v>Evaluating Credibility and Political Bias in LLMs for News Outlets in Bangladesh</v>
      </c>
      <c r="C3327" s="7" t="str">
        <f>IFERROR(__xludf.DUMMYFUNCTION("""COMPUTED_VALUE"""),"Search engines increasingly use large language models (LLMs) to generate direct answers, while AI chatbots retrieve updated information from the
Internet. As information curators for billions of users, LLMs must evaluate the accuracy and reliability of so"&amp;"urces. This study audits nine LLMs
from OpenAI, Google, and Meta to assess their ability to evaluate the credibility and quality of the top 20 most popular Bangladeshi news outlets.
While LLMs rate most tested outlets, larger models more often refuse to r"&amp;"ate sources due to insufficient information, while smaller models are
prone to hallucinations. When ratings are provided, LLMs show strong internal consistency with an average correlation coefficient (𝜌) of 0.72, but
their alignment with human expert eva"&amp;"luations is moderate, with an average 𝜌 of 0.45. We introduce a dataset of expert opinions (journalism and
media studies students) on the credibility and political bias of Bangladeshi news outlets to evaluate LLMs’ political bias and credibility assessme"&amp;"nts.
Our analysis reveals that LLMs in default configurations favor the Bangladesh Awami League-affiliated sources in credibility ratings. Assigning
partisan identities to LLMs further amplifies politically congruent biases in their assessments. These fin"&amp;"dings highlight the need to address political
bias and improve credibility evaluations as LLMs increasingly shape how news and political information are curated worldwide.")</f>
        <v>Search engines increasingly use large language models (LLMs) to generate direct answers, while AI chatbots retrieve updated information from the
Internet. As information curators for billions of users, LLMs must evaluate the accuracy and reliability of sources. This study audits nine LLMs
from OpenAI, Google, and Meta to assess their ability to evaluate the credibility and quality of the top 20 most popular Bangladeshi news outlets.
While LLMs rate most tested outlets, larger models more often refuse to rate sources due to insufficient information, while smaller models are
prone to hallucinations. When ratings are provided, LLMs show strong internal consistency with an average correlation coefficient (𝜌) of 0.72, but
their alignment with human expert evaluations is moderate, with an average 𝜌 of 0.45. We introduce a dataset of expert opinions (journalism and
media studies students) on the credibility and political bias of Bangladeshi news outlets to evaluate LLMs’ political bias and credibility assessments.
Our analysis reveals that LLMs in default configurations favor the Bangladesh Awami League-affiliated sources in credibility ratings. Assigning
partisan identities to LLMs further amplifies politically congruent biases in their assessments. These findings highlight the need to address political
bias and improve credibility evaluations as LLMs increasingly shape how news and political information are curated worldwide.</v>
      </c>
      <c r="D3327" s="7" t="str">
        <f>IFERROR(__xludf.DUMMYFUNCTION("""COMPUTED_VALUE"""),"Tabia Tanzin Prama")</f>
        <v>Tabia Tanzin Prama</v>
      </c>
      <c r="E3327" s="7" t="str">
        <f>IFERROR(__xludf.DUMMYFUNCTION("""COMPUTED_VALUE"""),"Yes")</f>
        <v>Yes</v>
      </c>
      <c r="F3327" s="7" t="str">
        <f>IFERROR(__xludf.DUMMYFUNCTION("""COMPUTED_VALUE"""),"Virtual/Gather")</f>
        <v>Virtual/Gather</v>
      </c>
      <c r="G3327" s="7" t="str">
        <f>IFERROR(__xludf.DUMMYFUNCTION("""COMPUTED_VALUE"""),"Virtual/Gather")</f>
        <v>Virtual/Gather</v>
      </c>
      <c r="H3327" s="7" t="str">
        <f>IFERROR(__xludf.DUMMYFUNCTION("""COMPUTED_VALUE"""),"Zoom")</f>
        <v>Zoom</v>
      </c>
      <c r="I3327" s="7" t="str">
        <f>IFERROR(__xludf.DUMMYFUNCTION("""COMPUTED_VALUE"""),"Session 10: V-Presenations")</f>
        <v>Session 10: V-Presenations</v>
      </c>
      <c r="J3327" s="7" t="str">
        <f>IFERROR(__xludf.DUMMYFUNCTION("""COMPUTED_VALUE"""),"Student Research Workshop - Virtual Presentations 2")</f>
        <v>Student Research Workshop - Virtual Presentations 2</v>
      </c>
      <c r="K3327" s="7"/>
      <c r="L3327" s="8">
        <f>IFERROR(__xludf.DUMMYFUNCTION("""COMPUTED_VALUE"""),45867.0)</f>
        <v>45867</v>
      </c>
      <c r="M3327" s="7" t="str">
        <f>IFERROR(__xludf.DUMMYFUNCTION("""COMPUTED_VALUE"""),"16:00-17:30")</f>
        <v>16:00-17:30</v>
      </c>
      <c r="N3327" s="7">
        <f>IFERROR(__xludf.DUMMYFUNCTION("""COMPUTED_VALUE"""),8.0)</f>
        <v>8</v>
      </c>
    </row>
    <row r="3328">
      <c r="A3328" s="7" t="str">
        <f>IFERROR(__xludf.DUMMYFUNCTION("""COMPUTED_VALUE"""),"152-SRW")</f>
        <v>152-SRW</v>
      </c>
      <c r="B3328" s="7" t="str">
        <f>IFERROR(__xludf.DUMMYFUNCTION("""COMPUTED_VALUE"""),"The Evolution of Gen Alpha Slang: Linguistic Patterns and AI Translation Challenges")</f>
        <v>The Evolution of Gen Alpha Slang: Linguistic Patterns and AI Translation Challenges</v>
      </c>
      <c r="C3328" s="7" t="str">
        <f>IFERROR(__xludf.DUMMYFUNCTION("""COMPUTED_VALUE"""),"Generation Alpha (born 2010-2024) is the first generation fully raised within the  digital ecosystem. They exhibit unique linguistic behaviours influenced by rampant online communication and platform-specific cultures. This study examines the rapid evolut"&amp;"ion of Gen Alpha slang  through a comparative analysis of Millennial and Gen Z vernacular. We identify three core linguistic patterns: extreme lexical compression, digital culture-driven semantic shifts and part-of-speech conversion. We construct a compre"&amp;"hensive slang corpus sourced from online platforms and evaluate the performance of four AI translation systems (viz. Google Translate, ChatGPT 4, Gemini 1.0, DeepSeek v3) on over 100 slang terms. Our results reveal significant translation challenges roote"&amp;"d in culturally-bound terms from gaming, meme culture, and mental health discourse. Most errors are the result of inadequate cultural contextualization, with literal translations dominating the error patterns. Our findings highlight the critical limitatio"&amp;"ns in current language models and emphasize the need for adaptive, culturally sensitive and context-aware frameworks that can handle the dynamic lexicon of evolving youth vernacular.")</f>
        <v>Generation Alpha (born 2010-2024) is the first generation fully raised within the  digital ecosystem. They exhibit unique linguistic behaviours influenced by rampant online communication and platform-specific cultures. This study examines the rapid evolution of Gen Alpha slang  through a comparative analysis of Millennial and Gen Z vernacular. We identify three core linguistic patterns: extreme lexical compression, digital culture-driven semantic shifts and part-of-speech conversion. We construct a comprehensive slang corpus sourced from online platforms and evaluate the performance of four AI translation systems (viz. Google Translate, ChatGPT 4, Gemini 1.0, DeepSeek v3) on over 100 slang terms. Our results reveal significant translation challenges rooted in culturally-bound terms from gaming, meme culture, and mental health discourse. Most errors are the result of inadequate cultural contextualization, with literal translations dominating the error patterns. Our findings highlight the critical limitations in current language models and emphasize the need for adaptive, culturally sensitive and context-aware frameworks that can handle the dynamic lexicon of evolving youth vernacular.</v>
      </c>
      <c r="D3328" s="7" t="str">
        <f>IFERROR(__xludf.DUMMYFUNCTION("""COMPUTED_VALUE"""),"Ishita")</f>
        <v>Ishita</v>
      </c>
      <c r="E3328" s="7" t="str">
        <f>IFERROR(__xludf.DUMMYFUNCTION("""COMPUTED_VALUE"""),"Yes")</f>
        <v>Yes</v>
      </c>
      <c r="F3328" s="7" t="str">
        <f>IFERROR(__xludf.DUMMYFUNCTION("""COMPUTED_VALUE"""),"IP-Poster")</f>
        <v>IP-Poster</v>
      </c>
      <c r="G3328" s="7" t="str">
        <f>IFERROR(__xludf.DUMMYFUNCTION("""COMPUTED_VALUE"""),"In-person")</f>
        <v>In-person</v>
      </c>
      <c r="H3328" s="7" t="str">
        <f>IFERROR(__xludf.DUMMYFUNCTION("""COMPUTED_VALUE"""),"Hall 4/5")</f>
        <v>Hall 4/5</v>
      </c>
      <c r="I3328" s="7" t="str">
        <f>IFERROR(__xludf.DUMMYFUNCTION("""COMPUTED_VALUE"""),"Session 7: IP-Posters")</f>
        <v>Session 7: IP-Posters</v>
      </c>
      <c r="J3328" s="7" t="str">
        <f>IFERROR(__xludf.DUMMYFUNCTION("""COMPUTED_VALUE"""),"Student Research Workshop - In-Person Posters 1")</f>
        <v>Student Research Workshop - In-Person Posters 1</v>
      </c>
      <c r="K3328" s="7"/>
      <c r="L3328" s="8">
        <f>IFERROR(__xludf.DUMMYFUNCTION("""COMPUTED_VALUE"""),45867.0)</f>
        <v>45867</v>
      </c>
      <c r="M3328" s="7" t="str">
        <f>IFERROR(__xludf.DUMMYFUNCTION("""COMPUTED_VALUE"""),"10:30-12:00")</f>
        <v>10:30-12:00</v>
      </c>
      <c r="N3328" s="7"/>
    </row>
    <row r="3329">
      <c r="A3329" s="7" t="str">
        <f>IFERROR(__xludf.DUMMYFUNCTION("""COMPUTED_VALUE"""),"155-SRW")</f>
        <v>155-SRW</v>
      </c>
      <c r="B3329" s="7" t="str">
        <f>IFERROR(__xludf.DUMMYFUNCTION("""COMPUTED_VALUE"""),"Light-Weight Hallucination Detection using Contrastive Learning for Conditional Text Generation")</f>
        <v>Light-Weight Hallucination Detection using Contrastive Learning for Conditional Text Generation</v>
      </c>
      <c r="C3329" s="7" t="str">
        <f>IFERROR(__xludf.DUMMYFUNCTION("""COMPUTED_VALUE"""),"We propose a simple and light-weight, yet effective hallucination detection method for conditional text generation. 
Hallucinated outputs include information that is either absent from and/or difficult to infer from the input context. 
Leveraging this fea"&amp;"ture, we add contrastive learning to the hallucination detection classifier to pull faithful outputs and input contexts together while pushing hallucinated outputs apart. 
Experimental results confirm that our method on top of RoBERTa improves binary hall"&amp;"ucination detection performance, outperforming much larger GPT-$4$o prompting. 
Remarkably, our method shows higher performance for outputs where hallucinated spans are sparse.")</f>
        <v>We propose a simple and light-weight, yet effective hallucination detection method for conditional text generation. 
Hallucinated outputs include information that is either absent from and/or difficult to infer from the input context. 
Leveraging this feature, we add contrastive learning to the hallucination detection classifier to pull faithful outputs and input contexts together while pushing hallucinated outputs apart. 
Experimental results confirm that our method on top of RoBERTa improves binary hallucination detection performance, outperforming much larger GPT-$4$o prompting. 
Remarkably, our method shows higher performance for outputs where hallucinated spans are sparse.</v>
      </c>
      <c r="D3329" s="7" t="str">
        <f>IFERROR(__xludf.DUMMYFUNCTION("""COMPUTED_VALUE"""),"Miyu Yamada")</f>
        <v>Miyu Yamada</v>
      </c>
      <c r="E3329" s="7" t="str">
        <f>IFERROR(__xludf.DUMMYFUNCTION("""COMPUTED_VALUE"""),"Yes")</f>
        <v>Yes</v>
      </c>
      <c r="F3329" s="7" t="str">
        <f>IFERROR(__xludf.DUMMYFUNCTION("""COMPUTED_VALUE"""),"IP-Poster")</f>
        <v>IP-Poster</v>
      </c>
      <c r="G3329" s="7" t="str">
        <f>IFERROR(__xludf.DUMMYFUNCTION("""COMPUTED_VALUE"""),"In-person")</f>
        <v>In-person</v>
      </c>
      <c r="H3329" s="7" t="str">
        <f>IFERROR(__xludf.DUMMYFUNCTION("""COMPUTED_VALUE"""),"Hall 4/5")</f>
        <v>Hall 4/5</v>
      </c>
      <c r="I3329" s="7" t="str">
        <f>IFERROR(__xludf.DUMMYFUNCTION("""COMPUTED_VALUE"""),"Session 7: IP-Posters")</f>
        <v>Session 7: IP-Posters</v>
      </c>
      <c r="J3329" s="7" t="str">
        <f>IFERROR(__xludf.DUMMYFUNCTION("""COMPUTED_VALUE"""),"Student Research Workshop - In-Person Posters 1")</f>
        <v>Student Research Workshop - In-Person Posters 1</v>
      </c>
      <c r="K3329" s="7"/>
      <c r="L3329" s="8">
        <f>IFERROR(__xludf.DUMMYFUNCTION("""COMPUTED_VALUE"""),45867.0)</f>
        <v>45867</v>
      </c>
      <c r="M3329" s="7" t="str">
        <f>IFERROR(__xludf.DUMMYFUNCTION("""COMPUTED_VALUE"""),"10:30-12:00")</f>
        <v>10:30-12:00</v>
      </c>
      <c r="N3329" s="7"/>
    </row>
    <row r="3330">
      <c r="A3330" s="7" t="str">
        <f>IFERROR(__xludf.DUMMYFUNCTION("""COMPUTED_VALUE"""),"156-SRW")</f>
        <v>156-SRW</v>
      </c>
      <c r="B3330" s="7" t="str">
        <f>IFERROR(__xludf.DUMMYFUNCTION("""COMPUTED_VALUE"""),"Fact from Fiction: Finding Serialized Novels in Newspapers")</f>
        <v>Fact from Fiction: Finding Serialized Novels in Newspapers</v>
      </c>
      <c r="C3330" s="7" t="str">
        <f>IFERROR(__xludf.DUMMYFUNCTION("""COMPUTED_VALUE"""),"Digitized literary corpora of the 19th century favor canonical and novelistic forms, sidelining a broader and more diverse literary production. Serialized fiction – widely read but embedded in newspapers – remains especially underexplored, particularly in"&amp;" low-resource languages like Danish. 
This paper addresses this gap by developing methods to identify fiction in digitized Danish newspapers (1818–1848).
We (1) introduce a manually annotated dataset of 1,394 articles and (2) evaluate classification pipel"&amp;"ines using both selected linguistic features and embeddings, achieving F1-scores of up to 0.91. Finally, we (3) analyze feuilleton fiction via interpretable features to test its drift in discourse from neighboring nonfiction.
Our results support the const"&amp;"ruction of alternative literary corpora and contribute to ongoing work on modeling the fiction–nonfiction boundary by operationalizing discourse-level distinctions at scale.")</f>
        <v>Digitized literary corpora of the 19th century favor canonical and novelistic forms, sidelining a broader and more diverse literary production. Serialized fiction – widely read but embedded in newspapers – remains especially underexplored, particularly in low-resource languages like Danish. 
This paper addresses this gap by developing methods to identify fiction in digitized Danish newspapers (1818–1848).
We (1) introduce a manually annotated dataset of 1,394 articles and (2) evaluate classification pipelines using both selected linguistic features and embeddings, achieving F1-scores of up to 0.91. Finally, we (3) analyze feuilleton fiction via interpretable features to test its drift in discourse from neighboring nonfiction.
Our results support the construction of alternative literary corpora and contribute to ongoing work on modeling the fiction–nonfiction boundary by operationalizing discourse-level distinctions at scale.</v>
      </c>
      <c r="D3330" s="7" t="str">
        <f>IFERROR(__xludf.DUMMYFUNCTION("""COMPUTED_VALUE"""),"Pascale Feldkamp")</f>
        <v>Pascale Feldkamp</v>
      </c>
      <c r="E3330" s="7" t="str">
        <f>IFERROR(__xludf.DUMMYFUNCTION("""COMPUTED_VALUE"""),"Yes")</f>
        <v>Yes</v>
      </c>
      <c r="F3330" s="7" t="str">
        <f>IFERROR(__xludf.DUMMYFUNCTION("""COMPUTED_VALUE"""),"IP-Oral")</f>
        <v>IP-Oral</v>
      </c>
      <c r="G3330" s="7" t="str">
        <f>IFERROR(__xludf.DUMMYFUNCTION("""COMPUTED_VALUE"""),"In-Person")</f>
        <v>In-Person</v>
      </c>
      <c r="H3330" s="7" t="str">
        <f>IFERROR(__xludf.DUMMYFUNCTION("""COMPUTED_VALUE"""),"Hall N.2")</f>
        <v>Hall N.2</v>
      </c>
      <c r="I3330" s="7" t="str">
        <f>IFERROR(__xludf.DUMMYFUNCTION("""COMPUTED_VALUE"""),"Session 3: IP-Orals")</f>
        <v>Session 3: IP-Orals</v>
      </c>
      <c r="J3330" s="7" t="str">
        <f>IFERROR(__xludf.DUMMYFUNCTION("""COMPUTED_VALUE"""),"Student Research Workshop")</f>
        <v>Student Research Workshop</v>
      </c>
      <c r="K3330" s="7"/>
      <c r="L3330" s="8">
        <f>IFERROR(__xludf.DUMMYFUNCTION("""COMPUTED_VALUE"""),45866.0)</f>
        <v>45866</v>
      </c>
      <c r="M3330" s="7" t="str">
        <f>IFERROR(__xludf.DUMMYFUNCTION("""COMPUTED_VALUE"""),"14:00-15:30")</f>
        <v>14:00-15:30</v>
      </c>
      <c r="N3330" s="7">
        <f>IFERROR(__xludf.DUMMYFUNCTION("""COMPUTED_VALUE"""),2.0)</f>
        <v>2</v>
      </c>
    </row>
    <row r="3331">
      <c r="A3331" s="7" t="str">
        <f>IFERROR(__xludf.DUMMYFUNCTION("""COMPUTED_VALUE"""),"162-SRW")</f>
        <v>162-SRW</v>
      </c>
      <c r="B3331" s="7" t="str">
        <f>IFERROR(__xludf.DUMMYFUNCTION("""COMPUTED_VALUE"""),"Cross-Genre Learning for Old English Poetry POS Tagging")</f>
        <v>Cross-Genre Learning for Old English Poetry POS Tagging</v>
      </c>
      <c r="C3331" s="7" t="str">
        <f>IFERROR(__xludf.DUMMYFUNCTION("""COMPUTED_VALUE"""),"Poetry has always distinguished itself from other literary genres in many ways, including grammatically and syntactically. These differences are evident not only in modern literature but also in earlier stages. Linguistic analysis tools struggle to addres"&amp;"s these differences. This paper focuses on the dichotomy between Old English poetry and prose, specifically in the context of the POS tagging task.
Two annotated corpora representing each genre were analyzed to show that there are several types of structu"&amp;"ral differences between Old English poetry and prose. For POS tagging, we conduct experiments on both a detailed tag set with over 200 tags and a mapping to the UPOS tag set with 17 tags. We establish a baseline and conduct two cross-genre experiments to "&amp;"investigate the effect of different proportions of prose and poetry data. Across both tag sets, our results indicate that if the divergence between two genres is substantial, simply increasing the quantity of training data from the support genre does not "&amp;"necessarily improve prediction accuracy. However, incorporating even a small amount of target data can lead to better performance compared to excluding it entirely. This study not only highlights the linguistic differences between Old English poetry and p"&amp;"rose but also emphasizes the importance of developing effective NLP tools for underrepresented historical languages across all genres.")</f>
        <v>Poetry has always distinguished itself from other literary genres in many ways, including grammatically and syntactically. These differences are evident not only in modern literature but also in earlier stages. Linguistic analysis tools struggle to address these differences. This paper focuses on the dichotomy between Old English poetry and prose, specifically in the context of the POS tagging task.
Two annotated corpora representing each genre were analyzed to show that there are several types of structural differences between Old English poetry and prose. For POS tagging, we conduct experiments on both a detailed tag set with over 200 tags and a mapping to the UPOS tag set with 17 tags. We establish a baseline and conduct two cross-genre experiments to investigate the effect of different proportions of prose and poetry data. Across both tag sets, our results indicate that if the divergence between two genres is substantial, simply increasing the quantity of training data from the support genre does not necessarily improve prediction accuracy. However, incorporating even a small amount of target data can lead to better performance compared to excluding it entirely. This study not only highlights the linguistic differences between Old English poetry and prose but also emphasizes the importance of developing effective NLP tools for underrepresented historical languages across all genres.</v>
      </c>
      <c r="D3331" s="7" t="str">
        <f>IFERROR(__xludf.DUMMYFUNCTION("""COMPUTED_VALUE"""),"Irene Miani")</f>
        <v>Irene Miani</v>
      </c>
      <c r="E3331" s="7" t="str">
        <f>IFERROR(__xludf.DUMMYFUNCTION("""COMPUTED_VALUE"""),"Yes")</f>
        <v>Yes</v>
      </c>
      <c r="F3331" s="7" t="str">
        <f>IFERROR(__xludf.DUMMYFUNCTION("""COMPUTED_VALUE"""),"IP-Poster")</f>
        <v>IP-Poster</v>
      </c>
      <c r="G3331" s="7" t="str">
        <f>IFERROR(__xludf.DUMMYFUNCTION("""COMPUTED_VALUE"""),"In-person")</f>
        <v>In-person</v>
      </c>
      <c r="H3331" s="7" t="str">
        <f>IFERROR(__xludf.DUMMYFUNCTION("""COMPUTED_VALUE"""),"Hall 4/5")</f>
        <v>Hall 4/5</v>
      </c>
      <c r="I3331" s="7" t="str">
        <f>IFERROR(__xludf.DUMMYFUNCTION("""COMPUTED_VALUE"""),"Session 7: IP-Posters")</f>
        <v>Session 7: IP-Posters</v>
      </c>
      <c r="J3331" s="7" t="str">
        <f>IFERROR(__xludf.DUMMYFUNCTION("""COMPUTED_VALUE"""),"Student Research Workshop - In-Person Posters 1")</f>
        <v>Student Research Workshop - In-Person Posters 1</v>
      </c>
      <c r="K3331" s="7"/>
      <c r="L3331" s="8">
        <f>IFERROR(__xludf.DUMMYFUNCTION("""COMPUTED_VALUE"""),45867.0)</f>
        <v>45867</v>
      </c>
      <c r="M3331" s="7" t="str">
        <f>IFERROR(__xludf.DUMMYFUNCTION("""COMPUTED_VALUE"""),"10:30-12:00")</f>
        <v>10:30-12:00</v>
      </c>
      <c r="N3331" s="7"/>
    </row>
    <row r="3332">
      <c r="A3332" s="7" t="str">
        <f>IFERROR(__xludf.DUMMYFUNCTION("""COMPUTED_VALUE"""),"164-SRW")</f>
        <v>164-SRW</v>
      </c>
      <c r="B3332" s="7" t="str">
        <f>IFERROR(__xludf.DUMMYFUNCTION("""COMPUTED_VALUE"""),"A Computational Framework to Identify Self-Aspects in Text")</f>
        <v>A Computational Framework to Identify Self-Aspects in Text</v>
      </c>
      <c r="C3332" s="7" t="str">
        <f>IFERROR(__xludf.DUMMYFUNCTION("""COMPUTED_VALUE"""),"This Ph.D. proposal introduces a plan to develop a computational framework to identify Self-aspects in text. The Self is a multifaceted construct and it is reflected in language. While it is described across disciplines like cognitive science and phenomen"&amp;"ology, it remains underexplored in natural language processing (NLP). Many of the aspects of the Self align with psychological and other well-researched phenomena (e.g., those related to mental health), highlighting the need for systematic NLP-based analy"&amp;"sis. In line with this, we plan to introduce an ontology of Self-aspects and a gold-standard annotated dataset. Using this foundation, we will develop and evaluate conventional discriminative models, generative large language models, and embedding-based r"&amp;"etrieval approaches against four main criteria: interpretability, ground-truth adherence, accuracy, and computational efficiency. Top-performing models will be applied in case studies in mental health and empirical phenomenology.")</f>
        <v>This Ph.D. proposal introduces a plan to develop a computational framework to identify Self-aspects in text. The Self is a multifaceted construct and it is reflected in language. While it is described across disciplines like cognitive science and phenomenology, it remains underexplored in natural language processing (NLP). Many of the aspects of the Self align with psychological and other well-researched phenomena (e.g., those related to mental health), highlighting the need for systematic NLP-based analysis. In line with this, we plan to introduce an ontology of Self-aspects and a gold-standard annotated dataset. Using this foundation, we will develop and evaluate conventional discriminative models, generative large language models, and embedding-based retrieval approaches against four main criteria: interpretability, ground-truth adherence, accuracy, and computational efficiency. Top-performing models will be applied in case studies in mental health and empirical phenomenology.</v>
      </c>
      <c r="D3332" s="7" t="str">
        <f>IFERROR(__xludf.DUMMYFUNCTION("""COMPUTED_VALUE"""),"Jaya Caporusso")</f>
        <v>Jaya Caporusso</v>
      </c>
      <c r="E3332" s="7" t="str">
        <f>IFERROR(__xludf.DUMMYFUNCTION("""COMPUTED_VALUE"""),"Yes")</f>
        <v>Yes</v>
      </c>
      <c r="F3332" s="7" t="str">
        <f>IFERROR(__xludf.DUMMYFUNCTION("""COMPUTED_VALUE"""),"IP-Poster")</f>
        <v>IP-Poster</v>
      </c>
      <c r="G3332" s="7" t="str">
        <f>IFERROR(__xludf.DUMMYFUNCTION("""COMPUTED_VALUE"""),"In-person")</f>
        <v>In-person</v>
      </c>
      <c r="H3332" s="7" t="str">
        <f>IFERROR(__xludf.DUMMYFUNCTION("""COMPUTED_VALUE"""),"Hall 4/5")</f>
        <v>Hall 4/5</v>
      </c>
      <c r="I3332" s="7" t="str">
        <f>IFERROR(__xludf.DUMMYFUNCTION("""COMPUTED_VALUE"""),"Session 10: IP-Posters")</f>
        <v>Session 10: IP-Posters</v>
      </c>
      <c r="J3332" s="7" t="str">
        <f>IFERROR(__xludf.DUMMYFUNCTION("""COMPUTED_VALUE"""),"Student Research Workshop - In-Person Posters 2")</f>
        <v>Student Research Workshop - In-Person Posters 2</v>
      </c>
      <c r="K3332" s="7"/>
      <c r="L3332" s="8">
        <f>IFERROR(__xludf.DUMMYFUNCTION("""COMPUTED_VALUE"""),45867.0)</f>
        <v>45867</v>
      </c>
      <c r="M3332" s="7" t="str">
        <f>IFERROR(__xludf.DUMMYFUNCTION("""COMPUTED_VALUE"""),"16:00-17:30")</f>
        <v>16:00-17:30</v>
      </c>
      <c r="N3332" s="7"/>
    </row>
    <row r="3333">
      <c r="A3333" s="7" t="str">
        <f>IFERROR(__xludf.DUMMYFUNCTION("""COMPUTED_VALUE"""),"165-SRW")</f>
        <v>165-SRW</v>
      </c>
      <c r="B3333" s="7" t="str">
        <f>IFERROR(__xludf.DUMMYFUNCTION("""COMPUTED_VALUE"""),"Prompting the Muse: Generating Prosodically-Correct Latin Speech with Large Language Models")</f>
        <v>Prompting the Muse: Generating Prosodically-Correct Latin Speech with Large Language Models</v>
      </c>
      <c r="C3333" s="7" t="str">
        <f>IFERROR(__xludf.DUMMYFUNCTION("""COMPUTED_VALUE"""),"This paper presents a workflow that compels an audio-enabled large language model to recite Latin poetry with metrically accurate stress. One hundred hexameters from the Aeneid and the opening elegiac epistula of Ovid’s Heroides constitute the test bed, d"&amp;"rawn from the Pedecerto XML corpus, where ictic syllables are marked. A preprocessing pipeline syllabifies each line, converts alien graphemes into approximate English-Italian counterparts, merges obligatory elisions, adds commas on caesurae, upper-cases "&amp;"every ictic syllable, and places a grave accent on its vowel. Verses are then supplied, one at a time, to an LLM-based Text-to-Speech model under a compact system prompt that instructs slow, articulated delivery. From ten stochastic realisations per verse"&amp;", a team of Latin experts retained the best; at least one fully correct file was found for 91% of the 216 lines. Upper-casing plus accent marking proved the strongest cue, while hyphenating syllables offered no benefit. Remaining errors cluster around cog"&amp;"nates where the model inherits a Romance or English stress template. The corpus of validated audio and all scripts are openly released on Zenodo, opening avenues for pedagogy, accessibility, and prosodic research.")</f>
        <v>This paper presents a workflow that compels an audio-enabled large language model to recite Latin poetry with metrically accurate stress. One hundred hexameters from the Aeneid and the opening elegiac epistula of Ovid’s Heroides constitute the test bed, drawn from the Pedecerto XML corpus, where ictic syllables are marked. A preprocessing pipeline syllabifies each line, converts alien graphemes into approximate English-Italian counterparts, merges obligatory elisions, adds commas on caesurae, upper-cases every ictic syllable, and places a grave accent on its vowel. Verses are then supplied, one at a time, to an LLM-based Text-to-Speech model under a compact system prompt that instructs slow, articulated delivery. From ten stochastic realisations per verse, a team of Latin experts retained the best; at least one fully correct file was found for 91% of the 216 lines. Upper-casing plus accent marking proved the strongest cue, while hyphenating syllables offered no benefit. Remaining errors cluster around cognates where the model inherits a Romance or English stress template. The corpus of validated audio and all scripts are openly released on Zenodo, opening avenues for pedagogy, accessibility, and prosodic research.</v>
      </c>
      <c r="D3333" s="7" t="str">
        <f>IFERROR(__xludf.DUMMYFUNCTION("""COMPUTED_VALUE"""),"Michele Ciletti")</f>
        <v>Michele Ciletti</v>
      </c>
      <c r="E3333" s="7" t="str">
        <f>IFERROR(__xludf.DUMMYFUNCTION("""COMPUTED_VALUE"""),"Yes")</f>
        <v>Yes</v>
      </c>
      <c r="F3333" s="7" t="str">
        <f>IFERROR(__xludf.DUMMYFUNCTION("""COMPUTED_VALUE"""),"Virtual/Gather")</f>
        <v>Virtual/Gather</v>
      </c>
      <c r="G3333" s="7" t="str">
        <f>IFERROR(__xludf.DUMMYFUNCTION("""COMPUTED_VALUE"""),"Virtual/Gather")</f>
        <v>Virtual/Gather</v>
      </c>
      <c r="H3333" s="7" t="str">
        <f>IFERROR(__xludf.DUMMYFUNCTION("""COMPUTED_VALUE"""),"Zoom")</f>
        <v>Zoom</v>
      </c>
      <c r="I3333" s="7" t="str">
        <f>IFERROR(__xludf.DUMMYFUNCTION("""COMPUTED_VALUE"""),"Session 7: V--Presentations ")</f>
        <v>Session 7: V--Presentations </v>
      </c>
      <c r="J3333" s="7" t="str">
        <f>IFERROR(__xludf.DUMMYFUNCTION("""COMPUTED_VALUE"""),"Student Research Workshop - Virtual Presentations 1")</f>
        <v>Student Research Workshop - Virtual Presentations 1</v>
      </c>
      <c r="K3333" s="7"/>
      <c r="L3333" s="8"/>
      <c r="M3333" s="7" t="str">
        <f>IFERROR(__xludf.DUMMYFUNCTION("""COMPUTED_VALUE"""),"10:30-12:00")</f>
        <v>10:30-12:00</v>
      </c>
      <c r="N3333" s="7">
        <f>IFERROR(__xludf.DUMMYFUNCTION("""COMPUTED_VALUE"""),12.0)</f>
        <v>12</v>
      </c>
    </row>
    <row r="3334">
      <c r="A3334" s="7" t="str">
        <f>IFERROR(__xludf.DUMMYFUNCTION("""COMPUTED_VALUE"""),"169-SRW")</f>
        <v>169-SRW</v>
      </c>
      <c r="B3334" s="7" t="str">
        <f>IFERROR(__xludf.DUMMYFUNCTION("""COMPUTED_VALUE"""),"Can a Large Language Model Keep My Secrets? A Study on LLM-Controlled Agents")</f>
        <v>Can a Large Language Model Keep My Secrets? A Study on LLM-Controlled Agents</v>
      </c>
      <c r="C3334" s="7" t="str">
        <f>IFERROR(__xludf.DUMMYFUNCTION("""COMPUTED_VALUE"""),"Agents controlled by large language models (LLMs) have the potential to assist humans in natural language tasks across various domains and applications, if they are provided with access to confidential data of their principal. When such digital assistants"&amp;" interact with their potentially adversarial environment, confidentiality of the data is at stake. Given a natural language request, we investigate whether an LLM-controlled agent can control access to internal data by considering confidentiality in its r"&amp;"esponse, in a manner similar to humans. For evaluation, we created a synthetic dataset consisting of confidentiality-aware planning and deduction tasks in an organizational access control setting. The dataset was developed from human input, LLM-generated "&amp;"content, and existing datasets. It includes various everyday scenarios in which access to confidential or private information is requested. We utilize our dataset to evaluate the ability to infer confidentiality-aware behavior in such scenarios by differe"&amp;"ntiating between legitimate and illegitimate access requests. We compare a prompting-based and a fine-tuning-based approach, to evaluate the performance of Llama 3 and GPT-4o-mini in this domain. In addition, we conducted a user study to establish a basel"&amp;"ine for human evaluation performance in these tasks. We find humans reached an accuracy of up to 79%. Prompting techniques, such as chain-of-thought and few-shot prompting, yield promising results, but still fall short of real-world applicability and do n"&amp;"ot surpass human baseline performance. However, we find that fine-tuning significantly improves the agent’s ability to make access decisions up to an accuracy of 98%, making it a promising approach for future confidentiality-aware applications when data i"&amp;"s available.")</f>
        <v>Agents controlled by large language models (LLMs) have the potential to assist humans in natural language tasks across various domains and applications, if they are provided with access to confidential data of their principal. When such digital assistants interact with their potentially adversarial environment, confidentiality of the data is at stake. Given a natural language request, we investigate whether an LLM-controlled agent can control access to internal data by considering confidentiality in its response, in a manner similar to humans. For evaluation, we created a synthetic dataset consisting of confidentiality-aware planning and deduction tasks in an organizational access control setting. The dataset was developed from human input, LLM-generated content, and existing datasets. It includes various everyday scenarios in which access to confidential or private information is requested. We utilize our dataset to evaluate the ability to infer confidentiality-aware behavior in such scenarios by differentiating between legitimate and illegitimate access requests. We compare a prompting-based and a fine-tuning-based approach, to evaluate the performance of Llama 3 and GPT-4o-mini in this domain. In addition, we conducted a user study to establish a baseline for human evaluation performance in these tasks. We find humans reached an accuracy of up to 79%. Prompting techniques, such as chain-of-thought and few-shot prompting, yield promising results, but still fall short of real-world applicability and do not surpass human baseline performance. However, we find that fine-tuning significantly improves the agent’s ability to make access decisions up to an accuracy of 98%, making it a promising approach for future confidentiality-aware applications when data is available.</v>
      </c>
      <c r="D3334" s="7" t="str">
        <f>IFERROR(__xludf.DUMMYFUNCTION("""COMPUTED_VALUE"""),"Niklas Hemken")</f>
        <v>Niklas Hemken</v>
      </c>
      <c r="E3334" s="7" t="str">
        <f>IFERROR(__xludf.DUMMYFUNCTION("""COMPUTED_VALUE"""),"Yes")</f>
        <v>Yes</v>
      </c>
      <c r="F3334" s="7" t="str">
        <f>IFERROR(__xludf.DUMMYFUNCTION("""COMPUTED_VALUE"""),"IP-Poster")</f>
        <v>IP-Poster</v>
      </c>
      <c r="G3334" s="7" t="str">
        <f>IFERROR(__xludf.DUMMYFUNCTION("""COMPUTED_VALUE"""),"In-person")</f>
        <v>In-person</v>
      </c>
      <c r="H3334" s="7" t="str">
        <f>IFERROR(__xludf.DUMMYFUNCTION("""COMPUTED_VALUE"""),"Hall 4/5")</f>
        <v>Hall 4/5</v>
      </c>
      <c r="I3334" s="7" t="str">
        <f>IFERROR(__xludf.DUMMYFUNCTION("""COMPUTED_VALUE"""),"Session 7: IP-Posters")</f>
        <v>Session 7: IP-Posters</v>
      </c>
      <c r="J3334" s="7" t="str">
        <f>IFERROR(__xludf.DUMMYFUNCTION("""COMPUTED_VALUE"""),"Student Research Workshop - In-Person Posters 1")</f>
        <v>Student Research Workshop - In-Person Posters 1</v>
      </c>
      <c r="K3334" s="7"/>
      <c r="L3334" s="8">
        <f>IFERROR(__xludf.DUMMYFUNCTION("""COMPUTED_VALUE"""),45867.0)</f>
        <v>45867</v>
      </c>
      <c r="M3334" s="7" t="str">
        <f>IFERROR(__xludf.DUMMYFUNCTION("""COMPUTED_VALUE"""),"10:30-12:00")</f>
        <v>10:30-12:00</v>
      </c>
      <c r="N3334" s="7"/>
    </row>
    <row r="3335">
      <c r="A3335" s="7" t="str">
        <f>IFERROR(__xludf.DUMMYFUNCTION("""COMPUTED_VALUE"""),"170-SRW")</f>
        <v>170-SRW</v>
      </c>
      <c r="B3335" s="7" t="str">
        <f>IFERROR(__xludf.DUMMYFUNCTION("""COMPUTED_VALUE"""),"Chart Question Answering from Real-World Analytical Narratives")</f>
        <v>Chart Question Answering from Real-World Analytical Narratives</v>
      </c>
      <c r="C3335" s="7" t="str">
        <f>IFERROR(__xludf.DUMMYFUNCTION("""COMPUTED_VALUE"""),"We present a new dataset for chart question answering (CQA) constructed from visualization notebooks. The dataset features real-world, multi-view charts paired with natural language questions grounded in analytical narratives. Unlike prior benchmarks, our"&amp;" data reflects ecologically valid reasoning workflows. Benchmarking state-of-the-art multimodal large language models reveals a significant performance gap, with GPT-4.1 achieving an accuracy of 69.3\%, underscoring the challenges posed by this more authe"&amp;"ntic CQA setting.")</f>
        <v>We present a new dataset for chart question answering (CQA) constructed from visualization notebooks. The dataset features real-world, multi-view charts paired with natural language questions grounded in analytical narratives. Unlike prior benchmarks, our data reflects ecologically valid reasoning workflows. Benchmarking state-of-the-art multimodal large language models reveals a significant performance gap, with GPT-4.1 achieving an accuracy of 69.3\%, underscoring the challenges posed by this more authentic CQA setting.</v>
      </c>
      <c r="D3335" s="7" t="str">
        <f>IFERROR(__xludf.DUMMYFUNCTION("""COMPUTED_VALUE"""),"Maeve Hutchinson")</f>
        <v>Maeve Hutchinson</v>
      </c>
      <c r="E3335" s="7" t="str">
        <f>IFERROR(__xludf.DUMMYFUNCTION("""COMPUTED_VALUE"""),"Yes")</f>
        <v>Yes</v>
      </c>
      <c r="F3335" s="7" t="str">
        <f>IFERROR(__xludf.DUMMYFUNCTION("""COMPUTED_VALUE"""),"IP-Poster")</f>
        <v>IP-Poster</v>
      </c>
      <c r="G3335" s="7" t="str">
        <f>IFERROR(__xludf.DUMMYFUNCTION("""COMPUTED_VALUE"""),"In-person")</f>
        <v>In-person</v>
      </c>
      <c r="H3335" s="7" t="str">
        <f>IFERROR(__xludf.DUMMYFUNCTION("""COMPUTED_VALUE"""),"Hall 4/5")</f>
        <v>Hall 4/5</v>
      </c>
      <c r="I3335" s="7" t="str">
        <f>IFERROR(__xludf.DUMMYFUNCTION("""COMPUTED_VALUE"""),"Session 7: IP-Posters")</f>
        <v>Session 7: IP-Posters</v>
      </c>
      <c r="J3335" s="7" t="str">
        <f>IFERROR(__xludf.DUMMYFUNCTION("""COMPUTED_VALUE"""),"Student Research Workshop - In-Person Posters 1")</f>
        <v>Student Research Workshop - In-Person Posters 1</v>
      </c>
      <c r="K3335" s="7"/>
      <c r="L3335" s="8">
        <f>IFERROR(__xludf.DUMMYFUNCTION("""COMPUTED_VALUE"""),45867.0)</f>
        <v>45867</v>
      </c>
      <c r="M3335" s="7" t="str">
        <f>IFERROR(__xludf.DUMMYFUNCTION("""COMPUTED_VALUE"""),"10:30-12:00")</f>
        <v>10:30-12:00</v>
      </c>
      <c r="N3335" s="7"/>
    </row>
    <row r="3336">
      <c r="A3336" s="7" t="str">
        <f>IFERROR(__xludf.DUMMYFUNCTION("""COMPUTED_VALUE"""),"176-SRW")</f>
        <v>176-SRW</v>
      </c>
      <c r="B3336" s="7" t="str">
        <f>IFERROR(__xludf.DUMMYFUNCTION("""COMPUTED_VALUE"""),"Low-Perplexity LLM-Generated Sequences and Where To Find Them")</f>
        <v>Low-Perplexity LLM-Generated Sequences and Where To Find Them</v>
      </c>
      <c r="C3336" s="7" t="str">
        <f>IFERROR(__xludf.DUMMYFUNCTION("""COMPUTED_VALUE"""),"As Large Language Models (LLMs) become increasingly widespread, understanding how specific training data shapes their outputs is crucial for transparency, accountability, privacy, and fairness. To explore how LLMs recall and replicate learned information,"&amp;" we introduce a systematic approach centered on analyzing low-perplexity sequences—high-probability text spans generated by the model. Our pipeline reliably extracts such long sequences across diverse topics while avoiding degeneration, then traces them b"&amp;"ack to their sources in the training data. Surprisingly, we find that a substantial portion of these low-perplexity spans cannot be mapped to the corpus. For those that do match, we analyze the types of memorization involved and present the distribution o"&amp;"f unique documents contributing to these mappings, highlighting the extent of verbatim recall.")</f>
        <v>As Large Language Models (LLMs) become increasingly widespread, understanding how specific training data shapes their outputs is crucial for transparency, accountability, privacy, and fairness. To explore how LLMs recall and replicate learned information, we introduce a systematic approach centered on analyzing low-perplexity sequences—high-probability text spans generated by the model. Our pipeline reliably extracts such long sequences across diverse topics while avoiding degeneration, then traces them back to their sources in the training data. Surprisingly, we find that a substantial portion of these low-perplexity spans cannot be mapped to the corpus. For those that do match, we analyze the types of memorization involved and present the distribution of unique documents contributing to these mappings, highlighting the extent of verbatim recall.</v>
      </c>
      <c r="D3336" s="7" t="str">
        <f>IFERROR(__xludf.DUMMYFUNCTION("""COMPUTED_VALUE"""),"Arthur Wuhrmann")</f>
        <v>Arthur Wuhrmann</v>
      </c>
      <c r="E3336" s="7" t="str">
        <f>IFERROR(__xludf.DUMMYFUNCTION("""COMPUTED_VALUE"""),"Yes")</f>
        <v>Yes</v>
      </c>
      <c r="F3336" s="7" t="str">
        <f>IFERROR(__xludf.DUMMYFUNCTION("""COMPUTED_VALUE"""),"IP-Poster")</f>
        <v>IP-Poster</v>
      </c>
      <c r="G3336" s="7" t="str">
        <f>IFERROR(__xludf.DUMMYFUNCTION("""COMPUTED_VALUE"""),"In-person")</f>
        <v>In-person</v>
      </c>
      <c r="H3336" s="7" t="str">
        <f>IFERROR(__xludf.DUMMYFUNCTION("""COMPUTED_VALUE"""),"Hall 4/5")</f>
        <v>Hall 4/5</v>
      </c>
      <c r="I3336" s="7" t="str">
        <f>IFERROR(__xludf.DUMMYFUNCTION("""COMPUTED_VALUE"""),"Session 7: IP-Posters")</f>
        <v>Session 7: IP-Posters</v>
      </c>
      <c r="J3336" s="7" t="str">
        <f>IFERROR(__xludf.DUMMYFUNCTION("""COMPUTED_VALUE"""),"Student Research Workshop - In-Person Posters 1")</f>
        <v>Student Research Workshop - In-Person Posters 1</v>
      </c>
      <c r="K3336" s="7"/>
      <c r="L3336" s="8">
        <f>IFERROR(__xludf.DUMMYFUNCTION("""COMPUTED_VALUE"""),45867.0)</f>
        <v>45867</v>
      </c>
      <c r="M3336" s="7" t="str">
        <f>IFERROR(__xludf.DUMMYFUNCTION("""COMPUTED_VALUE"""),"10:30-12:00")</f>
        <v>10:30-12:00</v>
      </c>
      <c r="N3336" s="7"/>
    </row>
    <row r="3337">
      <c r="A3337" s="7" t="str">
        <f>IFERROR(__xludf.DUMMYFUNCTION("""COMPUTED_VALUE"""),"177-SRW")</f>
        <v>177-SRW</v>
      </c>
      <c r="B3337" s="7" t="str">
        <f>IFERROR(__xludf.DUMMYFUNCTION("""COMPUTED_VALUE"""),"CoLeM: A framework for semantic interpretation of Russian-language tables based on contrastive learning")</f>
        <v>CoLeM: A framework for semantic interpretation of Russian-language tables based on contrastive learning</v>
      </c>
      <c r="C3337" s="7" t="str">
        <f>IFERROR(__xludf.DUMMYFUNCTION("""COMPUTED_VALUE"""),"Tables are extensively utilized to represent and store data, however, they often lack explicit semantics necessary for machine interpretation of their contents. Semantic table interpretation is essential for integrating structured data with knowledge grap"&amp;"hs, yet existing methods face challenges with Russian-language tables due to limited labeled data and linguistic peculiarities. This paper introduces a contrastive learning approach to minimize reliance on manual labeling and enhance the accuracy of colum"&amp;"n annotation for rare semantic types. The proposed method adapts contrastive learning for tabular data through augmentations and employs a distilled multilingual BERT model trained on the unlabeled RWT corpus (comprising 7.4 million columns). The resultin"&amp;"g table representations are incorporated into the RuTaBERT pipeline, reducing computational overhead. Experimental results demonstrate a micro-F1 score of 97% and a macro-F1 score of 92%, surpassing several baseline approaches. These findings emphasize th"&amp;"e efficiency of the proposed method in addressing data sparsity and handling unique features of the Russian language. The results further confirm that contrastive learning effectively captures semantic similarities among columns without explicit supervisi"&amp;"on, which is particularly vital for rare data types.")</f>
        <v>Tables are extensively utilized to represent and store data, however, they often lack explicit semantics necessary for machine interpretation of their contents. Semantic table interpretation is essential for integrating structured data with knowledge graphs, yet existing methods face challenges with Russian-language tables due to limited labeled data and linguistic peculiarities. This paper introduces a contrastive learning approach to minimize reliance on manual labeling and enhance the accuracy of column annotation for rare semantic types. The proposed method adapts contrastive learning for tabular data through augmentations and employs a distilled multilingual BERT model trained on the unlabeled RWT corpus (comprising 7.4 million columns). The resulting table representations are incorporated into the RuTaBERT pipeline, reducing computational overhead. Experimental results demonstrate a micro-F1 score of 97% and a macro-F1 score of 92%, surpassing several baseline approaches. These findings emphasize the efficiency of the proposed method in addressing data sparsity and handling unique features of the Russian language. The results further confirm that contrastive learning effectively captures semantic similarities among columns without explicit supervision, which is particularly vital for rare data types.</v>
      </c>
      <c r="D3337" s="7" t="str">
        <f>IFERROR(__xludf.DUMMYFUNCTION("""COMPUTED_VALUE"""),"Kirill Tobola")</f>
        <v>Kirill Tobola</v>
      </c>
      <c r="E3337" s="7" t="str">
        <f>IFERROR(__xludf.DUMMYFUNCTION("""COMPUTED_VALUE"""),"Yes")</f>
        <v>Yes</v>
      </c>
      <c r="F3337" s="7" t="str">
        <f>IFERROR(__xludf.DUMMYFUNCTION("""COMPUTED_VALUE"""),"IP-Poster")</f>
        <v>IP-Poster</v>
      </c>
      <c r="G3337" s="7" t="str">
        <f>IFERROR(__xludf.DUMMYFUNCTION("""COMPUTED_VALUE"""),"In-Person")</f>
        <v>In-Person</v>
      </c>
      <c r="H3337" s="7" t="str">
        <f>IFERROR(__xludf.DUMMYFUNCTION("""COMPUTED_VALUE"""),"IP-Poster")</f>
        <v>IP-Poster</v>
      </c>
      <c r="I3337" s="7" t="str">
        <f>IFERROR(__xludf.DUMMYFUNCTION("""COMPUTED_VALUE"""),"Session 7: IP-Posters")</f>
        <v>Session 7: IP-Posters</v>
      </c>
      <c r="J3337" s="7" t="str">
        <f>IFERROR(__xludf.DUMMYFUNCTION("""COMPUTED_VALUE"""),"Student Research Workshop - In-Person Posters 1")</f>
        <v>Student Research Workshop - In-Person Posters 1</v>
      </c>
      <c r="K3337" s="7"/>
      <c r="L3337" s="8">
        <f>IFERROR(__xludf.DUMMYFUNCTION("""COMPUTED_VALUE"""),45867.0)</f>
        <v>45867</v>
      </c>
      <c r="M3337" s="7" t="str">
        <f>IFERROR(__xludf.DUMMYFUNCTION("""COMPUTED_VALUE"""),"10:30-12:00")</f>
        <v>10:30-12:00</v>
      </c>
      <c r="N3337" s="7"/>
    </row>
    <row r="3338">
      <c r="A3338" s="7" t="str">
        <f>IFERROR(__xludf.DUMMYFUNCTION("""COMPUTED_VALUE"""),"180-SRW")</f>
        <v>180-SRW</v>
      </c>
      <c r="B3338" s="7" t="str">
        <f>IFERROR(__xludf.DUMMYFUNCTION("""COMPUTED_VALUE"""),"Mitigating Hallucination by Integrating Knowledge Graphs into LLM Inference -- a Systematic Literature Review")</f>
        <v>Mitigating Hallucination by Integrating Knowledge Graphs into LLM Inference -- a Systematic Literature Review</v>
      </c>
      <c r="C3338" s="7" t="str">
        <f>IFERROR(__xludf.DUMMYFUNCTION("""COMPUTED_VALUE"""),"Large Language Models (LLMs) demonstrate strong performance on different language tasks, but tend to hallucinate -- generate plausible but factually incorrect outputs. Recently, several approaches to integrate Knowledge Graphs (KGs) into LLM inference wer"&amp;"e published to reduce hallucinations. This paper presents a systematic literature review (SLR) of such approaches. Following established SLR methodology, we identified relevant work by systematically search in different academic online libraries and apply"&amp;"ing a selection process. Nine publications were chosen for in-depth analysis. Our synthesis reveals differences and similarities of how the KG is accessed, traversed, and how the context is finally assembled. KG integration can significantly improve LLM p"&amp;"erformance on benchmark datasets and additionally to mitigate hallucination enhance reasoning capabilities, explainability, and access to domain-specific knowledge. We also point out current limitations and outline directions for future work.")</f>
        <v>Large Language Models (LLMs) demonstrate strong performance on different language tasks, but tend to hallucinate -- generate plausible but factually incorrect outputs. Recently, several approaches to integrate Knowledge Graphs (KGs) into LLM inference were published to reduce hallucinations. This paper presents a systematic literature review (SLR) of such approaches. Following established SLR methodology, we identified relevant work by systematically search in different academic online libraries and applying a selection process. Nine publications were chosen for in-depth analysis. Our synthesis reveals differences and similarities of how the KG is accessed, traversed, and how the context is finally assembled. KG integration can significantly improve LLM performance on benchmark datasets and additionally to mitigate hallucination enhance reasoning capabilities, explainability, and access to domain-specific knowledge. We also point out current limitations and outline directions for future work.</v>
      </c>
      <c r="D3338" s="7" t="str">
        <f>IFERROR(__xludf.DUMMYFUNCTION("""COMPUTED_VALUE"""),"Robin Wagner")</f>
        <v>Robin Wagner</v>
      </c>
      <c r="E3338" s="7" t="str">
        <f>IFERROR(__xludf.DUMMYFUNCTION("""COMPUTED_VALUE"""),"Yes")</f>
        <v>Yes</v>
      </c>
      <c r="F3338" s="7" t="str">
        <f>IFERROR(__xludf.DUMMYFUNCTION("""COMPUTED_VALUE"""),"IP-Poster")</f>
        <v>IP-Poster</v>
      </c>
      <c r="G3338" s="7" t="str">
        <f>IFERROR(__xludf.DUMMYFUNCTION("""COMPUTED_VALUE"""),"In-person")</f>
        <v>In-person</v>
      </c>
      <c r="H3338" s="7" t="str">
        <f>IFERROR(__xludf.DUMMYFUNCTION("""COMPUTED_VALUE"""),"Hall 4/5")</f>
        <v>Hall 4/5</v>
      </c>
      <c r="I3338" s="7" t="str">
        <f>IFERROR(__xludf.DUMMYFUNCTION("""COMPUTED_VALUE"""),"Session 7: IP-Posters")</f>
        <v>Session 7: IP-Posters</v>
      </c>
      <c r="J3338" s="7" t="str">
        <f>IFERROR(__xludf.DUMMYFUNCTION("""COMPUTED_VALUE"""),"Student Research Workshop - In-Person Posters 1")</f>
        <v>Student Research Workshop - In-Person Posters 1</v>
      </c>
      <c r="K3338" s="7"/>
      <c r="L3338" s="8">
        <f>IFERROR(__xludf.DUMMYFUNCTION("""COMPUTED_VALUE"""),45867.0)</f>
        <v>45867</v>
      </c>
      <c r="M3338" s="7" t="str">
        <f>IFERROR(__xludf.DUMMYFUNCTION("""COMPUTED_VALUE"""),"10:30-12:00")</f>
        <v>10:30-12:00</v>
      </c>
      <c r="N3338" s="7"/>
    </row>
    <row r="3339">
      <c r="A3339" s="7" t="str">
        <f>IFERROR(__xludf.DUMMYFUNCTION("""COMPUTED_VALUE"""),"182-SRW")</f>
        <v>182-SRW</v>
      </c>
      <c r="B3339" s="7" t="str">
        <f>IFERROR(__xludf.DUMMYFUNCTION("""COMPUTED_VALUE"""),"Privacy Ripple Effects from Adding or Removing Personal Information in Language Model Training")</f>
        <v>Privacy Ripple Effects from Adding or Removing Personal Information in Language Model Training</v>
      </c>
      <c r="C3339" s="7" t="str">
        <f>IFERROR(__xludf.DUMMYFUNCTION("""COMPUTED_VALUE"""),"Due to the sensitive nature of personally identifiable information (PII), its owners may have the authority to control its inclusion or request its removal from large-language model (LLM) training. 
Beyond this, PII may be added or removed from training d"&amp;"atasets due to evolving dataset curation techniques, because they were newly scraped for retraining, or because they were included in a new downstream fine-tuning stage. We find that the amount and ease of PII memorization is a dynamic property of a model"&amp;" that evolves throughout training pipelines and depends on commonly altered design choices. We characterize three such novel phenomena: (1) similar-appearing PII seen later in training can elicit memorization of earlier-seen sequences in what we call assi"&amp;"sted memorization, and this is a significant factor (in our settings, up to 1/3); (2) adding PII can increase memorization of other PII; and (3) removing PII can lead to other PII being memorized.")</f>
        <v>Due to the sensitive nature of personally identifiable information (PII), its owners may have the authority to control its inclusion or request its removal from large-language model (LLM) training. 
Beyond this, PII may be added or removed from training datasets due to evolving dataset curation techniques, because they were newly scraped for retraining, or because they were included in a new downstream fine-tuning stage. We find that the amount and ease of PII memorization is a dynamic property of a model that evolves throughout training pipelines and depends on commonly altered design choices. We characterize three such novel phenomena: (1) similar-appearing PII seen later in training can elicit memorization of earlier-seen sequences in what we call assisted memorization, and this is a significant factor (in our settings, up to 1/3); (2) adding PII can increase memorization of other PII; and (3) removing PII can lead to other PII being memorized.</v>
      </c>
      <c r="D3339" s="7" t="str">
        <f>IFERROR(__xludf.DUMMYFUNCTION("""COMPUTED_VALUE"""),"Jaydeep Borkar ")</f>
        <v>Jaydeep Borkar </v>
      </c>
      <c r="E3339" s="7" t="str">
        <f>IFERROR(__xludf.DUMMYFUNCTION("""COMPUTED_VALUE"""),"Yes")</f>
        <v>Yes</v>
      </c>
      <c r="F3339" s="7" t="str">
        <f>IFERROR(__xludf.DUMMYFUNCTION("""COMPUTED_VALUE"""),"IP-Poster")</f>
        <v>IP-Poster</v>
      </c>
      <c r="G3339" s="7" t="str">
        <f>IFERROR(__xludf.DUMMYFUNCTION("""COMPUTED_VALUE"""),"In-person")</f>
        <v>In-person</v>
      </c>
      <c r="H3339" s="7" t="str">
        <f>IFERROR(__xludf.DUMMYFUNCTION("""COMPUTED_VALUE"""),"Hall 4/5")</f>
        <v>Hall 4/5</v>
      </c>
      <c r="I3339" s="7" t="str">
        <f>IFERROR(__xludf.DUMMYFUNCTION("""COMPUTED_VALUE"""),"Session 7: IP-Posters")</f>
        <v>Session 7: IP-Posters</v>
      </c>
      <c r="J3339" s="7" t="str">
        <f>IFERROR(__xludf.DUMMYFUNCTION("""COMPUTED_VALUE"""),"Student Research Workshop - In-Person Posters 1")</f>
        <v>Student Research Workshop - In-Person Posters 1</v>
      </c>
      <c r="K3339" s="7"/>
      <c r="L3339" s="8">
        <f>IFERROR(__xludf.DUMMYFUNCTION("""COMPUTED_VALUE"""),45867.0)</f>
        <v>45867</v>
      </c>
      <c r="M3339" s="7" t="str">
        <f>IFERROR(__xludf.DUMMYFUNCTION("""COMPUTED_VALUE"""),"10:30-12:00")</f>
        <v>10:30-12:00</v>
      </c>
      <c r="N3339" s="7"/>
    </row>
    <row r="3340">
      <c r="A3340" s="7" t="str">
        <f>IFERROR(__xludf.DUMMYFUNCTION("""COMPUTED_VALUE"""),"183-SRW")</f>
        <v>183-SRW</v>
      </c>
      <c r="B3340" s="7" t="str">
        <f>IFERROR(__xludf.DUMMYFUNCTION("""COMPUTED_VALUE"""),"CHENGYU-BENCH: Benchmarking Large Language Models for Chinese Idiom Understanding and Use")</f>
        <v>CHENGYU-BENCH: Benchmarking Large Language Models for Chinese Idiom Understanding and Use</v>
      </c>
      <c r="C3340" s="7" t="str">
        <f>IFERROR(__xludf.DUMMYFUNCTION("""COMPUTED_VALUE"""),"Chinese idioms (成语, Chengyu) are concise four-character expressions steeped in history and culture, whose literal translations often fail to capture their full meaning. This complexity makes them challenging for language models to interpret and use correc"&amp;"tly. Existing benchmarks focus on narrow tasks—multiple-choice cloze tests, isolated translation, or simple paraphrasing. We introduce CHENGYU-BENCH, a comprehensive benchmark featuring three tasks: (1)  Evaluative Connotation, classifying idioms as posit"&amp;"ive or negative; (2) Appropriateness, detecting incorrect idiom usage in context; and (3) Open Cloze, filling blanks in longer passages without options. CHENGYU-BENCH comprises 2,937 human-verified examples covering 1,765 common idioms sourced from divers"&amp;"e corpora. We evaluate leading LLMs and find they achieve over 95\% accuracy on Evaluative Connotation, but only ~85% on Appropriateness and ~40% top-1 accuracy in Open Cloze. Error analysis reveals that most mistakes arise from fundamental misunderstandi"&amp;"ngs of idiom meanings. CHENGYU-BENCH demonstrates that while LLMs can reliably gauge idiom sentiment, they still struggle to grasp the cultural and contextual nuances essential for proper usage. The benchmark and code will be released upon paper acceptanc"&amp;"e.")</f>
        <v>Chinese idioms (成语, Chengyu) are concise four-character expressions steeped in history and culture, whose literal translations often fail to capture their full meaning. This complexity makes them challenging for language models to interpret and use correctly. Existing benchmarks focus on narrow tasks—multiple-choice cloze tests, isolated translation, or simple paraphrasing. We introduce CHENGYU-BENCH, a comprehensive benchmark featuring three tasks: (1)  Evaluative Connotation, classifying idioms as positive or negative; (2) Appropriateness, detecting incorrect idiom usage in context; and (3) Open Cloze, filling blanks in longer passages without options. CHENGYU-BENCH comprises 2,937 human-verified examples covering 1,765 common idioms sourced from diverse corpora. We evaluate leading LLMs and find they achieve over 95\% accuracy on Evaluative Connotation, but only ~85% on Appropriateness and ~40% top-1 accuracy in Open Cloze. Error analysis reveals that most mistakes arise from fundamental misunderstandings of idiom meanings. CHENGYU-BENCH demonstrates that while LLMs can reliably gauge idiom sentiment, they still struggle to grasp the cultural and contextual nuances essential for proper usage. The benchmark and code will be released upon paper acceptance.</v>
      </c>
      <c r="D3340" s="7" t="str">
        <f>IFERROR(__xludf.DUMMYFUNCTION("""COMPUTED_VALUE"""),"Yicheng Fu")</f>
        <v>Yicheng Fu</v>
      </c>
      <c r="E3340" s="7" t="str">
        <f>IFERROR(__xludf.DUMMYFUNCTION("""COMPUTED_VALUE"""),"Yes")</f>
        <v>Yes</v>
      </c>
      <c r="F3340" s="7" t="str">
        <f>IFERROR(__xludf.DUMMYFUNCTION("""COMPUTED_VALUE"""),"Virtual/Gather")</f>
        <v>Virtual/Gather</v>
      </c>
      <c r="G3340" s="7" t="str">
        <f>IFERROR(__xludf.DUMMYFUNCTION("""COMPUTED_VALUE"""),"Virtual/Gather")</f>
        <v>Virtual/Gather</v>
      </c>
      <c r="H3340" s="7" t="str">
        <f>IFERROR(__xludf.DUMMYFUNCTION("""COMPUTED_VALUE"""),"Zoom")</f>
        <v>Zoom</v>
      </c>
      <c r="I3340" s="7" t="str">
        <f>IFERROR(__xludf.DUMMYFUNCTION("""COMPUTED_VALUE"""),"Session 10: V-Presenations")</f>
        <v>Session 10: V-Presenations</v>
      </c>
      <c r="J3340" s="7" t="str">
        <f>IFERROR(__xludf.DUMMYFUNCTION("""COMPUTED_VALUE"""),"Student Research Workshop - Virtual Presentations 2")</f>
        <v>Student Research Workshop - Virtual Presentations 2</v>
      </c>
      <c r="K3340" s="7"/>
      <c r="L3340" s="8">
        <f>IFERROR(__xludf.DUMMYFUNCTION("""COMPUTED_VALUE"""),45867.0)</f>
        <v>45867</v>
      </c>
      <c r="M3340" s="7" t="str">
        <f>IFERROR(__xludf.DUMMYFUNCTION("""COMPUTED_VALUE"""),"16:00-17:30")</f>
        <v>16:00-17:30</v>
      </c>
      <c r="N3340" s="7">
        <f>IFERROR(__xludf.DUMMYFUNCTION("""COMPUTED_VALUE"""),9.0)</f>
        <v>9</v>
      </c>
    </row>
    <row r="3341">
      <c r="A3341" s="7" t="str">
        <f>IFERROR(__xludf.DUMMYFUNCTION("""COMPUTED_VALUE"""),"187-SRW")</f>
        <v>187-SRW</v>
      </c>
      <c r="B3341" s="7" t="str">
        <f>IFERROR(__xludf.DUMMYFUNCTION("""COMPUTED_VALUE"""),"Semantic alignment in hyperbolic space for fine-grained emotion classification")</f>
        <v>Semantic alignment in hyperbolic space for fine-grained emotion classification</v>
      </c>
      <c r="C3341" s="7" t="str">
        <f>IFERROR(__xludf.DUMMYFUNCTION("""COMPUTED_VALUE"""),"Existing approaches to fine-grained emotion classification (FEC) often operate in Euclidean space, where the flat geometry limits the ability to distinguish semantically similar emotion labels (e.g., *annoyed* vs. *angry*). While prior research has explor"&amp;"ed hyperbolic geometry to capture fine-grained label distinctions, it typically relies on predefined hierarchies and overlooks semantically confusable negatives. In this work, we propose HyCoEM, a semantic alignment framework that leverages the Lorentz mo"&amp;"del of hyperbolic space. Our approach jointly embeds text and label representations into hyperbolic space via the exponential map, and employs a contrastive loss to bring text embeddings closer to their true labels while pushing them away from adaptively "&amp;"selected, semantically similar negatives. This enables the model to learn label embeddings without relying on a predefined hierarchy and better captures subtle distinctions by incorporating information from both positive and challenging negative labels. E"&amp;"xperimental results on two benchmark FEC datasets demonstrate the effectiveness of our approach over baseline methods.")</f>
        <v>Existing approaches to fine-grained emotion classification (FEC) often operate in Euclidean space, where the flat geometry limits the ability to distinguish semantically similar emotion labels (e.g., *annoyed* vs. *angry*). While prior research has explored hyperbolic geometry to capture fine-grained label distinctions, it typically relies on predefined hierarchies and overlooks semantically confusable negatives. In this work, we propose HyCoEM, a semantic alignment framework that leverages the Lorentz model of hyperbolic space. Our approach jointly embeds text and label representations into hyperbolic space via the exponential map, and employs a contrastive loss to bring text embeddings closer to their true labels while pushing them away from adaptively selected, semantically similar negatives. This enables the model to learn label embeddings without relying on a predefined hierarchy and better captures subtle distinctions by incorporating information from both positive and challenging negative labels. Experimental results on two benchmark FEC datasets demonstrate the effectiveness of our approach over baseline methods.</v>
      </c>
      <c r="D3341" s="7" t="str">
        <f>IFERROR(__xludf.DUMMYFUNCTION("""COMPUTED_VALUE"""),"Ashish Kumar")</f>
        <v>Ashish Kumar</v>
      </c>
      <c r="E3341" s="7" t="str">
        <f>IFERROR(__xludf.DUMMYFUNCTION("""COMPUTED_VALUE"""),"Yes")</f>
        <v>Yes</v>
      </c>
      <c r="F3341" s="7" t="str">
        <f>IFERROR(__xludf.DUMMYFUNCTION("""COMPUTED_VALUE"""),"IP-Oral")</f>
        <v>IP-Oral</v>
      </c>
      <c r="G3341" s="7" t="str">
        <f>IFERROR(__xludf.DUMMYFUNCTION("""COMPUTED_VALUE"""),"In-Person")</f>
        <v>In-Person</v>
      </c>
      <c r="H3341" s="7" t="str">
        <f>IFERROR(__xludf.DUMMYFUNCTION("""COMPUTED_VALUE"""),"Hall N.2")</f>
        <v>Hall N.2</v>
      </c>
      <c r="I3341" s="7" t="str">
        <f>IFERROR(__xludf.DUMMYFUNCTION("""COMPUTED_VALUE"""),"Session 3: IP-Orals")</f>
        <v>Session 3: IP-Orals</v>
      </c>
      <c r="J3341" s="7" t="str">
        <f>IFERROR(__xludf.DUMMYFUNCTION("""COMPUTED_VALUE"""),"Student Research Workshop")</f>
        <v>Student Research Workshop</v>
      </c>
      <c r="K3341" s="7"/>
      <c r="L3341" s="8">
        <f>IFERROR(__xludf.DUMMYFUNCTION("""COMPUTED_VALUE"""),45866.0)</f>
        <v>45866</v>
      </c>
      <c r="M3341" s="7" t="str">
        <f>IFERROR(__xludf.DUMMYFUNCTION("""COMPUTED_VALUE"""),"14:00-15:30")</f>
        <v>14:00-15:30</v>
      </c>
      <c r="N3341" s="7">
        <f>IFERROR(__xludf.DUMMYFUNCTION("""COMPUTED_VALUE"""),3.0)</f>
        <v>3</v>
      </c>
    </row>
    <row r="3342">
      <c r="A3342" s="7" t="str">
        <f>IFERROR(__xludf.DUMMYFUNCTION("""COMPUTED_VALUE"""),"189-SRW")</f>
        <v>189-SRW</v>
      </c>
      <c r="B3342" s="7" t="str">
        <f>IFERROR(__xludf.DUMMYFUNCTION("""COMPUTED_VALUE"""),"Socio-Computational Analyses of Stigma Disclosures from People Who Use Drugs on Reddit with LLM-Based Interventions: A Thesis Proposal")</f>
        <v>Socio-Computational Analyses of Stigma Disclosures from People Who Use Drugs on Reddit with LLM-Based Interventions: A Thesis Proposal</v>
      </c>
      <c r="C3342" s="7" t="str">
        <f>IFERROR(__xludf.DUMMYFUNCTION("""COMPUTED_VALUE"""),"This thesis proposal explores how NLP can be used to characterize, model, and mitigate the stigma associated with substance use. Drawing on social theory and lived experience, the work is organized across three aims: (1) identifying patterns of stigma exp"&amp;"ression in Reddit communities through large-scale annotation and clustering, (2) modeling internalized stigma as a temporal and narrative process using user-level affect trajectories, and (3) designing generative tools to offer stigma-responsive support. "&amp;"Completed studies demonstrate how theory-grounded annotation pipelines and large language models (LLMs) can surface rich typologies of stigma and self-disclosure, while proposed work extends these insights toward context-sensitive intervention. By integra"&amp;"ting insights from public health, narrative theory, and computational social science, this research contributes new methods for understanding and responding to stigmatizing language in real-world online settings.")</f>
        <v>This thesis proposal explores how NLP can be used to characterize, model, and mitigate the stigma associated with substance use. Drawing on social theory and lived experience, the work is organized across three aims: (1) identifying patterns of stigma expression in Reddit communities through large-scale annotation and clustering, (2) modeling internalized stigma as a temporal and narrative process using user-level affect trajectories, and (3) designing generative tools to offer stigma-responsive support. Completed studies demonstrate how theory-grounded annotation pipelines and large language models (LLMs) can surface rich typologies of stigma and self-disclosure, while proposed work extends these insights toward context-sensitive intervention. By integrating insights from public health, narrative theory, and computational social science, this research contributes new methods for understanding and responding to stigmatizing language in real-world online settings.</v>
      </c>
      <c r="D3342" s="7" t="str">
        <f>IFERROR(__xludf.DUMMYFUNCTION("""COMPUTED_VALUE"""),"Tanguy Cazalets")</f>
        <v>Tanguy Cazalets</v>
      </c>
      <c r="E3342" s="7" t="str">
        <f>IFERROR(__xludf.DUMMYFUNCTION("""COMPUTED_VALUE"""),"Withdrawn")</f>
        <v>Withdrawn</v>
      </c>
      <c r="F3342" s="7" t="str">
        <f>IFERROR(__xludf.DUMMYFUNCTION("""COMPUTED_VALUE"""),"Withdrawn")</f>
        <v>Withdrawn</v>
      </c>
      <c r="G3342" s="7" t="str">
        <f>IFERROR(__xludf.DUMMYFUNCTION("""COMPUTED_VALUE"""),"Withdrawn")</f>
        <v>Withdrawn</v>
      </c>
      <c r="H3342" s="7"/>
      <c r="I3342" s="7" t="str">
        <f>IFERROR(__xludf.DUMMYFUNCTION("""COMPUTED_VALUE"""),"withdraw")</f>
        <v>withdraw</v>
      </c>
      <c r="J3342" s="7"/>
      <c r="K3342" s="7"/>
      <c r="L3342" s="8"/>
      <c r="M3342" s="7"/>
      <c r="N3342" s="7"/>
    </row>
    <row r="3343">
      <c r="A3343" s="7" t="str">
        <f>IFERROR(__xludf.DUMMYFUNCTION("""COMPUTED_VALUE"""),"194-SRW")</f>
        <v>194-SRW</v>
      </c>
      <c r="B3343" s="7" t="str">
        <f>IFERROR(__xludf.DUMMYFUNCTION("""COMPUTED_VALUE"""),"I Speak for the ��rboles: Developing a Dependency Treebank for Spanish L2 and Heritage Speakers")</f>
        <v>I Speak for the ��rboles: Developing a Dependency Treebank for Spanish L2 and Heritage Speakers</v>
      </c>
      <c r="C3343" s="7" t="str">
        <f>IFERROR(__xludf.DUMMYFUNCTION("""COMPUTED_VALUE"""),"We introduce the first set of Universal Dependencies (UD) annotations for Spanish learner writing from the UC Davis COWSL2H corpus. Our annotations include lemmatization, POS tagging, and syntactic dependencies. We adapt the existing UD framework for Span"&amp;"ish L1 to account for learner-specific features such as code-switching and non-canonical syntax. A suite of parsing evaluation experiments shows that parsers trained on learner data together with moderate sizes of Spanish L1 data can yield reasonable perf"&amp;"ormance. Our annotations and parsers will be openly accessible to motivate future development of learner-oriented language technologies.")</f>
        <v>We introduce the first set of Universal Dependencies (UD) annotations for Spanish learner writing from the UC Davis COWSL2H corpus. Our annotations include lemmatization, POS tagging, and syntactic dependencies. We adapt the existing UD framework for Spanish L1 to account for learner-specific features such as code-switching and non-canonical syntax. A suite of parsing evaluation experiments shows that parsers trained on learner data together with moderate sizes of Spanish L1 data can yield reasonable performance. Our annotations and parsers will be openly accessible to motivate future development of learner-oriented language technologies.</v>
      </c>
      <c r="D3343" s="7" t="str">
        <f>IFERROR(__xludf.DUMMYFUNCTION("""COMPUTED_VALUE"""),"Emiliana Pulido")</f>
        <v>Emiliana Pulido</v>
      </c>
      <c r="E3343" s="7" t="str">
        <f>IFERROR(__xludf.DUMMYFUNCTION("""COMPUTED_VALUE"""),"Yes")</f>
        <v>Yes</v>
      </c>
      <c r="F3343" s="7" t="str">
        <f>IFERROR(__xludf.DUMMYFUNCTION("""COMPUTED_VALUE"""),"IP-Poster")</f>
        <v>IP-Poster</v>
      </c>
      <c r="G3343" s="7" t="str">
        <f>IFERROR(__xludf.DUMMYFUNCTION("""COMPUTED_VALUE"""),"In-person")</f>
        <v>In-person</v>
      </c>
      <c r="H3343" s="7" t="str">
        <f>IFERROR(__xludf.DUMMYFUNCTION("""COMPUTED_VALUE"""),"Hall 4/5")</f>
        <v>Hall 4/5</v>
      </c>
      <c r="I3343" s="7" t="str">
        <f>IFERROR(__xludf.DUMMYFUNCTION("""COMPUTED_VALUE"""),"Session 7: IP-Posters")</f>
        <v>Session 7: IP-Posters</v>
      </c>
      <c r="J3343" s="7" t="str">
        <f>IFERROR(__xludf.DUMMYFUNCTION("""COMPUTED_VALUE"""),"Student Research Workshop - In-Person Posters 1")</f>
        <v>Student Research Workshop - In-Person Posters 1</v>
      </c>
      <c r="K3343" s="7"/>
      <c r="L3343" s="8">
        <f>IFERROR(__xludf.DUMMYFUNCTION("""COMPUTED_VALUE"""),45867.0)</f>
        <v>45867</v>
      </c>
      <c r="M3343" s="7" t="str">
        <f>IFERROR(__xludf.DUMMYFUNCTION("""COMPUTED_VALUE"""),"10:30-12:00")</f>
        <v>10:30-12:00</v>
      </c>
      <c r="N3343" s="7"/>
    </row>
    <row r="3344">
      <c r="A3344" s="7" t="str">
        <f>IFERROR(__xludf.DUMMYFUNCTION("""COMPUTED_VALUE"""),"195-SRW")</f>
        <v>195-SRW</v>
      </c>
      <c r="B3344" s="7" t="str">
        <f>IFERROR(__xludf.DUMMYFUNCTION("""COMPUTED_VALUE"""),"SimBench: Benchmarking the Ability of Large Language Models to Simulate Human Behaviors")</f>
        <v>SimBench: Benchmarking the Ability of Large Language Models to Simulate Human Behaviors</v>
      </c>
      <c r="C3344" s="7" t="str">
        <f>IFERROR(__xludf.DUMMYFUNCTION("""COMPUTED_VALUE"""),"Simulations of human behavior based on large language models (LLMs) have the potential to revolutionize the social and behavioral sciences, if and only if they faithfully reflect real human behaviors. Prior work across many disciplines has evaluated the s"&amp;"imulation capabilities of specific LLMs in specific experimental settings, but often produced disparate results. To move towards a more robust understanding, we introduce SimBench, the first large-scale benchmark to evaluate how well LLMs can simulate gro"&amp;"up-level human behaviors across diverse settings and tasks. SimBench compiles 20 datasets in a unified format, measuring diverse types of behavior (e.g., decision-making vs. self-assessment) across hundreds of thousands of diverse participants from differ"&amp;"ent parts of the world. Using SimBench, we can ask fundamental questions regarding when, how, and why LLM simulations succeed or fail. For example, we show that, while even the best LLMs today have limited simulation ability, there is a clear log-linear s"&amp;"caling relationship with model size, and a strong correlation between simulation and scientific reasoning abilities. We also show that base LLMs, on average, are better at simulating high-entropy response distributions, while the opposite holds for instru"&amp;"ction-tuned LLMs. By making progress measurable, we hope that SimBench can accelerate the development of better LLM simulators in the future.")</f>
        <v>Simulations of human behavior based on large language models (LLMs) have the potential to revolutionize the social and behavioral sciences, if and only if they faithfully reflect real human behaviors. Prior work across many disciplines has evaluated the simulation capabilities of specific LLMs in specific experimental settings, but often produced disparate results. To move towards a more robust understanding, we introduce SimBench, the first large-scale benchmark to evaluate how well LLMs can simulate group-level human behaviors across diverse settings and tasks. SimBench compiles 20 datasets in a unified format, measuring diverse types of behavior (e.g., decision-making vs. self-assessment) across hundreds of thousands of diverse participants from different parts of the world. Using SimBench, we can ask fundamental questions regarding when, how, and why LLM simulations succeed or fail. For example, we show that, while even the best LLMs today have limited simulation ability, there is a clear log-linear scaling relationship with model size, and a strong correlation between simulation and scientific reasoning abilities. We also show that base LLMs, on average, are better at simulating high-entropy response distributions, while the opposite holds for instruction-tuned LLMs. By making progress measurable, we hope that SimBench can accelerate the development of better LLM simulators in the future.</v>
      </c>
      <c r="D3344" s="7" t="str">
        <f>IFERROR(__xludf.DUMMYFUNCTION("""COMPUTED_VALUE"""),"Tiancheng Hu")</f>
        <v>Tiancheng Hu</v>
      </c>
      <c r="E3344" s="7" t="str">
        <f>IFERROR(__xludf.DUMMYFUNCTION("""COMPUTED_VALUE"""),"Yes")</f>
        <v>Yes</v>
      </c>
      <c r="F3344" s="7" t="str">
        <f>IFERROR(__xludf.DUMMYFUNCTION("""COMPUTED_VALUE"""),"IP-Oral")</f>
        <v>IP-Oral</v>
      </c>
      <c r="G3344" s="7" t="str">
        <f>IFERROR(__xludf.DUMMYFUNCTION("""COMPUTED_VALUE"""),"In-Person")</f>
        <v>In-Person</v>
      </c>
      <c r="H3344" s="7" t="str">
        <f>IFERROR(__xludf.DUMMYFUNCTION("""COMPUTED_VALUE"""),"Hall N.2")</f>
        <v>Hall N.2</v>
      </c>
      <c r="I3344" s="7" t="str">
        <f>IFERROR(__xludf.DUMMYFUNCTION("""COMPUTED_VALUE"""),"Session 3: IP-Orals")</f>
        <v>Session 3: IP-Orals</v>
      </c>
      <c r="J3344" s="7" t="str">
        <f>IFERROR(__xludf.DUMMYFUNCTION("""COMPUTED_VALUE"""),"Student Research Workshop")</f>
        <v>Student Research Workshop</v>
      </c>
      <c r="K3344" s="7"/>
      <c r="L3344" s="8">
        <f>IFERROR(__xludf.DUMMYFUNCTION("""COMPUTED_VALUE"""),45866.0)</f>
        <v>45866</v>
      </c>
      <c r="M3344" s="7" t="str">
        <f>IFERROR(__xludf.DUMMYFUNCTION("""COMPUTED_VALUE"""),"14:00-15:30")</f>
        <v>14:00-15:30</v>
      </c>
      <c r="N3344" s="7">
        <f>IFERROR(__xludf.DUMMYFUNCTION("""COMPUTED_VALUE"""),4.0)</f>
        <v>4</v>
      </c>
    </row>
    <row r="3345">
      <c r="A3345" s="7" t="str">
        <f>IFERROR(__xludf.DUMMYFUNCTION("""COMPUTED_VALUE"""),"196-SRW")</f>
        <v>196-SRW</v>
      </c>
      <c r="B3345" s="7" t="str">
        <f>IFERROR(__xludf.DUMMYFUNCTION("""COMPUTED_VALUE"""),"Evaluating Tokenizer Adaptation Methods for Large Language Models on Low-Resource Programming Languages")</f>
        <v>Evaluating Tokenizer Adaptation Methods for Large Language Models on Low-Resource Programming Languages</v>
      </c>
      <c r="C3345" s="7" t="str">
        <f>IFERROR(__xludf.DUMMYFUNCTION("""COMPUTED_VALUE"""),"Large language models, mostly trained on high-resource programming languages, but perform sub-optimally for low-resource ones. This study investigates the impact of tokenizer adaptation methods on improving code generation for LRPLs. We evaluate popular S"&amp;"tarCoder 2 and DeepSeek-Coder model adapted to Elixir and Racket using methods such as Fast Vocabulary Transfer (FVT), FOCUS, and Zero-shot Tokenizer Transfer (ZeTT). Our experiments reveal that ZeTT outperforms other methods, achieving significant improv"&amp;"ements in handling syntax, program logic, and data types for LRPLs. However, we also highlight performance declines in non-target languages like Python after tokenizer adaptation. The study approves the positive impact of tokenizer adaptation in enhancing"&amp;" LRPL code generation and suggest directions for future research, including token embeddings improvement.")</f>
        <v>Large language models, mostly trained on high-resource programming languages, but perform sub-optimally for low-resource ones. This study investigates the impact of tokenizer adaptation methods on improving code generation for LRPLs. We evaluate popular StarCoder 2 and DeepSeek-Coder model adapted to Elixir and Racket using methods such as Fast Vocabulary Transfer (FVT), FOCUS, and Zero-shot Tokenizer Transfer (ZeTT). Our experiments reveal that ZeTT outperforms other methods, achieving significant improvements in handling syntax, program logic, and data types for LRPLs. However, we also highlight performance declines in non-target languages like Python after tokenizer adaptation. The study approves the positive impact of tokenizer adaptation in enhancing LRPL code generation and suggest directions for future research, including token embeddings improvement.</v>
      </c>
      <c r="D3345" s="7" t="str">
        <f>IFERROR(__xludf.DUMMYFUNCTION("""COMPUTED_VALUE"""),"Georgii Andriushchenko")</f>
        <v>Georgii Andriushchenko</v>
      </c>
      <c r="E3345" s="7" t="str">
        <f>IFERROR(__xludf.DUMMYFUNCTION("""COMPUTED_VALUE"""),"Yes")</f>
        <v>Yes</v>
      </c>
      <c r="F3345" s="7" t="str">
        <f>IFERROR(__xludf.DUMMYFUNCTION("""COMPUTED_VALUE"""),"Virtual/Gather")</f>
        <v>Virtual/Gather</v>
      </c>
      <c r="G3345" s="7" t="str">
        <f>IFERROR(__xludf.DUMMYFUNCTION("""COMPUTED_VALUE"""),"Virtual/Gather")</f>
        <v>Virtual/Gather</v>
      </c>
      <c r="H3345" s="7" t="str">
        <f>IFERROR(__xludf.DUMMYFUNCTION("""COMPUTED_VALUE"""),"Zoom")</f>
        <v>Zoom</v>
      </c>
      <c r="I3345" s="7" t="str">
        <f>IFERROR(__xludf.DUMMYFUNCTION("""COMPUTED_VALUE"""),"Session 7: V--Presentations ")</f>
        <v>Session 7: V--Presentations </v>
      </c>
      <c r="J3345" s="7" t="str">
        <f>IFERROR(__xludf.DUMMYFUNCTION("""COMPUTED_VALUE"""),"Student Research Workshop - Virtual Presentations 1")</f>
        <v>Student Research Workshop - Virtual Presentations 1</v>
      </c>
      <c r="K3345" s="7"/>
      <c r="L3345" s="8"/>
      <c r="M3345" s="7" t="str">
        <f>IFERROR(__xludf.DUMMYFUNCTION("""COMPUTED_VALUE"""),"10:30-12:00")</f>
        <v>10:30-12:00</v>
      </c>
      <c r="N3345" s="7">
        <f>IFERROR(__xludf.DUMMYFUNCTION("""COMPUTED_VALUE"""),13.0)</f>
        <v>13</v>
      </c>
    </row>
    <row r="3346">
      <c r="A3346" s="7" t="str">
        <f>IFERROR(__xludf.DUMMYFUNCTION("""COMPUTED_VALUE"""),"198-SRW")</f>
        <v>198-SRW</v>
      </c>
      <c r="B3346" s="7" t="str">
        <f>IFERROR(__xludf.DUMMYFUNCTION("""COMPUTED_VALUE"""),"Adversarial Tokenization")</f>
        <v>Adversarial Tokenization</v>
      </c>
      <c r="C3346" s="7" t="str">
        <f>IFERROR(__xludf.DUMMYFUNCTION("""COMPUTED_VALUE"""),"Current LLM pipelines account for only one possible tokenization for a given string, ignoring exponentially many alternative tokenizations during training and inference. For example, the standard Llama3 tokenization of penguin is [p,enguin], yet [peng,uin"&amp;"] is another perfectly valid alternative. In this paper, we show that despite LLMs being trained solely on one tokenization, they still retain semantic understanding of other tokenizations, raising questions about their implications in LLM safety. Put suc"&amp;"cinctly, we answer the following question: can we adversarially tokenize an obviously malicious string to evade safety and alignment restrictions? We show that not only is adversarial tokenization an effective yet previously neglected axis of attack, but "&amp;"it is also competitive against existing state-of-the-art adversarial approaches without changing the text of the harmful request. We empirically validate this exploit across three state-of-the-art LLMs and adversarial datasets, revealing a previously unkn"&amp;"own vulnerability in subword models.")</f>
        <v>Current LLM pipelines account for only one possible tokenization for a given string, ignoring exponentially many alternative tokenizations during training and inference. For example, the standard Llama3 tokenization of penguin is [p,enguin], yet [peng,uin] is another perfectly valid alternative. In this paper, we show that despite LLMs being trained solely on one tokenization, they still retain semantic understanding of other tokenizations, raising questions about their implications in LLM safety. Put succinctly, we answer the following question: can we adversarially tokenize an obviously malicious string to evade safety and alignment restrictions? We show that not only is adversarial tokenization an effective yet previously neglected axis of attack, but it is also competitive against existing state-of-the-art adversarial approaches without changing the text of the harmful request. We empirically validate this exploit across three state-of-the-art LLMs and adversarial datasets, revealing a previously unknown vulnerability in subword models.</v>
      </c>
      <c r="D3346" s="7" t="str">
        <f>IFERROR(__xludf.DUMMYFUNCTION("""COMPUTED_VALUE"""),"Renato Lui Geh")</f>
        <v>Renato Lui Geh</v>
      </c>
      <c r="E3346" s="7" t="str">
        <f>IFERROR(__xludf.DUMMYFUNCTION("""COMPUTED_VALUE"""),"Yes")</f>
        <v>Yes</v>
      </c>
      <c r="F3346" s="7" t="str">
        <f>IFERROR(__xludf.DUMMYFUNCTION("""COMPUTED_VALUE"""),"IP-Oral")</f>
        <v>IP-Oral</v>
      </c>
      <c r="G3346" s="7" t="str">
        <f>IFERROR(__xludf.DUMMYFUNCTION("""COMPUTED_VALUE"""),"In-Person")</f>
        <v>In-Person</v>
      </c>
      <c r="H3346" s="7" t="str">
        <f>IFERROR(__xludf.DUMMYFUNCTION("""COMPUTED_VALUE"""),"Hall N.2")</f>
        <v>Hall N.2</v>
      </c>
      <c r="I3346" s="7" t="str">
        <f>IFERROR(__xludf.DUMMYFUNCTION("""COMPUTED_VALUE"""),"Session 3: IP-Orals")</f>
        <v>Session 3: IP-Orals</v>
      </c>
      <c r="J3346" s="7" t="str">
        <f>IFERROR(__xludf.DUMMYFUNCTION("""COMPUTED_VALUE"""),"Student Research Workshop")</f>
        <v>Student Research Workshop</v>
      </c>
      <c r="K3346" s="7"/>
      <c r="L3346" s="8">
        <f>IFERROR(__xludf.DUMMYFUNCTION("""COMPUTED_VALUE"""),45866.0)</f>
        <v>45866</v>
      </c>
      <c r="M3346" s="7" t="str">
        <f>IFERROR(__xludf.DUMMYFUNCTION("""COMPUTED_VALUE"""),"14:00-15:30")</f>
        <v>14:00-15:30</v>
      </c>
      <c r="N3346" s="7">
        <f>IFERROR(__xludf.DUMMYFUNCTION("""COMPUTED_VALUE"""),5.0)</f>
        <v>5</v>
      </c>
    </row>
    <row r="3347">
      <c r="A3347" s="7" t="str">
        <f>IFERROR(__xludf.DUMMYFUNCTION("""COMPUTED_VALUE"""),"199-SRW")</f>
        <v>199-SRW</v>
      </c>
      <c r="B3347" s="7" t="str">
        <f>IFERROR(__xludf.DUMMYFUNCTION("""COMPUTED_VALUE"""),"Learning and Enforcing Context-Sensitive Control for LLMs")</f>
        <v>Learning and Enforcing Context-Sensitive Control for LLMs</v>
      </c>
      <c r="C3347" s="7" t="str">
        <f>IFERROR(__xludf.DUMMYFUNCTION("""COMPUTED_VALUE"""),"Controlling the output of Large Language Models (LLMs) through context-sensitive constraints has emerged as a promising approach to overcome the limitations of Context-Free Grammars (CFGs) in guaranteeing generation validity. However, such constraints typ"&amp;"ically require manual specification---a significant barrier demanding specialized expertise. We introduce a framework that automatically learns context-sensitive constraints from LLM interactions through a two-phase process: syntactic exploration to gathe"&amp;"r diverse outputs for constraint learning, followed by constraint exploitation to enforce these learned rules during generation. Experiments demonstrate that our method enables even small LLMs (1B parameters) to learn and generate with perfect constraint "&amp;"adherence, outperforming larger counterparts and state-of-the-art reasoning models. This work represents the first integration of context-sensitive grammar learning with LLM generation, eliminating manual specification while maintaining generation validit"&amp;"y.")</f>
        <v>Controlling the output of Large Language Models (LLMs) through context-sensitive constraints has emerged as a promising approach to overcome the limitations of Context-Free Grammars (CFGs) in guaranteeing generation validity. However, such constraints typically require manual specification---a significant barrier demanding specialized expertise. We introduce a framework that automatically learns context-sensitive constraints from LLM interactions through a two-phase process: syntactic exploration to gather diverse outputs for constraint learning, followed by constraint exploitation to enforce these learned rules during generation. Experiments demonstrate that our method enables even small LLMs (1B parameters) to learn and generate with perfect constraint adherence, outperforming larger counterparts and state-of-the-art reasoning models. This work represents the first integration of context-sensitive grammar learning with LLM generation, eliminating manual specification while maintaining generation validity.</v>
      </c>
      <c r="D3347" s="7" t="str">
        <f>IFERROR(__xludf.DUMMYFUNCTION("""COMPUTED_VALUE"""),"Mohammad Albinhassan")</f>
        <v>Mohammad Albinhassan</v>
      </c>
      <c r="E3347" s="7" t="str">
        <f>IFERROR(__xludf.DUMMYFUNCTION("""COMPUTED_VALUE"""),"Yes")</f>
        <v>Yes</v>
      </c>
      <c r="F3347" s="7" t="str">
        <f>IFERROR(__xludf.DUMMYFUNCTION("""COMPUTED_VALUE"""),"IP-Poster")</f>
        <v>IP-Poster</v>
      </c>
      <c r="G3347" s="7" t="str">
        <f>IFERROR(__xludf.DUMMYFUNCTION("""COMPUTED_VALUE"""),"In-person")</f>
        <v>In-person</v>
      </c>
      <c r="H3347" s="7" t="str">
        <f>IFERROR(__xludf.DUMMYFUNCTION("""COMPUTED_VALUE"""),"Hall 4/5")</f>
        <v>Hall 4/5</v>
      </c>
      <c r="I3347" s="7" t="str">
        <f>IFERROR(__xludf.DUMMYFUNCTION("""COMPUTED_VALUE"""),"Session 10: IP-Posters")</f>
        <v>Session 10: IP-Posters</v>
      </c>
      <c r="J3347" s="7" t="str">
        <f>IFERROR(__xludf.DUMMYFUNCTION("""COMPUTED_VALUE"""),"Student Research Workshop - In-Person Posters 2")</f>
        <v>Student Research Workshop - In-Person Posters 2</v>
      </c>
      <c r="K3347" s="7"/>
      <c r="L3347" s="8">
        <f>IFERROR(__xludf.DUMMYFUNCTION("""COMPUTED_VALUE"""),45867.0)</f>
        <v>45867</v>
      </c>
      <c r="M3347" s="7" t="str">
        <f>IFERROR(__xludf.DUMMYFUNCTION("""COMPUTED_VALUE"""),"16:00-17:30")</f>
        <v>16:00-17:30</v>
      </c>
      <c r="N3347" s="7"/>
    </row>
    <row r="3348">
      <c r="A3348" s="7" t="str">
        <f>IFERROR(__xludf.DUMMYFUNCTION("""COMPUTED_VALUE"""),"203-SRW")</f>
        <v>203-SRW</v>
      </c>
      <c r="B3348" s="7" t="str">
        <f>IFERROR(__xludf.DUMMYFUNCTION("""COMPUTED_VALUE"""),"Unwrapping Circularity: Can Transformers Learn Languages with Circular Schemes?")</f>
        <v>Unwrapping Circularity: Can Transformers Learn Languages with Circular Schemes?</v>
      </c>
      <c r="C3348" s="7" t="str">
        <f>IFERROR(__xludf.DUMMYFUNCTION("""COMPUTED_VALUE"""),"The success of Transformer-based language models in NLP has sparked debate about their ability to simulate human language learning. Chomsky contends that these models indiscriminately acquire both natural and ""impossible"" languages. While recent studies"&amp;" have challenged this claim, the capacity of Transformers to handle unconventional linguistic structures remains underexplored.
Inspired by natural and speculative languages with circular structural properties, this study examines the ability of GPT-2 to "&amp;"learn languages featuring circular schemes. We synthesize such circular languages by mapping original sequences onto textual circles and then relinearize them using parametric, mathematically invertible procedures that ""unwrap"" the circles into linear s"&amp;"equences.
We train GPT-2 models on these relinearized corpora and assess the impact of linearization parameters by tracking structural distortion and measuring perplexity. Interestingly, high levels of distortion relative to the original structures do not"&amp;" necessarily correspond to increased perplexity, suggesting that GPT-2 is relatively insensitive to global token order during language acquisition. Instead, preserving local context during linearization plays a more critical role in model learning. Furthe"&amp;"r analysis using surprisal differences reveals that positional shifts pose greater challenges to the model than changes in stride or direction, underscoring the nuanced effects of linearization strategies. These findings offer new insights into the induct"&amp;"ive biases of Transformer-based models in acquiring unconventional linguistic structures.")</f>
        <v>The success of Transformer-based language models in NLP has sparked debate about their ability to simulate human language learning. Chomsky contends that these models indiscriminately acquire both natural and "impossible" languages. While recent studies have challenged this claim, the capacity of Transformers to handle unconventional linguistic structures remains underexplored.
Inspired by natural and speculative languages with circular structural properties, this study examines the ability of GPT-2 to learn languages featuring circular schemes. We synthesize such circular languages by mapping original sequences onto textual circles and then relinearize them using parametric, mathematically invertible procedures that "unwrap" the circles into linear sequences.
We train GPT-2 models on these relinearized corpora and assess the impact of linearization parameters by tracking structural distortion and measuring perplexity. Interestingly, high levels of distortion relative to the original structures do not necessarily correspond to increased perplexity, suggesting that GPT-2 is relatively insensitive to global token order during language acquisition. Instead, preserving local context during linearization plays a more critical role in model learning. Further analysis using surprisal differences reveals that positional shifts pose greater challenges to the model than changes in stride or direction, underscoring the nuanced effects of linearization strategies. These findings offer new insights into the inductive biases of Transformer-based models in acquiring unconventional linguistic structures.</v>
      </c>
      <c r="D3348" s="7" t="str">
        <f>IFERROR(__xludf.DUMMYFUNCTION("""COMPUTED_VALUE"""),"Xiulin Yang")</f>
        <v>Xiulin Yang</v>
      </c>
      <c r="E3348" s="7" t="str">
        <f>IFERROR(__xludf.DUMMYFUNCTION("""COMPUTED_VALUE"""),"Yes")</f>
        <v>Yes</v>
      </c>
      <c r="F3348" s="7" t="str">
        <f>IFERROR(__xludf.DUMMYFUNCTION("""COMPUTED_VALUE"""),"IP-Poster")</f>
        <v>IP-Poster</v>
      </c>
      <c r="G3348" s="7" t="str">
        <f>IFERROR(__xludf.DUMMYFUNCTION("""COMPUTED_VALUE"""),"In-person")</f>
        <v>In-person</v>
      </c>
      <c r="H3348" s="7" t="str">
        <f>IFERROR(__xludf.DUMMYFUNCTION("""COMPUTED_VALUE"""),"Hall 4/5")</f>
        <v>Hall 4/5</v>
      </c>
      <c r="I3348" s="7" t="str">
        <f>IFERROR(__xludf.DUMMYFUNCTION("""COMPUTED_VALUE"""),"Session 10: IP-Posters")</f>
        <v>Session 10: IP-Posters</v>
      </c>
      <c r="J3348" s="7" t="str">
        <f>IFERROR(__xludf.DUMMYFUNCTION("""COMPUTED_VALUE"""),"Student Research Workshop - In-Person Posters 2")</f>
        <v>Student Research Workshop - In-Person Posters 2</v>
      </c>
      <c r="K3348" s="7"/>
      <c r="L3348" s="8">
        <f>IFERROR(__xludf.DUMMYFUNCTION("""COMPUTED_VALUE"""),45867.0)</f>
        <v>45867</v>
      </c>
      <c r="M3348" s="7" t="str">
        <f>IFERROR(__xludf.DUMMYFUNCTION("""COMPUTED_VALUE"""),"16:00-17:30")</f>
        <v>16:00-17:30</v>
      </c>
      <c r="N3348" s="7"/>
    </row>
    <row r="3349">
      <c r="A3349" s="7" t="str">
        <f>IFERROR(__xludf.DUMMYFUNCTION("""COMPUTED_VALUE"""),"216-SRW")</f>
        <v>216-SRW</v>
      </c>
      <c r="B3349" s="7" t="str">
        <f>IFERROR(__xludf.DUMMYFUNCTION("""COMPUTED_VALUE"""),"When Will the Tokens End? Graph-Based Forecasting for LLMs Output Length")</f>
        <v>When Will the Tokens End? Graph-Based Forecasting for LLMs Output Length</v>
      </c>
      <c r="C3349" s="7" t="str">
        <f>IFERROR(__xludf.DUMMYFUNCTION("""COMPUTED_VALUE"""),"Large Language Models (LLMs) are typically trained to predict the next token in a sequence. However, their internal representations often encode signals that go beyond immediate next-token prediction. In this work, we investigate whether these hidden stat"&amp;"es also carry information about the remaining length of the generated output—an implicit form of foresight \cite{pal-etal-2023-future}. We formulate this as a regression problem where, at generation step $t$, the target is the number of remaining tokens $"&amp;"y_t = T - t$, with $T$ as the total output length.
We propose two approaches: (1) an aggregation-based model that combines hidden states from multiple transformer layers $\ell \in \{8, \dots, 15\}$ using element-wise operations such as mean or sum, and ("&amp;"2) a \textit{Layerwise Graph Regressor} that treats layerwise hidden states as nodes in a fully connected graph and applies a Graph Neural Network (GNN) to predict $y_t$. Both models operate on frozen LLM embeddings without requiring end-to-end fine-tunin"&amp;"g.
Accurately estimating remaining output length has both theoretical and practical implications. From an interpretability standpoint, it suggests that LLMs internally track their generation progress. From a systems perspective, it enables optimizations "&amp;"such as output-length-aware scheduling \cite{shahout2024dontstopnowembedding}. Our graph-based model achieves state-of-the-art performance on the Alpaca dataset using LLaMA-3-8B-Instruct, reducing normalized mean absolute error (NMAE) by over 50\% in shor"&amp;"t-output scenarios.")</f>
        <v>Large Language Models (LLMs) are typically trained to predict the next token in a sequence. However, their internal representations often encode signals that go beyond immediate next-token prediction. In this work, we investigate whether these hidden states also carry information about the remaining length of the generated output—an implicit form of foresight \cite{pal-etal-2023-future}. We formulate this as a regression problem where, at generation step $t$, the target is the number of remaining tokens $y_t = T - t$, with $T$ as the total output length.
We propose two approaches: (1) an aggregation-based model that combines hidden states from multiple transformer layers $\ell \in \{8, \dots, 15\}$ using element-wise operations such as mean or sum, and (2) a \textit{Layerwise Graph Regressor} that treats layerwise hidden states as nodes in a fully connected graph and applies a Graph Neural Network (GNN) to predict $y_t$. Both models operate on frozen LLM embeddings without requiring end-to-end fine-tuning.
Accurately estimating remaining output length has both theoretical and practical implications. From an interpretability standpoint, it suggests that LLMs internally track their generation progress. From a systems perspective, it enables optimizations such as output-length-aware scheduling \cite{shahout2024dontstopnowembedding}. Our graph-based model achieves state-of-the-art performance on the Alpaca dataset using LLaMA-3-8B-Instruct, reducing normalized mean absolute error (NMAE) by over 50\% in short-output scenarios.</v>
      </c>
      <c r="D3349" s="7" t="str">
        <f>IFERROR(__xludf.DUMMYFUNCTION("""COMPUTED_VALUE"""),"Grzegorz Piotrowski")</f>
        <v>Grzegorz Piotrowski</v>
      </c>
      <c r="E3349" s="7" t="str">
        <f>IFERROR(__xludf.DUMMYFUNCTION("""COMPUTED_VALUE"""),"Yes")</f>
        <v>Yes</v>
      </c>
      <c r="F3349" s="7" t="str">
        <f>IFERROR(__xludf.DUMMYFUNCTION("""COMPUTED_VALUE"""),"IP-Poster")</f>
        <v>IP-Poster</v>
      </c>
      <c r="G3349" s="7" t="str">
        <f>IFERROR(__xludf.DUMMYFUNCTION("""COMPUTED_VALUE"""),"In-person")</f>
        <v>In-person</v>
      </c>
      <c r="H3349" s="7" t="str">
        <f>IFERROR(__xludf.DUMMYFUNCTION("""COMPUTED_VALUE"""),"Hall 4/5")</f>
        <v>Hall 4/5</v>
      </c>
      <c r="I3349" s="7" t="str">
        <f>IFERROR(__xludf.DUMMYFUNCTION("""COMPUTED_VALUE"""),"Session 10: IP-Posters")</f>
        <v>Session 10: IP-Posters</v>
      </c>
      <c r="J3349" s="7" t="str">
        <f>IFERROR(__xludf.DUMMYFUNCTION("""COMPUTED_VALUE"""),"Student Research Workshop - In-Person Posters 2")</f>
        <v>Student Research Workshop - In-Person Posters 2</v>
      </c>
      <c r="K3349" s="7"/>
      <c r="L3349" s="8">
        <f>IFERROR(__xludf.DUMMYFUNCTION("""COMPUTED_VALUE"""),45867.0)</f>
        <v>45867</v>
      </c>
      <c r="M3349" s="7" t="str">
        <f>IFERROR(__xludf.DUMMYFUNCTION("""COMPUTED_VALUE"""),"16:00-17:30")</f>
        <v>16:00-17:30</v>
      </c>
      <c r="N3349" s="7"/>
    </row>
    <row r="3350">
      <c r="A3350" s="7" t="str">
        <f>IFERROR(__xludf.DUMMYFUNCTION("""COMPUTED_VALUE"""),"218-SRW")</f>
        <v>218-SRW</v>
      </c>
      <c r="B3350" s="7" t="str">
        <f>IFERROR(__xludf.DUMMYFUNCTION("""COMPUTED_VALUE"""),"Only for the Unseen Languages, Say the Llamas: On the Efficacy of Language Adapters for Cross-lingual Transfer in English-centric LLMs")</f>
        <v>Only for the Unseen Languages, Say the Llamas: On the Efficacy of Language Adapters for Cross-lingual Transfer in English-centric LLMs</v>
      </c>
      <c r="C3350" s="7" t="str">
        <f>IFERROR(__xludf.DUMMYFUNCTION("""COMPUTED_VALUE"""),"Most state-of-the-art large language models (LLMs) are trained mainly on English data, limiting their effectiveness on non-English, especially low-resource, languages. This study investigates whether language adapters can facilitate cross-lingual transfer"&amp;" in English-centric LLMs. We train language adapters for 13 languages using Llama 2 (7B) and Llama 3.1 (8B) as base models, and evaluate their effectiveness on two downstream tasks (MLQA and SIB-200) using either task adapters or in-context learning. Our "&amp;"results reveal that language adapters improve performance for languages not seen during pretraining, but provide negligible benefit for seen languages. These findings highlight the limitations of language adapters as a general solution for multilingual ad"&amp;"aptation in English-centric LLMs.")</f>
        <v>Most state-of-the-art large language models (LLMs) are trained mainly on English data, limiting their effectiveness on non-English, especially low-resource, languages. This study investigates whether language adapters can facilitate cross-lingual transfer in English-centric LLMs. We train language adapters for 13 languages using Llama 2 (7B) and Llama 3.1 (8B) as base models, and evaluate their effectiveness on two downstream tasks (MLQA and SIB-200) using either task adapters or in-context learning. Our results reveal that language adapters improve performance for languages not seen during pretraining, but provide negligible benefit for seen languages. These findings highlight the limitations of language adapters as a general solution for multilingual adaptation in English-centric LLMs.</v>
      </c>
      <c r="D3350" s="7" t="str">
        <f>IFERROR(__xludf.DUMMYFUNCTION("""COMPUTED_VALUE"""),"Julian Schlenker")</f>
        <v>Julian Schlenker</v>
      </c>
      <c r="E3350" s="7" t="str">
        <f>IFERROR(__xludf.DUMMYFUNCTION("""COMPUTED_VALUE"""),"Yes")</f>
        <v>Yes</v>
      </c>
      <c r="F3350" s="7" t="str">
        <f>IFERROR(__xludf.DUMMYFUNCTION("""COMPUTED_VALUE"""),"IP-Poster")</f>
        <v>IP-Poster</v>
      </c>
      <c r="G3350" s="7" t="str">
        <f>IFERROR(__xludf.DUMMYFUNCTION("""COMPUTED_VALUE"""),"In-person")</f>
        <v>In-person</v>
      </c>
      <c r="H3350" s="7" t="str">
        <f>IFERROR(__xludf.DUMMYFUNCTION("""COMPUTED_VALUE"""),"Hall 4/5")</f>
        <v>Hall 4/5</v>
      </c>
      <c r="I3350" s="7" t="str">
        <f>IFERROR(__xludf.DUMMYFUNCTION("""COMPUTED_VALUE"""),"Session 10: IP-Posters")</f>
        <v>Session 10: IP-Posters</v>
      </c>
      <c r="J3350" s="7" t="str">
        <f>IFERROR(__xludf.DUMMYFUNCTION("""COMPUTED_VALUE"""),"Student Research Workshop - In-Person Posters 2")</f>
        <v>Student Research Workshop - In-Person Posters 2</v>
      </c>
      <c r="K3350" s="7"/>
      <c r="L3350" s="8">
        <f>IFERROR(__xludf.DUMMYFUNCTION("""COMPUTED_VALUE"""),45867.0)</f>
        <v>45867</v>
      </c>
      <c r="M3350" s="7" t="str">
        <f>IFERROR(__xludf.DUMMYFUNCTION("""COMPUTED_VALUE"""),"16:00-17:30")</f>
        <v>16:00-17:30</v>
      </c>
      <c r="N3350" s="7"/>
    </row>
    <row r="3351">
      <c r="A3351" s="7" t="str">
        <f>IFERROR(__xludf.DUMMYFUNCTION("""COMPUTED_VALUE"""),"224-SRW")</f>
        <v>224-SRW</v>
      </c>
      <c r="B3351" s="7" t="str">
        <f>IFERROR(__xludf.DUMMYFUNCTION("""COMPUTED_VALUE"""),"HyILR: Hyperbolic Instance-Specific Local Relationships for Hierarchical Text Classification")</f>
        <v>HyILR: Hyperbolic Instance-Specific Local Relationships for Hierarchical Text Classification</v>
      </c>
      <c r="C3351" s="7" t="str">
        <f>IFERROR(__xludf.DUMMYFUNCTION("""COMPUTED_VALUE"""),"Recent approaches to Hierarchical Text Classification (HTC) rely on capturing the global label hierarchy, which contains static and often redundant relationships. Instead, the hierarchical relationships within the instance-specific set of positive labels "&amp;"are more important, as they focus on the relevant parts of the hierarchy. These localized relationships can be modeled as a semantic alignment between the text and its positive labels within the embedding space. However, without explicitly encoding the gl"&amp;"obal hierarchy, achieving this alignment directly in Euclidean space is challenging, as its flat geometry does not naturally support hierarchical
relationships. To address this, we propose Hyperbolic Instance-Specific Local Relationships (HyILR), which mo"&amp;"dels instance-specific relationships using the Lorentz model of hyperbolic space. Text and label features are projected into hyperbolic space, where a contrastive loss aligns text with its labels. This loss is guided by a hierarchy-aware negative sampling"&amp;" strategy, ensuring the selection of structurally and semantically relevant negatives. By leveraging hyperbolic geometry for this alignment, our approach inherently captures hierarchical relationships and eliminates the need for global hierarchy encoding."&amp;" Experimental results on four benchmark datasets validate the superior performance of HyILR over baseline methods.")</f>
        <v>Recent approaches to Hierarchical Text Classification (HTC) rely on capturing the global label hierarchy, which contains static and often redundant relationships. Instead, the hierarchical relationships within the instance-specific set of positive labels are more important, as they focus on the relevant parts of the hierarchy. These localized relationships can be modeled as a semantic alignment between the text and its positive labels within the embedding space. However, without explicitly encoding the global hierarchy, achieving this alignment directly in Euclidean space is challenging, as its flat geometry does not naturally support hierarchical
relationships. To address this, we propose Hyperbolic Instance-Specific Local Relationships (HyILR), which models instance-specific relationships using the Lorentz model of hyperbolic space. Text and label features are projected into hyperbolic space, where a contrastive loss aligns text with its labels. This loss is guided by a hierarchy-aware negative sampling strategy, ensuring the selection of structurally and semantically relevant negatives. By leveraging hyperbolic geometry for this alignment, our approach inherently captures hierarchical relationships and eliminates the need for global hierarchy encoding. Experimental results on four benchmark datasets validate the superior performance of HyILR over baseline methods.</v>
      </c>
      <c r="D3351" s="7" t="str">
        <f>IFERROR(__xludf.DUMMYFUNCTION("""COMPUTED_VALUE"""),"Ashish Kumar")</f>
        <v>Ashish Kumar</v>
      </c>
      <c r="E3351" s="7" t="str">
        <f>IFERROR(__xludf.DUMMYFUNCTION("""COMPUTED_VALUE"""),"Yes")</f>
        <v>Yes</v>
      </c>
      <c r="F3351" s="7" t="str">
        <f>IFERROR(__xludf.DUMMYFUNCTION("""COMPUTED_VALUE"""),"IP-Poster")</f>
        <v>IP-Poster</v>
      </c>
      <c r="G3351" s="7" t="str">
        <f>IFERROR(__xludf.DUMMYFUNCTION("""COMPUTED_VALUE"""),"In-person")</f>
        <v>In-person</v>
      </c>
      <c r="H3351" s="7" t="str">
        <f>IFERROR(__xludf.DUMMYFUNCTION("""COMPUTED_VALUE"""),"Hall 4/5")</f>
        <v>Hall 4/5</v>
      </c>
      <c r="I3351" s="7" t="str">
        <f>IFERROR(__xludf.DUMMYFUNCTION("""COMPUTED_VALUE"""),"Session 10: IP-Posters")</f>
        <v>Session 10: IP-Posters</v>
      </c>
      <c r="J3351" s="7" t="str">
        <f>IFERROR(__xludf.DUMMYFUNCTION("""COMPUTED_VALUE"""),"Student Research Workshop - In-Person Posters 2")</f>
        <v>Student Research Workshop - In-Person Posters 2</v>
      </c>
      <c r="K3351" s="7"/>
      <c r="L3351" s="8">
        <f>IFERROR(__xludf.DUMMYFUNCTION("""COMPUTED_VALUE"""),45867.0)</f>
        <v>45867</v>
      </c>
      <c r="M3351" s="7" t="str">
        <f>IFERROR(__xludf.DUMMYFUNCTION("""COMPUTED_VALUE"""),"16:00-17:30")</f>
        <v>16:00-17:30</v>
      </c>
      <c r="N3351" s="7"/>
    </row>
    <row r="3352">
      <c r="A3352" s="7" t="str">
        <f>IFERROR(__xludf.DUMMYFUNCTION("""COMPUTED_VALUE"""),"229-SRW")</f>
        <v>229-SRW</v>
      </c>
      <c r="B3352" s="7" t="str">
        <f>IFERROR(__xludf.DUMMYFUNCTION("""COMPUTED_VALUE"""),"Are LLMs Truly Graph-Savvy? A Comprehensive Evaluation of Graph Generation")</f>
        <v>Are LLMs Truly Graph-Savvy? A Comprehensive Evaluation of Graph Generation</v>
      </c>
      <c r="C3352" s="7" t="str">
        <f>IFERROR(__xludf.DUMMYFUNCTION("""COMPUTED_VALUE"""),"While large language models (LLMs) have demonstrated impressive capabilities across diverse tasks, their ability to generate valid graph structures remains underexplored. We evaluate fifteen state-of-the-art LLMs on five specialized graph generation tasks"&amp;" spanning delivery networks, social networks, quantum circuits, gene-disease networks, and transportation systems. We also test the LLMs using 3 different prompt types: direct, iterative feedback, and program-augmented. Models supported with explicit reas"&amp;"oning modules (o3-mini-high, o1, Claude 3.7 Sonnet, DeepSeek-R1) solve more than twice as many tasks as their general-purpose peers, independent of parameter count. Error forensics reveals two recurring failure modes: Llama-family models often violate bas"&amp;"ic structural constraints, whereas Claude models respect topology but mismanage higher-order logical rules. Allowing models to iteratively refine their answers yields uneven gains, underscoring fundamental differences in error-correction capacity. This wo"&amp;"rk demonstrates that graph competence stems from specialized architectural design rather than scale, establishing a framework for developing truly graph-savvy language models. Results and verification scripts available at https://github.com/anonymized-for"&amp;"-the-blind-review.")</f>
        <v>While large language models (LLMs) have demonstrated impressive capabilities across diverse tasks, their ability to generate valid graph structures remains underexplored. We evaluate fifteen state-of-the-art LLMs on five specialized graph generation tasks spanning delivery networks, social networks, quantum circuits, gene-disease networks, and transportation systems. We also test the LLMs using 3 different prompt types: direct, iterative feedback, and program-augmented. Models supported with explicit reasoning modules (o3-mini-high, o1, Claude 3.7 Sonnet, DeepSeek-R1) solve more than twice as many tasks as their general-purpose peers, independent of parameter count. Error forensics reveals two recurring failure modes: Llama-family models often violate basic structural constraints, whereas Claude models respect topology but mismanage higher-order logical rules. Allowing models to iteratively refine their answers yields uneven gains, underscoring fundamental differences in error-correction capacity. This work demonstrates that graph competence stems from specialized architectural design rather than scale, establishing a framework for developing truly graph-savvy language models. Results and verification scripts available at https://github.com/anonymized-for-the-blind-review.</v>
      </c>
      <c r="D3352" s="7" t="str">
        <f>IFERROR(__xludf.DUMMYFUNCTION("""COMPUTED_VALUE"""),"Ege Demirci")</f>
        <v>Ege Demirci</v>
      </c>
      <c r="E3352" s="7" t="str">
        <f>IFERROR(__xludf.DUMMYFUNCTION("""COMPUTED_VALUE"""),"Yes")</f>
        <v>Yes</v>
      </c>
      <c r="F3352" s="7" t="str">
        <f>IFERROR(__xludf.DUMMYFUNCTION("""COMPUTED_VALUE"""),"Virtual/Gather")</f>
        <v>Virtual/Gather</v>
      </c>
      <c r="G3352" s="7" t="str">
        <f>IFERROR(__xludf.DUMMYFUNCTION("""COMPUTED_VALUE"""),"Virtual/Gather")</f>
        <v>Virtual/Gather</v>
      </c>
      <c r="H3352" s="7" t="str">
        <f>IFERROR(__xludf.DUMMYFUNCTION("""COMPUTED_VALUE"""),"Zoom")</f>
        <v>Zoom</v>
      </c>
      <c r="I3352" s="7" t="str">
        <f>IFERROR(__xludf.DUMMYFUNCTION("""COMPUTED_VALUE"""),"Session 10: V-Presenations")</f>
        <v>Session 10: V-Presenations</v>
      </c>
      <c r="J3352" s="7" t="str">
        <f>IFERROR(__xludf.DUMMYFUNCTION("""COMPUTED_VALUE"""),"Student Research Workshop - Virtual Presentations 2")</f>
        <v>Student Research Workshop - Virtual Presentations 2</v>
      </c>
      <c r="K3352" s="7"/>
      <c r="L3352" s="8">
        <f>IFERROR(__xludf.DUMMYFUNCTION("""COMPUTED_VALUE"""),45867.0)</f>
        <v>45867</v>
      </c>
      <c r="M3352" s="7" t="str">
        <f>IFERROR(__xludf.DUMMYFUNCTION("""COMPUTED_VALUE"""),"16:00-17:30")</f>
        <v>16:00-17:30</v>
      </c>
      <c r="N3352" s="7">
        <f>IFERROR(__xludf.DUMMYFUNCTION("""COMPUTED_VALUE"""),10.0)</f>
        <v>10</v>
      </c>
    </row>
    <row r="3353">
      <c r="A3353" s="7" t="str">
        <f>IFERROR(__xludf.DUMMYFUNCTION("""COMPUTED_VALUE"""),"232-SRW")</f>
        <v>232-SRW</v>
      </c>
      <c r="B3353" s="7" t="str">
        <f>IFERROR(__xludf.DUMMYFUNCTION("""COMPUTED_VALUE"""),"Pragmatic Perspective on Assessing Implicit Meaning Interpretation in Sentiment Analysis Models")</f>
        <v>Pragmatic Perspective on Assessing Implicit Meaning Interpretation in Sentiment Analysis Models</v>
      </c>
      <c r="C3353" s="7" t="str">
        <f>IFERROR(__xludf.DUMMYFUNCTION("""COMPUTED_VALUE"""),"Drawing on pragmatic theories of implicature by Grice (1975) and Levinson (1983), according to which speakers often convey more than it is explicitly said, the paper argues that interpreting texts with implicit meaning correctly is essential for precise s"&amp;"entiment analysis. To illustrate the challenges in computational interpretation of implicatures, the study introduces a series of illustrative micro-experiments with the use of four transformer models fine-tuned for sentiment analysis. In these micro-expe"&amp;"riments, the models classified sentences specifically designed to expose difficulties in handling implicit meaning. The study demonstrates that contrasting qualitative pragmatic analysis with the models' tendency to focus on formal linguistic markers can "&amp;"reveal the limitations of supervised machine learning methods in detecting implicit sentiments.")</f>
        <v>Drawing on pragmatic theories of implicature by Grice (1975) and Levinson (1983), according to which speakers often convey more than it is explicitly said, the paper argues that interpreting texts with implicit meaning correctly is essential for precise sentiment analysis. To illustrate the challenges in computational interpretation of implicatures, the study introduces a series of illustrative micro-experiments with the use of four transformer models fine-tuned for sentiment analysis. In these micro-experiments, the models classified sentences specifically designed to expose difficulties in handling implicit meaning. The study demonstrates that contrasting qualitative pragmatic analysis with the models' tendency to focus on formal linguistic markers can reveal the limitations of supervised machine learning methods in detecting implicit sentiments.</v>
      </c>
      <c r="D3353" s="7" t="str">
        <f>IFERROR(__xludf.DUMMYFUNCTION("""COMPUTED_VALUE"""),"Rashid Mustafin")</f>
        <v>Rashid Mustafin</v>
      </c>
      <c r="E3353" s="7" t="str">
        <f>IFERROR(__xludf.DUMMYFUNCTION("""COMPUTED_VALUE"""),"Yes")</f>
        <v>Yes</v>
      </c>
      <c r="F3353" s="7" t="str">
        <f>IFERROR(__xludf.DUMMYFUNCTION("""COMPUTED_VALUE"""),"IP-Poster")</f>
        <v>IP-Poster</v>
      </c>
      <c r="G3353" s="7" t="str">
        <f>IFERROR(__xludf.DUMMYFUNCTION("""COMPUTED_VALUE"""),"In-person")</f>
        <v>In-person</v>
      </c>
      <c r="H3353" s="7" t="str">
        <f>IFERROR(__xludf.DUMMYFUNCTION("""COMPUTED_VALUE"""),"Hall 4/5")</f>
        <v>Hall 4/5</v>
      </c>
      <c r="I3353" s="7" t="str">
        <f>IFERROR(__xludf.DUMMYFUNCTION("""COMPUTED_VALUE"""),"Session 10: IP-Posters")</f>
        <v>Session 10: IP-Posters</v>
      </c>
      <c r="J3353" s="7" t="str">
        <f>IFERROR(__xludf.DUMMYFUNCTION("""COMPUTED_VALUE"""),"Student Research Workshop - In-Person Posters 2")</f>
        <v>Student Research Workshop - In-Person Posters 2</v>
      </c>
      <c r="K3353" s="7"/>
      <c r="L3353" s="8">
        <f>IFERROR(__xludf.DUMMYFUNCTION("""COMPUTED_VALUE"""),45867.0)</f>
        <v>45867</v>
      </c>
      <c r="M3353" s="7" t="str">
        <f>IFERROR(__xludf.DUMMYFUNCTION("""COMPUTED_VALUE"""),"16:00-17:30")</f>
        <v>16:00-17:30</v>
      </c>
      <c r="N3353" s="7"/>
    </row>
    <row r="3354">
      <c r="A3354" s="7" t="str">
        <f>IFERROR(__xludf.DUMMYFUNCTION("""COMPUTED_VALUE"""),"238-SRW")</f>
        <v>238-SRW</v>
      </c>
      <c r="B3354" s="7" t="str">
        <f>IFERROR(__xludf.DUMMYFUNCTION("""COMPUTED_VALUE"""),"Foundations of PEERS: Assessing LLM Role Performance in Educational Simulations")</f>
        <v>Foundations of PEERS: Assessing LLM Role Performance in Educational Simulations</v>
      </c>
      <c r="C3354" s="7" t="str">
        <f>IFERROR(__xludf.DUMMYFUNCTION("""COMPUTED_VALUE"""),"In education, peer instruction (PI) is widely recognized as an effective active learning strategy. However, real-world evaluations of PI are often limited by logistical constraints and variability in classroom settings. This paper introduces PEERS (Peer E"&amp;"nhanced Educational Realistic Simulation), a simulation framework that integrates Agent-Based Modeling (ABM), Large Language Models (LLMs), and Bayesian Knowledge Tracing (BKT) to emulate student learning dynamics. As an initial step, this study focuses o"&amp;"n evaluating whether LLM-powered agents can effectively assume the roles of teachers and students within the simulation. Human evaluations and topic-based metrics show that LLMs can generate role-consistent and contextually appropriate classroom dialogues"&amp;". These results serve as a foundational milestone toward building realistic, AI-driven educational simulations. Future work will include simulating the complete PEERS framework and validating its accuracy through actual classroom-based PI sessions. This r"&amp;"esearch aims to contribute a scalable, cost-effective methodology for studying instructional strategies in controlled yet realistic environments.")</f>
        <v>In education, peer instruction (PI) is widely recognized as an effective active learning strategy. However, real-world evaluations of PI are often limited by logistical constraints and variability in classroom settings. This paper introduces PEERS (Peer Enhanced Educational Realistic Simulation), a simulation framework that integrates Agent-Based Modeling (ABM), Large Language Models (LLMs), and Bayesian Knowledge Tracing (BKT) to emulate student learning dynamics. As an initial step, this study focuses on evaluating whether LLM-powered agents can effectively assume the roles of teachers and students within the simulation. Human evaluations and topic-based metrics show that LLMs can generate role-consistent and contextually appropriate classroom dialogues. These results serve as a foundational milestone toward building realistic, AI-driven educational simulations. Future work will include simulating the complete PEERS framework and validating its accuracy through actual classroom-based PI sessions. This research aims to contribute a scalable, cost-effective methodology for studying instructional strategies in controlled yet realistic environments.</v>
      </c>
      <c r="D3354" s="7" t="str">
        <f>IFERROR(__xludf.DUMMYFUNCTION("""COMPUTED_VALUE"""),"Jasper Meynard P. Araña")</f>
        <v>Jasper Meynard P. Araña</v>
      </c>
      <c r="E3354" s="7" t="str">
        <f>IFERROR(__xludf.DUMMYFUNCTION("""COMPUTED_VALUE"""),"Yes")</f>
        <v>Yes</v>
      </c>
      <c r="F3354" s="7" t="str">
        <f>IFERROR(__xludf.DUMMYFUNCTION("""COMPUTED_VALUE"""),"IP-Poster")</f>
        <v>IP-Poster</v>
      </c>
      <c r="G3354" s="7" t="str">
        <f>IFERROR(__xludf.DUMMYFUNCTION("""COMPUTED_VALUE"""),"In-person")</f>
        <v>In-person</v>
      </c>
      <c r="H3354" s="7" t="str">
        <f>IFERROR(__xludf.DUMMYFUNCTION("""COMPUTED_VALUE"""),"Hall 4/5")</f>
        <v>Hall 4/5</v>
      </c>
      <c r="I3354" s="7" t="str">
        <f>IFERROR(__xludf.DUMMYFUNCTION("""COMPUTED_VALUE"""),"Session 10: IP-Posters")</f>
        <v>Session 10: IP-Posters</v>
      </c>
      <c r="J3354" s="7" t="str">
        <f>IFERROR(__xludf.DUMMYFUNCTION("""COMPUTED_VALUE"""),"Student Research Workshop - In-Person Posters 2")</f>
        <v>Student Research Workshop - In-Person Posters 2</v>
      </c>
      <c r="K3354" s="7"/>
      <c r="L3354" s="8">
        <f>IFERROR(__xludf.DUMMYFUNCTION("""COMPUTED_VALUE"""),45867.0)</f>
        <v>45867</v>
      </c>
      <c r="M3354" s="7" t="str">
        <f>IFERROR(__xludf.DUMMYFUNCTION("""COMPUTED_VALUE"""),"16:00-17:30")</f>
        <v>16:00-17:30</v>
      </c>
      <c r="N3354" s="7"/>
    </row>
    <row r="3355">
      <c r="A3355" s="7" t="str">
        <f>IFERROR(__xludf.DUMMYFUNCTION("""COMPUTED_VALUE"""),"241-SRW")</f>
        <v>241-SRW</v>
      </c>
      <c r="B3355" s="7" t="str">
        <f>IFERROR(__xludf.DUMMYFUNCTION("""COMPUTED_VALUE"""),"The Role of Exploration Modules in Small Language Models for Knowledge Graph Question Answering")</f>
        <v>The Role of Exploration Modules in Small Language Models for Knowledge Graph Question Answering</v>
      </c>
      <c r="C3355" s="7" t="str">
        <f>IFERROR(__xludf.DUMMYFUNCTION("""COMPUTED_VALUE"""),"Integrating knowledge graphs (KGs) into the reasoning processes of large language models (LLMs) has emerged as a promising approach to mitigate hallucination. However, existing work in this area often relies on proprietary or extremely large models, limit"&amp;"ing accessibility and scalability. In this study, we investigate the capabilities of existing integration methods for small language models (SLMs) in KG-based question answering and observe that their performance is often constrained by their limited abil"&amp;"ity to traverse and reason over knowledge graphs. To address this limitation, we propose leveraging simple and efficient exploration modules to handle knowledge graph traversal in place of the language model itself. Experiment results demonstrate that the"&amp;"se lightweight modules effectively improve the performance of small language models on knowledge graph question answering tasks. Our code will be available on Github.")</f>
        <v>Integrating knowledge graphs (KGs) into the reasoning processes of large language models (LLMs) has emerged as a promising approach to mitigate hallucination. However, existing work in this area often relies on proprietary or extremely large models, limiting accessibility and scalability. In this study, we investigate the capabilities of existing integration methods for small language models (SLMs) in KG-based question answering and observe that their performance is often constrained by their limited ability to traverse and reason over knowledge graphs. To address this limitation, we propose leveraging simple and efficient exploration modules to handle knowledge graph traversal in place of the language model itself. Experiment results demonstrate that these lightweight modules effectively improve the performance of small language models on knowledge graph question answering tasks. Our code will be available on Github.</v>
      </c>
      <c r="D3355" s="7" t="str">
        <f>IFERROR(__xludf.DUMMYFUNCTION("""COMPUTED_VALUE"""),"Yi-Jie Cheng")</f>
        <v>Yi-Jie Cheng</v>
      </c>
      <c r="E3355" s="7" t="str">
        <f>IFERROR(__xludf.DUMMYFUNCTION("""COMPUTED_VALUE"""),"Yes")</f>
        <v>Yes</v>
      </c>
      <c r="F3355" s="7" t="str">
        <f>IFERROR(__xludf.DUMMYFUNCTION("""COMPUTED_VALUE"""),"IP-Poster")</f>
        <v>IP-Poster</v>
      </c>
      <c r="G3355" s="7" t="str">
        <f>IFERROR(__xludf.DUMMYFUNCTION("""COMPUTED_VALUE"""),"In-person")</f>
        <v>In-person</v>
      </c>
      <c r="H3355" s="7" t="str">
        <f>IFERROR(__xludf.DUMMYFUNCTION("""COMPUTED_VALUE"""),"Hall 4/5")</f>
        <v>Hall 4/5</v>
      </c>
      <c r="I3355" s="7" t="str">
        <f>IFERROR(__xludf.DUMMYFUNCTION("""COMPUTED_VALUE"""),"Session 10: IP-Posters")</f>
        <v>Session 10: IP-Posters</v>
      </c>
      <c r="J3355" s="7" t="str">
        <f>IFERROR(__xludf.DUMMYFUNCTION("""COMPUTED_VALUE"""),"Student Research Workshop - In-Person Posters 2")</f>
        <v>Student Research Workshop - In-Person Posters 2</v>
      </c>
      <c r="K3355" s="7"/>
      <c r="L3355" s="8">
        <f>IFERROR(__xludf.DUMMYFUNCTION("""COMPUTED_VALUE"""),45867.0)</f>
        <v>45867</v>
      </c>
      <c r="M3355" s="7" t="str">
        <f>IFERROR(__xludf.DUMMYFUNCTION("""COMPUTED_VALUE"""),"16:00-17:30")</f>
        <v>16:00-17:30</v>
      </c>
      <c r="N3355" s="7"/>
    </row>
    <row r="3356">
      <c r="A3356" s="7" t="str">
        <f>IFERROR(__xludf.DUMMYFUNCTION("""COMPUTED_VALUE"""),"247-SRW")</f>
        <v>247-SRW</v>
      </c>
      <c r="B3356" s="7" t="str">
        <f>IFERROR(__xludf.DUMMYFUNCTION("""COMPUTED_VALUE"""),"Bridging the Embodiment Gap in Agricultural Knowledge Representation for Language Models")</f>
        <v>Bridging the Embodiment Gap in Agricultural Knowledge Representation for Language Models</v>
      </c>
      <c r="C3356" s="7" t="str">
        <f>IFERROR(__xludf.DUMMYFUNCTION("""COMPUTED_VALUE"""),"This paper quantifies the ""embodiment gap"" between disembodied language models and embodied agricultural knowledge communication through mixed-methods analysis with 78 farmers. Our key contributions include: (1) the Embodied Knowledge Representation Fra"&amp;"mework (EKRF), a novel computational architecture with specialized lexical mapping that incorporates embodied linguistic patterns from five identified domains of agricultural expertise; (2) the Embodied Prompt Engineering Protocol (EPEP), which reduced th"&amp;"e embodiment gap by 47.3\% through systematic linguistic scaffolding techniques; and (3) the Embodied Knowledge Representation Index (EKRI), a new metric for evaluating embodied knowledge representation in language models. Implementation results show subs"&amp;"tantial improvements across agricultural domains, with particularly strong gains in tool usage discourse (58.7\%) and soil assessment terminology (67\% reduction in embodiment gap). This research advances both theoretical understanding of embodied cogniti"&amp;"on in AI and practical methodologies to enhance LLM performance in domains requiring embodied expertise.")</f>
        <v>This paper quantifies the "embodiment gap" between disembodied language models and embodied agricultural knowledge communication through mixed-methods analysis with 78 farmers. Our key contributions include: (1) the Embodied Knowledge Representation Framework (EKRF), a novel computational architecture with specialized lexical mapping that incorporates embodied linguistic patterns from five identified domains of agricultural expertise; (2) the Embodied Prompt Engineering Protocol (EPEP), which reduced the embodiment gap by 47.3\% through systematic linguistic scaffolding techniques; and (3) the Embodied Knowledge Representation Index (EKRI), a new metric for evaluating embodied knowledge representation in language models. Implementation results show substantial improvements across agricultural domains, with particularly strong gains in tool usage discourse (58.7\%) and soil assessment terminology (67\% reduction in embodiment gap). This research advances both theoretical understanding of embodied cognition in AI and practical methodologies to enhance LLM performance in domains requiring embodied expertise.</v>
      </c>
      <c r="D3356" s="7" t="str">
        <f>IFERROR(__xludf.DUMMYFUNCTION("""COMPUTED_VALUE"""),"Vasu Jindal")</f>
        <v>Vasu Jindal</v>
      </c>
      <c r="E3356" s="7" t="str">
        <f>IFERROR(__xludf.DUMMYFUNCTION("""COMPUTED_VALUE"""),"Yes")</f>
        <v>Yes</v>
      </c>
      <c r="F3356" s="7" t="str">
        <f>IFERROR(__xludf.DUMMYFUNCTION("""COMPUTED_VALUE"""),"Virtual/Gather")</f>
        <v>Virtual/Gather</v>
      </c>
      <c r="G3356" s="7" t="str">
        <f>IFERROR(__xludf.DUMMYFUNCTION("""COMPUTED_VALUE"""),"Virtual/Gather")</f>
        <v>Virtual/Gather</v>
      </c>
      <c r="H3356" s="7" t="str">
        <f>IFERROR(__xludf.DUMMYFUNCTION("""COMPUTED_VALUE"""),"Zoom")</f>
        <v>Zoom</v>
      </c>
      <c r="I3356" s="7" t="str">
        <f>IFERROR(__xludf.DUMMYFUNCTION("""COMPUTED_VALUE"""),"Session 10: V-Presenations")</f>
        <v>Session 10: V-Presenations</v>
      </c>
      <c r="J3356" s="7" t="str">
        <f>IFERROR(__xludf.DUMMYFUNCTION("""COMPUTED_VALUE"""),"Student Research Workshop - Virtual Presentations 2")</f>
        <v>Student Research Workshop - Virtual Presentations 2</v>
      </c>
      <c r="K3356" s="7"/>
      <c r="L3356" s="8">
        <f>IFERROR(__xludf.DUMMYFUNCTION("""COMPUTED_VALUE"""),45867.0)</f>
        <v>45867</v>
      </c>
      <c r="M3356" s="7" t="str">
        <f>IFERROR(__xludf.DUMMYFUNCTION("""COMPUTED_VALUE"""),"16:00-17:30")</f>
        <v>16:00-17:30</v>
      </c>
      <c r="N3356" s="7">
        <f>IFERROR(__xludf.DUMMYFUNCTION("""COMPUTED_VALUE"""),11.0)</f>
        <v>11</v>
      </c>
    </row>
    <row r="3357">
      <c r="A3357" s="7" t="str">
        <f>IFERROR(__xludf.DUMMYFUNCTION("""COMPUTED_VALUE"""),"257-SRW")</f>
        <v>257-SRW</v>
      </c>
      <c r="B3357" s="7" t="str">
        <f>IFERROR(__xludf.DUMMYFUNCTION("""COMPUTED_VALUE"""),"Building Japanese Creativity Benchmarks and Applying them to Enhance LLM Creativity")</f>
        <v>Building Japanese Creativity Benchmarks and Applying them to Enhance LLM Creativity</v>
      </c>
      <c r="C3357" s="7" t="str">
        <f>IFERROR(__xludf.DUMMYFUNCTION("""COMPUTED_VALUE"""),"To evaluate the creativity of large language models (LLMs) in Japanese, we construct three benchmarks: Japanese Creativity Questions (JCQ), Divergent Association Task (DAT), and Story Alteration Task (SAT). JCQ comprehensively evaluates creativity using L"&amp;"LMs. Meanwhile, DAT and SAT measure specific aspects of creative ability using embeddings. We also analyze correlations between JCQ and DAT, JCQ and SAT, and DAT and SAT. While JCQ provides comprehensive evaluation, it is relatively time and resource inte"&amp;"nsive. In contrast, DAT and SAT offer lower comprehensiveness but enable quick, low-cost assessment. Additionally, we investigate whether training with DAT contributes to enhancing LLM creativity.")</f>
        <v>To evaluate the creativity of large language models (LLMs) in Japanese, we construct three benchmarks: Japanese Creativity Questions (JCQ), Divergent Association Task (DAT), and Story Alteration Task (SAT). JCQ comprehensively evaluates creativity using LLMs. Meanwhile, DAT and SAT measure specific aspects of creative ability using embeddings. We also analyze correlations between JCQ and DAT, JCQ and SAT, and DAT and SAT. While JCQ provides comprehensive evaluation, it is relatively time and resource intensive. In contrast, DAT and SAT offer lower comprehensiveness but enable quick, low-cost assessment. Additionally, we investigate whether training with DAT contributes to enhancing LLM creativity.</v>
      </c>
      <c r="D3357" s="7" t="str">
        <f>IFERROR(__xludf.DUMMYFUNCTION("""COMPUTED_VALUE"""),"So Fukuda")</f>
        <v>So Fukuda</v>
      </c>
      <c r="E3357" s="7" t="str">
        <f>IFERROR(__xludf.DUMMYFUNCTION("""COMPUTED_VALUE"""),"Yes")</f>
        <v>Yes</v>
      </c>
      <c r="F3357" s="7" t="str">
        <f>IFERROR(__xludf.DUMMYFUNCTION("""COMPUTED_VALUE"""),"IP-Poster")</f>
        <v>IP-Poster</v>
      </c>
      <c r="G3357" s="7" t="str">
        <f>IFERROR(__xludf.DUMMYFUNCTION("""COMPUTED_VALUE"""),"In-person")</f>
        <v>In-person</v>
      </c>
      <c r="H3357" s="7" t="str">
        <f>IFERROR(__xludf.DUMMYFUNCTION("""COMPUTED_VALUE"""),"Hall 4/5")</f>
        <v>Hall 4/5</v>
      </c>
      <c r="I3357" s="7" t="str">
        <f>IFERROR(__xludf.DUMMYFUNCTION("""COMPUTED_VALUE"""),"Session 10: IP-Posters")</f>
        <v>Session 10: IP-Posters</v>
      </c>
      <c r="J3357" s="7" t="str">
        <f>IFERROR(__xludf.DUMMYFUNCTION("""COMPUTED_VALUE"""),"Student Research Workshop - In-Person Posters 2")</f>
        <v>Student Research Workshop - In-Person Posters 2</v>
      </c>
      <c r="K3357" s="7"/>
      <c r="L3357" s="8">
        <f>IFERROR(__xludf.DUMMYFUNCTION("""COMPUTED_VALUE"""),45867.0)</f>
        <v>45867</v>
      </c>
      <c r="M3357" s="7" t="str">
        <f>IFERROR(__xludf.DUMMYFUNCTION("""COMPUTED_VALUE"""),"16:00-17:30")</f>
        <v>16:00-17:30</v>
      </c>
      <c r="N3357" s="7"/>
    </row>
    <row r="3358">
      <c r="A3358" s="7" t="str">
        <f>IFERROR(__xludf.DUMMYFUNCTION("""COMPUTED_VALUE"""),"260-SRW")</f>
        <v>260-SRW</v>
      </c>
      <c r="B3358" s="7" t="str">
        <f>IFERROR(__xludf.DUMMYFUNCTION("""COMPUTED_VALUE"""),"Towards Robust Sentiment Analysis of Temporally-Sensitive Policy-Related Online Text")</f>
        <v>Towards Robust Sentiment Analysis of Temporally-Sensitive Policy-Related Online Text</v>
      </c>
      <c r="C3358" s="7" t="str">
        <f>IFERROR(__xludf.DUMMYFUNCTION("""COMPUTED_VALUE"""),"Sentiment analysis in policy-related studies typically involves annotating a subset of data to fine-tune a pre-trained model, which is subsequently used to classify sentiments in the remaining unlabeled texts, enabling policy researchers to analyze sentim"&amp;"ents in novel policy contexts under resource constraints. We argue that existing methods fail to adequately capture the temporal volatility inherent in policy-related sentiments, which are subject to external shocks and evolving discourse of opinions. We "&amp;"propose methods accounting for the temporal dynamics of policy-related texts. Specifically, we propose leveraging continuous time-series clustering to select data points for annotation based on temporal trends and subsequently apply model merging techniqu"&amp;"es -- each fine-tuned separately on data from distinct time intervals. Our results indicate that continuous time-series clustering followed by fine-tuning a single unified model achieves superior performance, outperforming existing methods by an average F"&amp;"1-score of 2.71\%. This suggests that language models can generalize to temporally sensitive texts when provided with temporally representative samples. Nevertheless, merging multiple time-specific models - particularly via greedy soup and TIES - achieves"&amp;" competitive performance, suggesting practical applications in dynamically evolving policy scenarios.")</f>
        <v>Sentiment analysis in policy-related studies typically involves annotating a subset of data to fine-tune a pre-trained model, which is subsequently used to classify sentiments in the remaining unlabeled texts, enabling policy researchers to analyze sentiments in novel policy contexts under resource constraints. We argue that existing methods fail to adequately capture the temporal volatility inherent in policy-related sentiments, which are subject to external shocks and evolving discourse of opinions. We propose methods accounting for the temporal dynamics of policy-related texts. Specifically, we propose leveraging continuous time-series clustering to select data points for annotation based on temporal trends and subsequently apply model merging techniques -- each fine-tuned separately on data from distinct time intervals. Our results indicate that continuous time-series clustering followed by fine-tuning a single unified model achieves superior performance, outperforming existing methods by an average F1-score of 2.71\%. This suggests that language models can generalize to temporally sensitive texts when provided with temporally representative samples. Nevertheless, merging multiple time-specific models - particularly via greedy soup and TIES - achieves competitive performance, suggesting practical applications in dynamically evolving policy scenarios.</v>
      </c>
      <c r="D3358" s="7" t="str">
        <f>IFERROR(__xludf.DUMMYFUNCTION("""COMPUTED_VALUE"""),"Charles Alba")</f>
        <v>Charles Alba</v>
      </c>
      <c r="E3358" s="7" t="str">
        <f>IFERROR(__xludf.DUMMYFUNCTION("""COMPUTED_VALUE"""),"Yes")</f>
        <v>Yes</v>
      </c>
      <c r="F3358" s="7" t="str">
        <f>IFERROR(__xludf.DUMMYFUNCTION("""COMPUTED_VALUE"""),"IP-Poster")</f>
        <v>IP-Poster</v>
      </c>
      <c r="G3358" s="7" t="str">
        <f>IFERROR(__xludf.DUMMYFUNCTION("""COMPUTED_VALUE"""),"In-person")</f>
        <v>In-person</v>
      </c>
      <c r="H3358" s="7" t="str">
        <f>IFERROR(__xludf.DUMMYFUNCTION("""COMPUTED_VALUE"""),"Hall 4/5")</f>
        <v>Hall 4/5</v>
      </c>
      <c r="I3358" s="7" t="str">
        <f>IFERROR(__xludf.DUMMYFUNCTION("""COMPUTED_VALUE"""),"Session 10: IP-Posters")</f>
        <v>Session 10: IP-Posters</v>
      </c>
      <c r="J3358" s="7" t="str">
        <f>IFERROR(__xludf.DUMMYFUNCTION("""COMPUTED_VALUE"""),"Student Research Workshop - In-Person Posters 2")</f>
        <v>Student Research Workshop - In-Person Posters 2</v>
      </c>
      <c r="K3358" s="7"/>
      <c r="L3358" s="8">
        <f>IFERROR(__xludf.DUMMYFUNCTION("""COMPUTED_VALUE"""),45867.0)</f>
        <v>45867</v>
      </c>
      <c r="M3358" s="7" t="str">
        <f>IFERROR(__xludf.DUMMYFUNCTION("""COMPUTED_VALUE"""),"16:00-17:30")</f>
        <v>16:00-17:30</v>
      </c>
      <c r="N3358" s="7"/>
    </row>
    <row r="3359">
      <c r="A3359" s="7" t="str">
        <f>IFERROR(__xludf.DUMMYFUNCTION("""COMPUTED_VALUE"""),"265-SRW")</f>
        <v>265-SRW</v>
      </c>
      <c r="B3359" s="7" t="str">
        <f>IFERROR(__xludf.DUMMYFUNCTION("""COMPUTED_VALUE"""),"Is Partial Linguistic Information Sufficient for Discourse Connective Disambiguation? A Case Study of Concession")</f>
        <v>Is Partial Linguistic Information Sufficient for Discourse Connective Disambiguation? A Case Study of Concession</v>
      </c>
      <c r="C3359" s="7" t="str">
        <f>IFERROR(__xludf.DUMMYFUNCTION("""COMPUTED_VALUE"""),"Discourse relations are sometimes explicitly conveyed by specific connectives.
However, some connectives can signal multiple discourse relations; in such cases, disambiguation is necessary to determine which relation is intended.
This task is known as *di"&amp;"scourse connective disambiguation* (Pitler and Nenkova, 2009), and particular attention is often given to connectives that can convey both *concession* and other relations (e.g., *synchronous*).
In this study, we conducted experiments to analyze which lin"&amp;"guistic features play an important role in the disambiguation of polysemous connectives in Japanese.
A neural language model (BERT) was fine-tuned using inputs from which specific linguistic features (e.g., word order, specific lexicon, etc.) had been rem"&amp;"oved.
We analyzed which linguistic features affect disambiguation by comparing the model's performance.
Our results show that even after performing drastic removal, such as deleting one of the two arguments that constitute the discourse relation, the mode"&amp;"l's performance remained relatively robust.
However, the removal of certain lexical items or words belonging to specific lexical categories significantly degraded disambiguation performance, highlighting their importance in identifying the intended discou"&amp;"rse relation.")</f>
        <v>Discourse relations are sometimes explicitly conveyed by specific connectives.
However, some connectives can signal multiple discourse relations; in such cases, disambiguation is necessary to determine which relation is intended.
This task is known as *discourse connective disambiguation* (Pitler and Nenkova, 2009), and particular attention is often given to connectives that can convey both *concession* and other relations (e.g., *synchronous*).
In this study, we conducted experiments to analyze which linguistic features play an important role in the disambiguation of polysemous connectives in Japanese.
A neural language model (BERT) was fine-tuned using inputs from which specific linguistic features (e.g., word order, specific lexicon, etc.) had been removed.
We analyzed which linguistic features affect disambiguation by comparing the model's performance.
Our results show that even after performing drastic removal, such as deleting one of the two arguments that constitute the discourse relation, the model's performance remained relatively robust.
However, the removal of certain lexical items or words belonging to specific lexical categories significantly degraded disambiguation performance, highlighting their importance in identifying the intended discourse relation.</v>
      </c>
      <c r="D3359" s="7" t="str">
        <f>IFERROR(__xludf.DUMMYFUNCTION("""COMPUTED_VALUE"""),"Takuma Sato")</f>
        <v>Takuma Sato</v>
      </c>
      <c r="E3359" s="7" t="str">
        <f>IFERROR(__xludf.DUMMYFUNCTION("""COMPUTED_VALUE"""),"Yes")</f>
        <v>Yes</v>
      </c>
      <c r="F3359" s="7" t="str">
        <f>IFERROR(__xludf.DUMMYFUNCTION("""COMPUTED_VALUE"""),"IP-Poster")</f>
        <v>IP-Poster</v>
      </c>
      <c r="G3359" s="7" t="str">
        <f>IFERROR(__xludf.DUMMYFUNCTION("""COMPUTED_VALUE"""),"In-person")</f>
        <v>In-person</v>
      </c>
      <c r="H3359" s="7" t="str">
        <f>IFERROR(__xludf.DUMMYFUNCTION("""COMPUTED_VALUE"""),"Hall 4/5")</f>
        <v>Hall 4/5</v>
      </c>
      <c r="I3359" s="7" t="str">
        <f>IFERROR(__xludf.DUMMYFUNCTION("""COMPUTED_VALUE"""),"Session 10: IP-Posters")</f>
        <v>Session 10: IP-Posters</v>
      </c>
      <c r="J3359" s="7" t="str">
        <f>IFERROR(__xludf.DUMMYFUNCTION("""COMPUTED_VALUE"""),"Student Research Workshop - In-Person Posters 2")</f>
        <v>Student Research Workshop - In-Person Posters 2</v>
      </c>
      <c r="K3359" s="7"/>
      <c r="L3359" s="8">
        <f>IFERROR(__xludf.DUMMYFUNCTION("""COMPUTED_VALUE"""),45867.0)</f>
        <v>45867</v>
      </c>
      <c r="M3359" s="7" t="str">
        <f>IFERROR(__xludf.DUMMYFUNCTION("""COMPUTED_VALUE"""),"16:00-17:30")</f>
        <v>16:00-17:30</v>
      </c>
      <c r="N3359" s="7"/>
    </row>
    <row r="3360">
      <c r="A3360" s="7" t="str">
        <f>IFERROR(__xludf.DUMMYFUNCTION("""COMPUTED_VALUE"""),"267-SRW")</f>
        <v>267-SRW</v>
      </c>
      <c r="B3360" s="7" t="str">
        <f>IFERROR(__xludf.DUMMYFUNCTION("""COMPUTED_VALUE"""),"Semantic Frame Induction from a Real-World Corpus")</f>
        <v>Semantic Frame Induction from a Real-World Corpus</v>
      </c>
      <c r="C3360" s="7" t="str">
        <f>IFERROR(__xludf.DUMMYFUNCTION("""COMPUTED_VALUE"""),"Recent studies on semantic frame induction have demonstrated that the emergence of pre-trained language models (PLMs) has led to more accurate results.
However, most existing studies evaluate the performance using frame resources such as FrameNet, which m"&amp;"ay not accurately reflect real-world language usage.
In this study, we conduct semantic frame induction using the Colossal Clean Crawled Corpus (C4) and assess the applicability of existing frame induction methods to real-world data.
Our experimental resu"&amp;"lts demonstrate that existing frame induction methods are effective on real-world data and that frames corresponding to novel concepts can be induced.")</f>
        <v>Recent studies on semantic frame induction have demonstrated that the emergence of pre-trained language models (PLMs) has led to more accurate results.
However, most existing studies evaluate the performance using frame resources such as FrameNet, which may not accurately reflect real-world language usage.
In this study, we conduct semantic frame induction using the Colossal Clean Crawled Corpus (C4) and assess the applicability of existing frame induction methods to real-world data.
Our experimental results demonstrate that existing frame induction methods are effective on real-world data and that frames corresponding to novel concepts can be induced.</v>
      </c>
      <c r="D3360" s="7" t="str">
        <f>IFERROR(__xludf.DUMMYFUNCTION("""COMPUTED_VALUE"""),"Shogo Tsujimoto")</f>
        <v>Shogo Tsujimoto</v>
      </c>
      <c r="E3360" s="7" t="str">
        <f>IFERROR(__xludf.DUMMYFUNCTION("""COMPUTED_VALUE"""),"Yes")</f>
        <v>Yes</v>
      </c>
      <c r="F3360" s="7" t="str">
        <f>IFERROR(__xludf.DUMMYFUNCTION("""COMPUTED_VALUE"""),"IP-Poster")</f>
        <v>IP-Poster</v>
      </c>
      <c r="G3360" s="7" t="str">
        <f>IFERROR(__xludf.DUMMYFUNCTION("""COMPUTED_VALUE"""),"In-person")</f>
        <v>In-person</v>
      </c>
      <c r="H3360" s="7" t="str">
        <f>IFERROR(__xludf.DUMMYFUNCTION("""COMPUTED_VALUE"""),"Hall 4/5")</f>
        <v>Hall 4/5</v>
      </c>
      <c r="I3360" s="7" t="str">
        <f>IFERROR(__xludf.DUMMYFUNCTION("""COMPUTED_VALUE"""),"Session 10: IP-Posters")</f>
        <v>Session 10: IP-Posters</v>
      </c>
      <c r="J3360" s="7" t="str">
        <f>IFERROR(__xludf.DUMMYFUNCTION("""COMPUTED_VALUE"""),"Student Research Workshop - In-Person Posters 2")</f>
        <v>Student Research Workshop - In-Person Posters 2</v>
      </c>
      <c r="K3360" s="7"/>
      <c r="L3360" s="8">
        <f>IFERROR(__xludf.DUMMYFUNCTION("""COMPUTED_VALUE"""),45867.0)</f>
        <v>45867</v>
      </c>
      <c r="M3360" s="7" t="str">
        <f>IFERROR(__xludf.DUMMYFUNCTION("""COMPUTED_VALUE"""),"16:00-17:30")</f>
        <v>16:00-17:30</v>
      </c>
      <c r="N3360" s="7"/>
    </row>
    <row r="3361">
      <c r="A3361" s="7" t="str">
        <f>IFERROR(__xludf.DUMMYFUNCTION("""COMPUTED_VALUE"""),"270-SRW")</f>
        <v>270-SRW</v>
      </c>
      <c r="B3361" s="7" t="str">
        <f>IFERROR(__xludf.DUMMYFUNCTION("""COMPUTED_VALUE"""),"Lost and Found: Computational Quality Assurance of Crowdsourced Knowledge on Morphological Defectivity in Wiktionary")</f>
        <v>Lost and Found: Computational Quality Assurance of Crowdsourced Knowledge on Morphological Defectivity in Wiktionary</v>
      </c>
      <c r="C3361" s="7" t="str">
        <f>IFERROR(__xludf.DUMMYFUNCTION("""COMPUTED_VALUE"""),"Morphological defectivity is an intriguing and understudied phenomenon in linguistics. Addressing defectivity, where expected inflectional forms are absent, is essential for improving the accuracy of NLP tools in morphologically rich languages. However, t"&amp;"raditional linguistic resources often lack coverage of morphological gaps as such knowledge requires significant human expertise and effort to document and verify. For scarce linguistic phenomena in under-explored languages, Wikipedia and Wiktionary often"&amp;" serve as among the few accessible resources. Despite their extensive reach, their reliability has been a subject of controversy. This study customizes a novel neural morphological analyzer to annotate Latin and Italian corpora. Using the massive annotate"&amp;"d data, crowd-sourced lists of defective verbs compiled from Wiktionary are validated computationally. Our results indicate that while Wiktionary provides a highly reliable account of  Italian morphological gaps, 7% of Latin lemmata listed as defective sh"&amp;"ow strong corpus evidence of being non-defective. This discrepancy highlights potential limitations of crowd-sourced wikis as definitive sources of linguistic knowledge, particularly for less-studied phenomena and languages, despite their value as resourc"&amp;"es for rare linguistic features. By providing scalable tools and methods for quality assurance of crowd-sourced data, this work advances computational morphology and expands linguistic knowledge of defectivity in non-English, morphologically rich language"&amp;"s.")</f>
        <v>Morphological defectivity is an intriguing and understudied phenomenon in linguistics. Addressing defectivity, where expected inflectional forms are absent, is essential for improving the accuracy of NLP tools in morphologically rich languages. However, traditional linguistic resources often lack coverage of morphological gaps as such knowledge requires significant human expertise and effort to document and verify. For scarce linguistic phenomena in under-explored languages, Wikipedia and Wiktionary often serve as among the few accessible resources. Despite their extensive reach, their reliability has been a subject of controversy. This study customizes a novel neural morphological analyzer to annotate Latin and Italian corpora. Using the massive annotated data, crowd-sourced lists of defective verbs compiled from Wiktionary are validated computationally. Our results indicate that while Wiktionary provides a highly reliable account of  Italian morphological gaps, 7% of Latin lemmata listed as defective show strong corpus evidence of being non-defective. This discrepancy highlights potential limitations of crowd-sourced wikis as definitive sources of linguistic knowledge, particularly for less-studied phenomena and languages, despite their value as resources for rare linguistic features. By providing scalable tools and methods for quality assurance of crowd-sourced data, this work advances computational morphology and expands linguistic knowledge of defectivity in non-English, morphologically rich languages.</v>
      </c>
      <c r="D3361" s="7" t="str">
        <f>IFERROR(__xludf.DUMMYFUNCTION("""COMPUTED_VALUE"""),"Jonathan Sakunkoo")</f>
        <v>Jonathan Sakunkoo</v>
      </c>
      <c r="E3361" s="7" t="str">
        <f>IFERROR(__xludf.DUMMYFUNCTION("""COMPUTED_VALUE"""),"Yes")</f>
        <v>Yes</v>
      </c>
      <c r="F3361" s="7" t="str">
        <f>IFERROR(__xludf.DUMMYFUNCTION("""COMPUTED_VALUE"""),"IP-Poster")</f>
        <v>IP-Poster</v>
      </c>
      <c r="G3361" s="7" t="str">
        <f>IFERROR(__xludf.DUMMYFUNCTION("""COMPUTED_VALUE"""),"In-person")</f>
        <v>In-person</v>
      </c>
      <c r="H3361" s="7" t="str">
        <f>IFERROR(__xludf.DUMMYFUNCTION("""COMPUTED_VALUE"""),"Hall 4/5")</f>
        <v>Hall 4/5</v>
      </c>
      <c r="I3361" s="7" t="str">
        <f>IFERROR(__xludf.DUMMYFUNCTION("""COMPUTED_VALUE"""),"Session 10: IP-Posters")</f>
        <v>Session 10: IP-Posters</v>
      </c>
      <c r="J3361" s="7" t="str">
        <f>IFERROR(__xludf.DUMMYFUNCTION("""COMPUTED_VALUE"""),"Student Research Workshop - In-Person Posters 2")</f>
        <v>Student Research Workshop - In-Person Posters 2</v>
      </c>
      <c r="K3361" s="7"/>
      <c r="L3361" s="8">
        <f>IFERROR(__xludf.DUMMYFUNCTION("""COMPUTED_VALUE"""),45867.0)</f>
        <v>45867</v>
      </c>
      <c r="M3361" s="7" t="str">
        <f>IFERROR(__xludf.DUMMYFUNCTION("""COMPUTED_VALUE"""),"16:00-17:30")</f>
        <v>16:00-17:30</v>
      </c>
      <c r="N3361" s="7"/>
    </row>
    <row r="3362">
      <c r="A3362" s="7" t="str">
        <f>IFERROR(__xludf.DUMMYFUNCTION("""COMPUTED_VALUE"""),"276-SRW")</f>
        <v>276-SRW</v>
      </c>
      <c r="B3362" s="7" t="str">
        <f>IFERROR(__xludf.DUMMYFUNCTION("""COMPUTED_VALUE"""),"Tree-of-Report: Table-to-Text Generation for Sports Game Reports with Tree-Structured Prompting")</f>
        <v>Tree-of-Report: Table-to-Text Generation for Sports Game Reports with Tree-Structured Prompting</v>
      </c>
      <c r="C3362" s="7" t="str">
        <f>IFERROR(__xludf.DUMMYFUNCTION("""COMPUTED_VALUE"""),"Generating sports game reports from structured table data is a challenging table-to-text generation task that requires balancing structured data comprehension with narrative storytelling. While model-based approaches demand large training datasets, prompt"&amp;"-based methods with large language models (LLMs) often suffer from hallucination issues due to poor table comprehension. To address these challenges, we propose Tree-of-Report, a novel framework that divides the generation process into three stages: Conte"&amp;"nt Planning, Operation Execution, and Content Generating. Our method decomposes large tables into smaller sub-tables using a hierarchical tree structure, enabling more effective table comprehension. Additionally, it merges and rewrites texts to produce mo"&amp;"re detailed and coherent long-form outputs. Experimental results on the RotoWire, MLB, and ShuttleSet+ datasets show that Tree-of-Report outperforms existing prompt-based baselines with relatively lower time and cost, demonstrating its advantage in both e"&amp;"ffectiveness and efficiency. In summary, this work sets a new precedent for prompt-based table-to-text generation in sports game reports.")</f>
        <v>Generating sports game reports from structured table data is a challenging table-to-text generation task that requires balancing structured data comprehension with narrative storytelling. While model-based approaches demand large training datasets, prompt-based methods with large language models (LLMs) often suffer from hallucination issues due to poor table comprehension. To address these challenges, we propose Tree-of-Report, a novel framework that divides the generation process into three stages: Content Planning, Operation Execution, and Content Generating. Our method decomposes large tables into smaller sub-tables using a hierarchical tree structure, enabling more effective table comprehension. Additionally, it merges and rewrites texts to produce more detailed and coherent long-form outputs. Experimental results on the RotoWire, MLB, and ShuttleSet+ datasets show that Tree-of-Report outperforms existing prompt-based baselines with relatively lower time and cost, demonstrating its advantage in both effectiveness and efficiency. In summary, this work sets a new precedent for prompt-based table-to-text generation in sports game reports.</v>
      </c>
      <c r="D3362" s="7" t="str">
        <f>IFERROR(__xludf.DUMMYFUNCTION("""COMPUTED_VALUE"""),"Shang-Hsuan Chiang")</f>
        <v>Shang-Hsuan Chiang</v>
      </c>
      <c r="E3362" s="7" t="str">
        <f>IFERROR(__xludf.DUMMYFUNCTION("""COMPUTED_VALUE"""),"Yes")</f>
        <v>Yes</v>
      </c>
      <c r="F3362" s="7" t="str">
        <f>IFERROR(__xludf.DUMMYFUNCTION("""COMPUTED_VALUE"""),"IP-Oral")</f>
        <v>IP-Oral</v>
      </c>
      <c r="G3362" s="7" t="str">
        <f>IFERROR(__xludf.DUMMYFUNCTION("""COMPUTED_VALUE"""),"In-Person")</f>
        <v>In-Person</v>
      </c>
      <c r="H3362" s="7" t="str">
        <f>IFERROR(__xludf.DUMMYFUNCTION("""COMPUTED_VALUE"""),"Hall N.2")</f>
        <v>Hall N.2</v>
      </c>
      <c r="I3362" s="7" t="str">
        <f>IFERROR(__xludf.DUMMYFUNCTION("""COMPUTED_VALUE"""),"Session 3: IP-Orals")</f>
        <v>Session 3: IP-Orals</v>
      </c>
      <c r="J3362" s="7" t="str">
        <f>IFERROR(__xludf.DUMMYFUNCTION("""COMPUTED_VALUE"""),"Student Research Workshop")</f>
        <v>Student Research Workshop</v>
      </c>
      <c r="K3362" s="7"/>
      <c r="L3362" s="8">
        <f>IFERROR(__xludf.DUMMYFUNCTION("""COMPUTED_VALUE"""),45866.0)</f>
        <v>45866</v>
      </c>
      <c r="M3362" s="7" t="str">
        <f>IFERROR(__xludf.DUMMYFUNCTION("""COMPUTED_VALUE"""),"14:00-15:30")</f>
        <v>14:00-15:30</v>
      </c>
      <c r="N3362" s="7">
        <f>IFERROR(__xludf.DUMMYFUNCTION("""COMPUTED_VALUE"""),6.0)</f>
        <v>6</v>
      </c>
    </row>
    <row r="3363">
      <c r="A3363" s="7" t="str">
        <f>IFERROR(__xludf.DUMMYFUNCTION("""COMPUTED_VALUE"""),"282-SRW")</f>
        <v>282-SRW</v>
      </c>
      <c r="B3363" s="7" t="str">
        <f>IFERROR(__xludf.DUMMYFUNCTION("""COMPUTED_VALUE"""),"From Directions to Cones: Multidimensional Representations of Propositional Facts in LLMs")</f>
        <v>From Directions to Cones: Multidimensional Representations of Propositional Facts in LLMs</v>
      </c>
      <c r="C3363" s="7" t="str">
        <f>IFERROR(__xludf.DUMMYFUNCTION("""COMPUTED_VALUE"""),"Large Language Models (LLMs) exhibit strong conversational abilities but often generate falsehoods. Prior work suggests that the truthfulness of simple propositions can be represented as a single linear direction in a model's internal activations, but thi"&amp;"s may not fully capture its underlying geometry. In this work, we extend the concept cone framework—recently introduced for modeling refusal—to the domain of truth. We identify multi-dimensional cones that causally mediate truth-related behavior across mu"&amp;"ltiple LLM families. Our results are supported by three lines of evidence: (i) causal interventions reliably flip model responses to factual statements; (ii) learned cones generalize across model architectures; and (iii) cone-based interventions preserve "&amp;"unrelated model behavior. These findings reveal the richer, multidirectional structure governing simple true/false propositions in LLMs and highlight concept cones as a promising tool for probing abstract behaviors.")</f>
        <v>Large Language Models (LLMs) exhibit strong conversational abilities but often generate falsehoods. Prior work suggests that the truthfulness of simple propositions can be represented as a single linear direction in a model's internal activations, but this may not fully capture its underlying geometry. In this work, we extend the concept cone framework—recently introduced for modeling refusal—to the domain of truth. We identify multi-dimensional cones that causally mediate truth-related behavior across multiple LLM families. Our results are supported by three lines of evidence: (i) causal interventions reliably flip model responses to factual statements; (ii) learned cones generalize across model architectures; and (iii) cone-based interventions preserve unrelated model behavior. These findings reveal the richer, multidirectional structure governing simple true/false propositions in LLMs and highlight concept cones as a promising tool for probing abstract behaviors.</v>
      </c>
      <c r="D3363" s="7" t="str">
        <f>IFERROR(__xludf.DUMMYFUNCTION("""COMPUTED_VALUE"""),"Clayton Lau")</f>
        <v>Clayton Lau</v>
      </c>
      <c r="E3363" s="7" t="str">
        <f>IFERROR(__xludf.DUMMYFUNCTION("""COMPUTED_VALUE"""),"Yes")</f>
        <v>Yes</v>
      </c>
      <c r="F3363" s="7" t="str">
        <f>IFERROR(__xludf.DUMMYFUNCTION("""COMPUTED_VALUE"""),"IP-Poster")</f>
        <v>IP-Poster</v>
      </c>
      <c r="G3363" s="7" t="str">
        <f>IFERROR(__xludf.DUMMYFUNCTION("""COMPUTED_VALUE"""),"In-person")</f>
        <v>In-person</v>
      </c>
      <c r="H3363" s="7" t="str">
        <f>IFERROR(__xludf.DUMMYFUNCTION("""COMPUTED_VALUE"""),"Hall 4/5")</f>
        <v>Hall 4/5</v>
      </c>
      <c r="I3363" s="7" t="str">
        <f>IFERROR(__xludf.DUMMYFUNCTION("""COMPUTED_VALUE"""),"Session 10: IP-Posters")</f>
        <v>Session 10: IP-Posters</v>
      </c>
      <c r="J3363" s="7" t="str">
        <f>IFERROR(__xludf.DUMMYFUNCTION("""COMPUTED_VALUE"""),"Student Research Workshop - In-Person Posters 2")</f>
        <v>Student Research Workshop - In-Person Posters 2</v>
      </c>
      <c r="K3363" s="7"/>
      <c r="L3363" s="8">
        <f>IFERROR(__xludf.DUMMYFUNCTION("""COMPUTED_VALUE"""),45867.0)</f>
        <v>45867</v>
      </c>
      <c r="M3363" s="7" t="str">
        <f>IFERROR(__xludf.DUMMYFUNCTION("""COMPUTED_VALUE"""),"16:00-17:30")</f>
        <v>16:00-17:30</v>
      </c>
      <c r="N3363" s="7"/>
    </row>
    <row r="3364">
      <c r="A3364" s="7" t="str">
        <f>IFERROR(__xludf.DUMMYFUNCTION("""COMPUTED_VALUE"""),"284-SRW")</f>
        <v>284-SRW</v>
      </c>
      <c r="B3364" s="7" t="str">
        <f>IFERROR(__xludf.DUMMYFUNCTION("""COMPUTED_VALUE"""),"NovelHopQA: Diagnosing Multi-Hop Reasoning Failures in Long Narrative Contexts")</f>
        <v>NovelHopQA: Diagnosing Multi-Hop Reasoning Failures in Long Narrative Contexts</v>
      </c>
      <c r="C3364" s="7" t="str">
        <f>IFERROR(__xludf.DUMMYFUNCTION("""COMPUTED_VALUE"""),"Current large language models (LLMs) struggle to answer questions that span tens of thousands of tokens, especially when multi-hop reasoning is involved. While prior benchmarks explore long-context comprehension or multi-hop reasoning in isolation, none j"&amp;"ointly vary context length and reasoning depth in natural narrative settings. We introduce NovelHopQA, the first benchmark to evaluate 1–4 hop QA over 64k–128k-token excerpts from 83 full-length public-domain novels. A keyword-guided pipeline builds hop-s"&amp;"eparated chains grounded in coherent storylines. We evaluate six state-of-the-art (SOTA) models and apply golden context filtering to ensure all questions are genuinely answerable. Human annotators validate both alignment and hop depth. We noticed consist"&amp;"ent accuracy drops with increased hops and context length, even in frontier models—revealing that sheer scale does not guarantee robust reasoning. Our failure mode analysis highlights common breakdowns, such as missed final-hop integration and long-range "&amp;"drift. NovelHopQA offers a controlled diagnostic setting to stress-test multi-hop reasoning at scale.")</f>
        <v>Current large language models (LLMs) struggle to answer questions that span tens of thousands of tokens, especially when multi-hop reasoning is involved. While prior benchmarks explore long-context comprehension or multi-hop reasoning in isolation, none jointly vary context length and reasoning depth in natural narrative settings. We introduce NovelHopQA, the first benchmark to evaluate 1–4 hop QA over 64k–128k-token excerpts from 83 full-length public-domain novels. A keyword-guided pipeline builds hop-separated chains grounded in coherent storylines. We evaluate six state-of-the-art (SOTA) models and apply golden context filtering to ensure all questions are genuinely answerable. Human annotators validate both alignment and hop depth. We noticed consistent accuracy drops with increased hops and context length, even in frontier models—revealing that sheer scale does not guarantee robust reasoning. Our failure mode analysis highlights common breakdowns, such as missed final-hop integration and long-range drift. NovelHopQA offers a controlled diagnostic setting to stress-test multi-hop reasoning at scale.</v>
      </c>
      <c r="D3364" s="7" t="str">
        <f>IFERROR(__xludf.DUMMYFUNCTION("""COMPUTED_VALUE"""),"Need")</f>
        <v>Need</v>
      </c>
      <c r="E3364" s="7" t="str">
        <f>IFERROR(__xludf.DUMMYFUNCTION("""COMPUTED_VALUE"""),"Withdrawn")</f>
        <v>Withdrawn</v>
      </c>
      <c r="F3364" s="7" t="str">
        <f>IFERROR(__xludf.DUMMYFUNCTION("""COMPUTED_VALUE"""),"Withdrawn")</f>
        <v>Withdrawn</v>
      </c>
      <c r="G3364" s="7" t="str">
        <f>IFERROR(__xludf.DUMMYFUNCTION("""COMPUTED_VALUE"""),"Withdrawn")</f>
        <v>Withdrawn</v>
      </c>
      <c r="H3364" s="7"/>
      <c r="I3364" s="7" t="str">
        <f>IFERROR(__xludf.DUMMYFUNCTION("""COMPUTED_VALUE"""),"withdraw")</f>
        <v>withdraw</v>
      </c>
      <c r="J3364" s="7"/>
      <c r="K3364" s="7"/>
      <c r="L3364" s="8"/>
      <c r="M3364" s="7"/>
      <c r="N3364" s="7"/>
    </row>
    <row r="3365">
      <c r="A3365" s="7" t="str">
        <f>IFERROR(__xludf.DUMMYFUNCTION("""COMPUTED_VALUE"""),"292-SRW")</f>
        <v>292-SRW</v>
      </c>
      <c r="B3365" s="7" t="str">
        <f>IFERROR(__xludf.DUMMYFUNCTION("""COMPUTED_VALUE"""),"Auto-TA: Towards Scalable Automated Thematic Analysis (TA) via Multi-Agent Large Language Models with Reinforcement Learning")</f>
        <v>Auto-TA: Towards Scalable Automated Thematic Analysis (TA) via Multi-Agent Large Language Models with Reinforcement Learning</v>
      </c>
      <c r="C3365" s="7" t="str">
        <f>IFERROR(__xludf.DUMMYFUNCTION("""COMPUTED_VALUE"""),"Congenital heart disease (CHD) presents complex, lifelong challenges often underrepresented in traditional clinical metrics. While unstructured narratives offer rich insights into patient and caregiver experiences, manual thematic analysis (TA) remains la"&amp;"bor-intensive and unscalable. We propose a fully automated large language model (LLM) pipeline that performs end-to-end TA on clinical narratives which eliminates the need for manual coding or full transcript review. Our system employs a novel multi-agent"&amp;" framework, where specialized LLM agents assume roles to enhance theme quality and alignment with human analysis. To further improve thematic relevance, we optionally integrate reinforcement learning from human feedback (RLHF). This supports scalable, pat"&amp;"ient-centered analysis of large qualitative datasets and allows LLMs to be fine-tuned for specific clinical contexts.")</f>
        <v>Congenital heart disease (CHD) presents complex, lifelong challenges often underrepresented in traditional clinical metrics. While unstructured narratives offer rich insights into patient and caregiver experiences, manual thematic analysis (TA) remains labor-intensive and unscalable. We propose a fully automated large language model (LLM) pipeline that performs end-to-end TA on clinical narratives which eliminates the need for manual coding or full transcript review. Our system employs a novel multi-agent framework, where specialized LLM agents assume roles to enhance theme quality and alignment with human analysis. To further improve thematic relevance, we optionally integrate reinforcement learning from human feedback (RLHF). This supports scalable, patient-centered analysis of large qualitative datasets and allows LLMs to be fine-tuned for specific clinical contexts.</v>
      </c>
      <c r="D3365" s="7" t="str">
        <f>IFERROR(__xludf.DUMMYFUNCTION("""COMPUTED_VALUE"""),"Seungjun Yi")</f>
        <v>Seungjun Yi</v>
      </c>
      <c r="E3365" s="7" t="str">
        <f>IFERROR(__xludf.DUMMYFUNCTION("""COMPUTED_VALUE"""),"Yes")</f>
        <v>Yes</v>
      </c>
      <c r="F3365" s="7" t="str">
        <f>IFERROR(__xludf.DUMMYFUNCTION("""COMPUTED_VALUE"""),"IP-Poster")</f>
        <v>IP-Poster</v>
      </c>
      <c r="G3365" s="7" t="str">
        <f>IFERROR(__xludf.DUMMYFUNCTION("""COMPUTED_VALUE"""),"In-person")</f>
        <v>In-person</v>
      </c>
      <c r="H3365" s="7" t="str">
        <f>IFERROR(__xludf.DUMMYFUNCTION("""COMPUTED_VALUE"""),"Hall 4/5")</f>
        <v>Hall 4/5</v>
      </c>
      <c r="I3365" s="7" t="str">
        <f>IFERROR(__xludf.DUMMYFUNCTION("""COMPUTED_VALUE"""),"Session 10: IP-Posters")</f>
        <v>Session 10: IP-Posters</v>
      </c>
      <c r="J3365" s="7" t="str">
        <f>IFERROR(__xludf.DUMMYFUNCTION("""COMPUTED_VALUE"""),"Student Research Workshop - In-Person Posters 2")</f>
        <v>Student Research Workshop - In-Person Posters 2</v>
      </c>
      <c r="K3365" s="7"/>
      <c r="L3365" s="8">
        <f>IFERROR(__xludf.DUMMYFUNCTION("""COMPUTED_VALUE"""),45867.0)</f>
        <v>45867</v>
      </c>
      <c r="M3365" s="7" t="str">
        <f>IFERROR(__xludf.DUMMYFUNCTION("""COMPUTED_VALUE"""),"16:00-17:30")</f>
        <v>16:00-17:30</v>
      </c>
      <c r="N3365" s="7"/>
    </row>
    <row r="3366">
      <c r="A3366" s="7" t="str">
        <f>IFERROR(__xludf.DUMMYFUNCTION("""COMPUTED_VALUE"""),"306-SRW")</f>
        <v>306-SRW</v>
      </c>
      <c r="B3366" s="7" t="str">
        <f>IFERROR(__xludf.DUMMYFUNCTION("""COMPUTED_VALUE"""),"Improving Explainability of Sentence-level Metrics via Edit-level Attribution for Grammatical Error Correction")</f>
        <v>Improving Explainability of Sentence-level Metrics via Edit-level Attribution for Grammatical Error Correction</v>
      </c>
      <c r="C3366" s="7" t="str">
        <f>IFERROR(__xludf.DUMMYFUNCTION("""COMPUTED_VALUE"""),"Various evaluation metrics have been proposed for Grammatical Error Correction (GEC), but many, particularly reference-free metrics, lack explainability. This lack of explainability hinders researchers from analyzing the strengths and weaknesses of GEC mo"&amp;"dels and limits the ability to provide detailed feedback for users. To address this issue, we propose attributing sentence-level scores to individual edits, providing insight into how specific corrections contribute to the overall performance. For the att"&amp;"ribution method, we use Shapley values, from cooperative game theory, to compute the contribution of each edit. Experiments with existing sentence-level metrics demonstrate high consistency across different edit granularities and show approximately 70% al"&amp;"ignment with human evaluations. In addition, we analyze biases in the metrics based on the attribution results, revealing trends such as the tendency to ignore orthographic edits.")</f>
        <v>Various evaluation metrics have been proposed for Grammatical Error Correction (GEC), but many, particularly reference-free metrics, lack explainability. This lack of explainability hinders researchers from analyzing the strengths and weaknesses of GEC models and limits the ability to provide detailed feedback for users. To address this issue, we propose attributing sentence-level scores to individual edits, providing insight into how specific corrections contribute to the overall performance. For the attribution method, we use Shapley values, from cooperative game theory, to compute the contribution of each edit. Experiments with existing sentence-level metrics demonstrate high consistency across different edit granularities and show approximately 70% alignment with human evaluations. In addition, we analyze biases in the metrics based on the attribution results, revealing trends such as the tendency to ignore orthographic edits.</v>
      </c>
      <c r="D3366" s="7" t="str">
        <f>IFERROR(__xludf.DUMMYFUNCTION("""COMPUTED_VALUE"""),"Takumi Goto")</f>
        <v>Takumi Goto</v>
      </c>
      <c r="E3366" s="7" t="str">
        <f>IFERROR(__xludf.DUMMYFUNCTION("""COMPUTED_VALUE"""),"Yes")</f>
        <v>Yes</v>
      </c>
      <c r="F3366" s="7" t="str">
        <f>IFERROR(__xludf.DUMMYFUNCTION("""COMPUTED_VALUE"""),"IP-Poster")</f>
        <v>IP-Poster</v>
      </c>
      <c r="G3366" s="7" t="str">
        <f>IFERROR(__xludf.DUMMYFUNCTION("""COMPUTED_VALUE"""),"In-person")</f>
        <v>In-person</v>
      </c>
      <c r="H3366" s="7" t="str">
        <f>IFERROR(__xludf.DUMMYFUNCTION("""COMPUTED_VALUE"""),"Hall 4/5")</f>
        <v>Hall 4/5</v>
      </c>
      <c r="I3366" s="7" t="str">
        <f>IFERROR(__xludf.DUMMYFUNCTION("""COMPUTED_VALUE"""),"Session 7: IP-Posters")</f>
        <v>Session 7: IP-Posters</v>
      </c>
      <c r="J3366" s="7" t="str">
        <f>IFERROR(__xludf.DUMMYFUNCTION("""COMPUTED_VALUE"""),"Student Research Workshop - In-Person Posters 1")</f>
        <v>Student Research Workshop - In-Person Posters 1</v>
      </c>
      <c r="K3366" s="7"/>
      <c r="L3366" s="8">
        <f>IFERROR(__xludf.DUMMYFUNCTION("""COMPUTED_VALUE"""),45867.0)</f>
        <v>45867</v>
      </c>
      <c r="M3366" s="7" t="str">
        <f>IFERROR(__xludf.DUMMYFUNCTION("""COMPUTED_VALUE"""),"10:30-12:00")</f>
        <v>10:30-12:00</v>
      </c>
      <c r="N3366" s="7"/>
    </row>
    <row r="3367">
      <c r="A3367" s="7" t="str">
        <f>IFERROR(__xludf.DUMMYFUNCTION("""COMPUTED_VALUE"""),"309-SRW")</f>
        <v>309-SRW</v>
      </c>
      <c r="B3367" s="7" t="str">
        <f>IFERROR(__xludf.DUMMYFUNCTION("""COMPUTED_VALUE"""),"Causal Language Control in Multilingual Transformers via Sparse Feature Steering")</f>
        <v>Causal Language Control in Multilingual Transformers via Sparse Feature Steering</v>
      </c>
      <c r="C3367" s="7" t="str">
        <f>IFERROR(__xludf.DUMMYFUNCTION("""COMPUTED_VALUE"""),"Deterministically controlling the target generation language of large multilingual language models (LLMs) remains a fundamental challenge, particularly in zero-shot settings where neither explicit language prompts nor fine-tuning are available. In this wo"&amp;"rk, we investigate whether sparse autoencoder (SAE) features, previously shown to correlate with interpretable model behaviors, can be leveraged to steer the generated language of LLMs during inference. Leveraging pretrained SAEs on the residual streams o"&amp;"f Gemma-2B and Gemma-9B, we identify features whose activations differ most significantly between English and four target languages: Chinese, Japanese, Spanish, and French. By modifying just a single SAE feature at one transformer layer, we achieve contro"&amp;"lled language shifts with up to 90% success, as measured by FastText language classification, while preserving semantic fidelity according to LaBSE (Language-Agnostic BERT Sentence Embedding) similarity. Our analysis reveals that language steering is most"&amp;" effective in mid-to-late transformer layers and is amplified by specific attention heads disproportionately associated with language-sensitive SAE features. These results demonstrate the promise of sparse feature steering as a lightweight and interpretab"&amp;"le mechanism for controllable multilingual generation.")</f>
        <v>Deterministically controlling the target generation language of large multilingual language models (LLMs) remains a fundamental challenge, particularly in zero-shot settings where neither explicit language prompts nor fine-tuning are available. In this work, we investigate whether sparse autoencoder (SAE) features, previously shown to correlate with interpretable model behaviors, can be leveraged to steer the generated language of LLMs during inference. Leveraging pretrained SAEs on the residual streams of Gemma-2B and Gemma-9B, we identify features whose activations differ most significantly between English and four target languages: Chinese, Japanese, Spanish, and French. By modifying just a single SAE feature at one transformer layer, we achieve controlled language shifts with up to 90% success, as measured by FastText language classification, while preserving semantic fidelity according to LaBSE (Language-Agnostic BERT Sentence Embedding) similarity. Our analysis reveals that language steering is most effective in mid-to-late transformer layers and is amplified by specific attention heads disproportionately associated with language-sensitive SAE features. These results demonstrate the promise of sparse feature steering as a lightweight and interpretable mechanism for controllable multilingual generation.</v>
      </c>
      <c r="D3367" s="7" t="str">
        <f>IFERROR(__xludf.DUMMYFUNCTION("""COMPUTED_VALUE"""),"Cheng-Ting Chou")</f>
        <v>Cheng-Ting Chou</v>
      </c>
      <c r="E3367" s="7" t="str">
        <f>IFERROR(__xludf.DUMMYFUNCTION("""COMPUTED_VALUE"""),"Yes")</f>
        <v>Yes</v>
      </c>
      <c r="F3367" s="7" t="str">
        <f>IFERROR(__xludf.DUMMYFUNCTION("""COMPUTED_VALUE"""),"IP-Poster")</f>
        <v>IP-Poster</v>
      </c>
      <c r="G3367" s="7" t="str">
        <f>IFERROR(__xludf.DUMMYFUNCTION("""COMPUTED_VALUE"""),"In-person")</f>
        <v>In-person</v>
      </c>
      <c r="H3367" s="7" t="str">
        <f>IFERROR(__xludf.DUMMYFUNCTION("""COMPUTED_VALUE"""),"Hall 4/5")</f>
        <v>Hall 4/5</v>
      </c>
      <c r="I3367" s="7" t="str">
        <f>IFERROR(__xludf.DUMMYFUNCTION("""COMPUTED_VALUE"""),"Session 10: IP-Posters")</f>
        <v>Session 10: IP-Posters</v>
      </c>
      <c r="J3367" s="7" t="str">
        <f>IFERROR(__xludf.DUMMYFUNCTION("""COMPUTED_VALUE"""),"Student Research Workshop - In-Person Posters 2")</f>
        <v>Student Research Workshop - In-Person Posters 2</v>
      </c>
      <c r="K3367" s="7"/>
      <c r="L3367" s="8">
        <f>IFERROR(__xludf.DUMMYFUNCTION("""COMPUTED_VALUE"""),45867.0)</f>
        <v>45867</v>
      </c>
      <c r="M3367" s="7" t="str">
        <f>IFERROR(__xludf.DUMMYFUNCTION("""COMPUTED_VALUE"""),"16:00-17:30")</f>
        <v>16:00-17:30</v>
      </c>
      <c r="N3367" s="7"/>
    </row>
    <row r="3368">
      <c r="A3368" s="7" t="str">
        <f>IFERROR(__xludf.DUMMYFUNCTION("""COMPUTED_VALUE"""),"310-SRW")</f>
        <v>310-SRW</v>
      </c>
      <c r="B3368" s="7" t="str">
        <f>IFERROR(__xludf.DUMMYFUNCTION("""COMPUTED_VALUE"""),"From One-Fit-All to Perspective Aware Models: A Thesis Proposal")</f>
        <v>From One-Fit-All to Perspective Aware Models: A Thesis Proposal</v>
      </c>
      <c r="C3368" s="7" t="str">
        <f>IFERROR(__xludf.DUMMYFUNCTION("""COMPUTED_VALUE"""),"Variation in human perspectives has drawn increasing attention in natural language processing. The widespread human annotation disagreement challenges the traditional paradigm of a single ""ground truth"" and raises concerns about the limitations of conve"&amp;"ntional label aggregation methods and the uniform models built upon them, which often discard minority opinions and obscure valuable individual perspectives. This thesis proposal investigates three core dimensions of perspective-oriented research: (1) ann"&amp;"otation formats that better capture the nuance and uncertainty of individual judgments; (2) modeling approaches that leverage socio-demographic features to improve prediction for underrepresented or minority viewpoints; and (3) personalized generation tha"&amp;"t tailor outputs to individual users’ preferences and communicative styles. Through this work, we aim to advance methods that more faithfully reflect the diversity of human interpretation, enhancing both inclusiveness and fairness in language technologies"&amp;".")</f>
        <v>Variation in human perspectives has drawn increasing attention in natural language processing. The widespread human annotation disagreement challenges the traditional paradigm of a single "ground truth" and raises concerns about the limitations of conventional label aggregation methods and the uniform models built upon them, which often discard minority opinions and obscure valuable individual perspectives. This thesis proposal investigates three core dimensions of perspective-oriented research: (1) annotation formats that better capture the nuance and uncertainty of individual judgments; (2) modeling approaches that leverage socio-demographic features to improve prediction for underrepresented or minority viewpoints; and (3) personalized generation that tailor outputs to individual users’ preferences and communicative styles. Through this work, we aim to advance methods that more faithfully reflect the diversity of human interpretation, enhancing both inclusiveness and fairness in language technologies.</v>
      </c>
      <c r="D3368" s="7" t="str">
        <f>IFERROR(__xludf.DUMMYFUNCTION("""COMPUTED_VALUE"""),"Leixin Zhang")</f>
        <v>Leixin Zhang</v>
      </c>
      <c r="E3368" s="7" t="str">
        <f>IFERROR(__xludf.DUMMYFUNCTION("""COMPUTED_VALUE"""),"Yes")</f>
        <v>Yes</v>
      </c>
      <c r="F3368" s="7" t="str">
        <f>IFERROR(__xludf.DUMMYFUNCTION("""COMPUTED_VALUE"""),"IP-Poster")</f>
        <v>IP-Poster</v>
      </c>
      <c r="G3368" s="7" t="str">
        <f>IFERROR(__xludf.DUMMYFUNCTION("""COMPUTED_VALUE"""),"In-person")</f>
        <v>In-person</v>
      </c>
      <c r="H3368" s="7" t="str">
        <f>IFERROR(__xludf.DUMMYFUNCTION("""COMPUTED_VALUE"""),"Hall 4/5")</f>
        <v>Hall 4/5</v>
      </c>
      <c r="I3368" s="7" t="str">
        <f>IFERROR(__xludf.DUMMYFUNCTION("""COMPUTED_VALUE"""),"Session 10: IP-Posters")</f>
        <v>Session 10: IP-Posters</v>
      </c>
      <c r="J3368" s="7" t="str">
        <f>IFERROR(__xludf.DUMMYFUNCTION("""COMPUTED_VALUE"""),"Student Research Workshop - In-Person Posters 2")</f>
        <v>Student Research Workshop - In-Person Posters 2</v>
      </c>
      <c r="K3368" s="7"/>
      <c r="L3368" s="8">
        <f>IFERROR(__xludf.DUMMYFUNCTION("""COMPUTED_VALUE"""),45867.0)</f>
        <v>45867</v>
      </c>
      <c r="M3368" s="7" t="str">
        <f>IFERROR(__xludf.DUMMYFUNCTION("""COMPUTED_VALUE"""),"16:00-17:30")</f>
        <v>16:00-17:30</v>
      </c>
      <c r="N3368" s="7"/>
    </row>
    <row r="3369">
      <c r="A3369" s="7" t="str">
        <f>IFERROR(__xludf.DUMMYFUNCTION("""COMPUTED_VALUE"""),"313-SRW")</f>
        <v>313-SRW</v>
      </c>
      <c r="B3369" s="7" t="str">
        <f>IFERROR(__xludf.DUMMYFUNCTION("""COMPUTED_VALUE"""),"Semantic Convergence: Investigating Shared Representations Across Scaled LLMs")</f>
        <v>Semantic Convergence: Investigating Shared Representations Across Scaled LLMs</v>
      </c>
      <c r="C3369" s="7" t="str">
        <f>IFERROR(__xludf.DUMMYFUNCTION("""COMPUTED_VALUE"""),"We investigate feature universality in Gemma-2 language models (Gemma-2-2B &amp; Gemma-2-9B), asking whether models with a fourfold difference in scale still converge on comparable internal concepts. Using the sparse autoencoder (SAE) dictionary learning pipe"&amp;"line, we used pretrained SAEs on each model’s residual-stream activations, aligned the resulting monosemantic features via activation correlation, and compared the matched feature spaces with metrics such as SVCCA and RSA. Middle layers yield the stronges"&amp;"t overlap, indicating that this is where both models most similarly represent concepts, while early and late layers show much less similarity. Preliminary experiments extending the analysis from single tokens to multi-token subspaces show that semanticall"&amp;"y similar subspaces tend to interact similarly with LLMs. These results offer further evidence that large language models carve the world into broadly similar, interpretable features despite size differences, reinforcing universality as a foundation for c"&amp;"ross-model interpretability.")</f>
        <v>We investigate feature universality in Gemma-2 language models (Gemma-2-2B &amp; Gemma-2-9B), asking whether models with a fourfold difference in scale still converge on comparable internal concepts. Using the sparse autoencoder (SAE) dictionary learning pipeline, we used pretrained SAEs on each model’s residual-stream activations, aligned the resulting monosemantic features via activation correlation, and compared the matched feature spaces with metrics such as SVCCA and RSA. Middle layers yield the strongest overlap, indicating that this is where both models most similarly represent concepts, while early and late layers show much less similarity. Preliminary experiments extending the analysis from single tokens to multi-token subspaces show that semantically similar subspaces tend to interact similarly with LLMs. These results offer further evidence that large language models carve the world into broadly similar, interpretable features despite size differences, reinforcing universality as a foundation for cross-model interpretability.</v>
      </c>
      <c r="D3369" s="7" t="str">
        <f>IFERROR(__xludf.DUMMYFUNCTION("""COMPUTED_VALUE"""),"Daniel Son")</f>
        <v>Daniel Son</v>
      </c>
      <c r="E3369" s="7" t="str">
        <f>IFERROR(__xludf.DUMMYFUNCTION("""COMPUTED_VALUE"""),"Yes")</f>
        <v>Yes</v>
      </c>
      <c r="F3369" s="7" t="str">
        <f>IFERROR(__xludf.DUMMYFUNCTION("""COMPUTED_VALUE"""),"IP-Poster")</f>
        <v>IP-Poster</v>
      </c>
      <c r="G3369" s="7" t="str">
        <f>IFERROR(__xludf.DUMMYFUNCTION("""COMPUTED_VALUE"""),"In-person")</f>
        <v>In-person</v>
      </c>
      <c r="H3369" s="7" t="str">
        <f>IFERROR(__xludf.DUMMYFUNCTION("""COMPUTED_VALUE"""),"Hall 4/5")</f>
        <v>Hall 4/5</v>
      </c>
      <c r="I3369" s="7" t="str">
        <f>IFERROR(__xludf.DUMMYFUNCTION("""COMPUTED_VALUE"""),"Session 10: IP-Posters")</f>
        <v>Session 10: IP-Posters</v>
      </c>
      <c r="J3369" s="7" t="str">
        <f>IFERROR(__xludf.DUMMYFUNCTION("""COMPUTED_VALUE"""),"Student Research Workshop - In-Person Posters 2")</f>
        <v>Student Research Workshop - In-Person Posters 2</v>
      </c>
      <c r="K3369" s="7"/>
      <c r="L3369" s="8">
        <f>IFERROR(__xludf.DUMMYFUNCTION("""COMPUTED_VALUE"""),45867.0)</f>
        <v>45867</v>
      </c>
      <c r="M3369" s="7" t="str">
        <f>IFERROR(__xludf.DUMMYFUNCTION("""COMPUTED_VALUE"""),"16:00-17:30")</f>
        <v>16:00-17:30</v>
      </c>
      <c r="N3369" s="7"/>
    </row>
    <row r="3370">
      <c r="A3370" s="7" t="str">
        <f>IFERROR(__xludf.DUMMYFUNCTION("""COMPUTED_VALUE"""),"316-SRW")</f>
        <v>316-SRW</v>
      </c>
      <c r="B3370" s="7" t="str">
        <f>IFERROR(__xludf.DUMMYFUNCTION("""COMPUTED_VALUE"""),"Controlling Language Confusion in Multilingual LLMs")</f>
        <v>Controlling Language Confusion in Multilingual LLMs</v>
      </c>
      <c r="C3370" s="7" t="str">
        <f>IFERROR(__xludf.DUMMYFUNCTION("""COMPUTED_VALUE"""),"Large language models often suffer from language confusion, a phenomenon where responses are partially or entirely generated in unintended languages. This can critically impact user experience in low-resource settings. We hypothesize that conventional sup"&amp;"ervised fine-tuning exacerbates this issue because the softmax objective focuses probability mass only on the single correct token but does not explicitly penalize cross-lingual mixing. 
Interestingly, by observing loss trajectories during the pretraining"&amp;" phase, we observe that models fail to learn to distinguish between monolingual and language-confused text. Additionally, we find that ORPO, which adds penalties for unwanted output styles to standard SFT, effectively suppresses language-confused generati"&amp;"ons even at high decoding temperatures without degrading overall model performance. Our findings suggest that incorporating appropriate penalty terms can mitigate language confusion in low-resource settings with limited data.")</f>
        <v>Large language models often suffer from language confusion, a phenomenon where responses are partially or entirely generated in unintended languages. This can critically impact user experience in low-resource settings. We hypothesize that conventional supervised fine-tuning exacerbates this issue because the softmax objective focuses probability mass only on the single correct token but does not explicitly penalize cross-lingual mixing. 
Interestingly, by observing loss trajectories during the pretraining phase, we observe that models fail to learn to distinguish between monolingual and language-confused text. Additionally, we find that ORPO, which adds penalties for unwanted output styles to standard SFT, effectively suppresses language-confused generations even at high decoding temperatures without degrading overall model performance. Our findings suggest that incorporating appropriate penalty terms can mitigate language confusion in low-resource settings with limited data.</v>
      </c>
      <c r="D3370" s="7" t="str">
        <f>IFERROR(__xludf.DUMMYFUNCTION("""COMPUTED_VALUE"""),"Nahyun Lee")</f>
        <v>Nahyun Lee</v>
      </c>
      <c r="E3370" s="7" t="str">
        <f>IFERROR(__xludf.DUMMYFUNCTION("""COMPUTED_VALUE"""),"Yes")</f>
        <v>Yes</v>
      </c>
      <c r="F3370" s="7" t="str">
        <f>IFERROR(__xludf.DUMMYFUNCTION("""COMPUTED_VALUE"""),"IP-Poster")</f>
        <v>IP-Poster</v>
      </c>
      <c r="G3370" s="7" t="str">
        <f>IFERROR(__xludf.DUMMYFUNCTION("""COMPUTED_VALUE"""),"In-person")</f>
        <v>In-person</v>
      </c>
      <c r="H3370" s="7" t="str">
        <f>IFERROR(__xludf.DUMMYFUNCTION("""COMPUTED_VALUE"""),"Hall 4/5")</f>
        <v>Hall 4/5</v>
      </c>
      <c r="I3370" s="7" t="str">
        <f>IFERROR(__xludf.DUMMYFUNCTION("""COMPUTED_VALUE"""),"Session 10: IP-Posters")</f>
        <v>Session 10: IP-Posters</v>
      </c>
      <c r="J3370" s="7" t="str">
        <f>IFERROR(__xludf.DUMMYFUNCTION("""COMPUTED_VALUE"""),"Student Research Workshop - In-Person Posters 2")</f>
        <v>Student Research Workshop - In-Person Posters 2</v>
      </c>
      <c r="K3370" s="7"/>
      <c r="L3370" s="8">
        <f>IFERROR(__xludf.DUMMYFUNCTION("""COMPUTED_VALUE"""),45867.0)</f>
        <v>45867</v>
      </c>
      <c r="M3370" s="7" t="str">
        <f>IFERROR(__xludf.DUMMYFUNCTION("""COMPUTED_VALUE"""),"16:00-17:30")</f>
        <v>16:00-17:30</v>
      </c>
      <c r="N3370" s="7"/>
    </row>
    <row r="3371">
      <c r="A3371" s="7" t="str">
        <f>IFERROR(__xludf.DUMMYFUNCTION("""COMPUTED_VALUE"""),"320-SRW")</f>
        <v>320-SRW</v>
      </c>
      <c r="B3371" s="7" t="str">
        <f>IFERROR(__xludf.DUMMYFUNCTION("""COMPUTED_VALUE"""),"Grammatical Error Correction via Sequence Tagging for Russian")</f>
        <v>Grammatical Error Correction via Sequence Tagging for Russian</v>
      </c>
      <c r="C3371" s="7" t="str">
        <f>IFERROR(__xludf.DUMMYFUNCTION("""COMPUTED_VALUE"""),"We introduce a modified sequence tagging architecture, proposed in (Omelianchuk et al., 2020), for the Grammatical Error Correction of the Russian language. We propose language-specific operation set and preprocessing algorithm as well as a classification"&amp;" scheme which makes distinct predictions for insertions and other operations. The best versions of our models outperform previous approaches and set new SOTA on the two Russian GEC benchmarks -- RU-Lang8 and GERA, while achieve competitive performance on "&amp;"RULEC-GEC.")</f>
        <v>We introduce a modified sequence tagging architecture, proposed in (Omelianchuk et al., 2020), for the Grammatical Error Correction of the Russian language. We propose language-specific operation set and preprocessing algorithm as well as a classification scheme which makes distinct predictions for insertions and other operations. The best versions of our models outperform previous approaches and set new SOTA on the two Russian GEC benchmarks -- RU-Lang8 and GERA, while achieve competitive performance on RULEC-GEC.</v>
      </c>
      <c r="D3371" s="7" t="str">
        <f>IFERROR(__xludf.DUMMYFUNCTION("""COMPUTED_VALUE"""),"Regina Nasyrova")</f>
        <v>Regina Nasyrova</v>
      </c>
      <c r="E3371" s="7" t="str">
        <f>IFERROR(__xludf.DUMMYFUNCTION("""COMPUTED_VALUE"""),"Yes")</f>
        <v>Yes</v>
      </c>
      <c r="F3371" s="7" t="str">
        <f>IFERROR(__xludf.DUMMYFUNCTION("""COMPUTED_VALUE"""),"IP-Poster")</f>
        <v>IP-Poster</v>
      </c>
      <c r="G3371" s="7" t="str">
        <f>IFERROR(__xludf.DUMMYFUNCTION("""COMPUTED_VALUE"""),"In-person")</f>
        <v>In-person</v>
      </c>
      <c r="H3371" s="7" t="str">
        <f>IFERROR(__xludf.DUMMYFUNCTION("""COMPUTED_VALUE"""),"Hall 4/5")</f>
        <v>Hall 4/5</v>
      </c>
      <c r="I3371" s="7" t="str">
        <f>IFERROR(__xludf.DUMMYFUNCTION("""COMPUTED_VALUE"""),"Session 10: IP-Posters")</f>
        <v>Session 10: IP-Posters</v>
      </c>
      <c r="J3371" s="7" t="str">
        <f>IFERROR(__xludf.DUMMYFUNCTION("""COMPUTED_VALUE"""),"Student Research Workshop - In-Person Posters 2")</f>
        <v>Student Research Workshop - In-Person Posters 2</v>
      </c>
      <c r="K3371" s="7"/>
      <c r="L3371" s="8">
        <f>IFERROR(__xludf.DUMMYFUNCTION("""COMPUTED_VALUE"""),45867.0)</f>
        <v>45867</v>
      </c>
      <c r="M3371" s="7" t="str">
        <f>IFERROR(__xludf.DUMMYFUNCTION("""COMPUTED_VALUE"""),"16:00-17:30")</f>
        <v>16:00-17:30</v>
      </c>
      <c r="N3371" s="7"/>
    </row>
    <row r="3372">
      <c r="A3372" s="7" t="str">
        <f>IFERROR(__xludf.DUMMYFUNCTION("""COMPUTED_VALUE"""),"321-SRW")</f>
        <v>321-SRW</v>
      </c>
      <c r="B3372" s="7" t="str">
        <f>IFERROR(__xludf.DUMMYFUNCTION("""COMPUTED_VALUE"""),"DRUM: Learning Demonstration Retriever for Large MUlti-modal Models")</f>
        <v>DRUM: Learning Demonstration Retriever for Large MUlti-modal Models</v>
      </c>
      <c r="C3372" s="7" t="str">
        <f>IFERROR(__xludf.DUMMYFUNCTION("""COMPUTED_VALUE"""),"Recently, large language models (LLMs) have demonstrated impressive capabilities in dealing with new tasks with the help of in-context learning (ICL). In the study of Large Vision-Language Models (LVLMs), when implementing ICL, researchers usually adopt t"&amp;"he naive strategies like fixed demonstrations across different samples, or selecting demonstrations directly via a visual-language embedding model. These methods do not guarantee the configured demonstrations fit the need of the LVLMs. To address this iss"&amp;"ue, we propose a novel framework, \underline{d}emonstration \underline{r}etriever for large m\underline{u}lti-modal \underline{m}odel (DRUM), which fine-tunes the CLIP embedding model to better meet the LVLM's needs. First, we discuss the retrieval strate"&amp;"gies for a visual-language task, assuming an embedding model is given. And we propose to concate the image and text embeddings to enhance the retrieval performance. Second, we propose to re-rank the the embedding model's retrieved demonstrations via the L"&amp;"VLM's feedbacks, and calculate a list-wise ranking loss for training the embedding model. Third, we propose an iterative demonstration mining strategy to improve the training of the embedding model. Through extensive experiments on 3 types of visual-langu"&amp;"age tasks, 7 benchmark datasets, our DRUM framework is proven to be effective in boosting the LVLM's in-context learning performance via retrieving more proper demonstrations.")</f>
        <v>Recently, large language models (LLMs) have demonstrated impressive capabilities in dealing with new tasks with the help of in-context learning (ICL). In the study of Large Vision-Language Models (LVLMs), when implementing ICL, researchers usually adopt the naive strategies like fixed demonstrations across different samples, or selecting demonstrations directly via a visual-language embedding model. These methods do not guarantee the configured demonstrations fit the need of the LVLMs. To address this issue, we propose a novel framework, \underline{d}emonstration \underline{r}etriever for large m\underline{u}lti-modal \underline{m}odel (DRUM), which fine-tunes the CLIP embedding model to better meet the LVLM's needs. First, we discuss the retrieval strategies for a visual-language task, assuming an embedding model is given. And we propose to concate the image and text embeddings to enhance the retrieval performance. Second, we propose to re-rank the the embedding model's retrieved demonstrations via the LVLM's feedbacks, and calculate a list-wise ranking loss for training the embedding model. Third, we propose an iterative demonstration mining strategy to improve the training of the embedding model. Through extensive experiments on 3 types of visual-language tasks, 7 benchmark datasets, our DRUM framework is proven to be effective in boosting the LVLM's in-context learning performance via retrieving more proper demonstrations.</v>
      </c>
      <c r="D3372" s="7" t="str">
        <f>IFERROR(__xludf.DUMMYFUNCTION("""COMPUTED_VALUE"""),"Ellen Yi-Ge")</f>
        <v>Ellen Yi-Ge</v>
      </c>
      <c r="E3372" s="7" t="str">
        <f>IFERROR(__xludf.DUMMYFUNCTION("""COMPUTED_VALUE"""),"Yes")</f>
        <v>Yes</v>
      </c>
      <c r="F3372" s="7" t="str">
        <f>IFERROR(__xludf.DUMMYFUNCTION("""COMPUTED_VALUE"""),"Virtual/Gather")</f>
        <v>Virtual/Gather</v>
      </c>
      <c r="G3372" s="7" t="str">
        <f>IFERROR(__xludf.DUMMYFUNCTION("""COMPUTED_VALUE"""),"Virtual/Gather")</f>
        <v>Virtual/Gather</v>
      </c>
      <c r="H3372" s="7" t="str">
        <f>IFERROR(__xludf.DUMMYFUNCTION("""COMPUTED_VALUE"""),"Zoom")</f>
        <v>Zoom</v>
      </c>
      <c r="I3372" s="7" t="str">
        <f>IFERROR(__xludf.DUMMYFUNCTION("""COMPUTED_VALUE"""),"Session 7: V--Presentations ")</f>
        <v>Session 7: V--Presentations </v>
      </c>
      <c r="J3372" s="7" t="str">
        <f>IFERROR(__xludf.DUMMYFUNCTION("""COMPUTED_VALUE"""),"Student Research Workshop - Virtual Presentations 1")</f>
        <v>Student Research Workshop - Virtual Presentations 1</v>
      </c>
      <c r="K3372" s="7"/>
      <c r="L3372" s="8"/>
      <c r="M3372" s="7" t="str">
        <f>IFERROR(__xludf.DUMMYFUNCTION("""COMPUTED_VALUE"""),"10:30-12:00")</f>
        <v>10:30-12:00</v>
      </c>
      <c r="N3372" s="7">
        <f>IFERROR(__xludf.DUMMYFUNCTION("""COMPUTED_VALUE"""),14.0)</f>
        <v>14</v>
      </c>
    </row>
    <row r="3373">
      <c r="A3373" s="7" t="str">
        <f>IFERROR(__xludf.DUMMYFUNCTION("""COMPUTED_VALUE"""),"322-SRW")</f>
        <v>322-SRW</v>
      </c>
      <c r="B3373" s="7" t="str">
        <f>IFERROR(__xludf.DUMMYFUNCTION("""COMPUTED_VALUE"""),"GerMedIQ: At the Gap Between Human and Synthetic Clinical Text")</f>
        <v>GerMedIQ: At the Gap Between Human and Synthetic Clinical Text</v>
      </c>
      <c r="C3373" s="7" t="str">
        <f>IFERROR(__xludf.DUMMYFUNCTION("""COMPUTED_VALUE"""),"Text corpora in non-English clinical contexts are sparse, where synthetic data generation with Large Language Models (LLMs) appears as a promising strategy to overcome this data gap. In order to test the quality of LLMs in generating synthetic data, we ap"&amp;"plied them to our novel German Medical Interview Questions Corpus (GerMedIQ), consisting of 4,524 unique question-response pairs in German. We augmented our corpus by asking a cohort of models to produce suitable responses to the same questions. Structura"&amp;"l and semantic evaluations of the synthetic responses revealed that while augmented responses may meet the grammatical requirements, most models were not able to produce semantically comparable responses to humans. Also, an LLM-as-a-judge experiment showc"&amp;"ased that human responses were consistently rated more appropriate than synthetic ones. We find that data augmentation with LLMs in non-English and clinical domain contexts has to be performed carefully.")</f>
        <v>Text corpora in non-English clinical contexts are sparse, where synthetic data generation with Large Language Models (LLMs) appears as a promising strategy to overcome this data gap. In order to test the quality of LLMs in generating synthetic data, we applied them to our novel German Medical Interview Questions Corpus (GerMedIQ), consisting of 4,524 unique question-response pairs in German. We augmented our corpus by asking a cohort of models to produce suitable responses to the same questions. Structural and semantic evaluations of the synthetic responses revealed that while augmented responses may meet the grammatical requirements, most models were not able to produce semantically comparable responses to humans. Also, an LLM-as-a-judge experiment showcased that human responses were consistently rated more appropriate than synthetic ones. We find that data augmentation with LLMs in non-English and clinical domain contexts has to be performed carefully.</v>
      </c>
      <c r="D3373" s="7" t="str">
        <f>IFERROR(__xludf.DUMMYFUNCTION("""COMPUTED_VALUE"""),"Justin Hofenbitzer")</f>
        <v>Justin Hofenbitzer</v>
      </c>
      <c r="E3373" s="7" t="str">
        <f>IFERROR(__xludf.DUMMYFUNCTION("""COMPUTED_VALUE"""),"Yes")</f>
        <v>Yes</v>
      </c>
      <c r="F3373" s="7" t="str">
        <f>IFERROR(__xludf.DUMMYFUNCTION("""COMPUTED_VALUE"""),"IP-Poster")</f>
        <v>IP-Poster</v>
      </c>
      <c r="G3373" s="7" t="str">
        <f>IFERROR(__xludf.DUMMYFUNCTION("""COMPUTED_VALUE"""),"In-person")</f>
        <v>In-person</v>
      </c>
      <c r="H3373" s="7" t="str">
        <f>IFERROR(__xludf.DUMMYFUNCTION("""COMPUTED_VALUE"""),"Hall 4/5")</f>
        <v>Hall 4/5</v>
      </c>
      <c r="I3373" s="7" t="str">
        <f>IFERROR(__xludf.DUMMYFUNCTION("""COMPUTED_VALUE"""),"Session 10: IP-Posters")</f>
        <v>Session 10: IP-Posters</v>
      </c>
      <c r="J3373" s="7" t="str">
        <f>IFERROR(__xludf.DUMMYFUNCTION("""COMPUTED_VALUE"""),"Student Research Workshop - In-Person Posters 2")</f>
        <v>Student Research Workshop - In-Person Posters 2</v>
      </c>
      <c r="K3373" s="7"/>
      <c r="L3373" s="8">
        <f>IFERROR(__xludf.DUMMYFUNCTION("""COMPUTED_VALUE"""),45867.0)</f>
        <v>45867</v>
      </c>
      <c r="M3373" s="7" t="str">
        <f>IFERROR(__xludf.DUMMYFUNCTION("""COMPUTED_VALUE"""),"16:00-17:30")</f>
        <v>16:00-17:30</v>
      </c>
      <c r="N3373" s="7"/>
    </row>
    <row r="3374">
      <c r="A3374" s="7" t="str">
        <f>IFERROR(__xludf.DUMMYFUNCTION("""COMPUTED_VALUE"""),"324-SRW")</f>
        <v>324-SRW</v>
      </c>
      <c r="B3374" s="7" t="str">
        <f>IFERROR(__xludf.DUMMYFUNCTION("""COMPUTED_VALUE"""),"Mind Flows: A Comparative Study of Narrative Coherence in Human and LLM-Generated Stream-of-Consciousness Essays}")</f>
        <v>Mind Flows: A Comparative Study of Narrative Coherence in Human and LLM-Generated Stream-of-Consciousness Essays}</v>
      </c>
      <c r="C3374" s="7" t="str">
        <f>IFERROR(__xludf.DUMMYFUNCTION("""COMPUTED_VALUE"""),"This paper examines differences between stream-of-consciousness narratives written by humans and those generated by large language models (LLMs) to assess narrative coherence and personality expression. We generated texts by prompting LLMs (Llama-3.1-8B \"&amp;"&amp; DeepSeek-R1-Distill-Llama-8B) with the first half of essays either revealing the personality characteristics (Big Five) or hiding them. Our analysis revealed consistently low similarity between LLM-generated continuations and original human texts, as me"&amp;"asured by cosine similarity, perplexity, and BLEU scores. Including explicit personality traits significantly enhanced Llama-3.1-8B's performance, particularly in BLEU scores. Further analysis of personality expression showed varying alignment patterns be"&amp;"tween LLMs and human texts. Further analysis of personality expression found higher openness for all models. Additionally, Llama-3.1-8B models exhibited higher Extraversion but low Agreeableness, while DeepSeek-R1-Distill-Llama-8B's showed dramatic person"&amp;"ality shifts during its thinking process, particularly when provided with personality traits in the prompt.")</f>
        <v>This paper examines differences between stream-of-consciousness narratives written by humans and those generated by large language models (LLMs) to assess narrative coherence and personality expression. We generated texts by prompting LLMs (Llama-3.1-8B \&amp; DeepSeek-R1-Distill-Llama-8B) with the first half of essays either revealing the personality characteristics (Big Five) or hiding them. Our analysis revealed consistently low similarity between LLM-generated continuations and original human texts, as measured by cosine similarity, perplexity, and BLEU scores. Including explicit personality traits significantly enhanced Llama-3.1-8B's performance, particularly in BLEU scores. Further analysis of personality expression showed varying alignment patterns between LLMs and human texts. Further analysis of personality expression found higher openness for all models. Additionally, Llama-3.1-8B models exhibited higher Extraversion but low Agreeableness, while DeepSeek-R1-Distill-Llama-8B's showed dramatic personality shifts during its thinking process, particularly when provided with personality traits in the prompt.</v>
      </c>
      <c r="D3374" s="7" t="str">
        <f>IFERROR(__xludf.DUMMYFUNCTION("""COMPUTED_VALUE"""),"Nellia Dzhubaeva")</f>
        <v>Nellia Dzhubaeva</v>
      </c>
      <c r="E3374" s="7" t="str">
        <f>IFERROR(__xludf.DUMMYFUNCTION("""COMPUTED_VALUE"""),"Yes")</f>
        <v>Yes</v>
      </c>
      <c r="F3374" s="7" t="str">
        <f>IFERROR(__xludf.DUMMYFUNCTION("""COMPUTED_VALUE"""),"IP-Poster")</f>
        <v>IP-Poster</v>
      </c>
      <c r="G3374" s="7" t="str">
        <f>IFERROR(__xludf.DUMMYFUNCTION("""COMPUTED_VALUE"""),"In-person")</f>
        <v>In-person</v>
      </c>
      <c r="H3374" s="7" t="str">
        <f>IFERROR(__xludf.DUMMYFUNCTION("""COMPUTED_VALUE"""),"Hall 4/5")</f>
        <v>Hall 4/5</v>
      </c>
      <c r="I3374" s="7" t="str">
        <f>IFERROR(__xludf.DUMMYFUNCTION("""COMPUTED_VALUE"""),"Session 10: IP-Posters")</f>
        <v>Session 10: IP-Posters</v>
      </c>
      <c r="J3374" s="7" t="str">
        <f>IFERROR(__xludf.DUMMYFUNCTION("""COMPUTED_VALUE"""),"Student Research Workshop - In-Person Posters 2")</f>
        <v>Student Research Workshop - In-Person Posters 2</v>
      </c>
      <c r="K3374" s="7"/>
      <c r="L3374" s="8">
        <f>IFERROR(__xludf.DUMMYFUNCTION("""COMPUTED_VALUE"""),45867.0)</f>
        <v>45867</v>
      </c>
      <c r="M3374" s="7" t="str">
        <f>IFERROR(__xludf.DUMMYFUNCTION("""COMPUTED_VALUE"""),"16:00-17:30")</f>
        <v>16:00-17:30</v>
      </c>
      <c r="N3374" s="7"/>
    </row>
    <row r="3375">
      <c r="A3375" s="7" t="str">
        <f>IFERROR(__xludf.DUMMYFUNCTION("""COMPUTED_VALUE"""),"325-SRW")</f>
        <v>325-SRW</v>
      </c>
      <c r="B3375" s="7" t="str">
        <f>IFERROR(__xludf.DUMMYFUNCTION("""COMPUTED_VALUE"""),"Exploiting contextual information to improve stance detection in informal political discourse with LLMs")</f>
        <v>Exploiting contextual information to improve stance detection in informal political discourse with LLMs</v>
      </c>
      <c r="C3375" s="7" t="str">
        <f>IFERROR(__xludf.DUMMYFUNCTION("""COMPUTED_VALUE"""),"This study investigates the use of Large Language Models (LLMs) for political stance detection in informal online discourse, where language is often sarcastic, ambiguous, and context-dependent. We explore whether providing contextual information, specific"&amp;"ally user profile summaries derived from historical posts, can improve classification accuracy. Using a real-world political forum dataset, we generate structured profiles that summarize users' ideological leaning, recurring topics, and linguistic pattern"&amp;"s. We evaluate seven state-of-the-art LLMs across baseline and context-enriched setups through a comprehensive cross-model evaluation. Our findings show that contextual prompts significantly boost accuracy, with improvements ranging from +17.5\% to +38.5\"&amp;"%, achieving up to 74\% accuracy that surpasses previous approaches. We also analyze how profile size and post selection strategies affect performance, showing that strategically chosen political content yields better results than larger, randomly selecte"&amp;"d contexts. These findings underscore the value of incorporating user-level context to enhance LLM performance in nuanced political classification tasks.")</f>
        <v>This study investigates the use of Large Language Models (LLMs) for political stance detection in informal online discourse, where language is often sarcastic, ambiguous, and context-dependent. We explore whether providing contextual information, specifically user profile summaries derived from historical posts, can improve classification accuracy. Using a real-world political forum dataset, we generate structured profiles that summarize users' ideological leaning, recurring topics, and linguistic patterns. We evaluate seven state-of-the-art LLMs across baseline and context-enriched setups through a comprehensive cross-model evaluation. Our findings show that contextual prompts significantly boost accuracy, with improvements ranging from +17.5\% to +38.5\%, achieving up to 74\% accuracy that surpasses previous approaches. We also analyze how profile size and post selection strategies affect performance, showing that strategically chosen political content yields better results than larger, randomly selected contexts. These findings underscore the value of incorporating user-level context to enhance LLM performance in nuanced political classification tasks.</v>
      </c>
      <c r="D3375" s="7" t="str">
        <f>IFERROR(__xludf.DUMMYFUNCTION("""COMPUTED_VALUE"""),"Tony Mullen")</f>
        <v>Tony Mullen</v>
      </c>
      <c r="E3375" s="7" t="str">
        <f>IFERROR(__xludf.DUMMYFUNCTION("""COMPUTED_VALUE"""),"Yes")</f>
        <v>Yes</v>
      </c>
      <c r="F3375" s="7" t="str">
        <f>IFERROR(__xludf.DUMMYFUNCTION("""COMPUTED_VALUE"""),"IP-Poster")</f>
        <v>IP-Poster</v>
      </c>
      <c r="G3375" s="7" t="str">
        <f>IFERROR(__xludf.DUMMYFUNCTION("""COMPUTED_VALUE"""),"In-person")</f>
        <v>In-person</v>
      </c>
      <c r="H3375" s="7" t="str">
        <f>IFERROR(__xludf.DUMMYFUNCTION("""COMPUTED_VALUE"""),"Hall 4/5")</f>
        <v>Hall 4/5</v>
      </c>
      <c r="I3375" s="7" t="str">
        <f>IFERROR(__xludf.DUMMYFUNCTION("""COMPUTED_VALUE"""),"Session 10: IP-Posters")</f>
        <v>Session 10: IP-Posters</v>
      </c>
      <c r="J3375" s="7" t="str">
        <f>IFERROR(__xludf.DUMMYFUNCTION("""COMPUTED_VALUE"""),"Student Research Workshop - In-Person Posters 2")</f>
        <v>Student Research Workshop - In-Person Posters 2</v>
      </c>
      <c r="K3375" s="7"/>
      <c r="L3375" s="8">
        <f>IFERROR(__xludf.DUMMYFUNCTION("""COMPUTED_VALUE"""),45867.0)</f>
        <v>45867</v>
      </c>
      <c r="M3375" s="7" t="str">
        <f>IFERROR(__xludf.DUMMYFUNCTION("""COMPUTED_VALUE"""),"16:00-17:30")</f>
        <v>16:00-17:30</v>
      </c>
      <c r="N3375" s="7"/>
    </row>
    <row r="3376">
      <c r="A3376" s="7" t="str">
        <f>IFERROR(__xludf.DUMMYFUNCTION("""COMPUTED_VALUE"""),"326-SRW")</f>
        <v>326-SRW</v>
      </c>
      <c r="B3376" s="7" t="str">
        <f>IFERROR(__xludf.DUMMYFUNCTION("""COMPUTED_VALUE"""),"A Framework for Fine-Grained Complexity Control in Health Answer Generation")</f>
        <v>A Framework for Fine-Grained Complexity Control in Health Answer Generation</v>
      </c>
      <c r="C3376" s="7" t="str">
        <f>IFERROR(__xludf.DUMMYFUNCTION("""COMPUTED_VALUE"""),"Effective communication of health information requires adapting complexity to match the target audience's literacy level. However, manually simplifying medical content is both time-consuming and difficult to scale. To address this challenge, we developed "&amp;"a new framework for automatically generating health answers at multiple complexity levels.
We began by collecting 166 linguistic features to quantify text complexity, including traditional readability metrics (e.g., Flesch-Kincaid, SMOG), medical termino"&amp;"logy usage (e.g., UMLS coverage, medical entity recognition), syntactic complexity, semantic coherence, and LLM-based measures (e.g., masked language modeling, LLM-as-a-judge). Applying these features to a custom dataset of parallel health texts and exter"&amp;"nal medical benchmarks, we used feature selection to identify 13 key metrics that reliably distinguish between simple and complex text pairs. From these, we derived a complexity scoring formula by combining the metrics with weights learned from a logistic"&amp;" regression model.
Using this formula, we created a large multi-level dataset of health question-answer pairs, ranging from elementary patient-friendly explanations to advanced technical summaries.
The initial QA pairs came from established datasets incl"&amp;"uding LiveQA, MedicationQA, and MEDIQA-AnS. We then used LLaMA-based language models with carefully engineered prompts to transform the original answers into five different versions ordered by complexity.
Finally, we fine-tuned a large language model on t"&amp;"his dataset, incorporating special tokens to control the complexity of the generated text. The resulting model can generate health answers at fine-grained complexity levels, allowing users to select the desired level of detail and technicality.")</f>
        <v>Effective communication of health information requires adapting complexity to match the target audience's literacy level. However, manually simplifying medical content is both time-consuming and difficult to scale. To address this challenge, we developed a new framework for automatically generating health answers at multiple complexity levels.
We began by collecting 166 linguistic features to quantify text complexity, including traditional readability metrics (e.g., Flesch-Kincaid, SMOG), medical terminology usage (e.g., UMLS coverage, medical entity recognition), syntactic complexity, semantic coherence, and LLM-based measures (e.g., masked language modeling, LLM-as-a-judge). Applying these features to a custom dataset of parallel health texts and external medical benchmarks, we used feature selection to identify 13 key metrics that reliably distinguish between simple and complex text pairs. From these, we derived a complexity scoring formula by combining the metrics with weights learned from a logistic regression model.
Using this formula, we created a large multi-level dataset of health question-answer pairs, ranging from elementary patient-friendly explanations to advanced technical summaries.
The initial QA pairs came from established datasets including LiveQA, MedicationQA, and MEDIQA-AnS. We then used LLaMA-based language models with carefully engineered prompts to transform the original answers into five different versions ordered by complexity.
Finally, we fine-tuned a large language model on this dataset, incorporating special tokens to control the complexity of the generated text. The resulting model can generate health answers at fine-grained complexity levels, allowing users to select the desired level of detail and technicality.</v>
      </c>
      <c r="D3376" s="7" t="str">
        <f>IFERROR(__xludf.DUMMYFUNCTION("""COMPUTED_VALUE"""),"Daniel Ferreira")</f>
        <v>Daniel Ferreira</v>
      </c>
      <c r="E3376" s="7" t="str">
        <f>IFERROR(__xludf.DUMMYFUNCTION("""COMPUTED_VALUE"""),"Yes")</f>
        <v>Yes</v>
      </c>
      <c r="F3376" s="7" t="str">
        <f>IFERROR(__xludf.DUMMYFUNCTION("""COMPUTED_VALUE"""),"Virtual/Gather")</f>
        <v>Virtual/Gather</v>
      </c>
      <c r="G3376" s="7" t="str">
        <f>IFERROR(__xludf.DUMMYFUNCTION("""COMPUTED_VALUE"""),"Virtual/Gather")</f>
        <v>Virtual/Gather</v>
      </c>
      <c r="H3376" s="7" t="str">
        <f>IFERROR(__xludf.DUMMYFUNCTION("""COMPUTED_VALUE"""),"Zoom")</f>
        <v>Zoom</v>
      </c>
      <c r="I3376" s="7" t="str">
        <f>IFERROR(__xludf.DUMMYFUNCTION("""COMPUTED_VALUE"""),"Session 10: V-Presenations")</f>
        <v>Session 10: V-Presenations</v>
      </c>
      <c r="J3376" s="7" t="str">
        <f>IFERROR(__xludf.DUMMYFUNCTION("""COMPUTED_VALUE"""),"Student Research Workshop - Virtual Presentations 2")</f>
        <v>Student Research Workshop - Virtual Presentations 2</v>
      </c>
      <c r="K3376" s="7"/>
      <c r="L3376" s="8">
        <f>IFERROR(__xludf.DUMMYFUNCTION("""COMPUTED_VALUE"""),45867.0)</f>
        <v>45867</v>
      </c>
      <c r="M3376" s="7" t="str">
        <f>IFERROR(__xludf.DUMMYFUNCTION("""COMPUTED_VALUE"""),"16:00-17:30")</f>
        <v>16:00-17:30</v>
      </c>
      <c r="N3376" s="7">
        <f>IFERROR(__xludf.DUMMYFUNCTION("""COMPUTED_VALUE"""),12.0)</f>
        <v>12</v>
      </c>
    </row>
    <row r="3377">
      <c r="A3377" s="7" t="str">
        <f>IFERROR(__xludf.DUMMYFUNCTION("""COMPUTED_VALUE"""),"328-SRW")</f>
        <v>328-SRW</v>
      </c>
      <c r="B3377" s="7" t="str">
        <f>IFERROR(__xludf.DUMMYFUNCTION("""COMPUTED_VALUE"""),"Local LLM Zero-Shot Analysis of Homelessness Discourse on Reddit")</f>
        <v>Local LLM Zero-Shot Analysis of Homelessness Discourse on Reddit</v>
      </c>
      <c r="C3377" s="7" t="str">
        <f>IFERROR(__xludf.DUMMYFUNCTION("""COMPUTED_VALUE"""),"Homelessness is a persistent issue, impacting millions worldwide, and over 770,000  people experienced homelessness in the U.S. in 2024. Social stigmatization is a significant barrier to alleviation, shifting public perception, and influencing policy. Onl"&amp;"ine discourse on platforms such as Reddit shape public opinion. To address this, the project leverages natural language processing and large language models (LLMs) to mitigate bias against people experiencing homelessness (PEH) in online spaces. The goal "&amp;"is to promote awareness, reduce harmful biases, inform policy, and improve the fairness of generative AI. We gather Reddit data for 10 U.S. cities, then perform zero-shot classification, and finally, mitigation using Llama 3.2 Instruct and Qwen 2.5 7B Ins"&amp;"truct models. The initial results highlighted the differing classifications between models and indicated that many mitigated outputs remained biased. This suggests the need for potential model refinement for the mitigation of text related to PEH.")</f>
        <v>Homelessness is a persistent issue, impacting millions worldwide, and over 770,000  people experienced homelessness in the U.S. in 2024. Social stigmatization is a significant barrier to alleviation, shifting public perception, and influencing policy. Online discourse on platforms such as Reddit shape public opinion. To address this, the project leverages natural language processing and large language models (LLMs) to mitigate bias against people experiencing homelessness (PEH) in online spaces. The goal is to promote awareness, reduce harmful biases, inform policy, and improve the fairness of generative AI. We gather Reddit data for 10 U.S. cities, then perform zero-shot classification, and finally, mitigation using Llama 3.2 Instruct and Qwen 2.5 7B Instruct models. The initial results highlighted the differing classifications between models and indicated that many mitigated outputs remained biased. This suggests the need for potential model refinement for the mitigation of text related to PEH.</v>
      </c>
      <c r="D3377" s="7" t="str">
        <f>IFERROR(__xludf.DUMMYFUNCTION("""COMPUTED_VALUE"""),"Jonathan A. Karr Jr.")</f>
        <v>Jonathan A. Karr Jr.</v>
      </c>
      <c r="E3377" s="7" t="str">
        <f>IFERROR(__xludf.DUMMYFUNCTION("""COMPUTED_VALUE"""),"Yes")</f>
        <v>Yes</v>
      </c>
      <c r="F3377" s="7" t="str">
        <f>IFERROR(__xludf.DUMMYFUNCTION("""COMPUTED_VALUE"""),"IP-Poster")</f>
        <v>IP-Poster</v>
      </c>
      <c r="G3377" s="7" t="str">
        <f>IFERROR(__xludf.DUMMYFUNCTION("""COMPUTED_VALUE"""),"In-person")</f>
        <v>In-person</v>
      </c>
      <c r="H3377" s="7" t="str">
        <f>IFERROR(__xludf.DUMMYFUNCTION("""COMPUTED_VALUE"""),"Hall 4/5")</f>
        <v>Hall 4/5</v>
      </c>
      <c r="I3377" s="7" t="str">
        <f>IFERROR(__xludf.DUMMYFUNCTION("""COMPUTED_VALUE"""),"Session 10: IP-Posters")</f>
        <v>Session 10: IP-Posters</v>
      </c>
      <c r="J3377" s="7" t="str">
        <f>IFERROR(__xludf.DUMMYFUNCTION("""COMPUTED_VALUE"""),"Student Research Workshop - In-Person Posters 2")</f>
        <v>Student Research Workshop - In-Person Posters 2</v>
      </c>
      <c r="K3377" s="7"/>
      <c r="L3377" s="8">
        <f>IFERROR(__xludf.DUMMYFUNCTION("""COMPUTED_VALUE"""),45867.0)</f>
        <v>45867</v>
      </c>
      <c r="M3377" s="7" t="str">
        <f>IFERROR(__xludf.DUMMYFUNCTION("""COMPUTED_VALUE"""),"16:00-17:30")</f>
        <v>16:00-17:30</v>
      </c>
      <c r="N3377" s="7"/>
    </row>
    <row r="3378">
      <c r="A3378" s="7" t="str">
        <f>IFERROR(__xludf.DUMMYFUNCTION("""COMPUTED_VALUE"""),"329-SRW")</f>
        <v>329-SRW</v>
      </c>
      <c r="B3378" s="7" t="str">
        <f>IFERROR(__xludf.DUMMYFUNCTION("""COMPUTED_VALUE"""),"QA Analysis in Medical and Legal Domains: A Survey of Data Augmentation in Low-Resource Settings")</f>
        <v>QA Analysis in Medical and Legal Domains: A Survey of Data Augmentation in Low-Resource Settings</v>
      </c>
      <c r="C3378" s="7" t="str">
        <f>IFERROR(__xludf.DUMMYFUNCTION("""COMPUTED_VALUE"""),"Large Language Models (LLMs) have revolutionized Natural Language Processing (NLP), but their success remains largely confined to high-resource, general-purpose domains. In contrast, applying LLMs to low-resource domains poses significant challenges due t"&amp;"o limited training data, domain drift, and strict terminology constraints. This survey provides an overview of the current landscape in domain-specific, low-resource QA with LLMs. We begin by analyzing the coverage and representativeness of specialized-do"&amp;"main QA datasets against large-scale reference datasets what we refer to as ParentQA. Building on this analysis, we survey data-centric strategies to enhance input diversity, including data augmentation techniques. We further discuss evaluation metrics fo"&amp;"r specialized tasks and consider ethical concerns. By mapping current methodologies and outlining open research questions, this survey aims to guide future efforts in adapting LLMs for robust and responsible use in resource-constrained, domain-specific en"&amp;"vironments.")</f>
        <v>Large Language Models (LLMs) have revolutionized Natural Language Processing (NLP), but their success remains largely confined to high-resource, general-purpose domains. In contrast, applying LLMs to low-resource domains poses significant challenges due to limited training data, domain drift, and strict terminology constraints. This survey provides an overview of the current landscape in domain-specific, low-resource QA with LLMs. We begin by analyzing the coverage and representativeness of specialized-domain QA datasets against large-scale reference datasets what we refer to as ParentQA. Building on this analysis, we survey data-centric strategies to enhance input diversity, including data augmentation techniques. We further discuss evaluation metrics for specialized tasks and consider ethical concerns. By mapping current methodologies and outlining open research questions, this survey aims to guide future efforts in adapting LLMs for robust and responsible use in resource-constrained, domain-specific environments.</v>
      </c>
      <c r="D3378" s="7" t="str">
        <f>IFERROR(__xludf.DUMMYFUNCTION("""COMPUTED_VALUE"""),"Benedictus Kent Rachmat")</f>
        <v>Benedictus Kent Rachmat</v>
      </c>
      <c r="E3378" s="7" t="str">
        <f>IFERROR(__xludf.DUMMYFUNCTION("""COMPUTED_VALUE"""),"Yes")</f>
        <v>Yes</v>
      </c>
      <c r="F3378" s="7" t="str">
        <f>IFERROR(__xludf.DUMMYFUNCTION("""COMPUTED_VALUE"""),"IP-Poster")</f>
        <v>IP-Poster</v>
      </c>
      <c r="G3378" s="7" t="str">
        <f>IFERROR(__xludf.DUMMYFUNCTION("""COMPUTED_VALUE"""),"In-person")</f>
        <v>In-person</v>
      </c>
      <c r="H3378" s="7" t="str">
        <f>IFERROR(__xludf.DUMMYFUNCTION("""COMPUTED_VALUE"""),"Hall 4/5")</f>
        <v>Hall 4/5</v>
      </c>
      <c r="I3378" s="7" t="str">
        <f>IFERROR(__xludf.DUMMYFUNCTION("""COMPUTED_VALUE"""),"Session 10: IP-Posters")</f>
        <v>Session 10: IP-Posters</v>
      </c>
      <c r="J3378" s="7" t="str">
        <f>IFERROR(__xludf.DUMMYFUNCTION("""COMPUTED_VALUE"""),"Student Research Workshop - In-Person Posters 2")</f>
        <v>Student Research Workshop - In-Person Posters 2</v>
      </c>
      <c r="K3378" s="7"/>
      <c r="L3378" s="8">
        <f>IFERROR(__xludf.DUMMYFUNCTION("""COMPUTED_VALUE"""),45867.0)</f>
        <v>45867</v>
      </c>
      <c r="M3378" s="7" t="str">
        <f>IFERROR(__xludf.DUMMYFUNCTION("""COMPUTED_VALUE"""),"16:00-17:30")</f>
        <v>16:00-17:30</v>
      </c>
      <c r="N3378" s="7"/>
    </row>
    <row r="3379">
      <c r="A3379" s="7" t="str">
        <f>IFERROR(__xludf.DUMMYFUNCTION("""COMPUTED_VALUE"""),"330-SRW")</f>
        <v>330-SRW</v>
      </c>
      <c r="B3379" s="7" t="str">
        <f>IFERROR(__xludf.DUMMYFUNCTION("""COMPUTED_VALUE"""),"Time-LlaMA: Adapting Large Language Models for Time Series Modeling via Dynamic Low-rank Adaptation")</f>
        <v>Time-LlaMA: Adapting Large Language Models for Time Series Modeling via Dynamic Low-rank Adaptation</v>
      </c>
      <c r="C3379" s="7" t="str">
        <f>IFERROR(__xludf.DUMMYFUNCTION("""COMPUTED_VALUE"""),"Time series modeling holds significant importance in many industrial applications and has been extensively studied. A series of recent studies have demonstrated that large language models (LLMs) possess robust pattern recognition and semantic understandin"&amp;"g capabilities over time series data. However, the current literature have yet striked a high-quality balance between (a) effectively aligning the time series and natural language modalities and (b) keeping the inference efficiency for industrial deployme"&amp;"nt. To address the above issues, we now propose the Time-LlaMA framework. Time-LlaMA first converts the time series input into token embeddings through a linear tokenization mechanism. Second, the time series token embeddings are aligned with the text pro"&amp;"mpts. Third, to further adapt the large languag model (LLM) backbone for time series modeling, we have developed a dynamic low-rank adaptation technique (DynaLoRA). DynaLoRA dynamically chooses the most suitable LoRA modules at each layer of the Transform"&amp;"er backbone for each time series input, enhancing the model's predictive capabilities. Our experimental results on an extensive collection of challenging open and proprietary time series tasks confirm that our proposed method achieves the state-of-the-art"&amp;" (SOTA) performance and have potentials for wide industrial usages.\footnote{Codes will be made public upon acceptance. }")</f>
        <v>Time series modeling holds significant importance in many industrial applications and has been extensively studied. A series of recent studies have demonstrated that large language models (LLMs) possess robust pattern recognition and semantic understanding capabilities over time series data. However, the current literature have yet striked a high-quality balance between (a) effectively aligning the time series and natural language modalities and (b) keeping the inference efficiency for industrial deployment. To address the above issues, we now propose the Time-LlaMA framework. Time-LlaMA first converts the time series input into token embeddings through a linear tokenization mechanism. Second, the time series token embeddings are aligned with the text prompts. Third, to further adapt the large languag model (LLM) backbone for time series modeling, we have developed a dynamic low-rank adaptation technique (DynaLoRA). DynaLoRA dynamically chooses the most suitable LoRA modules at each layer of the Transformer backbone for each time series input, enhancing the model's predictive capabilities. Our experimental results on an extensive collection of challenging open and proprietary time series tasks confirm that our proposed method achieves the state-of-the-art (SOTA) performance and have potentials for wide industrial usages.\footnote{Codes will be made public upon acceptance. }</v>
      </c>
      <c r="D3379" s="7" t="str">
        <f>IFERROR(__xludf.DUMMYFUNCTION("""COMPUTED_VALUE"""),"Wei Zhu")</f>
        <v>Wei Zhu</v>
      </c>
      <c r="E3379" s="7" t="str">
        <f>IFERROR(__xludf.DUMMYFUNCTION("""COMPUTED_VALUE"""),"Yes")</f>
        <v>Yes</v>
      </c>
      <c r="F3379" s="7" t="str">
        <f>IFERROR(__xludf.DUMMYFUNCTION("""COMPUTED_VALUE"""),"Virtual/Gather")</f>
        <v>Virtual/Gather</v>
      </c>
      <c r="G3379" s="7" t="str">
        <f>IFERROR(__xludf.DUMMYFUNCTION("""COMPUTED_VALUE"""),"Virtual/Gather")</f>
        <v>Virtual/Gather</v>
      </c>
      <c r="H3379" s="7" t="str">
        <f>IFERROR(__xludf.DUMMYFUNCTION("""COMPUTED_VALUE"""),"Zoom")</f>
        <v>Zoom</v>
      </c>
      <c r="I3379" s="7" t="str">
        <f>IFERROR(__xludf.DUMMYFUNCTION("""COMPUTED_VALUE"""),"Session 10: V-Presenations")</f>
        <v>Session 10: V-Presenations</v>
      </c>
      <c r="J3379" s="7" t="str">
        <f>IFERROR(__xludf.DUMMYFUNCTION("""COMPUTED_VALUE"""),"Student Research Workshop - Virtual Presentations 2")</f>
        <v>Student Research Workshop - Virtual Presentations 2</v>
      </c>
      <c r="K3379" s="7"/>
      <c r="L3379" s="8">
        <f>IFERROR(__xludf.DUMMYFUNCTION("""COMPUTED_VALUE"""),45867.0)</f>
        <v>45867</v>
      </c>
      <c r="M3379" s="7" t="str">
        <f>IFERROR(__xludf.DUMMYFUNCTION("""COMPUTED_VALUE"""),"16:00-17:30")</f>
        <v>16:00-17:30</v>
      </c>
      <c r="N3379" s="7">
        <f>IFERROR(__xludf.DUMMYFUNCTION("""COMPUTED_VALUE"""),13.0)</f>
        <v>13</v>
      </c>
    </row>
    <row r="3380">
      <c r="A3380" s="7" t="str">
        <f>IFERROR(__xludf.DUMMYFUNCTION("""COMPUTED_VALUE"""),"333-SRW")</f>
        <v>333-SRW</v>
      </c>
      <c r="B3380" s="7" t="str">
        <f>IFERROR(__xludf.DUMMYFUNCTION("""COMPUTED_VALUE"""),"Do LLMs Understand Wine Descriptors Across Cultures? A Benchmark for Cultural Adaptions of Wine Reviews")</f>
        <v>Do LLMs Understand Wine Descriptors Across Cultures? A Benchmark for Cultural Adaptions of Wine Reviews</v>
      </c>
      <c r="C3380" s="7" t="str">
        <f>IFERROR(__xludf.DUMMYFUNCTION("""COMPUTED_VALUE"""),"Leveraging remarkable advancements in Large Language Models (LLMs), we are now poised to tackle increasingly complex challenges requiring deep comprehension of multifaceted domains and contexts. A specific application scenario is wine reviews adaptation. "&amp;"Wine reviews usually describe a wine's appearance, aroma, and flavor to help consumers appreciate its characteristics. However, the adaptation of wine reviews transcends mere translation; it requires consideration of regional preferences, flavor descripto"&amp;"rs, and cultural nuances that shape wine perception. We introduce the first-ever task involving the translation and cultural adaptation of wine reviews between Chinese and English. In a case study on cross-cultural wine review adaptation, we compile the \"&amp;"textbf{first} dataset of 8k Chinese and 16k Western professional wine reviews.  We evaluated various methods, including LLMs and traditional machine translation techniques, using both automatic and human metrics. For human assessments, we introduce three "&amp;"novel culture-related metrics—Cultural Proximity, Cultural Neutrality, and Cultural Genuineness—to gauge the success of different approaches in achieving authentic cross-cultural adaptation. Our analysis shows that current models struggle to capture cultu"&amp;"ral nuances, especially in translating wine descriptions across different cultures. This highlights the challenges and limitations of translation models in handling cultural content.")</f>
        <v>Leveraging remarkable advancements in Large Language Models (LLMs), we are now poised to tackle increasingly complex challenges requiring deep comprehension of multifaceted domains and contexts. A specific application scenario is wine reviews adaptation. Wine reviews usually describe a wine's appearance, aroma, and flavor to help consumers appreciate its characteristics. However, the adaptation of wine reviews transcends mere translation; it requires consideration of regional preferences, flavor descriptors, and cultural nuances that shape wine perception. We introduce the first-ever task involving the translation and cultural adaptation of wine reviews between Chinese and English. In a case study on cross-cultural wine review adaptation, we compile the \textbf{first} dataset of 8k Chinese and 16k Western professional wine reviews.  We evaluated various methods, including LLMs and traditional machine translation techniques, using both automatic and human metrics. For human assessments, we introduce three novel culture-related metrics—Cultural Proximity, Cultural Neutrality, and Cultural Genuineness—to gauge the success of different approaches in achieving authentic cross-cultural adaptation. Our analysis shows that current models struggle to capture cultural nuances, especially in translating wine descriptions across different cultures. This highlights the challenges and limitations of translation models in handling cultural content.</v>
      </c>
      <c r="D3380" s="7"/>
      <c r="E3380" s="7" t="str">
        <f>IFERROR(__xludf.DUMMYFUNCTION("""COMPUTED_VALUE"""),"Withdrawn")</f>
        <v>Withdrawn</v>
      </c>
      <c r="F3380" s="7" t="str">
        <f>IFERROR(__xludf.DUMMYFUNCTION("""COMPUTED_VALUE"""),"Withdrawn")</f>
        <v>Withdrawn</v>
      </c>
      <c r="G3380" s="7" t="str">
        <f>IFERROR(__xludf.DUMMYFUNCTION("""COMPUTED_VALUE"""),"Withdrawn")</f>
        <v>Withdrawn</v>
      </c>
      <c r="H3380" s="7"/>
      <c r="I3380" s="7" t="str">
        <f>IFERROR(__xludf.DUMMYFUNCTION("""COMPUTED_VALUE"""),"withdraw")</f>
        <v>withdraw</v>
      </c>
      <c r="J3380" s="7"/>
      <c r="K3380" s="7"/>
      <c r="L3380" s="8"/>
      <c r="M3380" s="7"/>
      <c r="N3380" s="7"/>
    </row>
    <row r="3381">
      <c r="A3381" s="7" t="str">
        <f>IFERROR(__xludf.DUMMYFUNCTION("""COMPUTED_VALUE"""),"343-SRW")</f>
        <v>343-SRW</v>
      </c>
      <c r="B3381" s="7" t="str">
        <f>IFERROR(__xludf.DUMMYFUNCTION("""COMPUTED_VALUE"""),"RusConText Benchmark: A Russian Language Evaluation Benchmark for Understanding Context")</f>
        <v>RusConText Benchmark: A Russian Language Evaluation Benchmark for Understanding Context</v>
      </c>
      <c r="C3381" s="7" t="str">
        <f>IFERROR(__xludf.DUMMYFUNCTION("""COMPUTED_VALUE"""),"This paper represents an implementation of an approach rather similar to that of (Zhu et al., 2024), but for the Russian-language data. We introduce a RusConText Benchmark for evaluating short context understanding in Russian, comprising four distinct yet"&amp;" interrelated tasks: ellipsis resolution, coreference resolution, and idiom interpretation, and discourse understanding. Each task targets a specific aspect of linguistic processing, challenging large language model to recover omitted information, resolve"&amp;" referential dependencies, interpret idioms and discourse. RusConText Benchmark serves as an additional resource beyond standard benchmarks, designed to assess model performance from a specific perspective. In addition, we present the results of scoring 4"&amp;" models on our benchmark.")</f>
        <v>This paper represents an implementation of an approach rather similar to that of (Zhu et al., 2024), but for the Russian-language data. We introduce a RusConText Benchmark for evaluating short context understanding in Russian, comprising four distinct yet interrelated tasks: ellipsis resolution, coreference resolution, and idiom interpretation, and discourse understanding. Each task targets a specific aspect of linguistic processing, challenging large language model to recover omitted information, resolve referential dependencies, interpret idioms and discourse. RusConText Benchmark serves as an additional resource beyond standard benchmarks, designed to assess model performance from a specific perspective. In addition, we present the results of scoring 4 models on our benchmark.</v>
      </c>
      <c r="D3381" s="7" t="str">
        <f>IFERROR(__xludf.DUMMYFUNCTION("""COMPUTED_VALUE"""),"Svetlana Kuznetsova")</f>
        <v>Svetlana Kuznetsova</v>
      </c>
      <c r="E3381" s="7" t="str">
        <f>IFERROR(__xludf.DUMMYFUNCTION("""COMPUTED_VALUE"""),"Yes")</f>
        <v>Yes</v>
      </c>
      <c r="F3381" s="7" t="str">
        <f>IFERROR(__xludf.DUMMYFUNCTION("""COMPUTED_VALUE"""),"Virtual/Gather")</f>
        <v>Virtual/Gather</v>
      </c>
      <c r="G3381" s="7" t="str">
        <f>IFERROR(__xludf.DUMMYFUNCTION("""COMPUTED_VALUE"""),"Virtual/Gather")</f>
        <v>Virtual/Gather</v>
      </c>
      <c r="H3381" s="7" t="str">
        <f>IFERROR(__xludf.DUMMYFUNCTION("""COMPUTED_VALUE"""),"Zoom")</f>
        <v>Zoom</v>
      </c>
      <c r="I3381" s="7" t="str">
        <f>IFERROR(__xludf.DUMMYFUNCTION("""COMPUTED_VALUE"""),"Session 10: V-Presenations")</f>
        <v>Session 10: V-Presenations</v>
      </c>
      <c r="J3381" s="7" t="str">
        <f>IFERROR(__xludf.DUMMYFUNCTION("""COMPUTED_VALUE"""),"Student Research Workshop - Virtual Presentations 2")</f>
        <v>Student Research Workshop - Virtual Presentations 2</v>
      </c>
      <c r="K3381" s="7"/>
      <c r="L3381" s="8">
        <f>IFERROR(__xludf.DUMMYFUNCTION("""COMPUTED_VALUE"""),45867.0)</f>
        <v>45867</v>
      </c>
      <c r="M3381" s="7" t="str">
        <f>IFERROR(__xludf.DUMMYFUNCTION("""COMPUTED_VALUE"""),"16:00-17:30")</f>
        <v>16:00-17:30</v>
      </c>
      <c r="N3381" s="7">
        <f>IFERROR(__xludf.DUMMYFUNCTION("""COMPUTED_VALUE"""),14.0)</f>
        <v>14</v>
      </c>
    </row>
    <row r="3382">
      <c r="A3382" s="7" t="str">
        <f>IFERROR(__xludf.DUMMYFUNCTION("""COMPUTED_VALUE"""),"345-SRW")</f>
        <v>345-SRW</v>
      </c>
      <c r="B3382" s="7" t="str">
        <f>IFERROR(__xludf.DUMMYFUNCTION("""COMPUTED_VALUE"""),"GenDLN: Evolutionary Algorithm-Based Stacked LLM Framework for Joint Prompt Optimization")</f>
        <v>GenDLN: Evolutionary Algorithm-Based Stacked LLM Framework for Joint Prompt Optimization</v>
      </c>
      <c r="C3382" s="7" t="str">
        <f>IFERROR(__xludf.DUMMYFUNCTION("""COMPUTED_VALUE"""),"With Large Language Model (LLM)-based applications becoming more common due to strong performance across many tasks, prompt optimization has emerged as a way to extract better solutions from frozen, often commercial LLMs that are not specifically adapted "&amp;"to a task. LLM-assisted prompt optimization methods provide a promising alternative to manual/human prompt engineering, where LLM “reasoning” can be used to make them optimizing agents. However, the cost of using LLMs for prompt optimization via commercia"&amp;"l APIs remains high, especially for heuristic methods like evolutionary algorithms (EAs), which need many iterations to converge, and thus, tokens, API calls, and rate-limited network overhead. We propose GenDLN, an efficient genetic algorithm-based promp"&amp;"t pair optimization framework that leverages commercial API free tiers. Our approach allows teams with limited resources (NGOs, non-profits, academics…) to efficiently use commercial LLMs for EA-based prompt optimization. We conduct experiments on CLAUDET"&amp;"TE for legal terms of service classification and MRPC for paraphrase detection, performing in line with selected prompt optimization baselines, at no cost. Our code is available in &lt;omitted&gt;.")</f>
        <v>With Large Language Model (LLM)-based applications becoming more common due to strong performance across many tasks, prompt optimization has emerged as a way to extract better solutions from frozen, often commercial LLMs that are not specifically adapted to a task. LLM-assisted prompt optimization methods provide a promising alternative to manual/human prompt engineering, where LLM “reasoning” can be used to make them optimizing agents. However, the cost of using LLMs for prompt optimization via commercial APIs remains high, especially for heuristic methods like evolutionary algorithms (EAs), which need many iterations to converge, and thus, tokens, API calls, and rate-limited network overhead. We propose GenDLN, an efficient genetic algorithm-based prompt pair optimization framework that leverages commercial API free tiers. Our approach allows teams with limited resources (NGOs, non-profits, academics…) to efficiently use commercial LLMs for EA-based prompt optimization. We conduct experiments on CLAUDETTE for legal terms of service classification and MRPC for paraphrase detection, performing in line with selected prompt optimization baselines, at no cost. Our code is available in &lt;omitted&gt;.</v>
      </c>
      <c r="D3382" s="7" t="str">
        <f>IFERROR(__xludf.DUMMYFUNCTION("""COMPUTED_VALUE"""),"Pia Chouayfati")</f>
        <v>Pia Chouayfati</v>
      </c>
      <c r="E3382" s="7" t="str">
        <f>IFERROR(__xludf.DUMMYFUNCTION("""COMPUTED_VALUE"""),"Yes")</f>
        <v>Yes</v>
      </c>
      <c r="F3382" s="7" t="str">
        <f>IFERROR(__xludf.DUMMYFUNCTION("""COMPUTED_VALUE"""),"IP-Poster")</f>
        <v>IP-Poster</v>
      </c>
      <c r="G3382" s="7" t="str">
        <f>IFERROR(__xludf.DUMMYFUNCTION("""COMPUTED_VALUE"""),"In-person")</f>
        <v>In-person</v>
      </c>
      <c r="H3382" s="7" t="str">
        <f>IFERROR(__xludf.DUMMYFUNCTION("""COMPUTED_VALUE"""),"Hall 4/5")</f>
        <v>Hall 4/5</v>
      </c>
      <c r="I3382" s="7" t="str">
        <f>IFERROR(__xludf.DUMMYFUNCTION("""COMPUTED_VALUE"""),"Session 10: IP-Posters")</f>
        <v>Session 10: IP-Posters</v>
      </c>
      <c r="J3382" s="7" t="str">
        <f>IFERROR(__xludf.DUMMYFUNCTION("""COMPUTED_VALUE"""),"Student Research Workshop - In-Person Posters 2")</f>
        <v>Student Research Workshop - In-Person Posters 2</v>
      </c>
      <c r="K3382" s="7"/>
      <c r="L3382" s="8">
        <f>IFERROR(__xludf.DUMMYFUNCTION("""COMPUTED_VALUE"""),45867.0)</f>
        <v>45867</v>
      </c>
      <c r="M3382" s="7" t="str">
        <f>IFERROR(__xludf.DUMMYFUNCTION("""COMPUTED_VALUE"""),"16:00-17:30")</f>
        <v>16:00-17:30</v>
      </c>
      <c r="N3382" s="7"/>
    </row>
    <row r="3383">
      <c r="A3383" s="7" t="str">
        <f>IFERROR(__xludf.DUMMYFUNCTION("""COMPUTED_VALUE"""),"346-SRW")</f>
        <v>346-SRW</v>
      </c>
      <c r="B3383" s="7" t="str">
        <f>IFERROR(__xludf.DUMMYFUNCTION("""COMPUTED_VALUE"""),"Sign Language Video Segmentation Using Temporal Boundary Identification")</f>
        <v>Sign Language Video Segmentation Using Temporal Boundary Identification</v>
      </c>
      <c r="C3383" s="7" t="str">
        <f>IFERROR(__xludf.DUMMYFUNCTION("""COMPUTED_VALUE"""),"Sign language segmentation focuses on identifying temporal boundaries within sign language videos. As compared to previous segmentation techniques that have depended on frame-level and phrase-level segmentation, our study emphasizes on subtitle-level segm"&amp;"entation, using synchronized subtitle data to facilitate temporal boundary recognition. Based on Beginning-Inside-Outside (BIO) tagging for subtitle unit delineation, we train a sequence-to-sequence (Seq2Seq) model with and without attention for subtitle "&amp;"boundary identification. Training on optical flow data and aligned subtitles from BOBSL and YouTube-ASL, we show that the Seq2Seq model with attention outperforms baseline models, achieving improved percentage of segments, F1 and IoU score. An additional "&amp;"contribution is the development of an method for subtitle temporal resolution, aiming to facilitate manual annotation.")</f>
        <v>Sign language segmentation focuses on identifying temporal boundaries within sign language videos. As compared to previous segmentation techniques that have depended on frame-level and phrase-level segmentation, our study emphasizes on subtitle-level segmentation, using synchronized subtitle data to facilitate temporal boundary recognition. Based on Beginning-Inside-Outside (BIO) tagging for subtitle unit delineation, we train a sequence-to-sequence (Seq2Seq) model with and without attention for subtitle boundary identification. Training on optical flow data and aligned subtitles from BOBSL and YouTube-ASL, we show that the Seq2Seq model with attention outperforms baseline models, achieving improved percentage of segments, F1 and IoU score. An additional contribution is the development of an method for subtitle temporal resolution, aiming to facilitate manual annotation.</v>
      </c>
      <c r="D3383" s="7" t="str">
        <f>IFERROR(__xludf.DUMMYFUNCTION("""COMPUTED_VALUE"""),"Kavu Maithri Rao")</f>
        <v>Kavu Maithri Rao</v>
      </c>
      <c r="E3383" s="7" t="str">
        <f>IFERROR(__xludf.DUMMYFUNCTION("""COMPUTED_VALUE"""),"Yes")</f>
        <v>Yes</v>
      </c>
      <c r="F3383" s="7" t="str">
        <f>IFERROR(__xludf.DUMMYFUNCTION("""COMPUTED_VALUE"""),"IP-Poster")</f>
        <v>IP-Poster</v>
      </c>
      <c r="G3383" s="7" t="str">
        <f>IFERROR(__xludf.DUMMYFUNCTION("""COMPUTED_VALUE"""),"In-person")</f>
        <v>In-person</v>
      </c>
      <c r="H3383" s="7" t="str">
        <f>IFERROR(__xludf.DUMMYFUNCTION("""COMPUTED_VALUE"""),"Hall 4/5")</f>
        <v>Hall 4/5</v>
      </c>
      <c r="I3383" s="7" t="str">
        <f>IFERROR(__xludf.DUMMYFUNCTION("""COMPUTED_VALUE"""),"Session 10: IP-Posters")</f>
        <v>Session 10: IP-Posters</v>
      </c>
      <c r="J3383" s="7" t="str">
        <f>IFERROR(__xludf.DUMMYFUNCTION("""COMPUTED_VALUE"""),"Student Research Workshop - In-Person Posters 2")</f>
        <v>Student Research Workshop - In-Person Posters 2</v>
      </c>
      <c r="K3383" s="7"/>
      <c r="L3383" s="8">
        <f>IFERROR(__xludf.DUMMYFUNCTION("""COMPUTED_VALUE"""),45867.0)</f>
        <v>45867</v>
      </c>
      <c r="M3383" s="7" t="str">
        <f>IFERROR(__xludf.DUMMYFUNCTION("""COMPUTED_VALUE"""),"16:00-17:30")</f>
        <v>16:00-17:30</v>
      </c>
      <c r="N3383" s="7"/>
    </row>
    <row r="3384">
      <c r="A3384" s="7" t="str">
        <f>IFERROR(__xludf.DUMMYFUNCTION("""COMPUTED_VALUE"""),"348-SRW")</f>
        <v>348-SRW</v>
      </c>
      <c r="B3384" s="7" t="str">
        <f>IFERROR(__xludf.DUMMYFUNCTION("""COMPUTED_VALUE"""),"LIP-NER: Literal Patterns Benefit LLM-Based NER")</f>
        <v>LIP-NER: Literal Patterns Benefit LLM-Based NER</v>
      </c>
      <c r="C3384" s="7" t="str">
        <f>IFERROR(__xludf.DUMMYFUNCTION("""COMPUTED_VALUE"""),"Large Language Models (LLMs) can enhance the performance of Named Entity Recognition (NER) tasks by leveraging external knowledge through in-context learning. When it comes to entity-type-related external knowledge, existing methods mainly provide LLMs wi"&amp;"th semantic information such as the definition and annotation guidelines of an entity type, leaving the effect of orthographic or morphological information on LLM-based NER unexplored. Besides, it is non-trivial to obtain literal patterns written in natur"&amp;"al language to serve LLMs. In this work, we propose LiP-NER, an LLM-based NER framework that utilizes \textbf{Li}teral \textbf{P}atterns, the entity-type-related knowledge that directly describes the orthographic and morphological features of entities. We"&amp;" also propose an LLM-based method to automatically acquire literal patterns, which requires only several sample entities rather than any annotation example, thus further reducing human labor. Our extensive experiments suggest that literal patterns can enh"&amp;"ance the performance of LLMs in NER tasks. In further analysis, we found that entity types with relatively standardized naming conventions but limited world knowledge in LLMs, as well as entity types with broad and ambiguous names or definitions yet low i"&amp;"nternal variation among entities, benefit most from our approach. We found that the most effective written literal patterns are (1) detailed in classification, (2) focused on majority cases rather than minorities, and (3) explicit about obvious literal fe"&amp;"atures.")</f>
        <v>Large Language Models (LLMs) can enhance the performance of Named Entity Recognition (NER) tasks by leveraging external knowledge through in-context learning. When it comes to entity-type-related external knowledge, existing methods mainly provide LLMs with semantic information such as the definition and annotation guidelines of an entity type, leaving the effect of orthographic or morphological information on LLM-based NER unexplored. Besides, it is non-trivial to obtain literal patterns written in natural language to serve LLMs. In this work, we propose LiP-NER, an LLM-based NER framework that utilizes \textbf{Li}teral \textbf{P}atterns, the entity-type-related knowledge that directly describes the orthographic and morphological features of entities. We also propose an LLM-based method to automatically acquire literal patterns, which requires only several sample entities rather than any annotation example, thus further reducing human labor. Our extensive experiments suggest that literal patterns can enhance the performance of LLMs in NER tasks. In further analysis, we found that entity types with relatively standardized naming conventions but limited world knowledge in LLMs, as well as entity types with broad and ambiguous names or definitions yet low internal variation among entities, benefit most from our approach. We found that the most effective written literal patterns are (1) detailed in classification, (2) focused on majority cases rather than minorities, and (3) explicit about obvious literal features.</v>
      </c>
      <c r="D3384" s="7" t="str">
        <f>IFERROR(__xludf.DUMMYFUNCTION("""COMPUTED_VALUE"""),"Ruiqi Li")</f>
        <v>Ruiqi Li</v>
      </c>
      <c r="E3384" s="7" t="str">
        <f>IFERROR(__xludf.DUMMYFUNCTION("""COMPUTED_VALUE"""),"Yes")</f>
        <v>Yes</v>
      </c>
      <c r="F3384" s="7" t="str">
        <f>IFERROR(__xludf.DUMMYFUNCTION("""COMPUTED_VALUE"""),"IP-Poster")</f>
        <v>IP-Poster</v>
      </c>
      <c r="G3384" s="7" t="str">
        <f>IFERROR(__xludf.DUMMYFUNCTION("""COMPUTED_VALUE"""),"In-person")</f>
        <v>In-person</v>
      </c>
      <c r="H3384" s="7" t="str">
        <f>IFERROR(__xludf.DUMMYFUNCTION("""COMPUTED_VALUE"""),"Hall 4/5")</f>
        <v>Hall 4/5</v>
      </c>
      <c r="I3384" s="7" t="str">
        <f>IFERROR(__xludf.DUMMYFUNCTION("""COMPUTED_VALUE"""),"Session 10: IP-Posters")</f>
        <v>Session 10: IP-Posters</v>
      </c>
      <c r="J3384" s="7" t="str">
        <f>IFERROR(__xludf.DUMMYFUNCTION("""COMPUTED_VALUE"""),"Student Research Workshop - In-Person Posters 2")</f>
        <v>Student Research Workshop - In-Person Posters 2</v>
      </c>
      <c r="K3384" s="7"/>
      <c r="L3384" s="8">
        <f>IFERROR(__xludf.DUMMYFUNCTION("""COMPUTED_VALUE"""),45867.0)</f>
        <v>45867</v>
      </c>
      <c r="M3384" s="7" t="str">
        <f>IFERROR(__xludf.DUMMYFUNCTION("""COMPUTED_VALUE"""),"16:00-17:30")</f>
        <v>16:00-17:30</v>
      </c>
      <c r="N3384" s="7"/>
    </row>
    <row r="3385">
      <c r="A3385" s="7" t="str">
        <f>IFERROR(__xludf.DUMMYFUNCTION("""COMPUTED_VALUE"""),"349-SRW")</f>
        <v>349-SRW</v>
      </c>
      <c r="B3385" s="7" t="str">
        <f>IFERROR(__xludf.DUMMYFUNCTION("""COMPUTED_VALUE"""),"Testing English News Articles for Lexical Homogenization Due to Widespread Use of Large Language Models")</f>
        <v>Testing English News Articles for Lexical Homogenization Due to Widespread Use of Large Language Models</v>
      </c>
      <c r="C3385" s="7" t="str">
        <f>IFERROR(__xludf.DUMMYFUNCTION("""COMPUTED_VALUE"""),"It is widely assumed that Large Language Models (LLMs) are shaping language, with multiple studies noting the growing presence of LLM-generated content and suggesting homogenizing effects. However, it remains unclear if these effects are already evident i"&amp;"n recent writing. This study addresses that gap by comparing two datasets of English online news articles -- one from 2018, prior to LLM popularization, and one from 2024, after widespread LLM adoption. We define lexical homogenization as a decrease in le"&amp;"xical diversity, measured by the MATTR, Maas, and MTLD metrics, and introduce the LLM-Style-Word Ratio (SWR) to measure LLM influence. We found higher MTLD and SWR scores, yet negligible changes in Maas and MATTR scores in 2024 corpus. We conclude that wh"&amp;"ile there is an apparent influence of LLMs on written online English, homogenization effects do not show in the measurements. We therefore propose to apply different metrics to measure lexical homogenization in future studies on the influence of LLM usage"&amp;" on language change.")</f>
        <v>It is widely assumed that Large Language Models (LLMs) are shaping language, with multiple studies noting the growing presence of LLM-generated content and suggesting homogenizing effects. However, it remains unclear if these effects are already evident in recent writing. This study addresses that gap by comparing two datasets of English online news articles -- one from 2018, prior to LLM popularization, and one from 2024, after widespread LLM adoption. We define lexical homogenization as a decrease in lexical diversity, measured by the MATTR, Maas, and MTLD metrics, and introduce the LLM-Style-Word Ratio (SWR) to measure LLM influence. We found higher MTLD and SWR scores, yet negligible changes in Maas and MATTR scores in 2024 corpus. We conclude that while there is an apparent influence of LLMs on written online English, homogenization effects do not show in the measurements. We therefore propose to apply different metrics to measure lexical homogenization in future studies on the influence of LLM usage on language change.</v>
      </c>
      <c r="D3385" s="7" t="str">
        <f>IFERROR(__xludf.DUMMYFUNCTION("""COMPUTED_VALUE"""),"Sarah Fitterer")</f>
        <v>Sarah Fitterer</v>
      </c>
      <c r="E3385" s="7" t="str">
        <f>IFERROR(__xludf.DUMMYFUNCTION("""COMPUTED_VALUE"""),"Yes")</f>
        <v>Yes</v>
      </c>
      <c r="F3385" s="7" t="str">
        <f>IFERROR(__xludf.DUMMYFUNCTION("""COMPUTED_VALUE"""),"IP-Poster")</f>
        <v>IP-Poster</v>
      </c>
      <c r="G3385" s="7" t="str">
        <f>IFERROR(__xludf.DUMMYFUNCTION("""COMPUTED_VALUE"""),"In-person")</f>
        <v>In-person</v>
      </c>
      <c r="H3385" s="7" t="str">
        <f>IFERROR(__xludf.DUMMYFUNCTION("""COMPUTED_VALUE"""),"Hall 4/5")</f>
        <v>Hall 4/5</v>
      </c>
      <c r="I3385" s="7" t="str">
        <f>IFERROR(__xludf.DUMMYFUNCTION("""COMPUTED_VALUE"""),"Session 10: IP-Posters")</f>
        <v>Session 10: IP-Posters</v>
      </c>
      <c r="J3385" s="7" t="str">
        <f>IFERROR(__xludf.DUMMYFUNCTION("""COMPUTED_VALUE"""),"Student Research Workshop - In-Person Posters 2")</f>
        <v>Student Research Workshop - In-Person Posters 2</v>
      </c>
      <c r="K3385" s="7"/>
      <c r="L3385" s="8">
        <f>IFERROR(__xludf.DUMMYFUNCTION("""COMPUTED_VALUE"""),45867.0)</f>
        <v>45867</v>
      </c>
      <c r="M3385" s="7" t="str">
        <f>IFERROR(__xludf.DUMMYFUNCTION("""COMPUTED_VALUE"""),"16:00-17:30")</f>
        <v>16:00-17:30</v>
      </c>
      <c r="N3385" s="7"/>
    </row>
    <row r="3386">
      <c r="A3386" s="7" t="str">
        <f>IFERROR(__xludf.DUMMYFUNCTION("""COMPUTED_VALUE"""),"350-SRW")</f>
        <v>350-SRW</v>
      </c>
      <c r="B3386" s="7" t="str">
        <f>IFERROR(__xludf.DUMMYFUNCTION("""COMPUTED_VALUE"""),"Direct Confidence Alignment: Aligning Verbalized Confidence with Internal Confidence In Large Language Models")</f>
        <v>Direct Confidence Alignment: Aligning Verbalized Confidence with Internal Confidence In Large Language Models</v>
      </c>
      <c r="C3386" s="7" t="str">
        <f>IFERROR(__xludf.DUMMYFUNCTION("""COMPUTED_VALUE"""),"Producing trustworthy and reliable Large Language Models (LLMs) has become increasingly important as their usage becomes more widespread. Calibration seeks to achieve this by improving the alignment between the model's confidence and the actual likelihood"&amp;" of its responses being correct or desirable. However, it has been observed that the internal confidence of a model, derived from token probabilities, is not well aligned with its verbalized confidence, leading to misleading results with different calibra"&amp;"tion methods. In this paper, we propose Direct Confidence Alignment (DCA), a method using Direct Preference Optimization to align an LLM’s verbalized confidence with its internal confidence rather than ground-truth accuracy, enhancing model transparency a"&amp;"nd reliability by ensuring closer alignment between the two confidence measures. We evaluate DCA across multiple open-weight LLMs on a wide range of datasets. To further assess this alignment, we also introduce three new calibration error-based metrics. O"&amp;"ur results show that DCA improves alignment metrics on certain model architectures, reducing inconsistencies in a model's confidence expression. However, we also show that it can be ineffective on others, highlighting the need for more model-aware approac"&amp;"hes in the pursuit of more interpretable and trustworthy LLMs.")</f>
        <v>Producing trustworthy and reliable Large Language Models (LLMs) has become increasingly important as their usage becomes more widespread. Calibration seeks to achieve this by improving the alignment between the model's confidence and the actual likelihood of its responses being correct or desirable. However, it has been observed that the internal confidence of a model, derived from token probabilities, is not well aligned with its verbalized confidence, leading to misleading results with different calibration methods. In this paper, we propose Direct Confidence Alignment (DCA), a method using Direct Preference Optimization to align an LLM’s verbalized confidence with its internal confidence rather than ground-truth accuracy, enhancing model transparency and reliability by ensuring closer alignment between the two confidence measures. We evaluate DCA across multiple open-weight LLMs on a wide range of datasets. To further assess this alignment, we also introduce three new calibration error-based metrics. Our results show that DCA improves alignment metrics on certain model architectures, reducing inconsistencies in a model's confidence expression. However, we also show that it can be ineffective on others, highlighting the need for more model-aware approaches in the pursuit of more interpretable and trustworthy LLMs.</v>
      </c>
      <c r="D3386" s="7" t="str">
        <f>IFERROR(__xludf.DUMMYFUNCTION("""COMPUTED_VALUE"""),"Treasure Mayowa")</f>
        <v>Treasure Mayowa</v>
      </c>
      <c r="E3386" s="7" t="str">
        <f>IFERROR(__xludf.DUMMYFUNCTION("""COMPUTED_VALUE"""),"Yes")</f>
        <v>Yes</v>
      </c>
      <c r="F3386" s="7" t="str">
        <f>IFERROR(__xludf.DUMMYFUNCTION("""COMPUTED_VALUE"""),"IP-Poster")</f>
        <v>IP-Poster</v>
      </c>
      <c r="G3386" s="7" t="str">
        <f>IFERROR(__xludf.DUMMYFUNCTION("""COMPUTED_VALUE"""),"In-person")</f>
        <v>In-person</v>
      </c>
      <c r="H3386" s="7" t="str">
        <f>IFERROR(__xludf.DUMMYFUNCTION("""COMPUTED_VALUE"""),"Hall 4/5")</f>
        <v>Hall 4/5</v>
      </c>
      <c r="I3386" s="7" t="str">
        <f>IFERROR(__xludf.DUMMYFUNCTION("""COMPUTED_VALUE"""),"Session 10: IP-Posters")</f>
        <v>Session 10: IP-Posters</v>
      </c>
      <c r="J3386" s="7" t="str">
        <f>IFERROR(__xludf.DUMMYFUNCTION("""COMPUTED_VALUE"""),"Student Research Workshop - In-Person Posters 2")</f>
        <v>Student Research Workshop - In-Person Posters 2</v>
      </c>
      <c r="K3386" s="7"/>
      <c r="L3386" s="8">
        <f>IFERROR(__xludf.DUMMYFUNCTION("""COMPUTED_VALUE"""),45867.0)</f>
        <v>45867</v>
      </c>
      <c r="M3386" s="7" t="str">
        <f>IFERROR(__xludf.DUMMYFUNCTION("""COMPUTED_VALUE"""),"16:00-17:30")</f>
        <v>16:00-17:30</v>
      </c>
      <c r="N3386" s="7"/>
    </row>
    <row r="3387">
      <c r="A3387" s="7" t="str">
        <f>IFERROR(__xludf.DUMMYFUNCTION("""COMPUTED_VALUE"""),"352-SRW")</f>
        <v>352-SRW</v>
      </c>
      <c r="B3387" s="7" t="str">
        <f>IFERROR(__xludf.DUMMYFUNCTION("""COMPUTED_VALUE"""),"Overcoming Self-Imposed Limits: Five Words to Break an LLM's Context Compression Barrier")</f>
        <v>Overcoming Self-Imposed Limits: Five Words to Break an LLM's Context Compression Barrier</v>
      </c>
      <c r="C3387" s="7" t="str">
        <f>IFERROR(__xludf.DUMMYFUNCTION("""COMPUTED_VALUE"""),"This paper focuses on efficient Large Language Model data compression. Considering the linear context growth of self-evaluating and divide-and-conquer LLM modeling methods, techniques are needed to manage the size of shared context. Existing approaches co"&amp;"mpress data through prompt tuning, using detailed instructions to guide the output. However, this method may be suboptimal: (i) defining principles may restrict an LLM's inherent ability to compress data; (ii) longer prompts increase the overhead needed t"&amp;"o process data.
To address these issues, we built upon the framework proposed by LLMLingua2, which formulates data compression as a token classification problem, and trains knowledge distilled models on data generated using compression prompts. We observ"&amp;"ed their model's output, designed new prompts targeted at areas of improvement, and evaluated on downstream tasks, such as summarization, question answering and mathematics. We then test our best prompting method on the summarization task of MeetingBank, "&amp;"3% the size of LLMLingua2's prompt, while achieving a 61% size reduction of distilled data and higher model evaluation result than LLMLingua2's prompting method on all eight different metrics, at a low resource level of 1000 training pairs.")</f>
        <v>This paper focuses on efficient Large Language Model data compression. Considering the linear context growth of self-evaluating and divide-and-conquer LLM modeling methods, techniques are needed to manage the size of shared context. Existing approaches compress data through prompt tuning, using detailed instructions to guide the output. However, this method may be suboptimal: (i) defining principles may restrict an LLM's inherent ability to compress data; (ii) longer prompts increase the overhead needed to process data.
To address these issues, we built upon the framework proposed by LLMLingua2, which formulates data compression as a token classification problem, and trains knowledge distilled models on data generated using compression prompts. We observed their model's output, designed new prompts targeted at areas of improvement, and evaluated on downstream tasks, such as summarization, question answering and mathematics. We then test our best prompting method on the summarization task of MeetingBank, 3% the size of LLMLingua2's prompt, while achieving a 61% size reduction of distilled data and higher model evaluation result than LLMLingua2's prompting method on all eight different metrics, at a low resource level of 1000 training pairs.</v>
      </c>
      <c r="D3387" s="7" t="str">
        <f>IFERROR(__xludf.DUMMYFUNCTION("""COMPUTED_VALUE"""),"Lin-Wei Chao")</f>
        <v>Lin-Wei Chao</v>
      </c>
      <c r="E3387" s="7" t="str">
        <f>IFERROR(__xludf.DUMMYFUNCTION("""COMPUTED_VALUE"""),"Yes")</f>
        <v>Yes</v>
      </c>
      <c r="F3387" s="7" t="str">
        <f>IFERROR(__xludf.DUMMYFUNCTION("""COMPUTED_VALUE"""),"Virtual/Gather")</f>
        <v>Virtual/Gather</v>
      </c>
      <c r="G3387" s="7" t="str">
        <f>IFERROR(__xludf.DUMMYFUNCTION("""COMPUTED_VALUE"""),"Virtual/Gather")</f>
        <v>Virtual/Gather</v>
      </c>
      <c r="H3387" s="7" t="str">
        <f>IFERROR(__xludf.DUMMYFUNCTION("""COMPUTED_VALUE"""),"Zoom")</f>
        <v>Zoom</v>
      </c>
      <c r="I3387" s="7" t="str">
        <f>IFERROR(__xludf.DUMMYFUNCTION("""COMPUTED_VALUE"""),"Session 7: V--Presentations ")</f>
        <v>Session 7: V--Presentations </v>
      </c>
      <c r="J3387" s="7" t="str">
        <f>IFERROR(__xludf.DUMMYFUNCTION("""COMPUTED_VALUE"""),"Student Research Workshop - Virtual Presentations 1")</f>
        <v>Student Research Workshop - Virtual Presentations 1</v>
      </c>
      <c r="K3387" s="7"/>
      <c r="L3387" s="8"/>
      <c r="M3387" s="7" t="str">
        <f>IFERROR(__xludf.DUMMYFUNCTION("""COMPUTED_VALUE"""),"10:30-12:00")</f>
        <v>10:30-12:00</v>
      </c>
      <c r="N3387" s="7">
        <f>IFERROR(__xludf.DUMMYFUNCTION("""COMPUTED_VALUE"""),15.0)</f>
        <v>15</v>
      </c>
    </row>
    <row r="3388">
      <c r="A3388" s="7" t="str">
        <f>IFERROR(__xludf.DUMMYFUNCTION("""COMPUTED_VALUE"""),"353-SRW")</f>
        <v>353-SRW</v>
      </c>
      <c r="B3388" s="7" t="str">
        <f>IFERROR(__xludf.DUMMYFUNCTION("""COMPUTED_VALUE"""),"Bridging the Data Gap in Financial Sentiment: LLM-Driven Augmentation")</f>
        <v>Bridging the Data Gap in Financial Sentiment: LLM-Driven Augmentation</v>
      </c>
      <c r="C3388" s="7" t="str">
        <f>IFERROR(__xludf.DUMMYFUNCTION("""COMPUTED_VALUE"""),"Static and outdated datasets hinder the accuracy of Financial Sentiment Analysis (FSA) in capturing rapidly evolving market sentiment. We tackle this by proposing a novel data augmentation technique using Retrieval Augmented Generation (RAG). Our method l"&amp;"everages a generative LLM to infuse established benchmarks with up-to-date contextual information from contemporary financial news. While this RAG-based augmentation significantly modernizes the data's alignment with current financial language, we employ "&amp;"a robust BERT-BiGRU judge model to ensure the sentiment of the original annotations is faithfully preserved. Crucially, FSA models trained on this enriched data exhibit enhanced performance on unseen test sets, demonstrating the practical value of our app"&amp;"roach for developing more reliable and current sentiment classifiers.")</f>
        <v>Static and outdated datasets hinder the accuracy of Financial Sentiment Analysis (FSA) in capturing rapidly evolving market sentiment. We tackle this by proposing a novel data augmentation technique using Retrieval Augmented Generation (RAG). Our method leverages a generative LLM to infuse established benchmarks with up-to-date contextual information from contemporary financial news. While this RAG-based augmentation significantly modernizes the data's alignment with current financial language, we employ a robust BERT-BiGRU judge model to ensure the sentiment of the original annotations is faithfully preserved. Crucially, FSA models trained on this enriched data exhibit enhanced performance on unseen test sets, demonstrating the practical value of our approach for developing more reliable and current sentiment classifiers.</v>
      </c>
      <c r="D3388" s="7" t="str">
        <f>IFERROR(__xludf.DUMMYFUNCTION("""COMPUTED_VALUE"""),"Rohit Kumar")</f>
        <v>Rohit Kumar</v>
      </c>
      <c r="E3388" s="7" t="str">
        <f>IFERROR(__xludf.DUMMYFUNCTION("""COMPUTED_VALUE"""),"Yes")</f>
        <v>Yes</v>
      </c>
      <c r="F3388" s="7" t="str">
        <f>IFERROR(__xludf.DUMMYFUNCTION("""COMPUTED_VALUE"""),"IP-Poster")</f>
        <v>IP-Poster</v>
      </c>
      <c r="G3388" s="7" t="str">
        <f>IFERROR(__xludf.DUMMYFUNCTION("""COMPUTED_VALUE"""),"In-person")</f>
        <v>In-person</v>
      </c>
      <c r="H3388" s="7" t="str">
        <f>IFERROR(__xludf.DUMMYFUNCTION("""COMPUTED_VALUE"""),"Hall 4/5")</f>
        <v>Hall 4/5</v>
      </c>
      <c r="I3388" s="7" t="str">
        <f>IFERROR(__xludf.DUMMYFUNCTION("""COMPUTED_VALUE"""),"Session 10: IP-Posters")</f>
        <v>Session 10: IP-Posters</v>
      </c>
      <c r="J3388" s="7" t="str">
        <f>IFERROR(__xludf.DUMMYFUNCTION("""COMPUTED_VALUE"""),"Student Research Workshop - In-Person Posters 2")</f>
        <v>Student Research Workshop - In-Person Posters 2</v>
      </c>
      <c r="K3388" s="7"/>
      <c r="L3388" s="8">
        <f>IFERROR(__xludf.DUMMYFUNCTION("""COMPUTED_VALUE"""),45867.0)</f>
        <v>45867</v>
      </c>
      <c r="M3388" s="7" t="str">
        <f>IFERROR(__xludf.DUMMYFUNCTION("""COMPUTED_VALUE"""),"16:00-17:30")</f>
        <v>16:00-17:30</v>
      </c>
      <c r="N3388" s="7"/>
    </row>
    <row r="3389">
      <c r="A3389" s="7" t="str">
        <f>IFERROR(__xludf.DUMMYFUNCTION("""COMPUTED_VALUE"""),"6137-TACL")</f>
        <v>6137-TACL</v>
      </c>
      <c r="B3389" s="7" t="str">
        <f>IFERROR(__xludf.DUMMYFUNCTION("""COMPUTED_VALUE"""),"Retrieval-style In-Context Learning for Few-shot Hierarchical Text Classification")</f>
        <v>Retrieval-style In-Context Learning for Few-shot Hierarchical Text Classification</v>
      </c>
      <c r="C3389" s="7" t="str">
        <f>IFERROR(__xludf.DUMMYFUNCTION("""COMPUTED_VALUE"""),"Hierarchical text classification (HTC) is an important task with broad applications, while few-shot HTC has gained increasing interest recently. While in-context learning (ICL) with large language models (LLMs) has achieved significant success in few-shot"&amp;" learning, it is not as effective for HTC because of the expansive hierarchical label sets and extremely-ambiguous labels. In this work, we introduce the first ICL-based framework with LLM for few-shot HTC. We exploit a retrieval database to identify rele"&amp;"vant demonstrations, and an iterative policy to manage multi-layer hierarchical labels. Particularly, we equip the retrieval database with HTC label-aware representations for the input texts, which is achieved by continual training on a pretrained languag"&amp;"e model with masked language modeling (MLM), layer-wise classification (CLS, specifically for HTC), and a novel divergent contrastive learning (DCL, mainly for adjacent semantically-similar labels) objective. Experimental results on three benchmark datase"&amp;"ts demonstrate superior performance of our method, and we can achieve state-of-the-art results in few-shot HTC.")</f>
        <v>Hierarchical text classification (HTC) is an important task with broad applications, while few-shot HTC has gained increasing interest recently. While in-context learning (ICL) with large language models (LLMs) has achieved significant success in few-shot learning, it is not as effective for HTC because of the expansive hierarchical label sets and extremely-ambiguous labels. In this work, we introduce the first ICL-based framework with LLM for few-shot HTC. We exploit a retrieval database to identify relevant demonstrations, and an iterative policy to manage multi-layer hierarchical labels. Particularly, we equip the retrieval database with HTC label-aware representations for the input texts, which is achieved by continual training on a pretrained language model with masked language modeling (MLM), layer-wise classification (CLS, specifically for HTC), and a novel divergent contrastive learning (DCL, mainly for adjacent semantically-similar labels) objective. Experimental results on three benchmark datasets demonstrate superior performance of our method, and we can achieve state-of-the-art results in few-shot HTC.</v>
      </c>
      <c r="D3389" s="7" t="str">
        <f>IFERROR(__xludf.DUMMYFUNCTION("""COMPUTED_VALUE"""),"Huiyao Chen")</f>
        <v>Huiyao Chen</v>
      </c>
      <c r="E3389" s="7" t="str">
        <f>IFERROR(__xludf.DUMMYFUNCTION("""COMPUTED_VALUE"""),"Yes")</f>
        <v>Yes</v>
      </c>
      <c r="F3389" s="7" t="str">
        <f>IFERROR(__xludf.DUMMYFUNCTION("""COMPUTED_VALUE"""),"IP-Poster")</f>
        <v>IP-Poster</v>
      </c>
      <c r="G3389" s="7" t="str">
        <f>IFERROR(__xludf.DUMMYFUNCTION("""COMPUTED_VALUE"""),"In-Person")</f>
        <v>In-Person</v>
      </c>
      <c r="H3389" s="7" t="str">
        <f>IFERROR(__xludf.DUMMYFUNCTION("""COMPUTED_VALUE"""),"Hall 4/5")</f>
        <v>Hall 4/5</v>
      </c>
      <c r="I3389" s="7" t="str">
        <f>IFERROR(__xludf.DUMMYFUNCTION("""COMPUTED_VALUE"""),"Session 2: IP-Posters ")</f>
        <v>Session 2: IP-Posters </v>
      </c>
      <c r="J3389" s="7" t="str">
        <f>IFERROR(__xludf.DUMMYFUNCTION("""COMPUTED_VALUE"""),"Poster Session 1")</f>
        <v>Poster Session 1</v>
      </c>
      <c r="K3389" s="7"/>
      <c r="L3389" s="8">
        <f>IFERROR(__xludf.DUMMYFUNCTION("""COMPUTED_VALUE"""),45866.0)</f>
        <v>45866</v>
      </c>
      <c r="M3389" s="7" t="str">
        <f>IFERROR(__xludf.DUMMYFUNCTION("""COMPUTED_VALUE"""),"11:00-12:30")</f>
        <v>11:00-12:30</v>
      </c>
      <c r="N3389" s="7"/>
    </row>
    <row r="3390">
      <c r="A3390" s="7" t="str">
        <f>IFERROR(__xludf.DUMMYFUNCTION("""COMPUTED_VALUE"""),"6285-TACL")</f>
        <v>6285-TACL</v>
      </c>
      <c r="B3390" s="7" t="str">
        <f>IFERROR(__xludf.DUMMYFUNCTION("""COMPUTED_VALUE"""),"Hypernetworks for Personalizing ASR to Atypical Speech")</f>
        <v>Hypernetworks for Personalizing ASR to Atypical Speech</v>
      </c>
      <c r="C3390" s="7" t="str">
        <f>IFERROR(__xludf.DUMMYFUNCTION("""COMPUTED_VALUE"""),"Parameter-efficient fine-tuning (PEFT) for personalizing automatic speech recognition (ASR) has recently shown promise for adapting general population models to atypical speech. However, these approaches assume a priori knowledge of the atypical speech di"&amp;"sorder being adapted for—the diagnosis of which requires expert knowledge that is not always available. Even given this knowledge, data scarcity and high inter/intra-speaker variability further limit the effectiveness of traditional fine-tuning. To circum"&amp;"vent these challenges, we first identify the minimal set of model parameters required for ASR adaptation. Our analysis of each individual parameter's effect on adaptation performance allows us to reduce Word Error Rate (WER) by half while adapting 0.03% o"&amp;"f all weights. Alleviating the need for cohort-specific models, we next propose the novel use of a meta-learned hypernetwork to generate highly individualized, utterance-level adaptations on-the-fly for a diverse set of atypical speech characteristics. Ev"&amp;"aluating adaptation at the global, cohort and individual-level, we show that hypernetworks generalize better to out-of-distribution speakers, while maintaining an overall relative WER reduction of 75.2% using 0.1% of the full parameter budget.")</f>
        <v>Parameter-efficient fine-tuning (PEFT) for personalizing automatic speech recognition (ASR) has recently shown promise for adapting general population models to atypical speech. However, these approaches assume a priori knowledge of the atypical speech disorder being adapted for—the diagnosis of which requires expert knowledge that is not always available. Even given this knowledge, data scarcity and high inter/intra-speaker variability further limit the effectiveness of traditional fine-tuning. To circumvent these challenges, we first identify the minimal set of model parameters required for ASR adaptation. Our analysis of each individual parameter's effect on adaptation performance allows us to reduce Word Error Rate (WER) by half while adapting 0.03% of all weights. Alleviating the need for cohort-specific models, we next propose the novel use of a meta-learned hypernetwork to generate highly individualized, utterance-level adaptations on-the-fly for a diverse set of atypical speech characteristics. Evaluating adaptation at the global, cohort and individual-level, we show that hypernetworks generalize better to out-of-distribution speakers, while maintaining an overall relative WER reduction of 75.2% using 0.1% of the full parameter budget.</v>
      </c>
      <c r="D3390" s="7" t="str">
        <f>IFERROR(__xludf.DUMMYFUNCTION("""COMPUTED_VALUE"""),"Dianna Yee
Max Müller-Eberstein")</f>
        <v>Dianna Yee
Max Müller-Eberstein</v>
      </c>
      <c r="E3390" s="7" t="str">
        <f>IFERROR(__xludf.DUMMYFUNCTION("""COMPUTED_VALUE"""),"Yes")</f>
        <v>Yes</v>
      </c>
      <c r="F3390" s="7" t="str">
        <f>IFERROR(__xludf.DUMMYFUNCTION("""COMPUTED_VALUE"""),"IP-Poster")</f>
        <v>IP-Poster</v>
      </c>
      <c r="G3390" s="7" t="str">
        <f>IFERROR(__xludf.DUMMYFUNCTION("""COMPUTED_VALUE"""),"In-Person")</f>
        <v>In-Person</v>
      </c>
      <c r="H3390" s="7" t="str">
        <f>IFERROR(__xludf.DUMMYFUNCTION("""COMPUTED_VALUE"""),"Hall 4/5")</f>
        <v>Hall 4/5</v>
      </c>
      <c r="I3390" s="7" t="str">
        <f>IFERROR(__xludf.DUMMYFUNCTION("""COMPUTED_VALUE"""),"Session 2: IP-Posters ")</f>
        <v>Session 2: IP-Posters </v>
      </c>
      <c r="J3390" s="7" t="str">
        <f>IFERROR(__xludf.DUMMYFUNCTION("""COMPUTED_VALUE"""),"Poster Session 1")</f>
        <v>Poster Session 1</v>
      </c>
      <c r="K3390" s="7"/>
      <c r="L3390" s="8">
        <f>IFERROR(__xludf.DUMMYFUNCTION("""COMPUTED_VALUE"""),45866.0)</f>
        <v>45866</v>
      </c>
      <c r="M3390" s="7" t="str">
        <f>IFERROR(__xludf.DUMMYFUNCTION("""COMPUTED_VALUE"""),"11:00-12:30")</f>
        <v>11:00-12:30</v>
      </c>
      <c r="N3390" s="7"/>
    </row>
    <row r="3391">
      <c r="A3391" s="7" t="str">
        <f>IFERROR(__xludf.DUMMYFUNCTION("""COMPUTED_VALUE"""),"6373-TACL")</f>
        <v>6373-TACL</v>
      </c>
      <c r="B3391" s="7" t="str">
        <f>IFERROR(__xludf.DUMMYFUNCTION("""COMPUTED_VALUE"""),"CAMELL: Confidence-based Acquisition Model for Efficient Self-supervised Active Learning with Label Validation")</f>
        <v>CAMELL: Confidence-based Acquisition Model for Efficient Self-supervised Active Learning with Label Validation</v>
      </c>
      <c r="C3391" s="7" t="str">
        <f>IFERROR(__xludf.DUMMYFUNCTION("""COMPUTED_VALUE"""),"Supervised neural approaches are hindered by their dependence on large, meticulously annotated datasets, a requirement that is particularly cumbersome for sequential tasks. The quality of annotations tends to deteriorate with the transition from expert-ba"&amp;"sed to crowd-sourced labelling. To address these challenges, we present CAMELL (Confidence-based Acquisition Model for Efficient self-supervised active Learning with Label validation), a pool-based active learning framework tailored for sequential multi-o"&amp;"utput problems. CAMELL possesses three core features: (1) it requires expert annotators to label only a fraction of a chosen sequence, (2) it facilitates self-supervision for the remainder of the sequence, and (3) it employs a label validation mechanism t"&amp;"o prevent erroneous labels from contaminating the dataset and harming model performance. We evaluate CAMELL on two sequential tasks, with a special emphasis on dialogue belief tracking, a task plagued by the constraints of limited and noisy datasets. Our "&amp;"experiments demonstrate that CAMELL outperforms the baselines in terms of efficiency. Furthermore, the data corrections suggested by our method contribute to an overall improvement in the quality of the resulting datasets.")</f>
        <v>Supervised neural approaches are hindered by their dependence on large, meticulously annotated datasets, a requirement that is particularly cumbersome for sequential tasks. The quality of annotations tends to deteriorate with the transition from expert-based to crowd-sourced labelling. To address these challenges, we present CAMELL (Confidence-based Acquisition Model for Efficient self-supervised active Learning with Label validation), a pool-based active learning framework tailored for sequential multi-output problems. CAMELL possesses three core features: (1) it requires expert annotators to label only a fraction of a chosen sequence, (2) it facilitates self-supervision for the remainder of the sequence, and (3) it employs a label validation mechanism to prevent erroneous labels from contaminating the dataset and harming model performance. We evaluate CAMELL on two sequential tasks, with a special emphasis on dialogue belief tracking, a task plagued by the constraints of limited and noisy datasets. Our experiments demonstrate that CAMELL outperforms the baselines in terms of efficiency. Furthermore, the data corrections suggested by our method contribute to an overall improvement in the quality of the resulting datasets.</v>
      </c>
      <c r="D3391" s="7" t="str">
        <f>IFERROR(__xludf.DUMMYFUNCTION("""COMPUTED_VALUE"""),"Carel van Niekerk")</f>
        <v>Carel van Niekerk</v>
      </c>
      <c r="E3391" s="7" t="str">
        <f>IFERROR(__xludf.DUMMYFUNCTION("""COMPUTED_VALUE"""),"Yes")</f>
        <v>Yes</v>
      </c>
      <c r="F3391" s="7" t="str">
        <f>IFERROR(__xludf.DUMMYFUNCTION("""COMPUTED_VALUE"""),"IP-Poster")</f>
        <v>IP-Poster</v>
      </c>
      <c r="G3391" s="7" t="str">
        <f>IFERROR(__xludf.DUMMYFUNCTION("""COMPUTED_VALUE"""),"In-Person")</f>
        <v>In-Person</v>
      </c>
      <c r="H3391" s="7" t="str">
        <f>IFERROR(__xludf.DUMMYFUNCTION("""COMPUTED_VALUE"""),"Hall 4/5")</f>
        <v>Hall 4/5</v>
      </c>
      <c r="I3391" s="7" t="str">
        <f>IFERROR(__xludf.DUMMYFUNCTION("""COMPUTED_VALUE"""),"Session 2: IP-Posters ")</f>
        <v>Session 2: IP-Posters </v>
      </c>
      <c r="J3391" s="7" t="str">
        <f>IFERROR(__xludf.DUMMYFUNCTION("""COMPUTED_VALUE"""),"Poster Session 1")</f>
        <v>Poster Session 1</v>
      </c>
      <c r="K3391" s="7"/>
      <c r="L3391" s="8">
        <f>IFERROR(__xludf.DUMMYFUNCTION("""COMPUTED_VALUE"""),45866.0)</f>
        <v>45866</v>
      </c>
      <c r="M3391" s="7" t="str">
        <f>IFERROR(__xludf.DUMMYFUNCTION("""COMPUTED_VALUE"""),"11:00-12:30")</f>
        <v>11:00-12:30</v>
      </c>
      <c r="N3391" s="7"/>
    </row>
    <row r="3392">
      <c r="A3392" s="7" t="str">
        <f>IFERROR(__xludf.DUMMYFUNCTION("""COMPUTED_VALUE"""),"6681-TACL")</f>
        <v>6681-TACL</v>
      </c>
      <c r="B3392" s="7" t="str">
        <f>IFERROR(__xludf.DUMMYFUNCTION("""COMPUTED_VALUE"""),"Phonetic Reconstruction of the Consonant System of Middle Chinese via Mixed Integer Optimization")</f>
        <v>Phonetic Reconstruction of the Consonant System of Middle Chinese via Mixed Integer Optimization</v>
      </c>
      <c r="C3392" s="7" t="str">
        <f>IFERROR(__xludf.DUMMYFUNCTION("""COMPUTED_VALUE"""),"This paper is concerned with phonetic reconstruction of the consonant system of Middle Chinese. We propose to cast the problem as a Mixed Integer Programming problem, which is able to automatically explore homophonic information from ancient rhyme diction"&amp;"aries and phonetic information from modern Chinese dialects, the descendants of Middle Chinese. Numerical evaluation on a wide range of synthetic and real data demonstrates the effectiveness and robustness of the new method. We apply the method to informa"&amp;"tion from Gu\v angy\`un (Author's note: The Gu\v angy\`un here is Chinese Pinyin in Latex, for HTML code, it should be Gu&amp;#462;ngy&amp;ugrave;n) and 20 modern Chinese dialects to obtain a new phonetic reconstruction result. A linguistically-motivated discussi"&amp;"on of this result is also provided.")</f>
        <v>This paper is concerned with phonetic reconstruction of the consonant system of Middle Chinese. We propose to cast the problem as a Mixed Integer Programming problem, which is able to automatically explore homophonic information from ancient rhyme dictionaries and phonetic information from modern Chinese dialects, the descendants of Middle Chinese. Numerical evaluation on a wide range of synthetic and real data demonstrates the effectiveness and robustness of the new method. We apply the method to information from Gu\v angy\`un (Author's note: The Gu\v angy\`un here is Chinese Pinyin in Latex, for HTML code, it should be Gu&amp;#462;ngy&amp;ugrave;n) and 20 modern Chinese dialects to obtain a new phonetic reconstruction result. A linguistically-motivated discussion of this result is also provided.</v>
      </c>
      <c r="D3392" s="7" t="str">
        <f>IFERROR(__xludf.DUMMYFUNCTION("""COMPUTED_VALUE"""),"Weiwei Sun")</f>
        <v>Weiwei Sun</v>
      </c>
      <c r="E3392" s="7" t="str">
        <f>IFERROR(__xludf.DUMMYFUNCTION("""COMPUTED_VALUE"""),"Yes")</f>
        <v>Yes</v>
      </c>
      <c r="F3392" s="7" t="str">
        <f>IFERROR(__xludf.DUMMYFUNCTION("""COMPUTED_VALUE"""),"IP-Poster")</f>
        <v>IP-Poster</v>
      </c>
      <c r="G3392" s="7" t="str">
        <f>IFERROR(__xludf.DUMMYFUNCTION("""COMPUTED_VALUE"""),"In-Person")</f>
        <v>In-Person</v>
      </c>
      <c r="H3392" s="7" t="str">
        <f>IFERROR(__xludf.DUMMYFUNCTION("""COMPUTED_VALUE"""),"Hall 4/5")</f>
        <v>Hall 4/5</v>
      </c>
      <c r="I3392" s="7" t="str">
        <f>IFERROR(__xludf.DUMMYFUNCTION("""COMPUTED_VALUE"""),"Session 2: IP-Posters ")</f>
        <v>Session 2: IP-Posters </v>
      </c>
      <c r="J3392" s="7" t="str">
        <f>IFERROR(__xludf.DUMMYFUNCTION("""COMPUTED_VALUE"""),"Poster Session 1")</f>
        <v>Poster Session 1</v>
      </c>
      <c r="K3392" s="7"/>
      <c r="L3392" s="8">
        <f>IFERROR(__xludf.DUMMYFUNCTION("""COMPUTED_VALUE"""),45866.0)</f>
        <v>45866</v>
      </c>
      <c r="M3392" s="7" t="str">
        <f>IFERROR(__xludf.DUMMYFUNCTION("""COMPUTED_VALUE"""),"11:00-12:30")</f>
        <v>11:00-12:30</v>
      </c>
      <c r="N3392" s="7"/>
    </row>
    <row r="3393">
      <c r="A3393" s="7" t="str">
        <f>IFERROR(__xludf.DUMMYFUNCTION("""COMPUTED_VALUE"""),"6765-TACL")</f>
        <v>6765-TACL</v>
      </c>
      <c r="B3393" s="7" t="str">
        <f>IFERROR(__xludf.DUMMYFUNCTION("""COMPUTED_VALUE"""),"TabVer: Tabular Fact Verification with Natural Logic")</f>
        <v>TabVer: Tabular Fact Verification with Natural Logic</v>
      </c>
      <c r="C3393" s="7" t="str">
        <f>IFERROR(__xludf.DUMMYFUNCTION("""COMPUTED_VALUE"""),"Final paper abstract: Fact verification on tabular evidence incentivises the use of symbolic reasoning models where a logical form is constructed (e.g. a LISP-style program), providing greater verifiability than fully neural approaches. However, these log"&amp;"ical forms typically rely on well-formed tables, restricting their use in many scenarios. An emerging symbolic reasoning paradigm for textual evidence focuses on natural logic inference, which constructs proofs by modelling set-theoretic relations between"&amp;" a claim and its evidence in natural language. This approach provides flexibility and transparency but is less compatible with tabular evidence since the relations do not extend to arithmetic functions. We propose a set-theoretic interpretation of numeral"&amp;"s and arithmetic functions in the context of natural logic, enabling the integration of arithmetic expressions in deterministic proofs. We leverage large language models to generate arithmetic expressions by generating questions about salient parts of a c"&amp;"laim which are answered by executing appropriate functions on tables. In a few-shot setting on FEVEROUS, we achieve an accuracy of 71.4, outperforming both fully neural and symbolic reasoning models by 3.4 points. When evaluated on TabFact without any fur"&amp;"ther training, our method remains competitive with an accuracy lead of 0.5 points.")</f>
        <v>Final paper abstract: Fact verification on tabular evidence incentivises the use of symbolic reasoning models where a logical form is constructed (e.g. a LISP-style program), providing greater verifiability than fully neural approaches. However, these logical forms typically rely on well-formed tables, restricting their use in many scenarios. An emerging symbolic reasoning paradigm for textual evidence focuses on natural logic inference, which constructs proofs by modelling set-theoretic relations between a claim and its evidence in natural language. This approach provides flexibility and transparency but is less compatible with tabular evidence since the relations do not extend to arithmetic functions. We propose a set-theoretic interpretation of numerals and arithmetic functions in the context of natural logic, enabling the integration of arithmetic expressions in deterministic proofs. We leverage large language models to generate arithmetic expressions by generating questions about salient parts of a claim which are answered by executing appropriate functions on tables. In a few-shot setting on FEVEROUS, we achieve an accuracy of 71.4, outperforming both fully neural and symbolic reasoning models by 3.4 points. When evaluated on TabFact without any further training, our method remains competitive with an accuracy lead of 0.5 points.</v>
      </c>
      <c r="D3393" s="7" t="str">
        <f>IFERROR(__xludf.DUMMYFUNCTION("""COMPUTED_VALUE"""),"Rami Aly")</f>
        <v>Rami Aly</v>
      </c>
      <c r="E3393" s="7" t="str">
        <f>IFERROR(__xludf.DUMMYFUNCTION("""COMPUTED_VALUE"""),"Yes")</f>
        <v>Yes</v>
      </c>
      <c r="F3393" s="7" t="str">
        <f>IFERROR(__xludf.DUMMYFUNCTION("""COMPUTED_VALUE"""),"IP-Poster")</f>
        <v>IP-Poster</v>
      </c>
      <c r="G3393" s="7" t="str">
        <f>IFERROR(__xludf.DUMMYFUNCTION("""COMPUTED_VALUE"""),"In-Person")</f>
        <v>In-Person</v>
      </c>
      <c r="H3393" s="7" t="str">
        <f>IFERROR(__xludf.DUMMYFUNCTION("""COMPUTED_VALUE"""),"Hall 4/5")</f>
        <v>Hall 4/5</v>
      </c>
      <c r="I3393" s="7" t="str">
        <f>IFERROR(__xludf.DUMMYFUNCTION("""COMPUTED_VALUE"""),"Session 2: IP-Posters ")</f>
        <v>Session 2: IP-Posters </v>
      </c>
      <c r="J3393" s="7" t="str">
        <f>IFERROR(__xludf.DUMMYFUNCTION("""COMPUTED_VALUE"""),"Poster Session 1")</f>
        <v>Poster Session 1</v>
      </c>
      <c r="K3393" s="7"/>
      <c r="L3393" s="8">
        <f>IFERROR(__xludf.DUMMYFUNCTION("""COMPUTED_VALUE"""),45866.0)</f>
        <v>45866</v>
      </c>
      <c r="M3393" s="7" t="str">
        <f>IFERROR(__xludf.DUMMYFUNCTION("""COMPUTED_VALUE"""),"11:00-12:30")</f>
        <v>11:00-12:30</v>
      </c>
      <c r="N3393" s="7"/>
    </row>
    <row r="3394">
      <c r="A3394" s="7" t="str">
        <f>IFERROR(__xludf.DUMMYFUNCTION("""COMPUTED_VALUE"""),"6807-TACL")</f>
        <v>6807-TACL</v>
      </c>
      <c r="B3394" s="7" t="str">
        <f>IFERROR(__xludf.DUMMYFUNCTION("""COMPUTED_VALUE"""),"Benchmarking Uncertainty Quantification Methods for Large Language Models with LM-Polygraph")</f>
        <v>Benchmarking Uncertainty Quantification Methods for Large Language Models with LM-Polygraph</v>
      </c>
      <c r="C3394" s="7" t="str">
        <f>IFERROR(__xludf.DUMMYFUNCTION("""COMPUTED_VALUE"""),"The rapid proliferation of large language models (LLMs) has stimulated researchers to seek effective and efficient approaches to deal with LLM hallucinations and low-quality outputs. Uncertainty quantification (UQ) is a key element of machine learning app"&amp;"lications in dealing with such challenges. However, research to date on UQ for LLMs has been fragmented in terms of techniques and evaluation methodologies. In this work, we address this issue by introducing a novel benchmark that implements a collection "&amp;"of state-of-the-art UQ baselines and offers an environment for controllable and consistent evaluation of novel UQ techniques over various text generation tasks. Our benchmark also supports the assessment of confidence normalization methods in terms of the"&amp;"ir ability to provide interpretable scores. Using our benchmark, we conduct a large-scale empirical investigation of UQ and normalization techniques across eleven tasks, identifying the most effective approaches.")</f>
        <v>The rapid proliferation of large language models (LLMs) has stimulated researchers to seek effective and efficient approaches to deal with LLM hallucinations and low-quality outputs. Uncertainty quantification (UQ) is a key element of machine learning applications in dealing with such challenges. However, research to date on UQ for LLMs has been fragmented in terms of techniques and evaluation methodologies. In this work, we address this issue by introducing a novel benchmark that implements a collection of state-of-the-art UQ baselines and offers an environment for controllable and consistent evaluation of novel UQ techniques over various text generation tasks. Our benchmark also supports the assessment of confidence normalization methods in terms of their ability to provide interpretable scores. Using our benchmark, we conduct a large-scale empirical investigation of UQ and normalization techniques across eleven tasks, identifying the most effective approaches.</v>
      </c>
      <c r="D3394" s="7" t="str">
        <f>IFERROR(__xludf.DUMMYFUNCTION("""COMPUTED_VALUE"""),"Artem Shelmanov")</f>
        <v>Artem Shelmanov</v>
      </c>
      <c r="E3394" s="7" t="str">
        <f>IFERROR(__xludf.DUMMYFUNCTION("""COMPUTED_VALUE"""),"Yes")</f>
        <v>Yes</v>
      </c>
      <c r="F3394" s="7" t="str">
        <f>IFERROR(__xludf.DUMMYFUNCTION("""COMPUTED_VALUE"""),"IP-Oral")</f>
        <v>IP-Oral</v>
      </c>
      <c r="G3394" s="7" t="str">
        <f>IFERROR(__xludf.DUMMYFUNCTION("""COMPUTED_VALUE"""),"In-Person")</f>
        <v>In-Person</v>
      </c>
      <c r="H3394" s="7" t="str">
        <f>IFERROR(__xludf.DUMMYFUNCTION("""COMPUTED_VALUE"""),"Hall B")</f>
        <v>Hall B</v>
      </c>
      <c r="I3394" s="7" t="str">
        <f>IFERROR(__xludf.DUMMYFUNCTION("""COMPUTED_VALUE"""),"Session 9: IP-Orals")</f>
        <v>Session 9: IP-Orals</v>
      </c>
      <c r="J3394" s="7" t="str">
        <f>IFERROR(__xludf.DUMMYFUNCTION("""COMPUTED_VALUE"""),"Resources and Evaluation 2")</f>
        <v>Resources and Evaluation 2</v>
      </c>
      <c r="K3394" s="7"/>
      <c r="L3394" s="8">
        <f>IFERROR(__xludf.DUMMYFUNCTION("""COMPUTED_VALUE"""),45867.0)</f>
        <v>45867</v>
      </c>
      <c r="M3394" s="7" t="str">
        <f>IFERROR(__xludf.DUMMYFUNCTION("""COMPUTED_VALUE"""),"14:00-15:30")</f>
        <v>14:00-15:30</v>
      </c>
      <c r="N3394" s="7">
        <f>IFERROR(__xludf.DUMMYFUNCTION("""COMPUTED_VALUE"""),7.0)</f>
        <v>7</v>
      </c>
    </row>
    <row r="3395">
      <c r="A3395" s="7" t="str">
        <f>IFERROR(__xludf.DUMMYFUNCTION("""COMPUTED_VALUE"""),"6869-TACL")</f>
        <v>6869-TACL</v>
      </c>
      <c r="B3395" s="7" t="str">
        <f>IFERROR(__xludf.DUMMYFUNCTION("""COMPUTED_VALUE"""),"LLM Reading Tea Leaves: Automatically Evaluating Topic Models with Large Language Models")</f>
        <v>LLM Reading Tea Leaves: Automatically Evaluating Topic Models with Large Language Models</v>
      </c>
      <c r="C3395" s="7" t="str">
        <f>IFERROR(__xludf.DUMMYFUNCTION("""COMPUTED_VALUE"""),"Topic modeling has been a widely used tool for unsupervised text analysis. However, comprehensive evaluations of a topic model remain challenging. Existing evaluation methods are either less comparable across different models (e.g., perplexity) or focus o"&amp;"n only one specific aspect of a model (e.g., topic quality or document representation quality) at a time, which is insufficient to reflect the overall model performance. In this paper, we propose WALM (Word Agreement with Language Model), a new evaluation"&amp;" method for topic modeling that considers the semantic quality of document representations and topics in a joint manner, leveraging the power of Large Language Models (LLMs). With extensive experiments involving different types of topic models, WALM is sh"&amp;"own to align with human judgment and can serve as a complementary evaluation method to the existing ones, bringing a new perspective to topic modeling. Our software package is available at https://github.com/Xiaohao-Yang/Topic_Model_Evaluation.")</f>
        <v>Topic modeling has been a widely used tool for unsupervised text analysis. However, comprehensive evaluations of a topic model remain challenging. Existing evaluation methods are either less comparable across different models (e.g., perplexity) or focus on only one specific aspect of a model (e.g., topic quality or document representation quality) at a time, which is insufficient to reflect the overall model performance. In this paper, we propose WALM (Word Agreement with Language Model), a new evaluation method for topic modeling that considers the semantic quality of document representations and topics in a joint manner, leveraging the power of Large Language Models (LLMs). With extensive experiments involving different types of topic models, WALM is shown to align with human judgment and can serve as a complementary evaluation method to the existing ones, bringing a new perspective to topic modeling. Our software package is available at https://github.com/Xiaohao-Yang/Topic_Model_Evaluation.</v>
      </c>
      <c r="D3395" s="7" t="str">
        <f>IFERROR(__xludf.DUMMYFUNCTION("""COMPUTED_VALUE"""),"Xiaohao Yang")</f>
        <v>Xiaohao Yang</v>
      </c>
      <c r="E3395" s="7" t="str">
        <f>IFERROR(__xludf.DUMMYFUNCTION("""COMPUTED_VALUE"""),"Yes")</f>
        <v>Yes</v>
      </c>
      <c r="F3395" s="7" t="str">
        <f>IFERROR(__xludf.DUMMYFUNCTION("""COMPUTED_VALUE"""),"IP-Poster")</f>
        <v>IP-Poster</v>
      </c>
      <c r="G3395" s="7" t="str">
        <f>IFERROR(__xludf.DUMMYFUNCTION("""COMPUTED_VALUE"""),"In-Person")</f>
        <v>In-Person</v>
      </c>
      <c r="H3395" s="7" t="str">
        <f>IFERROR(__xludf.DUMMYFUNCTION("""COMPUTED_VALUE"""),"Hall 4/5")</f>
        <v>Hall 4/5</v>
      </c>
      <c r="I3395" s="7" t="str">
        <f>IFERROR(__xludf.DUMMYFUNCTION("""COMPUTED_VALUE"""),"Session 2: IP-Posters ")</f>
        <v>Session 2: IP-Posters </v>
      </c>
      <c r="J3395" s="7" t="str">
        <f>IFERROR(__xludf.DUMMYFUNCTION("""COMPUTED_VALUE"""),"Poster Session 1")</f>
        <v>Poster Session 1</v>
      </c>
      <c r="K3395" s="7"/>
      <c r="L3395" s="8">
        <f>IFERROR(__xludf.DUMMYFUNCTION("""COMPUTED_VALUE"""),45866.0)</f>
        <v>45866</v>
      </c>
      <c r="M3395" s="7" t="str">
        <f>IFERROR(__xludf.DUMMYFUNCTION("""COMPUTED_VALUE"""),"11:00-12:30")</f>
        <v>11:00-12:30</v>
      </c>
      <c r="N3395" s="7"/>
    </row>
    <row r="3396">
      <c r="A3396" s="7" t="str">
        <f>IFERROR(__xludf.DUMMYFUNCTION("""COMPUTED_VALUE"""),"6873-TACL")</f>
        <v>6873-TACL</v>
      </c>
      <c r="B3396" s="7" t="str">
        <f>IFERROR(__xludf.DUMMYFUNCTION("""COMPUTED_VALUE"""),"OPT-Tree: Speculative Decoding with Adaptive Draft Tree Structure")</f>
        <v>OPT-Tree: Speculative Decoding with Adaptive Draft Tree Structure</v>
      </c>
      <c r="C3396" s="7" t="str">
        <f>IFERROR(__xludf.DUMMYFUNCTION("""COMPUTED_VALUE"""),"Autoregressive language models demonstrate excellent performance in various scenarios. However, the inference efficiency is limited by its one-step-one-word generation mode, which has become a pressing problem recently as the models become increasingly la"&amp;"rger. Speculative decoding employs a ""draft and then verify"" mechanism to allow multiple tokens to be generated in one step, realizing lossless acceleration. Existing methods mainly adopt fixed heuristic draft structures, which do not adapt to different"&amp;" situations to maximize the acceptance length during verification. To alleviate this dilemma, we proposed OPT-Tree, an algorithm to construct adaptive and scalable draft trees, which can be applied to any autoregressive draft model. It searches the optima"&amp;"l tree structure that maximizes the mathematical expectation of the acceptance length in each decoding step. Experimental results reveal that OPT-Tree outperforms the existing draft structures and achieves a speed-up ratio of up to 3.2 compared with autor"&amp;"egressive decoding. If the draft model is powerful enough and the node budget is sufficient, it can generate more than ten tokens in a single step. Our code is available at https://github.com/Jikai0Wang/OPT-Tree.")</f>
        <v>Autoregressive language models demonstrate excellent performance in various scenarios. However, the inference efficiency is limited by its one-step-one-word generation mode, which has become a pressing problem recently as the models become increasingly larger. Speculative decoding employs a "draft and then verify" mechanism to allow multiple tokens to be generated in one step, realizing lossless acceleration. Existing methods mainly adopt fixed heuristic draft structures, which do not adapt to different situations to maximize the acceptance length during verification. To alleviate this dilemma, we proposed OPT-Tree, an algorithm to construct adaptive and scalable draft trees, which can be applied to any autoregressive draft model. It searches the optimal tree structure that maximizes the mathematical expectation of the acceptance length in each decoding step. Experimental results reveal that OPT-Tree outperforms the existing draft structures and achieves a speed-up ratio of up to 3.2 compared with autoregressive decoding. If the draft model is powerful enough and the node budget is sufficient, it can generate more than ten tokens in a single step. Our code is available at https://github.com/Jikai0Wang/OPT-Tree.</v>
      </c>
      <c r="D3396" s="7" t="str">
        <f>IFERROR(__xludf.DUMMYFUNCTION("""COMPUTED_VALUE"""),"Jikai Wang")</f>
        <v>Jikai Wang</v>
      </c>
      <c r="E3396" s="7" t="str">
        <f>IFERROR(__xludf.DUMMYFUNCTION("""COMPUTED_VALUE"""),"Yes")</f>
        <v>Yes</v>
      </c>
      <c r="F3396" s="7" t="str">
        <f>IFERROR(__xludf.DUMMYFUNCTION("""COMPUTED_VALUE"""),"V-Presentation")</f>
        <v>V-Presentation</v>
      </c>
      <c r="G3396" s="7" t="str">
        <f>IFERROR(__xludf.DUMMYFUNCTION("""COMPUTED_VALUE"""),"Virtual/Gather")</f>
        <v>Virtual/Gather</v>
      </c>
      <c r="H3396" s="7" t="str">
        <f>IFERROR(__xludf.DUMMYFUNCTION("""COMPUTED_VALUE"""),"Zoom")</f>
        <v>Zoom</v>
      </c>
      <c r="I3396" s="7" t="str">
        <f>IFERROR(__xludf.DUMMYFUNCTION("""COMPUTED_VALUE"""),"Session 7: V--Presentations ")</f>
        <v>Session 7: V--Presentations </v>
      </c>
      <c r="J3396" s="7" t="str">
        <f>IFERROR(__xludf.DUMMYFUNCTION("""COMPUTED_VALUE"""),"Virtual Presentations 2")</f>
        <v>Virtual Presentations 2</v>
      </c>
      <c r="K3396" s="7"/>
      <c r="L3396" s="8"/>
      <c r="M3396" s="7" t="str">
        <f>IFERROR(__xludf.DUMMYFUNCTION("""COMPUTED_VALUE"""),"10:30-12:00")</f>
        <v>10:30-12:00</v>
      </c>
      <c r="N3396" s="7"/>
    </row>
    <row r="3397">
      <c r="A3397" s="7" t="str">
        <f>IFERROR(__xludf.DUMMYFUNCTION("""COMPUTED_VALUE"""),"6879-TACL")</f>
        <v>6879-TACL</v>
      </c>
      <c r="B3397" s="7" t="str">
        <f>IFERROR(__xludf.DUMMYFUNCTION("""COMPUTED_VALUE"""),"Salute the Classic: Revisiting Challenges of Machine Translation in the Age of Large Language Models")</f>
        <v>Salute the Classic: Revisiting Challenges of Machine Translation in the Age of Large Language Models</v>
      </c>
      <c r="C3397" s="7" t="str">
        <f>IFERROR(__xludf.DUMMYFUNCTION("""COMPUTED_VALUE"""),"The evolution of Neural Machine Translation (NMT) has been significantly influenced by six core challenges, which have acted as benchmarks for progress in this field. This study revisits these challenges, offering insights into their ongoing relevance in "&amp;"the context of advanced Large Language Models (LLMs): domain mismatch, amount of parallel data, rare word prediction, translation of long sentences, attention model as word alignment}, and sub-optimal beam search}. Our empirical findings show that LLMs ef"&amp;"fectively reduce reliance on parallel data for major languages during pretraining and significantly improve translation of long sentences containing approximately 80 words, even translating documents up to 512 words. Despite these improvements, challenges"&amp;" in domain mismatch and rare word prediction persist. While word alignment and beam search challenges, specific to NMT, may not apply to LLMs, we identify three new challenges for LLM translation tasks: inference efficiency, translation of low-resource la"&amp;"nguages during pretraining, and human-aligned evaluation.")</f>
        <v>The evolution of Neural Machine Translation (NMT) has been significantly influenced by six core challenges, which have acted as benchmarks for progress in this field. This study revisits these challenges, offering insights into their ongoing relevance in the context of advanced Large Language Models (LLMs): domain mismatch, amount of parallel data, rare word prediction, translation of long sentences, attention model as word alignment}, and sub-optimal beam search}. Our empirical findings show that LLMs effectively reduce reliance on parallel data for major languages during pretraining and significantly improve translation of long sentences containing approximately 80 words, even translating documents up to 512 words. Despite these improvements, challenges in domain mismatch and rare word prediction persist. While word alignment and beam search challenges, specific to NMT, may not apply to LLMs, we identify three new challenges for LLM translation tasks: inference efficiency, translation of low-resource languages during pretraining, and human-aligned evaluation.</v>
      </c>
      <c r="D3397" s="7" t="str">
        <f>IFERROR(__xludf.DUMMYFUNCTION("""COMPUTED_VALUE"""),"Longyue Wang")</f>
        <v>Longyue Wang</v>
      </c>
      <c r="E3397" s="7" t="str">
        <f>IFERROR(__xludf.DUMMYFUNCTION("""COMPUTED_VALUE"""),"Yes")</f>
        <v>Yes</v>
      </c>
      <c r="F3397" s="7" t="str">
        <f>IFERROR(__xludf.DUMMYFUNCTION("""COMPUTED_VALUE"""),"IP-Poster")</f>
        <v>IP-Poster</v>
      </c>
      <c r="G3397" s="7" t="str">
        <f>IFERROR(__xludf.DUMMYFUNCTION("""COMPUTED_VALUE"""),"In-Person")</f>
        <v>In-Person</v>
      </c>
      <c r="H3397" s="7" t="str">
        <f>IFERROR(__xludf.DUMMYFUNCTION("""COMPUTED_VALUE"""),"Hall 4/5")</f>
        <v>Hall 4/5</v>
      </c>
      <c r="I3397" s="7" t="str">
        <f>IFERROR(__xludf.DUMMYFUNCTION("""COMPUTED_VALUE"""),"Session 2: IP-Posters ")</f>
        <v>Session 2: IP-Posters </v>
      </c>
      <c r="J3397" s="7" t="str">
        <f>IFERROR(__xludf.DUMMYFUNCTION("""COMPUTED_VALUE"""),"Poster Session 1")</f>
        <v>Poster Session 1</v>
      </c>
      <c r="K3397" s="7"/>
      <c r="L3397" s="8">
        <f>IFERROR(__xludf.DUMMYFUNCTION("""COMPUTED_VALUE"""),45866.0)</f>
        <v>45866</v>
      </c>
      <c r="M3397" s="7" t="str">
        <f>IFERROR(__xludf.DUMMYFUNCTION("""COMPUTED_VALUE"""),"11:00-12:30")</f>
        <v>11:00-12:30</v>
      </c>
      <c r="N3397" s="7"/>
    </row>
    <row r="3398">
      <c r="A3398" s="7" t="str">
        <f>IFERROR(__xludf.DUMMYFUNCTION("""COMPUTED_VALUE"""),"6921-TACL")</f>
        <v>6921-TACL</v>
      </c>
      <c r="B3398" s="7" t="str">
        <f>IFERROR(__xludf.DUMMYFUNCTION("""COMPUTED_VALUE"""),"NLP Security and Ethics, in the Wild")</f>
        <v>NLP Security and Ethics, in the Wild</v>
      </c>
      <c r="C3398" s="7" t="str">
        <f>IFERROR(__xludf.DUMMYFUNCTION("""COMPUTED_VALUE"""),"As NLP models are used by a growing number of end-users, an area of increasing importance is NLP Security (NLPSec): assessing the vulnerability of models to malicious attacks and developing comprehensive countermeasures against them. While work at the int"&amp;"ersection of NLP and cybersecurity has the potential to create safer NLP for all, accidental oversights can result in tangible harm (e.g., breaches of privacy or proliferation of malicious models). In this emerging field, however, the research ethics of N"&amp;"LP have not yet faced many of the long-standing conundrums pertinent to cybersecurity, until now. We thus examine contemporary works across NLPSec, and explore their engagement with cybersecurity's ethical norms. We identify trends across the literature, "&amp;"ultimately finding alarming gaps on topics like harm minimization and responsible disclosure. To alleviate these concerns, we provide concrete recommendations to help NLP researchers navigate this space more ethically, bridging the gap between traditional"&amp;" cybersecurity and NLP ethics, which we frame as ``white hat NLP''. The goal of this work is to help cultivate an intentional culture of ethical research for those working in NLP Security.")</f>
        <v>As NLP models are used by a growing number of end-users, an area of increasing importance is NLP Security (NLPSec): assessing the vulnerability of models to malicious attacks and developing comprehensive countermeasures against them. While work at the intersection of NLP and cybersecurity has the potential to create safer NLP for all, accidental oversights can result in tangible harm (e.g., breaches of privacy or proliferation of malicious models). In this emerging field, however, the research ethics of NLP have not yet faced many of the long-standing conundrums pertinent to cybersecurity, until now. We thus examine contemporary works across NLPSec, and explore their engagement with cybersecurity's ethical norms. We identify trends across the literature, ultimately finding alarming gaps on topics like harm minimization and responsible disclosure. To alleviate these concerns, we provide concrete recommendations to help NLP researchers navigate this space more ethically, bridging the gap between traditional cybersecurity and NLP ethics, which we frame as ``white hat NLP''. The goal of this work is to help cultivate an intentional culture of ethical research for those working in NLP Security.</v>
      </c>
      <c r="D3398" s="7" t="str">
        <f>IFERROR(__xludf.DUMMYFUNCTION("""COMPUTED_VALUE"""),"Heather Lent")</f>
        <v>Heather Lent</v>
      </c>
      <c r="E3398" s="7" t="str">
        <f>IFERROR(__xludf.DUMMYFUNCTION("""COMPUTED_VALUE"""),"Yes")</f>
        <v>Yes</v>
      </c>
      <c r="F3398" s="7" t="str">
        <f>IFERROR(__xludf.DUMMYFUNCTION("""COMPUTED_VALUE"""),"IP-Oral")</f>
        <v>IP-Oral</v>
      </c>
      <c r="G3398" s="7" t="str">
        <f>IFERROR(__xludf.DUMMYFUNCTION("""COMPUTED_VALUE"""),"In-Person")</f>
        <v>In-Person</v>
      </c>
      <c r="H3398" s="7" t="str">
        <f>IFERROR(__xludf.DUMMYFUNCTION("""COMPUTED_VALUE"""),"Hall M.2")</f>
        <v>Hall M.2</v>
      </c>
      <c r="I3398" s="7" t="str">
        <f>IFERROR(__xludf.DUMMYFUNCTION("""COMPUTED_VALUE"""),"Session 3: IP-Orals")</f>
        <v>Session 3: IP-Orals</v>
      </c>
      <c r="J3398" s="7" t="str">
        <f>IFERROR(__xludf.DUMMYFUNCTION("""COMPUTED_VALUE"""),"Ethics, Bias, and Fairness")</f>
        <v>Ethics, Bias, and Fairness</v>
      </c>
      <c r="K3398" s="7"/>
      <c r="L3398" s="8">
        <f>IFERROR(__xludf.DUMMYFUNCTION("""COMPUTED_VALUE"""),45866.0)</f>
        <v>45866</v>
      </c>
      <c r="M3398" s="7" t="str">
        <f>IFERROR(__xludf.DUMMYFUNCTION("""COMPUTED_VALUE"""),"14:00-15:30")</f>
        <v>14:00-15:30</v>
      </c>
      <c r="N3398" s="7">
        <f>IFERROR(__xludf.DUMMYFUNCTION("""COMPUTED_VALUE"""),8.0)</f>
        <v>8</v>
      </c>
    </row>
    <row r="3399">
      <c r="A3399" s="7" t="str">
        <f>IFERROR(__xludf.DUMMYFUNCTION("""COMPUTED_VALUE"""),"6941-TACL")</f>
        <v>6941-TACL</v>
      </c>
      <c r="B3399" s="7" t="str">
        <f>IFERROR(__xludf.DUMMYFUNCTION("""COMPUTED_VALUE"""),"DEAR: Disentangled Event-Agnostic Representation Learning for Early Fake News Detection")</f>
        <v>DEAR: Disentangled Event-Agnostic Representation Learning for Early Fake News Detection</v>
      </c>
      <c r="C3399" s="7" t="str">
        <f>IFERROR(__xludf.DUMMYFUNCTION("""COMPUTED_VALUE"""),"Detecting fake news early is challenging due to the absence of labeled articles for emerging events in training data. To address this, we propose a Disentangled Event-Agnostic Representation (DEAR) learning approach. Our method begins with a BERT-based ad"&amp;"aptive multi-grained semantic encoder that captures hierarchical and comprehensive textual representations of the input news content. To effectively separate latent authenticity-related and event-specific knowledge within the news content, we employ a dis"&amp;"entanglement architecture. To further enhance the decoupling effect, we introduce a cross-perturbation mechanism that perturbs authenticity-related representation with the event-specific one, and vice versa, deriving a robust and discerning authenticity-r"&amp;"elated signal. Additionally, we implement a refinement learning scheme to minimize potential interactions between two decoupled representations, ensuring that the authenticity signal remains strong and unaffected by event-specific details. Experimental re"&amp;"sults demonstrate that our approach effectively mitigates the impact of event-specific influence, outperforming state-of-the-art methods. Particularly, it achieves a 6.0% improvement in accuracy on the PHEME dataset over MDDA, a similar approach that deco"&amp;"uples latent content and style knowledge, in scenarios involving articles from unseen events different from the topics of the training set.")</f>
        <v>Detecting fake news early is challenging due to the absence of labeled articles for emerging events in training data. To address this, we propose a Disentangled Event-Agnostic Representation (DEAR) learning approach. Our method begins with a BERT-based adaptive multi-grained semantic encoder that captures hierarchical and comprehensive textual representations of the input news content. To effectively separate latent authenticity-related and event-specific knowledge within the news content, we employ a disentanglement architecture. To further enhance the decoupling effect, we introduce a cross-perturbation mechanism that perturbs authenticity-related representation with the event-specific one, and vice versa, deriving a robust and discerning authenticity-related signal. Additionally, we implement a refinement learning scheme to minimize potential interactions between two decoupled representations, ensuring that the authenticity signal remains strong and unaffected by event-specific details. Experimental results demonstrate that our approach effectively mitigates the impact of event-specific influence, outperforming state-of-the-art methods. Particularly, it achieves a 6.0% improvement in accuracy on the PHEME dataset over MDDA, a similar approach that decouples latent content and style knowledge, in scenarios involving articles from unseen events different from the topics of the training set.</v>
      </c>
      <c r="D3399" s="7" t="str">
        <f>IFERROR(__xludf.DUMMYFUNCTION("""COMPUTED_VALUE"""),"Xiao Pu")</f>
        <v>Xiao Pu</v>
      </c>
      <c r="E3399" s="7" t="str">
        <f>IFERROR(__xludf.DUMMYFUNCTION("""COMPUTED_VALUE"""),"Yes")</f>
        <v>Yes</v>
      </c>
      <c r="F3399" s="7" t="str">
        <f>IFERROR(__xludf.DUMMYFUNCTION("""COMPUTED_VALUE"""),"IP-Poster")</f>
        <v>IP-Poster</v>
      </c>
      <c r="G3399" s="7" t="str">
        <f>IFERROR(__xludf.DUMMYFUNCTION("""COMPUTED_VALUE"""),"In-Person")</f>
        <v>In-Person</v>
      </c>
      <c r="H3399" s="7" t="str">
        <f>IFERROR(__xludf.DUMMYFUNCTION("""COMPUTED_VALUE"""),"Hall 4/5")</f>
        <v>Hall 4/5</v>
      </c>
      <c r="I3399" s="7" t="str">
        <f>IFERROR(__xludf.DUMMYFUNCTION("""COMPUTED_VALUE"""),"Session 2: IP-Posters ")</f>
        <v>Session 2: IP-Posters </v>
      </c>
      <c r="J3399" s="7" t="str">
        <f>IFERROR(__xludf.DUMMYFUNCTION("""COMPUTED_VALUE"""),"Poster Session 1")</f>
        <v>Poster Session 1</v>
      </c>
      <c r="K3399" s="7"/>
      <c r="L3399" s="8">
        <f>IFERROR(__xludf.DUMMYFUNCTION("""COMPUTED_VALUE"""),45866.0)</f>
        <v>45866</v>
      </c>
      <c r="M3399" s="7" t="str">
        <f>IFERROR(__xludf.DUMMYFUNCTION("""COMPUTED_VALUE"""),"11:00-12:30")</f>
        <v>11:00-12:30</v>
      </c>
      <c r="N3399" s="7"/>
    </row>
    <row r="3400">
      <c r="A3400" s="7" t="str">
        <f>IFERROR(__xludf.DUMMYFUNCTION("""COMPUTED_VALUE"""),"6967-TACL")</f>
        <v>6967-TACL</v>
      </c>
      <c r="B3400" s="7" t="str">
        <f>IFERROR(__xludf.DUMMYFUNCTION("""COMPUTED_VALUE"""),"The Thai Universal Dependency Treebank")</f>
        <v>The Thai Universal Dependency Treebank</v>
      </c>
      <c r="C3400" s="7" t="str">
        <f>IFERROR(__xludf.DUMMYFUNCTION("""COMPUTED_VALUE"""),"Automatic dependency parsing of Thai sentences has been underexplored, as evidenced by the lack of large Thai dependency treebanks with complete dependency structures and the lack of a published evaluation of state-of-the-art models, especially transforme"&amp;"r-based parsers. In this work, we addressed these gaps by introducing the Thai Universal Dependency Treebank (TUD), a new Thai treebank consisting of 3,627 trees annotated according to the Universal Dependencies (UD) framework. We then benchmarked 92 depe"&amp;"ndency parsing models that incorporate pretrained transformers on Thai-PUD and our TUD, achieving state-of-the-art results and shedding light on the optimal model components for Thai dependency parsing. Our error analysis of the models also reveals that p"&amp;"olyfunctional words, serial verb construction, and lack of rich morphosyntactic features present main challenges for Thai dependency parsing.")</f>
        <v>Automatic dependency parsing of Thai sentences has been underexplored, as evidenced by the lack of large Thai dependency treebanks with complete dependency structures and the lack of a published evaluation of state-of-the-art models, especially transformer-based parsers. In this work, we addressed these gaps by introducing the Thai Universal Dependency Treebank (TUD), a new Thai treebank consisting of 3,627 trees annotated according to the Universal Dependencies (UD) framework. We then benchmarked 92 dependency parsing models that incorporate pretrained transformers on Thai-PUD and our TUD, achieving state-of-the-art results and shedding light on the optimal model components for Thai dependency parsing. Our error analysis of the models also reveals that polyfunctional words, serial verb construction, and lack of rich morphosyntactic features present main challenges for Thai dependency parsing.</v>
      </c>
      <c r="D3400" s="7" t="str">
        <f>IFERROR(__xludf.DUMMYFUNCTION("""COMPUTED_VALUE"""),"Attapol T  Rutherford")</f>
        <v>Attapol T  Rutherford</v>
      </c>
      <c r="E3400" s="7" t="str">
        <f>IFERROR(__xludf.DUMMYFUNCTION("""COMPUTED_VALUE"""),"Yes")</f>
        <v>Yes</v>
      </c>
      <c r="F3400" s="7" t="str">
        <f>IFERROR(__xludf.DUMMYFUNCTION("""COMPUTED_VALUE"""),"IP-Poster")</f>
        <v>IP-Poster</v>
      </c>
      <c r="G3400" s="7" t="str">
        <f>IFERROR(__xludf.DUMMYFUNCTION("""COMPUTED_VALUE"""),"In-Person")</f>
        <v>In-Person</v>
      </c>
      <c r="H3400" s="7" t="str">
        <f>IFERROR(__xludf.DUMMYFUNCTION("""COMPUTED_VALUE"""),"Hall 4/5")</f>
        <v>Hall 4/5</v>
      </c>
      <c r="I3400" s="7" t="str">
        <f>IFERROR(__xludf.DUMMYFUNCTION("""COMPUTED_VALUE"""),"Session 2: IP-Posters ")</f>
        <v>Session 2: IP-Posters </v>
      </c>
      <c r="J3400" s="7" t="str">
        <f>IFERROR(__xludf.DUMMYFUNCTION("""COMPUTED_VALUE"""),"Poster Session 1")</f>
        <v>Poster Session 1</v>
      </c>
      <c r="K3400" s="7"/>
      <c r="L3400" s="8">
        <f>IFERROR(__xludf.DUMMYFUNCTION("""COMPUTED_VALUE"""),45866.0)</f>
        <v>45866</v>
      </c>
      <c r="M3400" s="7" t="str">
        <f>IFERROR(__xludf.DUMMYFUNCTION("""COMPUTED_VALUE"""),"11:00-12:30")</f>
        <v>11:00-12:30</v>
      </c>
      <c r="N3400" s="7"/>
    </row>
    <row r="3401">
      <c r="A3401" s="7" t="str">
        <f>IFERROR(__xludf.DUMMYFUNCTION("""COMPUTED_VALUE"""),"6969-TACL")</f>
        <v>6969-TACL</v>
      </c>
      <c r="B3401" s="7" t="str">
        <f>IFERROR(__xludf.DUMMYFUNCTION("""COMPUTED_VALUE"""),"Supervised Neural Topic Modeling with Label Alignment")</f>
        <v>Supervised Neural Topic Modeling with Label Alignment</v>
      </c>
      <c r="C3401" s="7" t="str">
        <f>IFERROR(__xludf.DUMMYFUNCTION("""COMPUTED_VALUE"""),"Neural topic modeling is a scalable automated technique for text data mining. In various downstream tasks of topic modeling, it is prefered that the discovered topics well align with labels. However, due to the lack of guidance from labels, unsupervised n"&amp;"eural topic models are less powerful in this situation. Existing supervised neural topic models often adopt a label-free prior to generate the latent document-topic distributions and use them to predict the labels and thus achieve label-topic alignment in"&amp;"directly. Such a mechanism faces the following issues: 1) The label-free prior leads to topics blending the latent patterns of multiple labels; 2) One is unable to intuitively identify the explicit relationships between labels and the discovered topics. T"&amp;"o tackle these problems, we develop a novel supervised neural topic model which utilizes a chain-structured graphical model that emphasizes direct constraints of labels on topics. Soft indicators are introduced to explicitly construct the label-topic rela"&amp;"tionships. To obtain well-organized label-topic relationships, we formalize an entropy-regularized optimal transport problem on the embedding space and model them as the transport plan. Moreover, our proposed method can be seamlessly integrated with most "&amp;"existing unsupervised neural topic models in a flexible manner. Experiment results on multiple datasets demonstrate that our model can greatly enhance the alignment between labels and topics while maintaining good topic quality.")</f>
        <v>Neural topic modeling is a scalable automated technique for text data mining. In various downstream tasks of topic modeling, it is prefered that the discovered topics well align with labels. However, due to the lack of guidance from labels, unsupervised neural topic models are less powerful in this situation. Existing supervised neural topic models often adopt a label-free prior to generate the latent document-topic distributions and use them to predict the labels and thus achieve label-topic alignment indirectly. Such a mechanism faces the following issues: 1) The label-free prior leads to topics blending the latent patterns of multiple labels; 2) One is unable to intuitively identify the explicit relationships between labels and the discovered topics. To tackle these problems, we develop a novel supervised neural topic model which utilizes a chain-structured graphical model that emphasizes direct constraints of labels on topics. Soft indicators are introduced to explicitly construct the label-topic relationships. To obtain well-organized label-topic relationships, we formalize an entropy-regularized optimal transport problem on the embedding space and model them as the transport plan. Moreover, our proposed method can be seamlessly integrated with most existing unsupervised neural topic models in a flexible manner. Experiment results on multiple datasets demonstrate that our model can greatly enhance the alignment between labels and topics while maintaining good topic quality.</v>
      </c>
      <c r="D3401" s="7" t="str">
        <f>IFERROR(__xludf.DUMMYFUNCTION("""COMPUTED_VALUE"""),"Ruihao Chen")</f>
        <v>Ruihao Chen</v>
      </c>
      <c r="E3401" s="7" t="str">
        <f>IFERROR(__xludf.DUMMYFUNCTION("""COMPUTED_VALUE"""),"Yes")</f>
        <v>Yes</v>
      </c>
      <c r="F3401" s="7" t="str">
        <f>IFERROR(__xludf.DUMMYFUNCTION("""COMPUTED_VALUE"""),"V-Presentation")</f>
        <v>V-Presentation</v>
      </c>
      <c r="G3401" s="7" t="str">
        <f>IFERROR(__xludf.DUMMYFUNCTION("""COMPUTED_VALUE"""),"Virtual/Gather")</f>
        <v>Virtual/Gather</v>
      </c>
      <c r="H3401" s="7" t="str">
        <f>IFERROR(__xludf.DUMMYFUNCTION("""COMPUTED_VALUE"""),"Zoom")</f>
        <v>Zoom</v>
      </c>
      <c r="I3401" s="7" t="str">
        <f>IFERROR(__xludf.DUMMYFUNCTION("""COMPUTED_VALUE"""),"Session 10: V-Presenations")</f>
        <v>Session 10: V-Presenations</v>
      </c>
      <c r="J3401" s="7" t="str">
        <f>IFERROR(__xludf.DUMMYFUNCTION("""COMPUTED_VALUE"""),"Virtual Presentations 3")</f>
        <v>Virtual Presentations 3</v>
      </c>
      <c r="K3401" s="7"/>
      <c r="L3401" s="8">
        <f>IFERROR(__xludf.DUMMYFUNCTION("""COMPUTED_VALUE"""),45867.0)</f>
        <v>45867</v>
      </c>
      <c r="M3401" s="7" t="str">
        <f>IFERROR(__xludf.DUMMYFUNCTION("""COMPUTED_VALUE"""),"16:00-17:30")</f>
        <v>16:00-17:30</v>
      </c>
      <c r="N3401" s="7"/>
    </row>
    <row r="3402">
      <c r="A3402" s="7" t="str">
        <f>IFERROR(__xludf.DUMMYFUNCTION("""COMPUTED_VALUE"""),"6993-TACL")</f>
        <v>6993-TACL</v>
      </c>
      <c r="B3402" s="7" t="str">
        <f>IFERROR(__xludf.DUMMYFUNCTION("""COMPUTED_VALUE"""),"Investigating Adversarial Trigger Transfer in Large Language Models")</f>
        <v>Investigating Adversarial Trigger Transfer in Large Language Models</v>
      </c>
      <c r="C3402" s="7" t="str">
        <f>IFERROR(__xludf.DUMMYFUNCTION("""COMPUTED_VALUE"""),"Recent work has developed optimization procedures to find token sequences, called adversarial triggers, which can elicit unsafe responses from aligned language models. These triggers are believed to be highly transferable, i.e., a trigger optimized on one"&amp;" model can jailbreak other models. In this paper, we concretely show that such adversarial triggers are not consistently transferable. We extensively investigate trigger transfer amongst 13 open models and observe poor and inconsistent transfer.
 Our expe"&amp;"riments further reveal a significant difference in robustness to adversarial triggers between models Aligned by Preference Optimization (APO) and models Aligned by Fine-Tuning (AFT). We find that APO models are extremely hard to jailbreak even when the tr"&amp;"igger is optimized directly on the model. On the other hand, while AFT models may appear safe on the surface, exhibiting refusals to a range of unsafe instructions, we show that they are highly susceptible to adversarial triggers. Lastly, we observe that "&amp;"most triggers optimized on AFT models also generalize to new unsafe instructions from five diverse domains, further emphasizing their vulnerability. Overall, our work highlights the need for more comprehensive safety evaluations for aligned language model"&amp;"s.")</f>
        <v>Recent work has developed optimization procedures to find token sequences, called adversarial triggers, which can elicit unsafe responses from aligned language models. These triggers are believed to be highly transferable, i.e., a trigger optimized on one model can jailbreak other models. In this paper, we concretely show that such adversarial triggers are not consistently transferable. We extensively investigate trigger transfer amongst 13 open models and observe poor and inconsistent transfer.
 Our experiments further reveal a significant difference in robustness to adversarial triggers between models Aligned by Preference Optimization (APO) and models Aligned by Fine-Tuning (AFT). We find that APO models are extremely hard to jailbreak even when the trigger is optimized directly on the model. On the other hand, while AFT models may appear safe on the surface, exhibiting refusals to a range of unsafe instructions, we show that they are highly susceptible to adversarial triggers. Lastly, we observe that most triggers optimized on AFT models also generalize to new unsafe instructions from five diverse domains, further emphasizing their vulnerability. Overall, our work highlights the need for more comprehensive safety evaluations for aligned language models.</v>
      </c>
      <c r="D3402" s="7" t="str">
        <f>IFERROR(__xludf.DUMMYFUNCTION("""COMPUTED_VALUE"""),"Nicholas Carl Meade")</f>
        <v>Nicholas Carl Meade</v>
      </c>
      <c r="E3402" s="7" t="str">
        <f>IFERROR(__xludf.DUMMYFUNCTION("""COMPUTED_VALUE"""),"Yes")</f>
        <v>Yes</v>
      </c>
      <c r="F3402" s="7" t="str">
        <f>IFERROR(__xludf.DUMMYFUNCTION("""COMPUTED_VALUE"""),"IP-Poster")</f>
        <v>IP-Poster</v>
      </c>
      <c r="G3402" s="7" t="str">
        <f>IFERROR(__xludf.DUMMYFUNCTION("""COMPUTED_VALUE"""),"In-Person")</f>
        <v>In-Person</v>
      </c>
      <c r="H3402" s="7" t="str">
        <f>IFERROR(__xludf.DUMMYFUNCTION("""COMPUTED_VALUE"""),"Hall 4/5")</f>
        <v>Hall 4/5</v>
      </c>
      <c r="I3402" s="7" t="str">
        <f>IFERROR(__xludf.DUMMYFUNCTION("""COMPUTED_VALUE"""),"Session 2: IP-Posters ")</f>
        <v>Session 2: IP-Posters </v>
      </c>
      <c r="J3402" s="7" t="str">
        <f>IFERROR(__xludf.DUMMYFUNCTION("""COMPUTED_VALUE"""),"Poster Session 1")</f>
        <v>Poster Session 1</v>
      </c>
      <c r="K3402" s="7"/>
      <c r="L3402" s="8">
        <f>IFERROR(__xludf.DUMMYFUNCTION("""COMPUTED_VALUE"""),45866.0)</f>
        <v>45866</v>
      </c>
      <c r="M3402" s="7" t="str">
        <f>IFERROR(__xludf.DUMMYFUNCTION("""COMPUTED_VALUE"""),"11:00-12:30")</f>
        <v>11:00-12:30</v>
      </c>
      <c r="N3402" s="7"/>
    </row>
    <row r="3403">
      <c r="A3403" s="7" t="str">
        <f>IFERROR(__xludf.DUMMYFUNCTION("""COMPUTED_VALUE"""),"7077-TACL")</f>
        <v>7077-TACL</v>
      </c>
      <c r="B3403" s="7" t="str">
        <f>IFERROR(__xludf.DUMMYFUNCTION("""COMPUTED_VALUE"""),"Know Your Limits: A Survey of Abstention in Large Language Models")</f>
        <v>Know Your Limits: A Survey of Abstention in Large Language Models</v>
      </c>
      <c r="C3403" s="7" t="str">
        <f>IFERROR(__xludf.DUMMYFUNCTION("""COMPUTED_VALUE"""),"Abstention, the refusal of large language models (LLMs) to provide an answer, is increasingly recognized for its potential to mitigate hallucinations and enhance safety in LLM systems. In this survey, we introduce a framework to examine abstention from th"&amp;"ree perspectives: the query, the model, and human values. We organize the literature on abstention methods, benchmarks, and evaluation metrics using this framework, and discuss merits and limitations of prior work. We further identify and motivate areas f"&amp;"or future work, centered around whether abstention can be achieved as a meta-capability that transcends specific tasks or domains, while still providing opportunities to optimize abstention abilities based on context.")</f>
        <v>Abstention, the refusal of large language models (LLMs) to provide an answer, is increasingly recognized for its potential to mitigate hallucinations and enhance safety in LLM systems. In this survey, we introduce a framework to examine abstention from three perspectives: the query, the model, and human values. We organize the literature on abstention methods, benchmarks, and evaluation metrics using this framework, and discuss merits and limitations of prior work. We further identify and motivate areas for future work, centered around whether abstention can be achieved as a meta-capability that transcends specific tasks or domains, while still providing opportunities to optimize abstention abilities based on context.</v>
      </c>
      <c r="D3403" s="7" t="str">
        <f>IFERROR(__xludf.DUMMYFUNCTION("""COMPUTED_VALUE"""),"Bingbing Wen")</f>
        <v>Bingbing Wen</v>
      </c>
      <c r="E3403" s="7" t="str">
        <f>IFERROR(__xludf.DUMMYFUNCTION("""COMPUTED_VALUE"""),"Yes")</f>
        <v>Yes</v>
      </c>
      <c r="F3403" s="7" t="str">
        <f>IFERROR(__xludf.DUMMYFUNCTION("""COMPUTED_VALUE"""),"IP-Oral")</f>
        <v>IP-Oral</v>
      </c>
      <c r="G3403" s="7" t="str">
        <f>IFERROR(__xludf.DUMMYFUNCTION("""COMPUTED_VALUE"""),"In-Person")</f>
        <v>In-Person</v>
      </c>
      <c r="H3403" s="7" t="str">
        <f>IFERROR(__xludf.DUMMYFUNCTION("""COMPUTED_VALUE"""),"Room 1.15-16")</f>
        <v>Room 1.15-16</v>
      </c>
      <c r="I3403" s="7" t="str">
        <f>IFERROR(__xludf.DUMMYFUNCTION("""COMPUTED_VALUE"""),"Session 11: IP-Orals ")</f>
        <v>Session 11: IP-Orals </v>
      </c>
      <c r="J3403" s="7" t="str">
        <f>IFERROR(__xludf.DUMMYFUNCTION("""COMPUTED_VALUE"""),"Language Modeling 2")</f>
        <v>Language Modeling 2</v>
      </c>
      <c r="K3403" s="7"/>
      <c r="L3403" s="8">
        <f>IFERROR(__xludf.DUMMYFUNCTION("""COMPUTED_VALUE"""),45868.0)</f>
        <v>45868</v>
      </c>
      <c r="M3403" s="7" t="str">
        <f>IFERROR(__xludf.DUMMYFUNCTION("""COMPUTED_VALUE"""),"09:00-10:30")</f>
        <v>09:00-10:30</v>
      </c>
      <c r="N3403" s="7">
        <f>IFERROR(__xludf.DUMMYFUNCTION("""COMPUTED_VALUE"""),8.0)</f>
        <v>8</v>
      </c>
    </row>
    <row r="3404">
      <c r="A3404" s="7" t="str">
        <f>IFERROR(__xludf.DUMMYFUNCTION("""COMPUTED_VALUE"""),"7089-TACL")</f>
        <v>7089-TACL</v>
      </c>
      <c r="B3404" s="7" t="str">
        <f>IFERROR(__xludf.DUMMYFUNCTION("""COMPUTED_VALUE"""),"Diverse AI Feedback For Large Language Model Alignment")</f>
        <v>Diverse AI Feedback For Large Language Model Alignment</v>
      </c>
      <c r="C3404" s="7" t="str">
        <f>IFERROR(__xludf.DUMMYFUNCTION("""COMPUTED_VALUE"""),"In recent research on large language models (LLMs), there has been a growing emphasis on aligning these models with human values to reduce the impact of harmful content. However, current alignment methods often rely solely on singular forms of feedback, s"&amp;"uch as preferences, annotated labels, or natural language critiques, overlooking the potential advantages of combining these feedback types. This limitation leads to suboptimal performance, even when ample training data is available. In this paper, we int"&amp;"roduce Diverse AI Feedback (DAIF) as a novel method to enhance LLM alignment with diverse feedback mechanisms. Our approach involves collecting three distinct types of feedback tailored to problems of varying difficulty levels within the training dataset."&amp;" Specifically, we exploit critique feedback for easy problems, refinement feedback for medium problems, and preference feedback for hard problems. By training our model with this diversified feedback, we achieve enhanced alignment performance while using "&amp;"less training data. To assess the effectiveness of DAIF, we evaluate it against previous methods in three downstream tasks: question answering, dialog generation, and text summarization. Experimental results demonstrate that DAIF achieves superior perform"&amp;"ance even with a smaller training dataset.")</f>
        <v>In recent research on large language models (LLMs), there has been a growing emphasis on aligning these models with human values to reduce the impact of harmful content. However, current alignment methods often rely solely on singular forms of feedback, such as preferences, annotated labels, or natural language critiques, overlooking the potential advantages of combining these feedback types. This limitation leads to suboptimal performance, even when ample training data is available. In this paper, we introduce Diverse AI Feedback (DAIF) as a novel method to enhance LLM alignment with diverse feedback mechanisms. Our approach involves collecting three distinct types of feedback tailored to problems of varying difficulty levels within the training dataset. Specifically, we exploit critique feedback for easy problems, refinement feedback for medium problems, and preference feedback for hard problems. By training our model with this diversified feedback, we achieve enhanced alignment performance while using less training data. To assess the effectiveness of DAIF, we evaluate it against previous methods in three downstream tasks: question answering, dialog generation, and text summarization. Experimental results demonstrate that DAIF achieves superior performance even with a smaller training dataset.</v>
      </c>
      <c r="D3404" s="7" t="str">
        <f>IFERROR(__xludf.DUMMYFUNCTION("""COMPUTED_VALUE"""),"Tianshu Yu")</f>
        <v>Tianshu Yu</v>
      </c>
      <c r="E3404" s="7" t="str">
        <f>IFERROR(__xludf.DUMMYFUNCTION("""COMPUTED_VALUE"""),"Yes")</f>
        <v>Yes</v>
      </c>
      <c r="F3404" s="7" t="str">
        <f>IFERROR(__xludf.DUMMYFUNCTION("""COMPUTED_VALUE"""),"V-Presentation")</f>
        <v>V-Presentation</v>
      </c>
      <c r="G3404" s="7" t="str">
        <f>IFERROR(__xludf.DUMMYFUNCTION("""COMPUTED_VALUE"""),"Virtual/Gather")</f>
        <v>Virtual/Gather</v>
      </c>
      <c r="H3404" s="7" t="str">
        <f>IFERROR(__xludf.DUMMYFUNCTION("""COMPUTED_VALUE"""),"Zoom")</f>
        <v>Zoom</v>
      </c>
      <c r="I3404" s="7" t="str">
        <f>IFERROR(__xludf.DUMMYFUNCTION("""COMPUTED_VALUE"""),"Session 2: V-Presentations")</f>
        <v>Session 2: V-Presentations</v>
      </c>
      <c r="J3404" s="7" t="str">
        <f>IFERROR(__xludf.DUMMYFUNCTION("""COMPUTED_VALUE"""),"Virtual Presentations 1")</f>
        <v>Virtual Presentations 1</v>
      </c>
      <c r="K3404" s="7"/>
      <c r="L3404" s="8">
        <f>IFERROR(__xludf.DUMMYFUNCTION("""COMPUTED_VALUE"""),45866.0)</f>
        <v>45866</v>
      </c>
      <c r="M3404" s="7" t="str">
        <f>IFERROR(__xludf.DUMMYFUNCTION("""COMPUTED_VALUE"""),"11:00-12:30")</f>
        <v>11:00-12:30</v>
      </c>
      <c r="N3404" s="7"/>
    </row>
    <row r="3405">
      <c r="A3405" s="7" t="str">
        <f>IFERROR(__xludf.DUMMYFUNCTION("""COMPUTED_VALUE"""),"7125-TACL")</f>
        <v>7125-TACL</v>
      </c>
      <c r="B3405" s="7" t="str">
        <f>IFERROR(__xludf.DUMMYFUNCTION("""COMPUTED_VALUE"""),"Few-shot Multilingual Open-domain QA from 5 Examples")</f>
        <v>Few-shot Multilingual Open-domain QA from 5 Examples</v>
      </c>
      <c r="C3405" s="7" t="str">
        <f>IFERROR(__xludf.DUMMYFUNCTION("""COMPUTED_VALUE"""),"Recent approaches to multilingual open-domain question answering (MLODQA) have achieved promising results given abundant language-specific training data.
 However, the considerable annotation cost limits the probability of these methods for underrepresent"&amp;"ed languages.
 We introduce a \emph{few-shot} learning approach that generates large-scale multilingual data from large language models (LLMs) with minimal supervision for MLODQA.
 Our method begins with large-scale self-supervised pre-training by exploit"&amp;"ing WikiData, followed by training on high-quality synthetic multilingual data generated by prompting LLMs with few-shot examples.
 The resulting model, FsModQA, significantly outperforms existing few-shot and supervised baselines in MLODQA and cross-ling"&amp;"ual and monolingual retrieval.
 We further show our method can be extended for effective zero-shot adaptation to new languages through a \emph{cross-lingual prompting} strategy with only English-supervised data, making it a general and applicable solution"&amp;" for MLODQA tasks without costly large-scale annotation.")</f>
        <v>Recent approaches to multilingual open-domain question answering (MLODQA) have achieved promising results given abundant language-specific training data.
 However, the considerable annotation cost limits the probability of these methods for underrepresented languages.
 We introduce a \emph{few-shot} learning approach that generates large-scale multilingual data from large language models (LLMs) with minimal supervision for MLODQA.
 Our method begins with large-scale self-supervised pre-training by exploiting WikiData, followed by training on high-quality synthetic multilingual data generated by prompting LLMs with few-shot examples.
 The resulting model, FsModQA, significantly outperforms existing few-shot and supervised baselines in MLODQA and cross-lingual and monolingual retrieval.
 We further show our method can be extended for effective zero-shot adaptation to new languages through a \emph{cross-lingual prompting} strategy with only English-supervised data, making it a general and applicable solution for MLODQA tasks without costly large-scale annotation.</v>
      </c>
      <c r="D3405" s="7" t="str">
        <f>IFERROR(__xludf.DUMMYFUNCTION("""COMPUTED_VALUE"""),"Fan Jiang")</f>
        <v>Fan Jiang</v>
      </c>
      <c r="E3405" s="7" t="str">
        <f>IFERROR(__xludf.DUMMYFUNCTION("""COMPUTED_VALUE"""),"Yes")</f>
        <v>Yes</v>
      </c>
      <c r="F3405" s="7" t="str">
        <f>IFERROR(__xludf.DUMMYFUNCTION("""COMPUTED_VALUE"""),"IP-Poster")</f>
        <v>IP-Poster</v>
      </c>
      <c r="G3405" s="7" t="str">
        <f>IFERROR(__xludf.DUMMYFUNCTION("""COMPUTED_VALUE"""),"In-Person")</f>
        <v>In-Person</v>
      </c>
      <c r="H3405" s="7" t="str">
        <f>IFERROR(__xludf.DUMMYFUNCTION("""COMPUTED_VALUE"""),"Hall 4/5")</f>
        <v>Hall 4/5</v>
      </c>
      <c r="I3405" s="7" t="str">
        <f>IFERROR(__xludf.DUMMYFUNCTION("""COMPUTED_VALUE"""),"Session 2: IP-Posters ")</f>
        <v>Session 2: IP-Posters </v>
      </c>
      <c r="J3405" s="7" t="str">
        <f>IFERROR(__xludf.DUMMYFUNCTION("""COMPUTED_VALUE"""),"Poster Session 1")</f>
        <v>Poster Session 1</v>
      </c>
      <c r="K3405" s="7"/>
      <c r="L3405" s="8">
        <f>IFERROR(__xludf.DUMMYFUNCTION("""COMPUTED_VALUE"""),45866.0)</f>
        <v>45866</v>
      </c>
      <c r="M3405" s="7" t="str">
        <f>IFERROR(__xludf.DUMMYFUNCTION("""COMPUTED_VALUE"""),"11:00-12:30")</f>
        <v>11:00-12:30</v>
      </c>
      <c r="N3405" s="7"/>
    </row>
    <row r="3406">
      <c r="A3406" s="7" t="str">
        <f>IFERROR(__xludf.DUMMYFUNCTION("""COMPUTED_VALUE"""),"7185-TACL")</f>
        <v>7185-TACL</v>
      </c>
      <c r="B3406" s="7" t="str">
        <f>IFERROR(__xludf.DUMMYFUNCTION("""COMPUTED_VALUE"""),"BroadLLM: Wider and Deeper LLM Networks are Fairer LLM Evaluators")</f>
        <v>BroadLLM: Wider and Deeper LLM Networks are Fairer LLM Evaluators</v>
      </c>
      <c r="C3406" s="7" t="str">
        <f>IFERROR(__xludf.DUMMYFUNCTION("""COMPUTED_VALUE"""),"Measuring the quality of responses generated by LLMs is a challenging task, particularly when it comes to evaluating whether the response is aligned with human preference. A novel approach involves using the LLM itself to make evaluation and stabilizing t"&amp;"he results through multiple independent evaluations, similar to a single-layer narrow LLM network. This network consists of a fixed number of nodes, with each node being the same LLM. This paper draws upon the extensive research to explore whether wider a"&amp;"nd deeper networks can lead to fairer evaluations. Specifically, we first adaptively generate diverse node roles for each evaluation sample. Each perspective corresponds to the role of a specific LLM node in the first layer. In subsequent layers, we integ"&amp;"rate the locally learned evaluation information from all nodes in the previous layer to obtain a more comprehensive evaluation result. Interestingly, this network design resembles the process of academic paper reviewing, where reviewers rate independently"&amp;" and then consider others’ opinions to reach a final decision. To validate the effectiveness, we construct the largest and most diverse evaluation benchmark LLMEval2 for LLM evaluators. Experimental results demonstrate that a wider network with 2 layers p"&amp;"erforms the best (named as BroadLLM).1 It also boosts Chinese LLM evaluation by 4.6×, saving 60% costs with 93% human agreement.")</f>
        <v>Measuring the quality of responses generated by LLMs is a challenging task, particularly when it comes to evaluating whether the response is aligned with human preference. A novel approach involves using the LLM itself to make evaluation and stabilizing the results through multiple independent evaluations, similar to a single-layer narrow LLM network. This network consists of a fixed number of nodes, with each node being the same LLM. This paper draws upon the extensive research to explore whether wider and deeper networks can lead to fairer evaluations. Specifically, we first adaptively generate diverse node roles for each evaluation sample. Each perspective corresponds to the role of a specific LLM node in the first layer. In subsequent layers, we integrate the locally learned evaluation information from all nodes in the previous layer to obtain a more comprehensive evaluation result. Interestingly, this network design resembles the process of academic paper reviewing, where reviewers rate independently and then consider others’ opinions to reach a final decision. To validate the effectiveness, we construct the largest and most diverse evaluation benchmark LLMEval2 for LLM evaluators. Experimental results demonstrate that a wider network with 2 layers performs the best (named as BroadLLM).1 It also boosts Chinese LLM evaluation by 4.6×, saving 60% costs with 93% human agreement.</v>
      </c>
      <c r="D3406" s="7" t="str">
        <f>IFERROR(__xludf.DUMMYFUNCTION("""COMPUTED_VALUE"""),"Xinghua Zhang")</f>
        <v>Xinghua Zhang</v>
      </c>
      <c r="E3406" s="7" t="str">
        <f>IFERROR(__xludf.DUMMYFUNCTION("""COMPUTED_VALUE"""),"Yes")</f>
        <v>Yes</v>
      </c>
      <c r="F3406" s="7" t="str">
        <f>IFERROR(__xludf.DUMMYFUNCTION("""COMPUTED_VALUE"""),"IP-Oral")</f>
        <v>IP-Oral</v>
      </c>
      <c r="G3406" s="7" t="str">
        <f>IFERROR(__xludf.DUMMYFUNCTION("""COMPUTED_VALUE"""),"In-Person")</f>
        <v>In-Person</v>
      </c>
      <c r="H3406" s="7" t="str">
        <f>IFERROR(__xludf.DUMMYFUNCTION("""COMPUTED_VALUE"""),"Hall B")</f>
        <v>Hall B</v>
      </c>
      <c r="I3406" s="7" t="str">
        <f>IFERROR(__xludf.DUMMYFUNCTION("""COMPUTED_VALUE"""),"Session 9: IP-Orals")</f>
        <v>Session 9: IP-Orals</v>
      </c>
      <c r="J3406" s="7" t="str">
        <f>IFERROR(__xludf.DUMMYFUNCTION("""COMPUTED_VALUE"""),"Resources and Evaluation 2")</f>
        <v>Resources and Evaluation 2</v>
      </c>
      <c r="K3406" s="7"/>
      <c r="L3406" s="8">
        <f>IFERROR(__xludf.DUMMYFUNCTION("""COMPUTED_VALUE"""),45867.0)</f>
        <v>45867</v>
      </c>
      <c r="M3406" s="7" t="str">
        <f>IFERROR(__xludf.DUMMYFUNCTION("""COMPUTED_VALUE"""),"14:00-15:30")</f>
        <v>14:00-15:30</v>
      </c>
      <c r="N3406" s="7">
        <f>IFERROR(__xludf.DUMMYFUNCTION("""COMPUTED_VALUE"""),8.0)</f>
        <v>8</v>
      </c>
    </row>
    <row r="3407">
      <c r="A3407" s="7" t="str">
        <f>IFERROR(__xludf.DUMMYFUNCTION("""COMPUTED_VALUE"""),"7267-TACL")</f>
        <v>7267-TACL</v>
      </c>
      <c r="B3407" s="7" t="str">
        <f>IFERROR(__xludf.DUMMYFUNCTION("""COMPUTED_VALUE"""),"How ""Real"" is Your Real-Time Simultaneous Speech-to-Text Translation System?")</f>
        <v>How "Real" is Your Real-Time Simultaneous Speech-to-Text Translation System?</v>
      </c>
      <c r="C3407" s="7" t="str">
        <f>IFERROR(__xludf.DUMMYFUNCTION("""COMPUTED_VALUE"""),"Simultaneous speech-to-text translation (SimulST) translates source-language speech into target-language text concurrently with the speaker's speech, ensuring low latency for better user comprehension. Despite its intended application to unbounded speech,"&amp;" most research has focused on human pre-segmented speech, simplifying the task and overlooking significant challenges. This narrow focus, coupled with widespread terminological inconsistencies affecting the task, is limiting the applicability of research "&amp;"outcomes to real-world applications, ultimately hindering progress in the field. Our extensive literature review of 110 papers not only reveals these critical issues in current research but also serves as the foundation for our key contributions, we: 1) d"&amp;"efine the steps and core components of a SimulST system, proposing a standardized terminology and taxonomy, 2) conduct a thorough analysis of community trends, and 3) offer concrete recommendations and future directions to bridge the gaps in existing lite"&amp;"rature, from evaluation frameworks to system architectures, for advancing the field towards more realistic and effective SimulST solutions.")</f>
        <v>Simultaneous speech-to-text translation (SimulST) translates source-language speech into target-language text concurrently with the speaker's speech, ensuring low latency for better user comprehension. Despite its intended application to unbounded speech, most research has focused on human pre-segmented speech, simplifying the task and overlooking significant challenges. This narrow focus, coupled with widespread terminological inconsistencies affecting the task, is limiting the applicability of research outcomes to real-world applications, ultimately hindering progress in the field. Our extensive literature review of 110 papers not only reveals these critical issues in current research but also serves as the foundation for our key contributions, we: 1) define the steps and core components of a SimulST system, proposing a standardized terminology and taxonomy, 2) conduct a thorough analysis of community trends, and 3) offer concrete recommendations and future directions to bridge the gaps in existing literature, from evaluation frameworks to system architectures, for advancing the field towards more realistic and effective SimulST solutions.</v>
      </c>
      <c r="D3407" s="7" t="str">
        <f>IFERROR(__xludf.DUMMYFUNCTION("""COMPUTED_VALUE"""),"Sara Papi")</f>
        <v>Sara Papi</v>
      </c>
      <c r="E3407" s="7" t="str">
        <f>IFERROR(__xludf.DUMMYFUNCTION("""COMPUTED_VALUE"""),"Yes")</f>
        <v>Yes</v>
      </c>
      <c r="F3407" s="7" t="str">
        <f>IFERROR(__xludf.DUMMYFUNCTION("""COMPUTED_VALUE"""),"IP-Poster")</f>
        <v>IP-Poster</v>
      </c>
      <c r="G3407" s="7" t="str">
        <f>IFERROR(__xludf.DUMMYFUNCTION("""COMPUTED_VALUE"""),"In-Person")</f>
        <v>In-Person</v>
      </c>
      <c r="H3407" s="7" t="str">
        <f>IFERROR(__xludf.DUMMYFUNCTION("""COMPUTED_VALUE"""),"Hall 4/5")</f>
        <v>Hall 4/5</v>
      </c>
      <c r="I3407" s="7" t="str">
        <f>IFERROR(__xludf.DUMMYFUNCTION("""COMPUTED_VALUE"""),"Session 2: IP-Posters ")</f>
        <v>Session 2: IP-Posters </v>
      </c>
      <c r="J3407" s="7" t="str">
        <f>IFERROR(__xludf.DUMMYFUNCTION("""COMPUTED_VALUE"""),"Poster Session 1")</f>
        <v>Poster Session 1</v>
      </c>
      <c r="K3407" s="7"/>
      <c r="L3407" s="8">
        <f>IFERROR(__xludf.DUMMYFUNCTION("""COMPUTED_VALUE"""),45866.0)</f>
        <v>45866</v>
      </c>
      <c r="M3407" s="7" t="str">
        <f>IFERROR(__xludf.DUMMYFUNCTION("""COMPUTED_VALUE"""),"11:00-12:30")</f>
        <v>11:00-12:30</v>
      </c>
      <c r="N3407" s="7"/>
    </row>
    <row r="3408">
      <c r="A3408" s="7" t="str">
        <f>IFERROR(__xludf.DUMMYFUNCTION("""COMPUTED_VALUE"""),"7285-TACL")</f>
        <v>7285-TACL</v>
      </c>
      <c r="B3408" s="7" t="str">
        <f>IFERROR(__xludf.DUMMYFUNCTION("""COMPUTED_VALUE"""),"Transformers as Transducers")</f>
        <v>Transformers as Transducers</v>
      </c>
      <c r="C3408" s="7" t="str">
        <f>IFERROR(__xludf.DUMMYFUNCTION("""COMPUTED_VALUE"""),"We study the sequence-to-sequence mapping capacity of transformers by relating them to finite transducers, and find that they can express surprisingly large classes of (total functional) transductions. We do so using variants of RASP, a programming langua"&amp;"ge designed to help people ""think like transformers,'' as an intermediate representation. We extend the existing Boolean variant B-RASP to sequence-to-sequence transductions and show that it computes exactly the first-order rational transductions (such a"&amp;"s string rotation). Then, we introduce two new extensions. B-RASP[pos] enables calculations on positions (such as copying the first half of a string) and contains all first-order regular transductions. S-RASP adds prefix sum, which enables additional arit"&amp;"hmetic operations (such as squaring a string) and contains all first-order polyregular transductions. Finally, we show that masked average-hard attention transformers can simulate S-RASP.")</f>
        <v>We study the sequence-to-sequence mapping capacity of transformers by relating them to finite transducers, and find that they can express surprisingly large classes of (total functional) transductions. We do so using variants of RASP, a programming language designed to help people "think like transformers,'' as an intermediate representation. We extend the existing Boolean variant B-RASP to sequence-to-sequence transductions and show that it computes exactly the first-order rational transductions (such as string rotation). Then, we introduce two new extensions. B-RASP[pos] enables calculations on positions (such as copying the first half of a string) and contains all first-order regular transductions. S-RASP adds prefix sum, which enables additional arithmetic operations (such as squaring a string) and contains all first-order polyregular transductions. Finally, we show that masked average-hard attention transformers can simulate S-RASP.</v>
      </c>
      <c r="D3408" s="7" t="str">
        <f>IFERROR(__xludf.DUMMYFUNCTION("""COMPUTED_VALUE"""),"Lena Strobl")</f>
        <v>Lena Strobl</v>
      </c>
      <c r="E3408" s="7" t="str">
        <f>IFERROR(__xludf.DUMMYFUNCTION("""COMPUTED_VALUE"""),"Yes")</f>
        <v>Yes</v>
      </c>
      <c r="F3408" s="7" t="str">
        <f>IFERROR(__xludf.DUMMYFUNCTION("""COMPUTED_VALUE"""),"IP-Poster")</f>
        <v>IP-Poster</v>
      </c>
      <c r="G3408" s="7" t="str">
        <f>IFERROR(__xludf.DUMMYFUNCTION("""COMPUTED_VALUE"""),"In-Person")</f>
        <v>In-Person</v>
      </c>
      <c r="H3408" s="7" t="str">
        <f>IFERROR(__xludf.DUMMYFUNCTION("""COMPUTED_VALUE"""),"Hall 4/5")</f>
        <v>Hall 4/5</v>
      </c>
      <c r="I3408" s="7" t="str">
        <f>IFERROR(__xludf.DUMMYFUNCTION("""COMPUTED_VALUE"""),"Session 2: IP-Posters ")</f>
        <v>Session 2: IP-Posters </v>
      </c>
      <c r="J3408" s="7" t="str">
        <f>IFERROR(__xludf.DUMMYFUNCTION("""COMPUTED_VALUE"""),"Poster Session 1")</f>
        <v>Poster Session 1</v>
      </c>
      <c r="K3408" s="7"/>
      <c r="L3408" s="8">
        <f>IFERROR(__xludf.DUMMYFUNCTION("""COMPUTED_VALUE"""),45866.0)</f>
        <v>45866</v>
      </c>
      <c r="M3408" s="7" t="str">
        <f>IFERROR(__xludf.DUMMYFUNCTION("""COMPUTED_VALUE"""),"11:00-12:30")</f>
        <v>11:00-12:30</v>
      </c>
      <c r="N3408" s="7"/>
    </row>
    <row r="3409">
      <c r="A3409" s="7" t="str">
        <f>IFERROR(__xludf.DUMMYFUNCTION("""COMPUTED_VALUE"""),"7383-TACL")</f>
        <v>7383-TACL</v>
      </c>
      <c r="B3409" s="7" t="str">
        <f>IFERROR(__xludf.DUMMYFUNCTION("""COMPUTED_VALUE"""),"TaxoPro: A Plug-In LoRA-based Cross-Domain Method for Low-Resource Taxonomy Completion")</f>
        <v>TaxoPro: A Plug-In LoRA-based Cross-Domain Method for Low-Resource Taxonomy Completion</v>
      </c>
      <c r="C3409" s="7" t="str">
        <f>IFERROR(__xludf.DUMMYFUNCTION("""COMPUTED_VALUE"""),"Low-resource taxonomy completion aims to automatically insert new concepts into the existing taxonomy, in which only a few in-domain training samples are available. Recent studies have achieved considerable progress by incorporating prior knowledge from p"&amp;"re-trained language models (PLMs). However, these studies tend to overly rely on such knowledge and neglect the shareable knowledge across different taxonomies. In this paper, we propose TaxoPro, a plug-in LoRA-based cross-domain method, that captures sha"&amp;"reable knowledge from the high-resource taxonomy to improve PLM-based low-resource taxonomy completion techniques. To prevent negative interference between domain-specific and domain-shared knowledge, TaxoPro decomposes cross-domain knowledge into domain-"&amp;"shared and domain-specific components, storing them using low-rank matrices (LoRA). Additionally, TaxoPro employs two auxiliary losses to regulate the flow of shareable knowledge. Experimental results demonstrate that TaxoPro improves PLM-based techniques"&amp;", achieving state-of-the-art performance in completing low-resource taxonomies. Codes are available at https://github.com/cyclexu/TaxoPro.")</f>
        <v>Low-resource taxonomy completion aims to automatically insert new concepts into the existing taxonomy, in which only a few in-domain training samples are available. Recent studies have achieved considerable progress by incorporating prior knowledge from pre-trained language models (PLMs). However, these studies tend to overly rely on such knowledge and neglect the shareable knowledge across different taxonomies. In this paper, we propose TaxoPro, a plug-in LoRA-based cross-domain method, that captures shareable knowledge from the high-resource taxonomy to improve PLM-based low-resource taxonomy completion techniques. To prevent negative interference between domain-specific and domain-shared knowledge, TaxoPro decomposes cross-domain knowledge into domain-shared and domain-specific components, storing them using low-rank matrices (LoRA). Additionally, TaxoPro employs two auxiliary losses to regulate the flow of shareable knowledge. Experimental results demonstrate that TaxoPro improves PLM-based techniques, achieving state-of-the-art performance in completing low-resource taxonomies. Codes are available at https://github.com/cyclexu/TaxoPro.</v>
      </c>
      <c r="D3409" s="7" t="str">
        <f>IFERROR(__xludf.DUMMYFUNCTION("""COMPUTED_VALUE"""),"Hongyuan Xu")</f>
        <v>Hongyuan Xu</v>
      </c>
      <c r="E3409" s="7" t="str">
        <f>IFERROR(__xludf.DUMMYFUNCTION("""COMPUTED_VALUE"""),"Yes")</f>
        <v>Yes</v>
      </c>
      <c r="F3409" s="7" t="str">
        <f>IFERROR(__xludf.DUMMYFUNCTION("""COMPUTED_VALUE"""),"V-Presentation")</f>
        <v>V-Presentation</v>
      </c>
      <c r="G3409" s="7" t="str">
        <f>IFERROR(__xludf.DUMMYFUNCTION("""COMPUTED_VALUE"""),"Virtual/Gather")</f>
        <v>Virtual/Gather</v>
      </c>
      <c r="H3409" s="7" t="str">
        <f>IFERROR(__xludf.DUMMYFUNCTION("""COMPUTED_VALUE"""),"Zoom")</f>
        <v>Zoom</v>
      </c>
      <c r="I3409" s="7"/>
      <c r="J3409" s="7" t="str">
        <f>IFERROR(__xludf.DUMMYFUNCTION("""COMPUTED_VALUE"""),"please complete survey https://acl-2025-virtual-presentation-time.paperform.co/")</f>
        <v>please complete survey https://acl-2025-virtual-presentation-time.paperform.co/</v>
      </c>
      <c r="K3409" s="7"/>
      <c r="L3409" s="8"/>
      <c r="M3409" s="7"/>
      <c r="N3409" s="7"/>
    </row>
    <row r="3410">
      <c r="A3410" s="7" t="str">
        <f>IFERROR(__xludf.DUMMYFUNCTION("""COMPUTED_VALUE"""),"7391-TACL")</f>
        <v>7391-TACL</v>
      </c>
      <c r="B3410" s="7" t="str">
        <f>IFERROR(__xludf.DUMMYFUNCTION("""COMPUTED_VALUE"""),"Patchwise Cooperative Game-based Interpretability Method for Large Vision-Language Models")</f>
        <v>Patchwise Cooperative Game-based Interpretability Method for Large Vision-Language Models</v>
      </c>
      <c r="C3410" s="7" t="str">
        <f>IFERROR(__xludf.DUMMYFUNCTION("""COMPUTED_VALUE"""),"Amidst the rapid advancement of artificial intelligence, research on large vision-language models (LVLMs) has emerged as a pivotal area. However, understanding their internal mechanisms remains challenging due to the limitations of existing interpretabili"&amp;"ty methods, especially regarding faithfulness and plausibility. To address this, we first construct a human response interpretability dataset that evaluates the plausibility of model explanations by comparing the attention regions between the model and hu"&amp;"mans when answering the same questions. We then propose a patchwise cooperative game-based interpretability method for LVLMs, which employs Shapley values to quantify the impact of individual image patches on generation likelihood and enhances computation"&amp;"al efficiency through a single input approximation approach. Experimental results demonstrate our method's faithfulness, plausibility, and robustness. Our method provides researchers with deeper insights into model behavior, allowing for an examination of"&amp;" the specific image regions each layer relies on during response generation, ultimately enhancing model reliability. Our codes are available at https://github.com/ZY123-GOOD/Patchwise_Cooperative.")</f>
        <v>Amidst the rapid advancement of artificial intelligence, research on large vision-language models (LVLMs) has emerged as a pivotal area. However, understanding their internal mechanisms remains challenging due to the limitations of existing interpretability methods, especially regarding faithfulness and plausibility. To address this, we first construct a human response interpretability dataset that evaluates the plausibility of model explanations by comparing the attention regions between the model and humans when answering the same questions. We then propose a patchwise cooperative game-based interpretability method for LVLMs, which employs Shapley values to quantify the impact of individual image patches on generation likelihood and enhances computational efficiency through a single input approximation approach. Experimental results demonstrate our method's faithfulness, plausibility, and robustness. Our method provides researchers with deeper insights into model behavior, allowing for an examination of the specific image regions each layer relies on during response generation, ultimately enhancing model reliability. Our codes are available at https://github.com/ZY123-GOOD/Patchwise_Cooperative.</v>
      </c>
      <c r="D3410" s="7" t="str">
        <f>IFERROR(__xludf.DUMMYFUNCTION("""COMPUTED_VALUE"""),"Yao Zhu")</f>
        <v>Yao Zhu</v>
      </c>
      <c r="E3410" s="7" t="str">
        <f>IFERROR(__xludf.DUMMYFUNCTION("""COMPUTED_VALUE"""),"Yes")</f>
        <v>Yes</v>
      </c>
      <c r="F3410" s="7" t="str">
        <f>IFERROR(__xludf.DUMMYFUNCTION("""COMPUTED_VALUE"""),"V-Presentation")</f>
        <v>V-Presentation</v>
      </c>
      <c r="G3410" s="7" t="str">
        <f>IFERROR(__xludf.DUMMYFUNCTION("""COMPUTED_VALUE"""),"Virtual/Gather")</f>
        <v>Virtual/Gather</v>
      </c>
      <c r="H3410" s="7" t="str">
        <f>IFERROR(__xludf.DUMMYFUNCTION("""COMPUTED_VALUE"""),"Zoom")</f>
        <v>Zoom</v>
      </c>
      <c r="I3410" s="7" t="str">
        <f>IFERROR(__xludf.DUMMYFUNCTION("""COMPUTED_VALUE"""),"Session 10: V-Presenations")</f>
        <v>Session 10: V-Presenations</v>
      </c>
      <c r="J3410" s="7" t="str">
        <f>IFERROR(__xludf.DUMMYFUNCTION("""COMPUTED_VALUE"""),"Virtual Presentations 3")</f>
        <v>Virtual Presentations 3</v>
      </c>
      <c r="K3410" s="7"/>
      <c r="L3410" s="8">
        <f>IFERROR(__xludf.DUMMYFUNCTION("""COMPUTED_VALUE"""),45867.0)</f>
        <v>45867</v>
      </c>
      <c r="M3410" s="7" t="str">
        <f>IFERROR(__xludf.DUMMYFUNCTION("""COMPUTED_VALUE"""),"16:00-17:30")</f>
        <v>16:00-17:30</v>
      </c>
      <c r="N3410" s="7"/>
    </row>
    <row r="3411">
      <c r="A3411" s="7" t="str">
        <f>IFERROR(__xludf.DUMMYFUNCTION("""COMPUTED_VALUE"""),"7401-TACL")</f>
        <v>7401-TACL</v>
      </c>
      <c r="B3411" s="7" t="str">
        <f>IFERROR(__xludf.DUMMYFUNCTION("""COMPUTED_VALUE"""),"Self-Rationalization in the Wild: A Large Scale Out-of-Distribution Evaluation on NLI-related tasks")</f>
        <v>Self-Rationalization in the Wild: A Large Scale Out-of-Distribution Evaluation on NLI-related tasks</v>
      </c>
      <c r="C3411" s="7" t="str">
        <f>IFERROR(__xludf.DUMMYFUNCTION("""COMPUTED_VALUE"""),"Free-text explanations are expressive and easy to understand, but many datasets lack annotated explanation data, making it challenging to train models for explainable predictions. To address this, we investigate how to use existing explanation datasets fo"&amp;"r self-rationalization and evaluate models' out-of-distribution (OOD) performance. We fine-tune T5-Large and OLMo-7B models and assess the impact of fine-tuning data quality, the number of fine-tuning samples, and few-shot selection methods. The models ar"&amp;"e evaluated on 19 diverse OOD datasets across three tasks: natural language inference, fact-checking, and hallucination detection in abstractive summarization. For the generated explanation evaluation, we conduct a human study on 13 selected models and st"&amp;"udy its correlation with the Acceptability score (T5-11B) and three other LLM-based reference-free metrics. Human evaluation shows that the Acceptability score correlates most strongly with human judgments, demonstrating its effectiveness in evaluating fr"&amp;"ee-text explanations. Our findings reveal: 1) few annotated examples effectively adapt models for OOD explanation generation; 2) compared to sample selection strategies, fine-tuning data source has a larger impact on OOD performance; and 3) models with hi"&amp;"gher label prediction accuracy tend to produce better explanations, as reflected by higher Acceptability scores.")</f>
        <v>Free-text explanations are expressive and easy to understand, but many datasets lack annotated explanation data, making it challenging to train models for explainable predictions. To address this, we investigate how to use existing explanation datasets for self-rationalization and evaluate models' out-of-distribution (OOD) performance. We fine-tune T5-Large and OLMo-7B models and assess the impact of fine-tuning data quality, the number of fine-tuning samples, and few-shot selection methods. The models are evaluated on 19 diverse OOD datasets across three tasks: natural language inference, fact-checking, and hallucination detection in abstractive summarization. For the generated explanation evaluation, we conduct a human study on 13 selected models and study its correlation with the Acceptability score (T5-11B) and three other LLM-based reference-free metrics. Human evaluation shows that the Acceptability score correlates most strongly with human judgments, demonstrating its effectiveness in evaluating free-text explanations. Our findings reveal: 1) few annotated examples effectively adapt models for OOD explanation generation; 2) compared to sample selection strategies, fine-tuning data source has a larger impact on OOD performance; and 3) models with higher label prediction accuracy tend to produce better explanations, as reflected by higher Acceptability scores.</v>
      </c>
      <c r="D3411" s="7" t="str">
        <f>IFERROR(__xludf.DUMMYFUNCTION("""COMPUTED_VALUE"""),"Jing Yang")</f>
        <v>Jing Yang</v>
      </c>
      <c r="E3411" s="7" t="str">
        <f>IFERROR(__xludf.DUMMYFUNCTION("""COMPUTED_VALUE"""),"Yes")</f>
        <v>Yes</v>
      </c>
      <c r="F3411" s="7" t="str">
        <f>IFERROR(__xludf.DUMMYFUNCTION("""COMPUTED_VALUE"""),"IP-Oral")</f>
        <v>IP-Oral</v>
      </c>
      <c r="G3411" s="7" t="str">
        <f>IFERROR(__xludf.DUMMYFUNCTION("""COMPUTED_VALUE"""),"In-Person")</f>
        <v>In-Person</v>
      </c>
      <c r="H3411" s="7" t="str">
        <f>IFERROR(__xludf.DUMMYFUNCTION("""COMPUTED_VALUE"""),"Room 1.15-16")</f>
        <v>Room 1.15-16</v>
      </c>
      <c r="I3411" s="7" t="str">
        <f>IFERROR(__xludf.DUMMYFUNCTION("""COMPUTED_VALUE"""),"Session 3: IP-Orals")</f>
        <v>Session 3: IP-Orals</v>
      </c>
      <c r="J3411" s="7" t="str">
        <f>IFERROR(__xludf.DUMMYFUNCTION("""COMPUTED_VALUE"""),"Theme track: Generalisation of NLP models")</f>
        <v>Theme track: Generalisation of NLP models</v>
      </c>
      <c r="K3411" s="7"/>
      <c r="L3411" s="8">
        <f>IFERROR(__xludf.DUMMYFUNCTION("""COMPUTED_VALUE"""),45866.0)</f>
        <v>45866</v>
      </c>
      <c r="M3411" s="7" t="str">
        <f>IFERROR(__xludf.DUMMYFUNCTION("""COMPUTED_VALUE"""),"14:00-15:30")</f>
        <v>14:00-15:30</v>
      </c>
      <c r="N3411" s="7">
        <f>IFERROR(__xludf.DUMMYFUNCTION("""COMPUTED_VALUE"""),8.0)</f>
        <v>8</v>
      </c>
    </row>
    <row r="3412">
      <c r="A3412" s="7" t="str">
        <f>IFERROR(__xludf.DUMMYFUNCTION("""COMPUTED_VALUE"""),"7425-TACL")</f>
        <v>7425-TACL</v>
      </c>
      <c r="B3412" s="7" t="str">
        <f>IFERROR(__xludf.DUMMYFUNCTION("""COMPUTED_VALUE"""),"A Comparative Approach for Auditing Multilingual Phonetic Transcript Archives")</f>
        <v>A Comparative Approach for Auditing Multilingual Phonetic Transcript Archives</v>
      </c>
      <c r="C3412" s="7" t="str">
        <f>IFERROR(__xludf.DUMMYFUNCTION("""COMPUTED_VALUE"""),"Curating datasets that span multiple languages is challenging. To make the collection more scalable, researchers often incorporate one or more imperfect classifiers in the process, like language identification models. These models, however, are prone to f"&amp;"ailure, resulting in some language partitions being unreliable for downstream tasks. We introduce a statistical test, the Preference Proportion Test, for identifying such unreliable partitions. By annotating only 20 samples for a language partition, we're"&amp;" able to identify systematic transcription errors for 10 language partitions in a recent large multilingual transcribed audio archive, X-IPAPACK (Zhu et al., 2024). We find that filtering these low-quality partitions out when training models for the downs"&amp;"tream task of phonetic transcription brings substantial benefits, most notably a 25.7% relative improvement on transcribing recordings in out-of-distribution languages. Our work contributes an effective method for auditing multilingual audio archives.")</f>
        <v>Curating datasets that span multiple languages is challenging. To make the collection more scalable, researchers often incorporate one or more imperfect classifiers in the process, like language identification models. These models, however, are prone to failure, resulting in some language partitions being unreliable for downstream tasks. We introduce a statistical test, the Preference Proportion Test, for identifying such unreliable partitions. By annotating only 20 samples for a language partition, we're able to identify systematic transcription errors for 10 language partitions in a recent large multilingual transcribed audio archive, X-IPAPACK (Zhu et al., 2024). We find that filtering these low-quality partitions out when training models for the downstream task of phonetic transcription brings substantial benefits, most notably a 25.7% relative improvement on transcribing recordings in out-of-distribution languages. Our work contributes an effective method for auditing multilingual audio archives.</v>
      </c>
      <c r="D3412" s="7" t="str">
        <f>IFERROR(__xludf.DUMMYFUNCTION("""COMPUTED_VALUE"""),"Farhan Samir")</f>
        <v>Farhan Samir</v>
      </c>
      <c r="E3412" s="7" t="str">
        <f>IFERROR(__xludf.DUMMYFUNCTION("""COMPUTED_VALUE"""),"Yes")</f>
        <v>Yes</v>
      </c>
      <c r="F3412" s="7" t="str">
        <f>IFERROR(__xludf.DUMMYFUNCTION("""COMPUTED_VALUE"""),"IP-Poster")</f>
        <v>IP-Poster</v>
      </c>
      <c r="G3412" s="7" t="str">
        <f>IFERROR(__xludf.DUMMYFUNCTION("""COMPUTED_VALUE"""),"In-Person")</f>
        <v>In-Person</v>
      </c>
      <c r="H3412" s="7" t="str">
        <f>IFERROR(__xludf.DUMMYFUNCTION("""COMPUTED_VALUE"""),"Hall 4/5")</f>
        <v>Hall 4/5</v>
      </c>
      <c r="I3412" s="7" t="str">
        <f>IFERROR(__xludf.DUMMYFUNCTION("""COMPUTED_VALUE"""),"Session 12: IP-Posters")</f>
        <v>Session 12: IP-Posters</v>
      </c>
      <c r="J3412" s="7" t="str">
        <f>IFERROR(__xludf.DUMMYFUNCTION("""COMPUTED_VALUE"""),"Poster Session 4")</f>
        <v>Poster Session 4</v>
      </c>
      <c r="K3412" s="7"/>
      <c r="L3412" s="8">
        <f>IFERROR(__xludf.DUMMYFUNCTION("""COMPUTED_VALUE"""),45868.0)</f>
        <v>45868</v>
      </c>
      <c r="M3412" s="7" t="str">
        <f>IFERROR(__xludf.DUMMYFUNCTION("""COMPUTED_VALUE"""),"11:00-12:30")</f>
        <v>11:00-12:30</v>
      </c>
      <c r="N3412" s="7"/>
    </row>
    <row r="3413">
      <c r="A3413" s="7" t="str">
        <f>IFERROR(__xludf.DUMMYFUNCTION("""COMPUTED_VALUE"""),"7431-TACL")</f>
        <v>7431-TACL</v>
      </c>
      <c r="B3413" s="7" t="str">
        <f>IFERROR(__xludf.DUMMYFUNCTION("""COMPUTED_VALUE"""),"TANQ: An open domain dataset of table answered questions")</f>
        <v>TANQ: An open domain dataset of table answered questions</v>
      </c>
      <c r="C3413" s="7" t="str">
        <f>IFERROR(__xludf.DUMMYFUNCTION("""COMPUTED_VALUE"""),"Language models, potentially augmented with tool usage such as retrieval are becoming the go-to means of answering questions. Understanding and answering questions in real-world settings often requires re-trieving information from different sources, proce"&amp;"ssing and aggregating data to extract insights, and presenting complex findings in form of structured artifacts such as novel tables, charts, or infographics. In this paper, we introduce TANQ, the first open domain question answering dataset where the ans"&amp;"wers require building tables from information across multiple sources. We release the full source attribution for every cell in the resulting table and benchmark state-of-the-art language models in open, oracle, and closed book setups. Our best-performing"&amp;" baseline, Gemini Flash reaches an overall F1 score of 60.7, lagging behind human performance by 12.3 points. We analyse baselines’ performance across different dataset attributes such as different skills required for this task, including multi-hop reason"&amp;"ing, math operations, and unit conversions. We further discuss common failures in model-generated answers, suggesting that TANQ is a complex task with many challenges ahead.")</f>
        <v>Language models, potentially augmented with tool usage such as retrieval are becoming the go-to means of answering questions. Understanding and answering questions in real-world settings often requires re-trieving information from different sources, processing and aggregating data to extract insights, and presenting complex findings in form of structured artifacts such as novel tables, charts, or infographics. In this paper, we introduce TANQ, the first open domain question answering dataset where the answers require building tables from information across multiple sources. We release the full source attribution for every cell in the resulting table and benchmark state-of-the-art language models in open, oracle, and closed book setups. Our best-performing baseline, Gemini Flash reaches an overall F1 score of 60.7, lagging behind human performance by 12.3 points. We analyse baselines’ performance across different dataset attributes such as different skills required for this task, including multi-hop reasoning, math operations, and unit conversions. We further discuss common failures in model-generated answers, suggesting that TANQ is a complex task with many challenges ahead.</v>
      </c>
      <c r="D3413" s="7" t="str">
        <f>IFERROR(__xludf.DUMMYFUNCTION("""COMPUTED_VALUE"""),"Mubashara Akhtar")</f>
        <v>Mubashara Akhtar</v>
      </c>
      <c r="E3413" s="7" t="str">
        <f>IFERROR(__xludf.DUMMYFUNCTION("""COMPUTED_VALUE"""),"Yes")</f>
        <v>Yes</v>
      </c>
      <c r="F3413" s="7" t="str">
        <f>IFERROR(__xludf.DUMMYFUNCTION("""COMPUTED_VALUE"""),"IP-Poster")</f>
        <v>IP-Poster</v>
      </c>
      <c r="G3413" s="7" t="str">
        <f>IFERROR(__xludf.DUMMYFUNCTION("""COMPUTED_VALUE"""),"In-Person")</f>
        <v>In-Person</v>
      </c>
      <c r="H3413" s="7" t="str">
        <f>IFERROR(__xludf.DUMMYFUNCTION("""COMPUTED_VALUE"""),"Hall 4/5")</f>
        <v>Hall 4/5</v>
      </c>
      <c r="I3413" s="7" t="str">
        <f>IFERROR(__xludf.DUMMYFUNCTION("""COMPUTED_VALUE"""),"Session 2: IP-Posters ")</f>
        <v>Session 2: IP-Posters </v>
      </c>
      <c r="J3413" s="7" t="str">
        <f>IFERROR(__xludf.DUMMYFUNCTION("""COMPUTED_VALUE"""),"Poster Session 1")</f>
        <v>Poster Session 1</v>
      </c>
      <c r="K3413" s="7"/>
      <c r="L3413" s="8">
        <f>IFERROR(__xludf.DUMMYFUNCTION("""COMPUTED_VALUE"""),45866.0)</f>
        <v>45866</v>
      </c>
      <c r="M3413" s="7" t="str">
        <f>IFERROR(__xludf.DUMMYFUNCTION("""COMPUTED_VALUE"""),"11:00-12:30")</f>
        <v>11:00-12:30</v>
      </c>
      <c r="N3413" s="7"/>
    </row>
    <row r="3414">
      <c r="A3414" s="7" t="str">
        <f>IFERROR(__xludf.DUMMYFUNCTION("""COMPUTED_VALUE"""),"7451-TACL")</f>
        <v>7451-TACL</v>
      </c>
      <c r="B3414" s="7" t="str">
        <f>IFERROR(__xludf.DUMMYFUNCTION("""COMPUTED_VALUE"""),"STPar:AStructure-AwareTriaffineParserforScreenplay CharacterCoreferenceResolution")</f>
        <v>STPar:AStructure-AwareTriaffineParserforScreenplay CharacterCoreferenceResolution</v>
      </c>
      <c r="C3414" s="7" t="str">
        <f>IFERROR(__xludf.DUMMYFUNCTION("""COMPUTED_VALUE"""),"Character Coreference Resolution in Movie Screenplays (MovieCoref) is a newly emerging task for understanding complex movie plots and character relationships. This task poses greater challenges than traditional coreference resolution, due to the intricate"&amp;" narrative structures and character interactions unique to screenplays. In light of these challenges, we introduce a novel approach: a Structure-aware Triaffine Parser (STPar) for the MovieCoref task. The STPar combines discourse and syntactic structures "&amp;"in the feature encoding process, enabling comprehensive analysis of ternary relationships and complex interactions. During the pairing process, the STPar utilizes a triaffine scorer to consider high-order relations between candidate mention pairs, thus en"&amp;"hancing its ability to capture detailed narrative structures. In addition, the STPar incorporates multi-task learning, encompassing singleton and span detection tasks, to further improve coreference resolution performance. Our evaluations on the MovieCore"&amp;"f dataset demonstrate that the STPar significantly outperforms the best baseline by 6.9\%, 21.1\%, 6.7\% and 9.7\% in F1 scores of B$^3$, CEAF$_e$, LEA and CoNLL. Further analysis highlights the benefits of integrating structural discourse and syntactic i"&amp;"nformation as well as the combined approaches of triaffine and multi-task learning.")</f>
        <v>Character Coreference Resolution in Movie Screenplays (MovieCoref) is a newly emerging task for understanding complex movie plots and character relationships. This task poses greater challenges than traditional coreference resolution, due to the intricate narrative structures and character interactions unique to screenplays. In light of these challenges, we introduce a novel approach: a Structure-aware Triaffine Parser (STPar) for the MovieCoref task. The STPar combines discourse and syntactic structures in the feature encoding process, enabling comprehensive analysis of ternary relationships and complex interactions. During the pairing process, the STPar utilizes a triaffine scorer to consider high-order relations between candidate mention pairs, thus enhancing its ability to capture detailed narrative structures. In addition, the STPar incorporates multi-task learning, encompassing singleton and span detection tasks, to further improve coreference resolution performance. Our evaluations on the MovieCoref dataset demonstrate that the STPar significantly outperforms the best baseline by 6.9\%, 21.1\%, 6.7\% and 9.7\% in F1 scores of B$^3$, CEAF$_e$, LEA and CoNLL. Further analysis highlights the benefits of integrating structural discourse and syntactic information as well as the combined approaches of triaffine and multi-task learning.</v>
      </c>
      <c r="D3414" s="7" t="str">
        <f>IFERROR(__xludf.DUMMYFUNCTION("""COMPUTED_VALUE"""),"Li Zheng")</f>
        <v>Li Zheng</v>
      </c>
      <c r="E3414" s="7" t="str">
        <f>IFERROR(__xludf.DUMMYFUNCTION("""COMPUTED_VALUE"""),"Yes")</f>
        <v>Yes</v>
      </c>
      <c r="F3414" s="7" t="str">
        <f>IFERROR(__xludf.DUMMYFUNCTION("""COMPUTED_VALUE"""),"IP-Poster")</f>
        <v>IP-Poster</v>
      </c>
      <c r="G3414" s="7" t="str">
        <f>IFERROR(__xludf.DUMMYFUNCTION("""COMPUTED_VALUE"""),"In-Person")</f>
        <v>In-Person</v>
      </c>
      <c r="H3414" s="7" t="str">
        <f>IFERROR(__xludf.DUMMYFUNCTION("""COMPUTED_VALUE"""),"Hall 4/5")</f>
        <v>Hall 4/5</v>
      </c>
      <c r="I3414" s="7" t="str">
        <f>IFERROR(__xludf.DUMMYFUNCTION("""COMPUTED_VALUE"""),"Session 12: IP-Posters")</f>
        <v>Session 12: IP-Posters</v>
      </c>
      <c r="J3414" s="7" t="str">
        <f>IFERROR(__xludf.DUMMYFUNCTION("""COMPUTED_VALUE"""),"Poster Session 4")</f>
        <v>Poster Session 4</v>
      </c>
      <c r="K3414" s="7"/>
      <c r="L3414" s="8">
        <f>IFERROR(__xludf.DUMMYFUNCTION("""COMPUTED_VALUE"""),45868.0)</f>
        <v>45868</v>
      </c>
      <c r="M3414" s="7" t="str">
        <f>IFERROR(__xludf.DUMMYFUNCTION("""COMPUTED_VALUE"""),"11:00-12:30")</f>
        <v>11:00-12:30</v>
      </c>
      <c r="N3414" s="7"/>
    </row>
    <row r="3415">
      <c r="A3415" s="7" t="str">
        <f>IFERROR(__xludf.DUMMYFUNCTION("""COMPUTED_VALUE"""),"7469-TACL")</f>
        <v>7469-TACL</v>
      </c>
      <c r="B3415" s="7" t="str">
        <f>IFERROR(__xludf.DUMMYFUNCTION("""COMPUTED_VALUE"""),"Contextualized Evaluations: Judging Language Model Responses to Underspecified Queries")</f>
        <v>Contextualized Evaluations: Judging Language Model Responses to Underspecified Queries</v>
      </c>
      <c r="C3415" s="7" t="str">
        <f>IFERROR(__xludf.DUMMYFUNCTION("""COMPUTED_VALUE"""),"Language model users often issue queries that lack specification, where the context under which a query was issued---such as the user's identity, the query's intent, and the criteria for a response to be useful---is not explicit. For instance, a good resp"&amp;"onse to a subjective query like “What book should I read next?” would depend on the user’s preferences, and a good response to an open-ended query like “How do antibiotics work against bacteria?” would depend on the user's expertise. This makes evaluation"&amp;" of responses to such queries an ill-posed task, as evaluators must make uninformed judgements about the quality of a response. To remedy this, we present contextualized evaluations, a protocol that synthetically constructs context surrounding an underspe"&amp;"cified query and provides it during evaluation. We find that the presence of context can 1) change conclusions drawn from evaluation, even flipping win rates between model pairs, 2) nudge evaluators to make fewer judgments based on surface-level criteria "&amp;"of responses, like style, and 3) provide new insights about model behavior in different contexts. Specifically, we discover an implicit bias towards WEIRD contexts in default responses and find that models are not equally sensitive to following different "&amp;"contexts.")</f>
        <v>Language model users often issue queries that lack specification, where the context under which a query was issued---such as the user's identity, the query's intent, and the criteria for a response to be useful---is not explicit. For instance, a good response to a subjective query like “What book should I read next?” would depend on the user’s preferences, and a good response to an open-ended query like “How do antibiotics work against bacteria?” would depend on the user's expertise. This makes evaluation of responses to such queries an ill-posed task, as evaluators must make uninformed judgements about the quality of a response. To remedy this, we present contextualized evaluations, a protocol that synthetically constructs context surrounding an underspecified query and provides it during evaluation. We find that the presence of context can 1) change conclusions drawn from evaluation, even flipping win rates between model pairs, 2) nudge evaluators to make fewer judgments based on surface-level criteria of responses, like style, and 3) provide new insights about model behavior in different contexts. Specifically, we discover an implicit bias towards WEIRD contexts in default responses and find that models are not equally sensitive to following different contexts.</v>
      </c>
      <c r="D3415" s="7" t="str">
        <f>IFERROR(__xludf.DUMMYFUNCTION("""COMPUTED_VALUE"""),"Chaitanya Malaviya")</f>
        <v>Chaitanya Malaviya</v>
      </c>
      <c r="E3415" s="7" t="str">
        <f>IFERROR(__xludf.DUMMYFUNCTION("""COMPUTED_VALUE"""),"Yes")</f>
        <v>Yes</v>
      </c>
      <c r="F3415" s="7" t="str">
        <f>IFERROR(__xludf.DUMMYFUNCTION("""COMPUTED_VALUE"""),"IP-Poster")</f>
        <v>IP-Poster</v>
      </c>
      <c r="G3415" s="7" t="str">
        <f>IFERROR(__xludf.DUMMYFUNCTION("""COMPUTED_VALUE"""),"In-Person")</f>
        <v>In-Person</v>
      </c>
      <c r="H3415" s="7" t="str">
        <f>IFERROR(__xludf.DUMMYFUNCTION("""COMPUTED_VALUE"""),"Hall 4/5")</f>
        <v>Hall 4/5</v>
      </c>
      <c r="I3415" s="7" t="str">
        <f>IFERROR(__xludf.DUMMYFUNCTION("""COMPUTED_VALUE"""),"Session 12: IP-Posters")</f>
        <v>Session 12: IP-Posters</v>
      </c>
      <c r="J3415" s="7" t="str">
        <f>IFERROR(__xludf.DUMMYFUNCTION("""COMPUTED_VALUE"""),"Poster Session 4")</f>
        <v>Poster Session 4</v>
      </c>
      <c r="K3415" s="7"/>
      <c r="L3415" s="8">
        <f>IFERROR(__xludf.DUMMYFUNCTION("""COMPUTED_VALUE"""),45868.0)</f>
        <v>45868</v>
      </c>
      <c r="M3415" s="7" t="str">
        <f>IFERROR(__xludf.DUMMYFUNCTION("""COMPUTED_VALUE"""),"11:00-12:30")</f>
        <v>11:00-12:30</v>
      </c>
      <c r="N3415" s="7"/>
    </row>
    <row r="3416">
      <c r="A3416" s="7" t="str">
        <f>IFERROR(__xludf.DUMMYFUNCTION("""COMPUTED_VALUE"""),"7563-TACL")</f>
        <v>7563-TACL</v>
      </c>
      <c r="B3416" s="7" t="str">
        <f>IFERROR(__xludf.DUMMYFUNCTION("""COMPUTED_VALUE"""),"Sense-Specific Historical Word Usage Generation")</f>
        <v>Sense-Specific Historical Word Usage Generation</v>
      </c>
      <c r="C3416" s="7" t="str">
        <f>IFERROR(__xludf.DUMMYFUNCTION("""COMPUTED_VALUE"""),"Large-scale sense-annotated corpora are important for a range of tasks but are hard to come by. Dictionaries that record and describe the vocabulary of a language often offer a small set of real-world example sentences for each sense of a word. However, o"&amp;"n their own, these sentences are too few to be used as diachronic sense-annotated corpora. We propose a targeted strategy for training and evaluating generative models producing historically and semantically accurate word usages given any word, sense defi"&amp;"nition, and year triple.
 Our results demonstrate that the fine-tuned models can generate usages with the same properties as real-world example sentences from a reference dictionary. Thus the generated usages will be suitable for training and testing co"&amp;"mputational models where large-scale sense-annotated corpora are needed but currently unavailable.")</f>
        <v>Large-scale sense-annotated corpora are important for a range of tasks but are hard to come by. Dictionaries that record and describe the vocabulary of a language often offer a small set of real-world example sentences for each sense of a word. However, on their own, these sentences are too few to be used as diachronic sense-annotated corpora. We propose a targeted strategy for training and evaluating generative models producing historically and semantically accurate word usages given any word, sense definition, and year triple.
 Our results demonstrate that the fine-tuned models can generate usages with the same properties as real-world example sentences from a reference dictionary. Thus the generated usages will be suitable for training and testing computational models where large-scale sense-annotated corpora are needed but currently unavailable.</v>
      </c>
      <c r="D3416" s="7" t="str">
        <f>IFERROR(__xludf.DUMMYFUNCTION("""COMPUTED_VALUE"""),"Pierluigi Cassotti")</f>
        <v>Pierluigi Cassotti</v>
      </c>
      <c r="E3416" s="7" t="str">
        <f>IFERROR(__xludf.DUMMYFUNCTION("""COMPUTED_VALUE"""),"Yes")</f>
        <v>Yes</v>
      </c>
      <c r="F3416" s="7" t="str">
        <f>IFERROR(__xludf.DUMMYFUNCTION("""COMPUTED_VALUE"""),"IP-Poster")</f>
        <v>IP-Poster</v>
      </c>
      <c r="G3416" s="7" t="str">
        <f>IFERROR(__xludf.DUMMYFUNCTION("""COMPUTED_VALUE"""),"In-Person")</f>
        <v>In-Person</v>
      </c>
      <c r="H3416" s="7" t="str">
        <f>IFERROR(__xludf.DUMMYFUNCTION("""COMPUTED_VALUE"""),"Hall 4/5")</f>
        <v>Hall 4/5</v>
      </c>
      <c r="I3416" s="7" t="str">
        <f>IFERROR(__xludf.DUMMYFUNCTION("""COMPUTED_VALUE"""),"Session 12: IP-Posters")</f>
        <v>Session 12: IP-Posters</v>
      </c>
      <c r="J3416" s="7" t="str">
        <f>IFERROR(__xludf.DUMMYFUNCTION("""COMPUTED_VALUE"""),"Poster Session 4")</f>
        <v>Poster Session 4</v>
      </c>
      <c r="K3416" s="7"/>
      <c r="L3416" s="8">
        <f>IFERROR(__xludf.DUMMYFUNCTION("""COMPUTED_VALUE"""),45868.0)</f>
        <v>45868</v>
      </c>
      <c r="M3416" s="7" t="str">
        <f>IFERROR(__xludf.DUMMYFUNCTION("""COMPUTED_VALUE"""),"11:00-12:30")</f>
        <v>11:00-12:30</v>
      </c>
      <c r="N3416" s="7"/>
    </row>
    <row r="3417">
      <c r="A3417" s="7" t="str">
        <f>IFERROR(__xludf.DUMMYFUNCTION("""COMPUTED_VALUE"""),"7619-TACL")</f>
        <v>7619-TACL</v>
      </c>
      <c r="B3417" s="7" t="str">
        <f>IFERROR(__xludf.DUMMYFUNCTION("""COMPUTED_VALUE"""),"Navigating the Landscape of Hint Generation Research: From the Past to the Future")</f>
        <v>Navigating the Landscape of Hint Generation Research: From the Past to the Future</v>
      </c>
      <c r="C3417" s="7" t="str">
        <f>IFERROR(__xludf.DUMMYFUNCTION("""COMPUTED_VALUE"""),"Digital education has gained popularity in the last decade, especially after the COVID-19 pandemic. With the improving capabilities of large language models to reason and communicate with users, envisioning intelligent tutoring systems (ITSs) that can fac"&amp;"ilitate self-learning is not very far-fetched. One integral component to fulfill this vision is the ability to give accurate and effective feedback via hints to scaffold the learning process. In this survey article, we present a comprehensive review of pr"&amp;"ior research on hint generation, aiming to bridge the gap between research in education and cognitive science, and research in AI and Natural Language Processing. Informed by our findings, we propose a formal definition of the hint generation task, and di"&amp;"scuss the roadmap of building an effective hint generation system aligned with the formal definition, including open challenges, future directions and ethical considerations.")</f>
        <v>Digital education has gained popularity in the last decade, especially after the COVID-19 pandemic. With the improving capabilities of large language models to reason and communicate with users, envisioning intelligent tutoring systems (ITSs) that can facilitate self-learning is not very far-fetched. One integral component to fulfill this vision is the ability to give accurate and effective feedback via hints to scaffold the learning process. In this survey article, we present a comprehensive review of prior research on hint generation, aiming to bridge the gap between research in education and cognitive science, and research in AI and Natural Language Processing. Informed by our findings, we propose a formal definition of the hint generation task, and discuss the roadmap of building an effective hint generation system aligned with the formal definition, including open challenges, future directions and ethical considerations.</v>
      </c>
      <c r="D3417" s="7" t="str">
        <f>IFERROR(__xludf.DUMMYFUNCTION("""COMPUTED_VALUE"""),"Anubhav Jangra")</f>
        <v>Anubhav Jangra</v>
      </c>
      <c r="E3417" s="7" t="str">
        <f>IFERROR(__xludf.DUMMYFUNCTION("""COMPUTED_VALUE"""),"Yes")</f>
        <v>Yes</v>
      </c>
      <c r="F3417" s="7" t="str">
        <f>IFERROR(__xludf.DUMMYFUNCTION("""COMPUTED_VALUE"""),"IP-Poster")</f>
        <v>IP-Poster</v>
      </c>
      <c r="G3417" s="7" t="str">
        <f>IFERROR(__xludf.DUMMYFUNCTION("""COMPUTED_VALUE"""),"In-Person")</f>
        <v>In-Person</v>
      </c>
      <c r="H3417" s="7" t="str">
        <f>IFERROR(__xludf.DUMMYFUNCTION("""COMPUTED_VALUE"""),"Hall 4/5")</f>
        <v>Hall 4/5</v>
      </c>
      <c r="I3417" s="7" t="str">
        <f>IFERROR(__xludf.DUMMYFUNCTION("""COMPUTED_VALUE"""),"Session 12: IP-Posters")</f>
        <v>Session 12: IP-Posters</v>
      </c>
      <c r="J3417" s="7" t="str">
        <f>IFERROR(__xludf.DUMMYFUNCTION("""COMPUTED_VALUE"""),"Poster Session 4")</f>
        <v>Poster Session 4</v>
      </c>
      <c r="K3417" s="7"/>
      <c r="L3417" s="8">
        <f>IFERROR(__xludf.DUMMYFUNCTION("""COMPUTED_VALUE"""),45868.0)</f>
        <v>45868</v>
      </c>
      <c r="M3417" s="7" t="str">
        <f>IFERROR(__xludf.DUMMYFUNCTION("""COMPUTED_VALUE"""),"11:00-12:30")</f>
        <v>11:00-12:30</v>
      </c>
      <c r="N3417" s="7"/>
    </row>
    <row r="3418">
      <c r="A3418" s="7" t="str">
        <f>IFERROR(__xludf.DUMMYFUNCTION("""COMPUTED_VALUE"""),"7667-TACL")</f>
        <v>7667-TACL</v>
      </c>
      <c r="B3418" s="7" t="str">
        <f>IFERROR(__xludf.DUMMYFUNCTION("""COMPUTED_VALUE"""),"Culturally Aware and Adapted NLP: A Taxonomy and a Survey of the State of the Art")</f>
        <v>Culturally Aware and Adapted NLP: A Taxonomy and a Survey of the State of the Art</v>
      </c>
      <c r="C3418" s="7" t="str">
        <f>IFERROR(__xludf.DUMMYFUNCTION("""COMPUTED_VALUE"""),"The surge of interest in culture in NLP has inspired much recent research, but a shared understanding of ""culture"" remains unclear, making it difficult to evaluate progress in this emerging area. Drawing on prior research in NLP and related fields, we p"&amp;"ropose a fine-grained taxonomy of elements in culture that can provide a systematic framework for analyzing and understanding research progress. Using the taxonomy, we survey existing resources and methods for culturally aware and adapted NLP, providing a"&amp;"n overview of the state of the art and the research gaps that still need to be filled.")</f>
        <v>The surge of interest in culture in NLP has inspired much recent research, but a shared understanding of "culture" remains unclear, making it difficult to evaluate progress in this emerging area. Drawing on prior research in NLP and related fields, we propose a fine-grained taxonomy of elements in culture that can provide a systematic framework for analyzing and understanding research progress. Using the taxonomy, we survey existing resources and methods for culturally aware and adapted NLP, providing an overview of the state of the art and the research gaps that still need to be filled.</v>
      </c>
      <c r="D3418" s="7" t="str">
        <f>IFERROR(__xludf.DUMMYFUNCTION("""COMPUTED_VALUE"""),"Chen Cecilia Liu")</f>
        <v>Chen Cecilia Liu</v>
      </c>
      <c r="E3418" s="7" t="str">
        <f>IFERROR(__xludf.DUMMYFUNCTION("""COMPUTED_VALUE"""),"Yes")</f>
        <v>Yes</v>
      </c>
      <c r="F3418" s="7" t="str">
        <f>IFERROR(__xludf.DUMMYFUNCTION("""COMPUTED_VALUE"""),"IP-Oral")</f>
        <v>IP-Oral</v>
      </c>
      <c r="G3418" s="7" t="str">
        <f>IFERROR(__xludf.DUMMYFUNCTION("""COMPUTED_VALUE"""),"In-Person")</f>
        <v>In-Person</v>
      </c>
      <c r="H3418" s="7" t="str">
        <f>IFERROR(__xludf.DUMMYFUNCTION("""COMPUTED_VALUE"""),"Room 1.85")</f>
        <v>Room 1.85</v>
      </c>
      <c r="I3418" s="7" t="str">
        <f>IFERROR(__xludf.DUMMYFUNCTION("""COMPUTED_VALUE"""),"Session 9: IP-Orals")</f>
        <v>Session 9: IP-Orals</v>
      </c>
      <c r="J3418" s="7" t="str">
        <f>IFERROR(__xludf.DUMMYFUNCTION("""COMPUTED_VALUE"""),"Computational Social Science and Cultural Analytics")</f>
        <v>Computational Social Science and Cultural Analytics</v>
      </c>
      <c r="K3418" s="7"/>
      <c r="L3418" s="8">
        <f>IFERROR(__xludf.DUMMYFUNCTION("""COMPUTED_VALUE"""),45867.0)</f>
        <v>45867</v>
      </c>
      <c r="M3418" s="7" t="str">
        <f>IFERROR(__xludf.DUMMYFUNCTION("""COMPUTED_VALUE"""),"14:00-15:30")</f>
        <v>14:00-15:30</v>
      </c>
      <c r="N3418" s="7">
        <f>IFERROR(__xludf.DUMMYFUNCTION("""COMPUTED_VALUE"""),8.0)</f>
        <v>8</v>
      </c>
    </row>
    <row r="3419">
      <c r="A3419" s="7" t="str">
        <f>IFERROR(__xludf.DUMMYFUNCTION("""COMPUTED_VALUE"""),"7735-TACL")</f>
        <v>7735-TACL</v>
      </c>
      <c r="B3419" s="7" t="str">
        <f>IFERROR(__xludf.DUMMYFUNCTION("""COMPUTED_VALUE"""),"MTRAG: A Multi-Turn Conversational Benchmark for Evaluating Retrieval-Augmented Generation Systems")</f>
        <v>MTRAG: A Multi-Turn Conversational Benchmark for Evaluating Retrieval-Augmented Generation Systems</v>
      </c>
      <c r="C3419" s="7" t="str">
        <f>IFERROR(__xludf.DUMMYFUNCTION("""COMPUTED_VALUE"""),"Retrieval-augmented generation (RAG) has recently become a very popular task for Large Language Models (LLMs). Evaluating them on multi-turn RAG conversations, where the system is asked to generate a response to a question in the context of a preceding co"&amp;"nversation is an important and often overlooked task with several additional challenges. We present MTRAG: an end-to-end human-generated multi-turn RAG benchmark that reflects several real-world properties across diverse dimensions for evaluating the full"&amp;" RAG pipeline. MTRAG contains 110 conversations averaging 7.7 turns each across four domains for a total of 842 tasks. We also explore automation paths via synthetic data and LLM-as-a-Judge evaluation. Our human and automatic evaluations show that even st"&amp;"ate-of-the-art LLM RAG systems struggle on MTRAG. We demonstrate the need for strong retrieval and generation systems that can handle later turns, unanswerable questions, non-standalone questions, and multiple domains. MTRAG is available at https://github"&amp;".com/ibm/mt-rag-benchmark.")</f>
        <v>Retrieval-augmented generation (RAG) has recently become a very popular task for Large Language Models (LLMs). Evaluating them on multi-turn RAG conversations, where the system is asked to generate a response to a question in the context of a preceding conversation is an important and often overlooked task with several additional challenges. We present MTRAG: an end-to-end human-generated multi-turn RAG benchmark that reflects several real-world properties across diverse dimensions for evaluating the full RAG pipeline. MTRAG contains 110 conversations averaging 7.7 turns each across four domains for a total of 842 tasks. We also explore automation paths via synthetic data and LLM-as-a-Judge evaluation. Our human and automatic evaluations show that even state-of-the-art LLM RAG systems struggle on MTRAG. We demonstrate the need for strong retrieval and generation systems that can handle later turns, unanswerable questions, non-standalone questions, and multiple domains. MTRAG is available at https://github.com/ibm/mt-rag-benchmark.</v>
      </c>
      <c r="D3419" s="7" t="str">
        <f>IFERROR(__xludf.DUMMYFUNCTION("""COMPUTED_VALUE"""),"Yannis Katsis
Sara Rosenthal")</f>
        <v>Yannis Katsis
Sara Rosenthal</v>
      </c>
      <c r="E3419" s="7" t="str">
        <f>IFERROR(__xludf.DUMMYFUNCTION("""COMPUTED_VALUE"""),"Yes")</f>
        <v>Yes</v>
      </c>
      <c r="F3419" s="7" t="str">
        <f>IFERROR(__xludf.DUMMYFUNCTION("""COMPUTED_VALUE"""),"IP-Poster")</f>
        <v>IP-Poster</v>
      </c>
      <c r="G3419" s="7" t="str">
        <f>IFERROR(__xludf.DUMMYFUNCTION("""COMPUTED_VALUE"""),"In-Person")</f>
        <v>In-Person</v>
      </c>
      <c r="H3419" s="7" t="str">
        <f>IFERROR(__xludf.DUMMYFUNCTION("""COMPUTED_VALUE"""),"Hall 4/5")</f>
        <v>Hall 4/5</v>
      </c>
      <c r="I3419" s="7" t="str">
        <f>IFERROR(__xludf.DUMMYFUNCTION("""COMPUTED_VALUE"""),"Session 12: IP-Posters")</f>
        <v>Session 12: IP-Posters</v>
      </c>
      <c r="J3419" s="7" t="str">
        <f>IFERROR(__xludf.DUMMYFUNCTION("""COMPUTED_VALUE"""),"Poster Session 4")</f>
        <v>Poster Session 4</v>
      </c>
      <c r="K3419" s="7"/>
      <c r="L3419" s="8">
        <f>IFERROR(__xludf.DUMMYFUNCTION("""COMPUTED_VALUE"""),45868.0)</f>
        <v>45868</v>
      </c>
      <c r="M3419" s="7" t="str">
        <f>IFERROR(__xludf.DUMMYFUNCTION("""COMPUTED_VALUE"""),"11:00-12:30")</f>
        <v>11:00-12:30</v>
      </c>
      <c r="N3419" s="7"/>
    </row>
    <row r="3420">
      <c r="A3420" s="7" t="str">
        <f>IFERROR(__xludf.DUMMYFUNCTION("""COMPUTED_VALUE"""),"7819-TACL")</f>
        <v>7819-TACL</v>
      </c>
      <c r="B3420" s="7" t="str">
        <f>IFERROR(__xludf.DUMMYFUNCTION("""COMPUTED_VALUE"""),"Exploring Practical Gaps in Using Cross Entropy to Implement Maximum Mutual Information Criterion for Rationalization")</f>
        <v>Exploring Practical Gaps in Using Cross Entropy to Implement Maximum Mutual Information Criterion for Rationalization</v>
      </c>
      <c r="C3420" s="7" t="str">
        <f>IFERROR(__xludf.DUMMYFUNCTION("""COMPUTED_VALUE"""),"Rationalization is a framework that aims to build self-explanatory NLP models by extracting a subset of human-intelligible pieces of their inputting texts. It involves a cooperative game where a selector selects the most human-intelligible parts of the in"&amp;"put as the rationale, followed by a predictor that makes predictions based on these selected rationales. Existing literature uses the cross-entropy between the model's predictions and the ground-truth labels to measure the informativeness of the selected "&amp;"rationales, guiding the selector to choose better ones. In this study, we first theoretically analyze the objective of rationalization by decomposing it into two parts: the model-agnostic informativeness of the rationale candidates and the predictor's deg"&amp;"ree of fit. We then provide various empirical evidence to support that, under this framework, the selector tends to sample from a limited small region, causing the predictor to overfit these localized areas. This results in a significant mismatch between "&amp;"the cross-entropy objective and the informativeness of the rationale candidates, leading to suboptimal solutions. To address this issue, we propose a simple yet effective method that introduces random vicinal perturbations to the selected rationale candid"&amp;"ates. This approach broadens the predictor's assessment to a vicinity around the selected rationale candidate. Compared to recent competitive methods, our method significantly improves rationale quality (by up to $6.6\%$) across six widely used classifica"&amp;"tion datasets. Further experiments show that it can also generalize to the reading comprehension task and the fact extraction and verification task.")</f>
        <v>Rationalization is a framework that aims to build self-explanatory NLP models by extracting a subset of human-intelligible pieces of their inputting texts. It involves a cooperative game where a selector selects the most human-intelligible parts of the input as the rationale, followed by a predictor that makes predictions based on these selected rationales. Existing literature uses the cross-entropy between the model's predictions and the ground-truth labels to measure the informativeness of the selected rationales, guiding the selector to choose better ones. In this study, we first theoretically analyze the objective of rationalization by decomposing it into two parts: the model-agnostic informativeness of the rationale candidates and the predictor's degree of fit. We then provide various empirical evidence to support that, under this framework, the selector tends to sample from a limited small region, causing the predictor to overfit these localized areas. This results in a significant mismatch between the cross-entropy objective and the informativeness of the rationale candidates, leading to suboptimal solutions. To address this issue, we propose a simple yet effective method that introduces random vicinal perturbations to the selected rationale candidates. This approach broadens the predictor's assessment to a vicinity around the selected rationale candidate. Compared to recent competitive methods, our method significantly improves rationale quality (by up to $6.6\%$) across six widely used classification datasets. Further experiments show that it can also generalize to the reading comprehension task and the fact extraction and verification task.</v>
      </c>
      <c r="D3420" s="7" t="str">
        <f>IFERROR(__xludf.DUMMYFUNCTION("""COMPUTED_VALUE"""),"Wei Liu
Jun Wang")</f>
        <v>Wei Liu
Jun Wang</v>
      </c>
      <c r="E3420" s="7" t="str">
        <f>IFERROR(__xludf.DUMMYFUNCTION("""COMPUTED_VALUE"""),"Yes")</f>
        <v>Yes</v>
      </c>
      <c r="F3420" s="7" t="str">
        <f>IFERROR(__xludf.DUMMYFUNCTION("""COMPUTED_VALUE"""),"IP-Poster")</f>
        <v>IP-Poster</v>
      </c>
      <c r="G3420" s="7" t="str">
        <f>IFERROR(__xludf.DUMMYFUNCTION("""COMPUTED_VALUE"""),"In-Person")</f>
        <v>In-Person</v>
      </c>
      <c r="H3420" s="7" t="str">
        <f>IFERROR(__xludf.DUMMYFUNCTION("""COMPUTED_VALUE"""),"Hall 4/5")</f>
        <v>Hall 4/5</v>
      </c>
      <c r="I3420" s="7" t="str">
        <f>IFERROR(__xludf.DUMMYFUNCTION("""COMPUTED_VALUE"""),"Session 12: IP-Posters")</f>
        <v>Session 12: IP-Posters</v>
      </c>
      <c r="J3420" s="7" t="str">
        <f>IFERROR(__xludf.DUMMYFUNCTION("""COMPUTED_VALUE"""),"Poster Session 4")</f>
        <v>Poster Session 4</v>
      </c>
      <c r="K3420" s="7"/>
      <c r="L3420" s="8">
        <f>IFERROR(__xludf.DUMMYFUNCTION("""COMPUTED_VALUE"""),45868.0)</f>
        <v>45868</v>
      </c>
      <c r="M3420" s="7" t="str">
        <f>IFERROR(__xludf.DUMMYFUNCTION("""COMPUTED_VALUE"""),"11:00-12:30")</f>
        <v>11:00-12:30</v>
      </c>
      <c r="N3420" s="7"/>
    </row>
    <row r="3421">
      <c r="A3421" s="7" t="str">
        <f>IFERROR(__xludf.DUMMYFUNCTION("""COMPUTED_VALUE"""),"7865-TACL")</f>
        <v>7865-TACL</v>
      </c>
      <c r="B3421" s="7" t="str">
        <f>IFERROR(__xludf.DUMMYFUNCTION("""COMPUTED_VALUE"""),"Human Choice Prediction in Language-Based Persuasion Games: Simulation-Based Off-Policy Evaluation")</f>
        <v>Human Choice Prediction in Language-Based Persuasion Games: Simulation-Based Off-Policy Evaluation</v>
      </c>
      <c r="C3421" s="7" t="str">
        <f>IFERROR(__xludf.DUMMYFUNCTION("""COMPUTED_VALUE"""),"Recent advances in Large Language Models (LLMs) have spurred interest in designing LLM-based agents for tasks that involve interaction with human and artificial agents. This paper addresses a key aspect in the design of such agents: predicting human decis"&amp;"ions in off-policy evaluation (OPE).
 We focus on language-based persuasion games, where an expert aims to influence the decision-maker through verbal messages.
 In our OPE framework, the prediction model is trained on human interaction data collected fro"&amp;"m encounters with one set of expert agents, and its performance is evaluated on interactions with a different set of experts.
 Using a dedicated application, we collected a dataset of 87K decisions from humans playing a repeated decision-making game with "&amp;"artificial agents.
 To enhance off-policy performance, we propose a simulation technique involving interactions across the entire agent space and simulated decision-makers. Our learning strategy yields significant OPE gains, e.g., improving prediction acc"&amp;"uracy in the top 15\% challenging cases by 7.1%.")</f>
        <v>Recent advances in Large Language Models (LLMs) have spurred interest in designing LLM-based agents for tasks that involve interaction with human and artificial agents. This paper addresses a key aspect in the design of such agents: predicting human decisions in off-policy evaluation (OPE).
 We focus on language-based persuasion games, where an expert aims to influence the decision-maker through verbal messages.
 In our OPE framework, the prediction model is trained on human interaction data collected from encounters with one set of expert agents, and its performance is evaluated on interactions with a different set of experts.
 Using a dedicated application, we collected a dataset of 87K decisions from humans playing a repeated decision-making game with artificial agents.
 To enhance off-policy performance, we propose a simulation technique involving interactions across the entire agent space and simulated decision-makers. Our learning strategy yields significant OPE gains, e.g., improving prediction accuracy in the top 15\% challenging cases by 7.1%.</v>
      </c>
      <c r="D3421" s="7" t="str">
        <f>IFERROR(__xludf.DUMMYFUNCTION("""COMPUTED_VALUE"""),"Eilam Shapira")</f>
        <v>Eilam Shapira</v>
      </c>
      <c r="E3421" s="7" t="str">
        <f>IFERROR(__xludf.DUMMYFUNCTION("""COMPUTED_VALUE"""),"Yes")</f>
        <v>Yes</v>
      </c>
      <c r="F3421" s="7" t="str">
        <f>IFERROR(__xludf.DUMMYFUNCTION("""COMPUTED_VALUE"""),"IP-Poster")</f>
        <v>IP-Poster</v>
      </c>
      <c r="G3421" s="7" t="str">
        <f>IFERROR(__xludf.DUMMYFUNCTION("""COMPUTED_VALUE"""),"In-Person")</f>
        <v>In-Person</v>
      </c>
      <c r="H3421" s="7" t="str">
        <f>IFERROR(__xludf.DUMMYFUNCTION("""COMPUTED_VALUE"""),"Hall 4/5")</f>
        <v>Hall 4/5</v>
      </c>
      <c r="I3421" s="7" t="str">
        <f>IFERROR(__xludf.DUMMYFUNCTION("""COMPUTED_VALUE"""),"Session 12: IP-Posters")</f>
        <v>Session 12: IP-Posters</v>
      </c>
      <c r="J3421" s="7" t="str">
        <f>IFERROR(__xludf.DUMMYFUNCTION("""COMPUTED_VALUE"""),"Poster Session 4")</f>
        <v>Poster Session 4</v>
      </c>
      <c r="K3421" s="7"/>
      <c r="L3421" s="8">
        <f>IFERROR(__xludf.DUMMYFUNCTION("""COMPUTED_VALUE"""),45868.0)</f>
        <v>45868</v>
      </c>
      <c r="M3421" s="7" t="str">
        <f>IFERROR(__xludf.DUMMYFUNCTION("""COMPUTED_VALUE"""),"11:00-12:30")</f>
        <v>11:00-12:30</v>
      </c>
      <c r="N3421" s="7"/>
    </row>
    <row r="3422">
      <c r="A3422" s="7" t="str">
        <f>IFERROR(__xludf.DUMMYFUNCTION("""COMPUTED_VALUE"""),"7901-TACL")</f>
        <v>7901-TACL</v>
      </c>
      <c r="B3422" s="7" t="str">
        <f>IFERROR(__xludf.DUMMYFUNCTION("""COMPUTED_VALUE"""),"Data Contamination Quiz: A Tool to Detect and Estimate Contamination in Large Language Models")</f>
        <v>Data Contamination Quiz: A Tool to Detect and Estimate Contamination in Large Language Models</v>
      </c>
      <c r="C3422" s="7" t="str">
        <f>IFERROR(__xludf.DUMMYFUNCTION("""COMPUTED_VALUE"""),"We propose the Data Contamination Quiz (DCQ), a simple and effective approach to detect data contamination in large language models (LLMs) and estimate the amount of it. Specifically, we frame data contamination detection as a series of multiple-choice qu"&amp;"estions, devising a quiz format wherein three perturbed versions of each instance, subsampled from a specific dataset partition, are created. These changes only include word-level perturbations. The generated perturbations, along with the original dataset"&amp;" instance, form the options in the DCQ, with an extra option accommodating the selection of none of the provided options. Given that the only distinguishing signal among the options is the exact wording with respect to the original dataset instance, an LL"&amp;"M, when tasked with identifying the original dataset instance, gravitates towards selecting the original one if it has been exposed to it. While accounting for positional biases in LLMs, the quiz performance reveals the contamination level for the tested "&amp;"model with the dataset partition to which the quiz pertains. Applied to various datasets and LLMs, under controlled and uncontrolled contamination, our findings—while fully lacking access to training data and model parameters—suggest that DCQ achieves sta"&amp;"te-of-the-art results and uncovers greater contamination/memorization levels compared to existing methods. Also, it proficiently bypasses more safety filters, especially those set to avoid generating copyrighted content.")</f>
        <v>We propose the Data Contamination Quiz (DCQ), a simple and effective approach to detect data contamination in large language models (LLMs) and estimate the amount of it. Specifically, we frame data contamination detection as a series of multiple-choice questions, devising a quiz format wherein three perturbed versions of each instance, subsampled from a specific dataset partition, are created. These changes only include word-level perturbations. The generated perturbations, along with the original dataset instance, form the options in the DCQ, with an extra option accommodating the selection of none of the provided options. Given that the only distinguishing signal among the options is the exact wording with respect to the original dataset instance, an LLM, when tasked with identifying the original dataset instance, gravitates towards selecting the original one if it has been exposed to it. While accounting for positional biases in LLMs, the quiz performance reveals the contamination level for the tested model with the dataset partition to which the quiz pertains. Applied to various datasets and LLMs, under controlled and uncontrolled contamination, our findings—while fully lacking access to training data and model parameters—suggest that DCQ achieves state-of-the-art results and uncovers greater contamination/memorization levels compared to existing methods. Also, it proficiently bypasses more safety filters, especially those set to avoid generating copyrighted content.</v>
      </c>
      <c r="D3422" s="7" t="str">
        <f>IFERROR(__xludf.DUMMYFUNCTION("""COMPUTED_VALUE"""),"Shahriar Golchin")</f>
        <v>Shahriar Golchin</v>
      </c>
      <c r="E3422" s="7" t="str">
        <f>IFERROR(__xludf.DUMMYFUNCTION("""COMPUTED_VALUE"""),"Yes")</f>
        <v>Yes</v>
      </c>
      <c r="F3422" s="7" t="str">
        <f>IFERROR(__xludf.DUMMYFUNCTION("""COMPUTED_VALUE"""),"V-Presentation")</f>
        <v>V-Presentation</v>
      </c>
      <c r="G3422" s="7" t="str">
        <f>IFERROR(__xludf.DUMMYFUNCTION("""COMPUTED_VALUE"""),"Virtual/Gather")</f>
        <v>Virtual/Gather</v>
      </c>
      <c r="H3422" s="7" t="str">
        <f>IFERROR(__xludf.DUMMYFUNCTION("""COMPUTED_VALUE"""),"Zoom")</f>
        <v>Zoom</v>
      </c>
      <c r="I3422" s="7" t="str">
        <f>IFERROR(__xludf.DUMMYFUNCTION("""COMPUTED_VALUE"""),"Session 10: V-Presenations")</f>
        <v>Session 10: V-Presenations</v>
      </c>
      <c r="J3422" s="7" t="str">
        <f>IFERROR(__xludf.DUMMYFUNCTION("""COMPUTED_VALUE"""),"Virtual Presentations 3")</f>
        <v>Virtual Presentations 3</v>
      </c>
      <c r="K3422" s="7"/>
      <c r="L3422" s="8">
        <f>IFERROR(__xludf.DUMMYFUNCTION("""COMPUTED_VALUE"""),45867.0)</f>
        <v>45867</v>
      </c>
      <c r="M3422" s="7" t="str">
        <f>IFERROR(__xludf.DUMMYFUNCTION("""COMPUTED_VALUE"""),"16:00-17:30")</f>
        <v>16:00-17:30</v>
      </c>
      <c r="N3422" s="7"/>
    </row>
    <row r="3423">
      <c r="A3423" s="7" t="str">
        <f>IFERROR(__xludf.DUMMYFUNCTION("""COMPUTED_VALUE"""),"7923-TACL")</f>
        <v>7923-TACL</v>
      </c>
      <c r="B3423" s="7" t="str">
        <f>IFERROR(__xludf.DUMMYFUNCTION("""COMPUTED_VALUE"""),"MURI: High-Quality Instruction Tuning Datasets for Low-Resource Languages via Reverse Instructions")</f>
        <v>MURI: High-Quality Instruction Tuning Datasets for Low-Resource Languages via Reverse Instructions</v>
      </c>
      <c r="C3423" s="7" t="str">
        <f>IFERROR(__xludf.DUMMYFUNCTION("""COMPUTED_VALUE"""),"Instruction tuning enhances large language models (LLMs) by aligning them with human preferences across diverse tasks. Traditional approaches to create instruction tuning datasets face serious challenges for low-resource languages due to their dependence "&amp;"on data annotation. This work introduces a novel method, Multilingual Reverse Instructions (MURI), which generates high-quality instruction tuning datasets for low-resource languages without requiring human annotators or pre-existing multilingual models. "&amp;"Utilizing reverse instructions and a translation pipeline, MURI produces instruction-output pairs from existing human-written texts in low-resource languages. This method ensures cultural relevance and diversity by sourcing texts from different native dom"&amp;"ains and applying filters to eliminate inappropriate content. Our dataset, MURI-IT, includes more than 2 million instruction-output pairs across 200 languages. Evaluation by native speakers and fine-tuning experiments with mT5 models demonstrate the appro"&amp;"ach's effectiveness for both NLU and open-ended generation. We publicly release datasets and models at https://github.com/akoksal/muri.")</f>
        <v>Instruction tuning enhances large language models (LLMs) by aligning them with human preferences across diverse tasks. Traditional approaches to create instruction tuning datasets face serious challenges for low-resource languages due to their dependence on data annotation. This work introduces a novel method, Multilingual Reverse Instructions (MURI), which generates high-quality instruction tuning datasets for low-resource languages without requiring human annotators or pre-existing multilingual models. Utilizing reverse instructions and a translation pipeline, MURI produces instruction-output pairs from existing human-written texts in low-resource languages. This method ensures cultural relevance and diversity by sourcing texts from different native domains and applying filters to eliminate inappropriate content. Our dataset, MURI-IT, includes more than 2 million instruction-output pairs across 200 languages. Evaluation by native speakers and fine-tuning experiments with mT5 models demonstrate the approach's effectiveness for both NLU and open-ended generation. We publicly release datasets and models at https://github.com/akoksal/muri.</v>
      </c>
      <c r="D3423" s="7" t="str">
        <f>IFERROR(__xludf.DUMMYFUNCTION("""COMPUTED_VALUE"""),"Abdullatif Köksal")</f>
        <v>Abdullatif Köksal</v>
      </c>
      <c r="E3423" s="7" t="str">
        <f>IFERROR(__xludf.DUMMYFUNCTION("""COMPUTED_VALUE"""),"Yes")</f>
        <v>Yes</v>
      </c>
      <c r="F3423" s="7" t="str">
        <f>IFERROR(__xludf.DUMMYFUNCTION("""COMPUTED_VALUE"""),"IP-Poster")</f>
        <v>IP-Poster</v>
      </c>
      <c r="G3423" s="7" t="str">
        <f>IFERROR(__xludf.DUMMYFUNCTION("""COMPUTED_VALUE"""),"In-Person")</f>
        <v>In-Person</v>
      </c>
      <c r="H3423" s="7" t="str">
        <f>IFERROR(__xludf.DUMMYFUNCTION("""COMPUTED_VALUE"""),"Hall 4/5")</f>
        <v>Hall 4/5</v>
      </c>
      <c r="I3423" s="7" t="str">
        <f>IFERROR(__xludf.DUMMYFUNCTION("""COMPUTED_VALUE"""),"Session 12: IP-Posters")</f>
        <v>Session 12: IP-Posters</v>
      </c>
      <c r="J3423" s="7" t="str">
        <f>IFERROR(__xludf.DUMMYFUNCTION("""COMPUTED_VALUE"""),"Poster Session 4")</f>
        <v>Poster Session 4</v>
      </c>
      <c r="K3423" s="7"/>
      <c r="L3423" s="8">
        <f>IFERROR(__xludf.DUMMYFUNCTION("""COMPUTED_VALUE"""),45868.0)</f>
        <v>45868</v>
      </c>
      <c r="M3423" s="7" t="str">
        <f>IFERROR(__xludf.DUMMYFUNCTION("""COMPUTED_VALUE"""),"11:00-12:30")</f>
        <v>11:00-12:30</v>
      </c>
      <c r="N3423" s="7"/>
    </row>
    <row r="3424">
      <c r="A3424" s="7" t="str">
        <f>IFERROR(__xludf.DUMMYFUNCTION("""COMPUTED_VALUE"""),"8121-TACL")</f>
        <v>8121-TACL</v>
      </c>
      <c r="B3424" s="7" t="str">
        <f>IFERROR(__xludf.DUMMYFUNCTION("""COMPUTED_VALUE"""),"(Perhaps) Beyond Human Translation: Harnessing Multi-Agent Collaboration for Translating Ultra-Long Literary Texts")</f>
        <v>(Perhaps) Beyond Human Translation: Harnessing Multi-Agent Collaboration for Translating Ultra-Long Literary Texts</v>
      </c>
      <c r="C3424" s="7" t="str">
        <f>IFERROR(__xludf.DUMMYFUNCTION("""COMPUTED_VALUE"""),"Literary translation remains one of the most challenging frontiers in machine translation due to the complexity of capturing figurative language, cultural nuances, and unique stylistic elements. In this work, we introduce TransAgents, a novel multi-agent "&amp;"framework that simulates the roles and collaborative practices of a human translation company, including a CEO, Senior Editor, Junior Editor, Translator, Localization Specialist, and Proofreader. The translation process is divided into two stages: a prepa"&amp;"ration stage where the team is assembled and comprehensive translation guidelines are drafted, and an execution stage that involves sequential translation, localization, proofreading, and a final quality check. Furthermore, we propose two innovative evalu"&amp;"ation strategies: Monolingual Human Preference (MHP), which evaluates translations based solely on target language quality and cultural appropriateness, and Bilingual LLM Preference (BLP), which leverages large language models like gpt-4 for direct text c"&amp;"omparison. Although TransAgents achieves lower d-BLEU scores, due to the limited diversity of references, its translations are significantly better than those of other baselines and are preferred by both human evaluators and LLMs over traditional human re"&amp;"ferences and gpt-4 translations. Our findings highlight the potential of multi-agent collaboration in enhancing translation quality, particularly for longer texts.")</f>
        <v>Literary translation remains one of the most challenging frontiers in machine translation due to the complexity of capturing figurative language, cultural nuances, and unique stylistic elements. In this work, we introduce TransAgents, a novel multi-agent framework that simulates the roles and collaborative practices of a human translation company, including a CEO, Senior Editor, Junior Editor, Translator, Localization Specialist, and Proofreader. The translation process is divided into two stages: a preparation stage where the team is assembled and comprehensive translation guidelines are drafted, and an execution stage that involves sequential translation, localization, proofreading, and a final quality check. Furthermore, we propose two innovative evaluation strategies: Monolingual Human Preference (MHP), which evaluates translations based solely on target language quality and cultural appropriateness, and Bilingual LLM Preference (BLP), which leverages large language models like gpt-4 for direct text comparison. Although TransAgents achieves lower d-BLEU scores, due to the limited diversity of references, its translations are significantly better than those of other baselines and are preferred by both human evaluators and LLMs over traditional human references and gpt-4 translations. Our findings highlight the potential of multi-agent collaboration in enhancing translation quality, particularly for longer texts.</v>
      </c>
      <c r="D3424" s="7" t="str">
        <f>IFERROR(__xludf.DUMMYFUNCTION("""COMPUTED_VALUE"""),"Minghao Wu")</f>
        <v>Minghao Wu</v>
      </c>
      <c r="E3424" s="7" t="str">
        <f>IFERROR(__xludf.DUMMYFUNCTION("""COMPUTED_VALUE"""),"Yes")</f>
        <v>Yes</v>
      </c>
      <c r="F3424" s="7" t="str">
        <f>IFERROR(__xludf.DUMMYFUNCTION("""COMPUTED_VALUE"""),"IP-Poster")</f>
        <v>IP-Poster</v>
      </c>
      <c r="G3424" s="7" t="str">
        <f>IFERROR(__xludf.DUMMYFUNCTION("""COMPUTED_VALUE"""),"In-Person")</f>
        <v>In-Person</v>
      </c>
      <c r="H3424" s="7" t="str">
        <f>IFERROR(__xludf.DUMMYFUNCTION("""COMPUTED_VALUE"""),"Hall 4/5")</f>
        <v>Hall 4/5</v>
      </c>
      <c r="I3424" s="7" t="str">
        <f>IFERROR(__xludf.DUMMYFUNCTION("""COMPUTED_VALUE"""),"Session 12: IP-Posters")</f>
        <v>Session 12: IP-Posters</v>
      </c>
      <c r="J3424" s="7" t="str">
        <f>IFERROR(__xludf.DUMMYFUNCTION("""COMPUTED_VALUE"""),"Poster Session 4")</f>
        <v>Poster Session 4</v>
      </c>
      <c r="K3424" s="7"/>
      <c r="L3424" s="8">
        <f>IFERROR(__xludf.DUMMYFUNCTION("""COMPUTED_VALUE"""),45868.0)</f>
        <v>45868</v>
      </c>
      <c r="M3424" s="7" t="str">
        <f>IFERROR(__xludf.DUMMYFUNCTION("""COMPUTED_VALUE"""),"11:00-12:30")</f>
        <v>11:00-12:30</v>
      </c>
      <c r="N3424" s="7"/>
    </row>
    <row r="3425">
      <c r="A3425" s="7" t="str">
        <f>IFERROR(__xludf.DUMMYFUNCTION("""COMPUTED_VALUE"""),"8173-TACL")</f>
        <v>8173-TACL</v>
      </c>
      <c r="B3425" s="7" t="str">
        <f>IFERROR(__xludf.DUMMYFUNCTION("""COMPUTED_VALUE"""),"Continual Pre-training on Character-Level Noisy Texts Makes Decoder-based Language Models Robust Few-shot Learners")</f>
        <v>Continual Pre-training on Character-Level Noisy Texts Makes Decoder-based Language Models Robust Few-shot Learners</v>
      </c>
      <c r="C3425" s="7" t="str">
        <f>IFERROR(__xludf.DUMMYFUNCTION("""COMPUTED_VALUE"""),"Recent decoder-based pre-trained language models (PLMs) generally use subword tokenizers. However, adding character-level perturbations drastically changes the delimitation of texts by the tokenizers, leading to the vulnerability of PLMs. This study propo"&amp;"ses a method of continual pre-training to convert decoder-based PLMs with subword tokenizers into perturbation-robust few-shot in-context learners. Our method continually trains decoder-based PLMs to predict the next tokens conditioning on artificially cr"&amp;"eated character-level noisy texts. Since decoder-based language models are auto-regressive, we skip noised words from the target optimization. In addition, to maintain the same word prediction performance under noisy text as clean text, our method employs"&amp;" word distribution matching between the original PLMs and training models. We conducted experiments on various subword-based PLMs, including GPT2, Pythia, Mistral, Gemma2, and Llama3, ranging from 1B to 8B parameters. The results show that our method cons"&amp;"istently improves downstream task performance for texts containing artificial noise and actual typos or spelling errors with few-shot in-context learning settings.")</f>
        <v>Recent decoder-based pre-trained language models (PLMs) generally use subword tokenizers. However, adding character-level perturbations drastically changes the delimitation of texts by the tokenizers, leading to the vulnerability of PLMs. This study proposes a method of continual pre-training to convert decoder-based PLMs with subword tokenizers into perturbation-robust few-shot in-context learners. Our method continually trains decoder-based PLMs to predict the next tokens conditioning on artificially created character-level noisy texts. Since decoder-based language models are auto-regressive, we skip noised words from the target optimization. In addition, to maintain the same word prediction performance under noisy text as clean text, our method employs word distribution matching between the original PLMs and training models. We conducted experiments on various subword-based PLMs, including GPT2, Pythia, Mistral, Gemma2, and Llama3, ranging from 1B to 8B parameters. The results show that our method consistently improves downstream task performance for texts containing artificial noise and actual typos or spelling errors with few-shot in-context learning settings.</v>
      </c>
      <c r="D3425" s="7" t="str">
        <f>IFERROR(__xludf.DUMMYFUNCTION("""COMPUTED_VALUE"""),"Takeshi Kojima")</f>
        <v>Takeshi Kojima</v>
      </c>
      <c r="E3425" s="7" t="str">
        <f>IFERROR(__xludf.DUMMYFUNCTION("""COMPUTED_VALUE"""),"Yes")</f>
        <v>Yes</v>
      </c>
      <c r="F3425" s="7" t="str">
        <f>IFERROR(__xludf.DUMMYFUNCTION("""COMPUTED_VALUE"""),"IP-Poster")</f>
        <v>IP-Poster</v>
      </c>
      <c r="G3425" s="7" t="str">
        <f>IFERROR(__xludf.DUMMYFUNCTION("""COMPUTED_VALUE"""),"In-Person")</f>
        <v>In-Person</v>
      </c>
      <c r="H3425" s="7" t="str">
        <f>IFERROR(__xludf.DUMMYFUNCTION("""COMPUTED_VALUE"""),"Hall 4/5")</f>
        <v>Hall 4/5</v>
      </c>
      <c r="I3425" s="7" t="str">
        <f>IFERROR(__xludf.DUMMYFUNCTION("""COMPUTED_VALUE"""),"Session 12: IP-Posters")</f>
        <v>Session 12: IP-Posters</v>
      </c>
      <c r="J3425" s="7" t="str">
        <f>IFERROR(__xludf.DUMMYFUNCTION("""COMPUTED_VALUE"""),"Poster Session 4")</f>
        <v>Poster Session 4</v>
      </c>
      <c r="K3425" s="7"/>
      <c r="L3425" s="8">
        <f>IFERROR(__xludf.DUMMYFUNCTION("""COMPUTED_VALUE"""),45868.0)</f>
        <v>45868</v>
      </c>
      <c r="M3425" s="7" t="str">
        <f>IFERROR(__xludf.DUMMYFUNCTION("""COMPUTED_VALUE"""),"11:00-12:30")</f>
        <v>11:00-12:30</v>
      </c>
      <c r="N3425" s="7"/>
    </row>
    <row r="3426">
      <c r="A3426" s="7" t="str">
        <f>IFERROR(__xludf.DUMMYFUNCTION("""COMPUTED_VALUE"""),"8187-TACL")</f>
        <v>8187-TACL</v>
      </c>
      <c r="B3426" s="7" t="str">
        <f>IFERROR(__xludf.DUMMYFUNCTION("""COMPUTED_VALUE"""),"A Context-aware Framework for Translation-mediated Conversations")</f>
        <v>A Context-aware Framework for Translation-mediated Conversations</v>
      </c>
      <c r="C3426" s="7" t="str">
        <f>IFERROR(__xludf.DUMMYFUNCTION("""COMPUTED_VALUE"""),"Automatic translation systems offer a powerful solution to bridge language barriers in scenarios where participants do not share a common language. However, these systems can introduce errors leading to misunderstandings and conversation breakdown. A key "&amp;"issue is that current systems fail to incorporate the rich contextual information necessary to resolve ambiguities and omitted details, resulting in literal, inappropriate, or misaligned translations. In this work, we present a framework to improve large "&amp;"language model-based translation systems by incorporating contextual information in bilingual conversational settings during training and inference. We validate our proposed framework on two task-oriented domains: customer chat and user-assistant interact"&amp;"ion. Across both settings, our framework consistently results in better translations than state-of-the-art systems like GPT-4o and TowerInstruct, as measured by multiple automatic translation quality metrics on several language pairs. We also show that th"&amp;"e resulting model leverages context in an intended and interpretable way, improving consistency between the conveyed message and the generated translations.")</f>
        <v>Automatic translation systems offer a powerful solution to bridge language barriers in scenarios where participants do not share a common language. However, these systems can introduce errors leading to misunderstandings and conversation breakdown. A key issue is that current systems fail to incorporate the rich contextual information necessary to resolve ambiguities and omitted details, resulting in literal, inappropriate, or misaligned translations. In this work, we present a framework to improve large language model-based translation systems by incorporating contextual information in bilingual conversational settings during training and inference. We validate our proposed framework on two task-oriented domains: customer chat and user-assistant interaction. Across both settings, our framework consistently results in better translations than state-of-the-art systems like GPT-4o and TowerInstruct, as measured by multiple automatic translation quality metrics on several language pairs. We also show that the resulting model leverages context in an intended and interpretable way, improving consistency between the conveyed message and the generated translations.</v>
      </c>
      <c r="D3426" s="7" t="str">
        <f>IFERROR(__xludf.DUMMYFUNCTION("""COMPUTED_VALUE"""),"José Pombal")</f>
        <v>José Pombal</v>
      </c>
      <c r="E3426" s="7" t="str">
        <f>IFERROR(__xludf.DUMMYFUNCTION("""COMPUTED_VALUE"""),"Yes")</f>
        <v>Yes</v>
      </c>
      <c r="F3426" s="7" t="str">
        <f>IFERROR(__xludf.DUMMYFUNCTION("""COMPUTED_VALUE"""),"IP-Oral")</f>
        <v>IP-Oral</v>
      </c>
      <c r="G3426" s="7" t="str">
        <f>IFERROR(__xludf.DUMMYFUNCTION("""COMPUTED_VALUE"""),"In-Person")</f>
        <v>In-Person</v>
      </c>
      <c r="H3426" s="7" t="str">
        <f>IFERROR(__xludf.DUMMYFUNCTION("""COMPUTED_VALUE"""),"Room 1.85")</f>
        <v>Room 1.85</v>
      </c>
      <c r="I3426" s="7" t="str">
        <f>IFERROR(__xludf.DUMMYFUNCTION("""COMPUTED_VALUE"""),"Session 3: IP-Orals")</f>
        <v>Session 3: IP-Orals</v>
      </c>
      <c r="J3426" s="7" t="str">
        <f>IFERROR(__xludf.DUMMYFUNCTION("""COMPUTED_VALUE"""),"Machine Translation")</f>
        <v>Machine Translation</v>
      </c>
      <c r="K3426" s="7"/>
      <c r="L3426" s="8">
        <f>IFERROR(__xludf.DUMMYFUNCTION("""COMPUTED_VALUE"""),45866.0)</f>
        <v>45866</v>
      </c>
      <c r="M3426" s="7" t="str">
        <f>IFERROR(__xludf.DUMMYFUNCTION("""COMPUTED_VALUE"""),"14:00-15:30")</f>
        <v>14:00-15:30</v>
      </c>
      <c r="N3426" s="7">
        <f>IFERROR(__xludf.DUMMYFUNCTION("""COMPUTED_VALUE"""),4.0)</f>
        <v>4</v>
      </c>
    </row>
    <row r="3427">
      <c r="A3427" s="7" t="str">
        <f>IFERROR(__xludf.DUMMYFUNCTION("""COMPUTED_VALUE"""),"8199-TACL")</f>
        <v>8199-TACL</v>
      </c>
      <c r="B3427" s="7" t="str">
        <f>IFERROR(__xludf.DUMMYFUNCTION("""COMPUTED_VALUE"""),"DARE: Diverse Visual Question Answering with Robustness Evaluation")</f>
        <v>DARE: Diverse Visual Question Answering with Robustness Evaluation</v>
      </c>
      <c r="C3427" s="7" t="str">
        <f>IFERROR(__xludf.DUMMYFUNCTION("""COMPUTED_VALUE"""),"Vision Language Models (VLMs) extend remarkable capabilities of text-only large language models and vision-only models, being able to learn from and process multi-modal vision-text input. While modern VLMs perform well on a number of standard image classi"&amp;"fication and image-text matching tasks, they still struggle with a number of crucial vision-language (VL) reasoning abilities such as counting and spatial reasoning. Moreover, while they might be very brittle to small variations in instructions and/or eva"&amp;"luation protocols, existing benchmarks fail to evaluate their robustness (or rather the lack of it). In order to couple challenging VL scenarios with comprehensive robustness evaluation, we introduce DARE, Diverse Visual Question Answering with Robustness"&amp;" Evaluation, a carefully created and curated multiple-choice VQA benchmark. DARE evaluates VLM performance on five diverse categories and includes four robustness-oriented evaluations based on the variations of: prompts, the subsets of answer options, the"&amp;" output format and the number of correct answers. Among a spectrum of other findings, we report that state-of-the-art VLMs still struggle with questions in most categories and are unable to consistently deliver their peak performance across the tested rob"&amp;"ustness evaluations. Consequently, our work calls for the systematic addition of robustness evaluations in future VLM research.")</f>
        <v>Vision Language Models (VLMs) extend remarkable capabilities of text-only large language models and vision-only models, being able to learn from and process multi-modal vision-text input. While modern VLMs perform well on a number of standard image classification and image-text matching tasks, they still struggle with a number of crucial vision-language (VL) reasoning abilities such as counting and spatial reasoning. Moreover, while they might be very brittle to small variations in instructions and/or evaluation protocols, existing benchmarks fail to evaluate their robustness (or rather the lack of it). In order to couple challenging VL scenarios with comprehensive robustness evaluation, we introduce DARE, Diverse Visual Question Answering with Robustness Evaluation, a carefully created and curated multiple-choice VQA benchmark. DARE evaluates VLM performance on five diverse categories and includes four robustness-oriented evaluations based on the variations of: prompts, the subsets of answer options, the output format and the number of correct answers. Among a spectrum of other findings, we report that state-of-the-art VLMs still struggle with questions in most categories and are unable to consistently deliver their peak performance across the tested robustness evaluations. Consequently, our work calls for the systematic addition of robustness evaluations in future VLM research.</v>
      </c>
      <c r="D3427" s="7" t="str">
        <f>IFERROR(__xludf.DUMMYFUNCTION("""COMPUTED_VALUE"""),"Hannah Sterz")</f>
        <v>Hannah Sterz</v>
      </c>
      <c r="E3427" s="7" t="str">
        <f>IFERROR(__xludf.DUMMYFUNCTION("""COMPUTED_VALUE"""),"Yes")</f>
        <v>Yes</v>
      </c>
      <c r="F3427" s="7" t="str">
        <f>IFERROR(__xludf.DUMMYFUNCTION("""COMPUTED_VALUE"""),"IP-Poster")</f>
        <v>IP-Poster</v>
      </c>
      <c r="G3427" s="7" t="str">
        <f>IFERROR(__xludf.DUMMYFUNCTION("""COMPUTED_VALUE"""),"In-Person")</f>
        <v>In-Person</v>
      </c>
      <c r="H3427" s="7" t="str">
        <f>IFERROR(__xludf.DUMMYFUNCTION("""COMPUTED_VALUE"""),"Hall 4/5")</f>
        <v>Hall 4/5</v>
      </c>
      <c r="I3427" s="7" t="str">
        <f>IFERROR(__xludf.DUMMYFUNCTION("""COMPUTED_VALUE"""),"Session 12: IP-Posters")</f>
        <v>Session 12: IP-Posters</v>
      </c>
      <c r="J3427" s="7" t="str">
        <f>IFERROR(__xludf.DUMMYFUNCTION("""COMPUTED_VALUE"""),"Poster Session 4")</f>
        <v>Poster Session 4</v>
      </c>
      <c r="K3427" s="7"/>
      <c r="L3427" s="8">
        <f>IFERROR(__xludf.DUMMYFUNCTION("""COMPUTED_VALUE"""),45868.0)</f>
        <v>45868</v>
      </c>
      <c r="M3427" s="7" t="str">
        <f>IFERROR(__xludf.DUMMYFUNCTION("""COMPUTED_VALUE"""),"11:00-12:30")</f>
        <v>11:00-12:30</v>
      </c>
      <c r="N3427" s="7"/>
    </row>
    <row r="3428">
      <c r="A3428" s="7" t="str">
        <f>IFERROR(__xludf.DUMMYFUNCTION("""COMPUTED_VALUE"""),"8463-TACL")</f>
        <v>8463-TACL</v>
      </c>
      <c r="B3428" s="7" t="str">
        <f>IFERROR(__xludf.DUMMYFUNCTION("""COMPUTED_VALUE"""),"Explanatory Summarization with Discourse-Driven Planning")</f>
        <v>Explanatory Summarization with Discourse-Driven Planning</v>
      </c>
      <c r="C3428" s="7" t="str">
        <f>IFERROR(__xludf.DUMMYFUNCTION("""COMPUTED_VALUE"""),"Lay summaries for scientific documents typically include explanations to help readers grasp sophisticated concepts or arguments. However, current automatic summarization methods do not explicitly model explanations, which makes it difficult to align the p"&amp;"roportion of explanatory content with human-written summaries. In this paper, we present a plan-based approach that leverages discourse frameworks to organize summary generation and guide explanatory sentences by prompting responses to the plan. Specifica"&amp;"lly, we propose two discourse-driven planning strategies, where the plan is conditioned as part of the input or part of the output prefix, respectively. Empirical experiments on three lay summarization datasets show that our approach outperforms existing "&amp;"state-of-the-art methods in terms of summary quality, and it enhances model robustness, controllability and mitigates hallucination.")</f>
        <v>Lay summaries for scientific documents typically include explanations to help readers grasp sophisticated concepts or arguments. However, current automatic summarization methods do not explicitly model explanations, which makes it difficult to align the proportion of explanatory content with human-written summaries. In this paper, we present a plan-based approach that leverages discourse frameworks to organize summary generation and guide explanatory sentences by prompting responses to the plan. Specifically, we propose two discourse-driven planning strategies, where the plan is conditioned as part of the input or part of the output prefix, respectively. Empirical experiments on three lay summarization datasets show that our approach outperforms existing state-of-the-art methods in terms of summary quality, and it enhances model robustness, controllability and mitigates hallucination.</v>
      </c>
      <c r="D3428" s="7" t="str">
        <f>IFERROR(__xludf.DUMMYFUNCTION("""COMPUTED_VALUE"""),"Dongqi Liu")</f>
        <v>Dongqi Liu</v>
      </c>
      <c r="E3428" s="7" t="str">
        <f>IFERROR(__xludf.DUMMYFUNCTION("""COMPUTED_VALUE"""),"Yes")</f>
        <v>Yes</v>
      </c>
      <c r="F3428" s="7" t="str">
        <f>IFERROR(__xludf.DUMMYFUNCTION("""COMPUTED_VALUE"""),"IP-Poster")</f>
        <v>IP-Poster</v>
      </c>
      <c r="G3428" s="7" t="str">
        <f>IFERROR(__xludf.DUMMYFUNCTION("""COMPUTED_VALUE"""),"In-Person")</f>
        <v>In-Person</v>
      </c>
      <c r="H3428" s="7" t="str">
        <f>IFERROR(__xludf.DUMMYFUNCTION("""COMPUTED_VALUE"""),"Hall 4/5")</f>
        <v>Hall 4/5</v>
      </c>
      <c r="I3428" s="7" t="str">
        <f>IFERROR(__xludf.DUMMYFUNCTION("""COMPUTED_VALUE"""),"Session 12: IP-Posters")</f>
        <v>Session 12: IP-Posters</v>
      </c>
      <c r="J3428" s="7" t="str">
        <f>IFERROR(__xludf.DUMMYFUNCTION("""COMPUTED_VALUE"""),"Poster Session 4")</f>
        <v>Poster Session 4</v>
      </c>
      <c r="K3428" s="7"/>
      <c r="L3428" s="8">
        <f>IFERROR(__xludf.DUMMYFUNCTION("""COMPUTED_VALUE"""),45868.0)</f>
        <v>45868</v>
      </c>
      <c r="M3428" s="7" t="str">
        <f>IFERROR(__xludf.DUMMYFUNCTION("""COMPUTED_VALUE"""),"11:00-12:30")</f>
        <v>11:00-12:30</v>
      </c>
      <c r="N3428" s="7"/>
    </row>
  </sheetData>
  <autoFilter ref="$A$2:$Z$3428"/>
  <drawing r:id="rId1"/>
</worksheet>
</file>